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ml.chartshapes+xml"/>
  <Override PartName="/xl/charts/chart9.xml" ContentType="application/vnd.openxmlformats-officedocument.drawingml.chart+xml"/>
  <Override PartName="/xl/drawings/drawing8.xml" ContentType="application/vnd.openxmlformats-officedocument.drawingml.chartshape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9.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0.xml" ContentType="application/vnd.openxmlformats-officedocument.drawingml.chartshapes+xml"/>
  <Override PartName="/xl/charts/chart28.xml" ContentType="application/vnd.openxmlformats-officedocument.drawingml.chart+xml"/>
  <Override PartName="/xl/drawings/drawing11.xml" ContentType="application/vnd.openxmlformats-officedocument.drawingml.chartshapes+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12.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drawings/drawing13.xml" ContentType="application/vnd.openxmlformats-officedocument.drawingml.chartshapes+xml"/>
  <Override PartName="/xl/charts/chart61.xml" ContentType="application/vnd.openxmlformats-officedocument.drawingml.chart+xml"/>
  <Override PartName="/xl/drawings/drawing14.xml" ContentType="application/vnd.openxmlformats-officedocument.drawingml.chartshapes+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drawings/drawing15.xml" ContentType="application/vnd.openxmlformats-officedocument.drawing+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drawings/drawing16.xml" ContentType="application/vnd.openxmlformats-officedocument.drawingml.chartshapes+xml"/>
  <Override PartName="/xl/charts/chart85.xml" ContentType="application/vnd.openxmlformats-officedocument.drawingml.chart+xml"/>
  <Override PartName="/xl/drawings/drawing17.xml" ContentType="application/vnd.openxmlformats-officedocument.drawingml.chartshapes+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Updated SIP Orientation\"/>
    </mc:Choice>
  </mc:AlternateContent>
  <workbookProtection workbookAlgorithmName="SHA-512" workbookHashValue="0Xj2NLad55cBN/nEPuf/sbPue/cBEeybiO8V0hp+FFY92IFXRB1xFbqyznbq3pwpbWiOWEVp4VWNPo1lHkqVLg==" workbookSaltValue="++NtvNZlGKnK/GZn+6JY+Q==" workbookSpinCount="100000" lockStructure="1"/>
  <bookViews>
    <workbookView showSheetTabs="0" xWindow="-108" yWindow="-108" windowWidth="20736" windowHeight="11760" tabRatio="470" activeTab="5"/>
  </bookViews>
  <sheets>
    <sheet name="Home" sheetId="23" r:id="rId1"/>
    <sheet name="Instructions" sheetId="31" r:id="rId2"/>
    <sheet name="Definition of Terms" sheetId="24" r:id="rId3"/>
    <sheet name="policy" sheetId="29" r:id="rId4"/>
    <sheet name="DEVs" sheetId="25" r:id="rId5"/>
    <sheet name="SRC" sheetId="21" r:id="rId6"/>
    <sheet name="booklet" sheetId="27" r:id="rId7"/>
    <sheet name="brochure" sheetId="26" r:id="rId8"/>
    <sheet name="tarp" sheetId="28" r:id="rId9"/>
    <sheet name="Helper" sheetId="20" r:id="rId10"/>
    <sheet name="Data" sheetId="18" r:id="rId11"/>
  </sheets>
  <definedNames>
    <definedName name="_Fill" localSheetId="2" hidden="1">#REF!</definedName>
    <definedName name="_Fill" localSheetId="4" hidden="1">#REF!</definedName>
    <definedName name="_Fill" localSheetId="0" hidden="1">#REF!</definedName>
    <definedName name="_Fill" hidden="1">#REF!</definedName>
    <definedName name="_Key1" localSheetId="2" hidden="1">#REF!</definedName>
    <definedName name="_Key1" localSheetId="4" hidden="1">#REF!</definedName>
    <definedName name="_Key1" localSheetId="0" hidden="1">#REF!</definedName>
    <definedName name="_Key1" hidden="1">#REF!</definedName>
    <definedName name="_Order1" hidden="1">255</definedName>
    <definedName name="_Sort" localSheetId="2" hidden="1">#REF!</definedName>
    <definedName name="_Sort" localSheetId="4" hidden="1">#REF!</definedName>
    <definedName name="_Sort" localSheetId="0" hidden="1">#REF!</definedName>
    <definedName name="_Sort" hidden="1">#REF!</definedName>
    <definedName name="Advocacy_Support">Helper!$AQ$1286</definedName>
    <definedName name="AIP_status">Helper!$L$153:$L$156</definedName>
    <definedName name="Appliances_Equipment">Helper!$X$1286:$X$1304</definedName>
    <definedName name="Attendance">Helper!$J$1286</definedName>
    <definedName name="Civil_Society_Organizations">Helper!$H$1306:$H$1312</definedName>
    <definedName name="Classification">Helper!$BI$2:$BI$6</definedName>
    <definedName name="Classification_of_Schools">Helper!$BI$2:$BI$9</definedName>
    <definedName name="ClassOrganization">Helper!$BM$2:$BM$4</definedName>
    <definedName name="Contribution_Type">Helper!$A$1286:$A$1301</definedName>
    <definedName name="Data_AIP">OFFSET(Helper!$AK$2,,,COUNT(Helper!$AK$2:$AK$10),1)</definedName>
    <definedName name="Data_Contrib">OFFSET(Helper!$AQ$2,,,COUNT(Helper!$AQ$2:$AQ$16),1)</definedName>
    <definedName name="Data_CT">OFFSET(Helper!$W$701,,,COUNT(Helper!$W$701:$W$716),1)</definedName>
    <definedName name="Data_LCR">OFFSET(Helper!$AB$2,,,COUNT(Helper!$AB$2:$AB$14),1)</definedName>
    <definedName name="Data_LM">OFFSET(Helper!$AH$2,,,COUNT(Helper!$AH$2:$AH$15),1)</definedName>
    <definedName name="Data_PHILIRI">OFFSET(Helper!$DG$2,,,COUNT(Helper!$DG$2:$DG$13),1)</definedName>
    <definedName name="Data_PHILIRI2">OFFSET(Helper!$DH$2,,,COUNT(Helper!$DH$2:$DH$13),1)</definedName>
    <definedName name="Data_PHILIRI3">OFFSET(Helper!$DI$2,,,COUNT(Helper!$DI$2:$DI$13),1)</definedName>
    <definedName name="Data_PHILIRIFIL">OFFSET(Helper!$DQ$2,,,COUNT(Helper!$DQ$2:$DQ$13),1)</definedName>
    <definedName name="Data_PHILIRIFIL2">OFFSET(Helper!$DR$2,,,COUNT(Helper!$DR$2:$DR$13),1)</definedName>
    <definedName name="Data_PHILIRIFIL3">OFFSET(Helper!$DS$2,,,COUNT(Helper!$DS$2:$DS$13),1)</definedName>
    <definedName name="Data_Promotion">OFFSET(Helper!$P$2,,,COUNT(Helper!$P$2:$P$14),1)</definedName>
    <definedName name="Data_SASA">OFFSET(Helper!$AN$2,,,COUNT(Helper!$AN$2:$AN$5),1)</definedName>
    <definedName name="Data_SPT">OFFSET(Helper!$S$701,,,COUNT(Helper!$S$701:$S$721),1)</definedName>
    <definedName name="Data_TSR">OFFSET(Helper!$V$2,,,COUNT(Helper!$V$2:$V$14),1)</definedName>
    <definedName name="e" localSheetId="4" hidden="1">#REF!</definedName>
    <definedName name="e" hidden="1">#REF!</definedName>
    <definedName name="Elementary">Helper!$BN$2:$BN$4</definedName>
    <definedName name="Financial_Support">Helper!$D$1286</definedName>
    <definedName name="Furniture">Helper!$Q$1286:$Q$1297</definedName>
    <definedName name="General_Partner_Type">Helper!$A$1306:$A$1310</definedName>
    <definedName name="Infrastructure">Helper!$L$1286:$L$1315</definedName>
    <definedName name="Integrated__K_to_SHS">Helper!$BP$2</definedName>
    <definedName name="Intergrated_K_to_JHS">Helper!$BO$2</definedName>
    <definedName name="International">Helper!$J$1306:$J$1307</definedName>
    <definedName name="Junior_High_School">Helper!$BQ$2</definedName>
    <definedName name="Junior_High_School__w__SHS">Helper!$BR$2</definedName>
    <definedName name="Kinder_Primary">Helper!$BO$2:$BO$4</definedName>
    <definedName name="LANGUAGE">Helper!$B$1347:$B$1350</definedName>
    <definedName name="Learner_School_Supplies_Uniforms">Helper!$AE$1286:$AE$1297</definedName>
    <definedName name="Learner_Wellness_Health_Nutrition">Helper!$AA$1286:$AA$1299</definedName>
    <definedName name="Level_AIP">OFFSET(Helper!$AJ$2,,,COUNT(Helper!$AK$2:$AK$10),1)</definedName>
    <definedName name="Level_Contrib">OFFSET(Helper!$AP$2,,,COUNT(Helper!$AQ$2:$AQ$16),1)</definedName>
    <definedName name="Level_CT">OFFSET(Helper!$V$701,,,COUNT(Helper!$W$701:$W$716),1)</definedName>
    <definedName name="Level_LCR">OFFSET(Helper!$AA$2,,,COUNT(Helper!$AB$2:$AB$14),1)</definedName>
    <definedName name="Level_LM">OFFSET(Helper!$AG$2,,,COUNT(Helper!$AH$2:$AH$15),1)</definedName>
    <definedName name="Level_PHILIRI">OFFSET(Helper!$DF$2,,,COUNT(Helper!$DG$2:$DI$13),1)</definedName>
    <definedName name="Level_PHILIRIFIL">OFFSET(Helper!$DP$2,,,COUNT(Helper!$DQ$2:$DS$13),1)</definedName>
    <definedName name="Level_Promotion">OFFSET(Helper!$O$2,,,COUNT(Helper!$P$2:$P$14),1)</definedName>
    <definedName name="Level_SASA">OFFSET(Helper!$AM$2,,,COUNT(Helper!$AN$2:$AN$5),1)</definedName>
    <definedName name="Level_SPT">OFFSET(Helper!$R$701,,,COUNT(Helper!$S$701:$S$721),1)</definedName>
    <definedName name="Level_TSR">OFFSET(Helper!$U$2,,,COUNT(Helper!$V$2:$V$14),1)</definedName>
    <definedName name="Others">Helper!$AU$1286</definedName>
    <definedName name="Policy_Support">Helper!$AS$1286</definedName>
    <definedName name="_xlnm.Print_Area" localSheetId="6">booklet!$A$4:$P$275</definedName>
    <definedName name="_xlnm.Print_Area" localSheetId="7">brochure!$A$4:$AI$141</definedName>
    <definedName name="_xlnm.Print_Area" localSheetId="5">SRC!$A$5:$K$958</definedName>
    <definedName name="_xlnm.Print_Area" localSheetId="8">tarp!$A$4:$AQ$111</definedName>
    <definedName name="Private_Sector">Helper!$D$1306:$D$1309</definedName>
    <definedName name="Public_Sector">Helper!$F$1306:$F$1314</definedName>
    <definedName name="RANK">Helper!$B$1338:$B$1343</definedName>
    <definedName name="REASONS">Helper!$B$1320:$B$1330</definedName>
    <definedName name="Senior_High_School">Helper!$BS$2</definedName>
    <definedName name="Source">Helper!$R$46:$R$51</definedName>
    <definedName name="Teaching_Non_Teaching_Personnel_Support">Helper!$AH$1286:$AH$1289</definedName>
    <definedName name="Technical_Assistance">Helper!$H$1286</definedName>
    <definedName name="Technology">Helper!$T$1286:$T$1306</definedName>
    <definedName name="Use_of_Facilities">Helper!$AO$1286</definedName>
    <definedName name="Volunteer_Hours">Helper!$F$1286:$F$1293</definedName>
    <definedName name="w">Helper!$BT$1</definedName>
    <definedName name="Work_Immersion">Helper!$AM$1286:$AM$1289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5" i="18" l="1"/>
  <c r="B52" i="18" l="1"/>
  <c r="Q623" i="1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80" i="28"/>
  <c r="I81" i="28"/>
  <c r="I82" i="28"/>
  <c r="I83" i="28"/>
  <c r="I84" i="28"/>
  <c r="I85" i="28"/>
  <c r="I86" i="28"/>
  <c r="I87" i="28"/>
  <c r="I88" i="28"/>
  <c r="I89" i="28"/>
  <c r="I90" i="28"/>
  <c r="I91" i="28"/>
  <c r="I92" i="28"/>
  <c r="I93" i="28"/>
  <c r="I94" i="28"/>
  <c r="I95" i="28"/>
  <c r="I96" i="28"/>
  <c r="I97" i="28"/>
  <c r="I98" i="28"/>
  <c r="I99" i="28"/>
  <c r="I100" i="28"/>
  <c r="I101" i="28"/>
  <c r="I102" i="28"/>
  <c r="I103" i="28"/>
  <c r="I104" i="28"/>
  <c r="I105" i="28"/>
  <c r="I106" i="28"/>
  <c r="V42" i="26"/>
  <c r="V43" i="26"/>
  <c r="V44" i="26"/>
  <c r="V45" i="26"/>
  <c r="V46" i="26"/>
  <c r="V47" i="26"/>
  <c r="V48" i="26"/>
  <c r="V49" i="26"/>
  <c r="V50" i="26"/>
  <c r="V51" i="26"/>
  <c r="V52" i="26"/>
  <c r="V53" i="26"/>
  <c r="V54" i="26"/>
  <c r="V55" i="26"/>
  <c r="V56" i="26"/>
  <c r="V57" i="26"/>
  <c r="V58" i="26"/>
  <c r="V59" i="26"/>
  <c r="V60" i="26"/>
  <c r="V61" i="26"/>
  <c r="V62" i="26"/>
  <c r="V63" i="26"/>
  <c r="V64" i="26"/>
  <c r="V65" i="26"/>
  <c r="V66" i="26"/>
  <c r="V67" i="26"/>
  <c r="V41" i="26"/>
  <c r="T42" i="26"/>
  <c r="T43" i="26"/>
  <c r="T44" i="26"/>
  <c r="T45" i="26"/>
  <c r="T46" i="26"/>
  <c r="T47" i="26"/>
  <c r="T48" i="26"/>
  <c r="T49" i="26"/>
  <c r="T50" i="26"/>
  <c r="T51" i="26"/>
  <c r="T52" i="26"/>
  <c r="T53" i="26"/>
  <c r="T54" i="26"/>
  <c r="T55" i="26"/>
  <c r="T56" i="26"/>
  <c r="T57" i="26"/>
  <c r="T58" i="26"/>
  <c r="T59" i="26"/>
  <c r="T60" i="26"/>
  <c r="T61" i="26"/>
  <c r="T62" i="26"/>
  <c r="T63" i="26"/>
  <c r="T64" i="26"/>
  <c r="T65" i="26"/>
  <c r="T66" i="26"/>
  <c r="T67" i="26"/>
  <c r="T41" i="26"/>
  <c r="L245" i="27"/>
  <c r="L246" i="27"/>
  <c r="L247" i="27"/>
  <c r="L248" i="27"/>
  <c r="L249" i="27"/>
  <c r="L250" i="27"/>
  <c r="L251" i="27"/>
  <c r="L252" i="27"/>
  <c r="L253" i="27"/>
  <c r="L254" i="27"/>
  <c r="L255" i="27"/>
  <c r="L256" i="27"/>
  <c r="L257" i="27"/>
  <c r="L258" i="27"/>
  <c r="L259" i="27"/>
  <c r="L260" i="27"/>
  <c r="L261" i="27"/>
  <c r="L262" i="27"/>
  <c r="L263" i="27"/>
  <c r="L264" i="27"/>
  <c r="L265" i="27"/>
  <c r="L266" i="27"/>
  <c r="L267" i="27"/>
  <c r="L268" i="27"/>
  <c r="L269" i="27"/>
  <c r="L270" i="27"/>
  <c r="L244" i="27"/>
  <c r="J270" i="27"/>
  <c r="J245" i="27"/>
  <c r="J246" i="27"/>
  <c r="J247" i="27"/>
  <c r="J248" i="27"/>
  <c r="J249" i="27"/>
  <c r="J250" i="27"/>
  <c r="J251" i="27"/>
  <c r="J252" i="27"/>
  <c r="J253" i="27"/>
  <c r="J254" i="27"/>
  <c r="J255" i="27"/>
  <c r="J256" i="27"/>
  <c r="J257" i="27"/>
  <c r="J258" i="27"/>
  <c r="J259" i="27"/>
  <c r="J260" i="27"/>
  <c r="J261" i="27"/>
  <c r="J262" i="27"/>
  <c r="J263" i="27"/>
  <c r="J264" i="27"/>
  <c r="J265" i="27"/>
  <c r="J266" i="27"/>
  <c r="J267" i="27"/>
  <c r="J268" i="27"/>
  <c r="J269" i="27"/>
  <c r="E325" i="21"/>
  <c r="E326" i="21"/>
  <c r="E327" i="21"/>
  <c r="E328" i="21"/>
  <c r="E329" i="21"/>
  <c r="E330" i="21"/>
  <c r="E331" i="21"/>
  <c r="E332" i="21"/>
  <c r="E333" i="21"/>
  <c r="E334" i="21"/>
  <c r="E335" i="21"/>
  <c r="E336" i="21"/>
  <c r="E337" i="21"/>
  <c r="E338" i="21"/>
  <c r="E339" i="21"/>
  <c r="E340" i="21"/>
  <c r="E341" i="21"/>
  <c r="E342" i="21"/>
  <c r="E343" i="21"/>
  <c r="E344" i="21"/>
  <c r="E345" i="21"/>
  <c r="E346" i="21"/>
  <c r="E347" i="21"/>
  <c r="E348" i="21"/>
  <c r="E349" i="21"/>
  <c r="E350" i="21"/>
  <c r="E324" i="21"/>
  <c r="A338" i="21"/>
  <c r="A339" i="21"/>
  <c r="A340" i="21"/>
  <c r="A341" i="21"/>
  <c r="A342" i="21"/>
  <c r="A343" i="21"/>
  <c r="A344" i="21"/>
  <c r="A345" i="21"/>
  <c r="A346" i="21"/>
  <c r="A347" i="21"/>
  <c r="A348" i="21"/>
  <c r="A349" i="21"/>
  <c r="A350" i="21"/>
  <c r="A333" i="21"/>
  <c r="A334" i="21"/>
  <c r="A335" i="21"/>
  <c r="A336" i="21"/>
  <c r="A337" i="21"/>
  <c r="A325" i="21"/>
  <c r="A326" i="21"/>
  <c r="A327" i="21"/>
  <c r="A328" i="21"/>
  <c r="A329" i="21"/>
  <c r="A330" i="21"/>
  <c r="A331" i="21"/>
  <c r="A332" i="21"/>
  <c r="G107" i="18"/>
  <c r="F88" i="18"/>
  <c r="B69" i="18"/>
  <c r="W35" i="18"/>
  <c r="W49" i="18"/>
  <c r="W48" i="18"/>
  <c r="W47" i="18"/>
  <c r="W46" i="18"/>
  <c r="W45" i="18"/>
  <c r="W44" i="18"/>
  <c r="W43" i="18"/>
  <c r="W42" i="18"/>
  <c r="W41" i="18"/>
  <c r="W40" i="18"/>
  <c r="W39" i="18"/>
  <c r="W38" i="18"/>
  <c r="W37" i="18"/>
  <c r="W36" i="18"/>
  <c r="L36" i="18"/>
  <c r="L37" i="18"/>
  <c r="L38" i="18"/>
  <c r="L39" i="18"/>
  <c r="L40" i="18"/>
  <c r="L41" i="18"/>
  <c r="L42" i="18"/>
  <c r="L43" i="18"/>
  <c r="L44" i="18"/>
  <c r="L45" i="18"/>
  <c r="L46" i="18"/>
  <c r="L47" i="18"/>
  <c r="L48" i="18"/>
  <c r="L49" i="18"/>
  <c r="L35" i="18"/>
  <c r="C27" i="21"/>
  <c r="AC84" i="26" s="1"/>
  <c r="A4" i="28" l="1"/>
  <c r="J151" i="27"/>
  <c r="F185" i="18"/>
  <c r="T110" i="28" l="1"/>
  <c r="W106" i="28"/>
  <c r="R106" i="28"/>
  <c r="W102" i="28"/>
  <c r="R102" i="28"/>
  <c r="AC140" i="26"/>
  <c r="AF136" i="26"/>
  <c r="AB136" i="26"/>
  <c r="AF132" i="26"/>
  <c r="AB132" i="26"/>
  <c r="C172" i="27"/>
  <c r="E168" i="27"/>
  <c r="A168" i="27"/>
  <c r="E164" i="27"/>
  <c r="A164" i="27"/>
  <c r="D954" i="21"/>
  <c r="G948" i="21"/>
  <c r="A948" i="21"/>
  <c r="G941" i="21"/>
  <c r="A941" i="21"/>
  <c r="J205" i="20" l="1"/>
  <c r="J204" i="20"/>
  <c r="J203" i="20"/>
  <c r="J202" i="20"/>
  <c r="J201" i="20"/>
  <c r="J200" i="20"/>
  <c r="J199" i="20"/>
  <c r="J198" i="20"/>
  <c r="J197" i="20"/>
  <c r="J196" i="20"/>
  <c r="J195" i="20"/>
  <c r="J194" i="20"/>
  <c r="I206" i="20"/>
  <c r="I205" i="20"/>
  <c r="I204" i="20"/>
  <c r="I203" i="20"/>
  <c r="I202" i="20"/>
  <c r="I201" i="20"/>
  <c r="I200" i="20"/>
  <c r="I199" i="20"/>
  <c r="I198" i="20"/>
  <c r="I197" i="20"/>
  <c r="I196" i="20"/>
  <c r="I195" i="20"/>
  <c r="I194" i="20"/>
  <c r="G53" i="20" l="1"/>
  <c r="G54" i="20"/>
  <c r="G52" i="20"/>
  <c r="F53" i="20"/>
  <c r="F54" i="20"/>
  <c r="F52" i="20"/>
  <c r="E53" i="20"/>
  <c r="E54" i="20"/>
  <c r="E52" i="20"/>
  <c r="D53" i="20"/>
  <c r="D54" i="20"/>
  <c r="D52" i="20"/>
  <c r="C53" i="20"/>
  <c r="C54" i="20"/>
  <c r="C52" i="20"/>
  <c r="B53" i="20"/>
  <c r="B54" i="20"/>
  <c r="B52" i="20"/>
  <c r="D217" i="20" l="1"/>
  <c r="E217" i="20"/>
  <c r="F217" i="20"/>
  <c r="G217" i="20"/>
  <c r="H217" i="20"/>
  <c r="I217" i="20"/>
  <c r="J217" i="20"/>
  <c r="K217" i="20"/>
  <c r="L217" i="20"/>
  <c r="M217" i="20"/>
  <c r="N217" i="20"/>
  <c r="O217" i="20"/>
  <c r="P217" i="20"/>
  <c r="Q217" i="20"/>
  <c r="R217" i="20"/>
  <c r="S217" i="20"/>
  <c r="T217" i="20"/>
  <c r="U217" i="20"/>
  <c r="V217" i="20"/>
  <c r="W217" i="20"/>
  <c r="X217" i="20"/>
  <c r="Y217" i="20"/>
  <c r="Z217" i="20"/>
  <c r="AA217" i="20"/>
  <c r="AB217" i="20"/>
  <c r="AC217" i="20"/>
  <c r="AD217" i="20"/>
  <c r="AE217" i="20"/>
  <c r="AF217" i="20"/>
  <c r="C217" i="20"/>
  <c r="D216" i="20"/>
  <c r="E216" i="20"/>
  <c r="F216" i="20"/>
  <c r="G216" i="20"/>
  <c r="H216" i="20"/>
  <c r="I216" i="20"/>
  <c r="J216" i="20"/>
  <c r="K216" i="20"/>
  <c r="L216" i="20"/>
  <c r="M216" i="20"/>
  <c r="N216" i="20"/>
  <c r="O216" i="20"/>
  <c r="P216" i="20"/>
  <c r="Q216" i="20"/>
  <c r="R216" i="20"/>
  <c r="S216" i="20"/>
  <c r="T216" i="20"/>
  <c r="U216" i="20"/>
  <c r="V216" i="20"/>
  <c r="W216" i="20"/>
  <c r="X216" i="20"/>
  <c r="Y216" i="20"/>
  <c r="Z216" i="20"/>
  <c r="AA216" i="20"/>
  <c r="AB216" i="20"/>
  <c r="AC216" i="20"/>
  <c r="AD216" i="20"/>
  <c r="AE216" i="20"/>
  <c r="AF216" i="20"/>
  <c r="C216" i="20"/>
  <c r="D215" i="20"/>
  <c r="E215" i="20"/>
  <c r="F215" i="20"/>
  <c r="G215" i="20"/>
  <c r="H215" i="20"/>
  <c r="I215" i="20"/>
  <c r="J215" i="20"/>
  <c r="K215" i="20"/>
  <c r="L215" i="20"/>
  <c r="M215" i="20"/>
  <c r="N215" i="20"/>
  <c r="O215" i="20"/>
  <c r="P215" i="20"/>
  <c r="Q215" i="20"/>
  <c r="R215" i="20"/>
  <c r="S215" i="20"/>
  <c r="T215" i="20"/>
  <c r="U215" i="20"/>
  <c r="V215" i="20"/>
  <c r="W215" i="20"/>
  <c r="X215" i="20"/>
  <c r="Y215" i="20"/>
  <c r="Z215" i="20"/>
  <c r="AA215" i="20"/>
  <c r="AB215" i="20"/>
  <c r="AC215" i="20"/>
  <c r="AD215" i="20"/>
  <c r="AE215" i="20"/>
  <c r="AF215" i="20"/>
  <c r="C215" i="20"/>
  <c r="D218" i="20" l="1"/>
  <c r="AL221" i="20" s="1"/>
  <c r="V218" i="20"/>
  <c r="AL230" i="20" s="1"/>
  <c r="M32" i="20"/>
  <c r="B32" i="20" s="1"/>
  <c r="AF218" i="20"/>
  <c r="AL235" i="20" s="1"/>
  <c r="M31" i="20"/>
  <c r="C31" i="20" s="1"/>
  <c r="AD218" i="20"/>
  <c r="AL234" i="20" s="1"/>
  <c r="M30" i="20"/>
  <c r="B30" i="20" s="1"/>
  <c r="AB218" i="20"/>
  <c r="AL233" i="20" s="1"/>
  <c r="M29" i="20"/>
  <c r="B29" i="20" s="1"/>
  <c r="Z218" i="20"/>
  <c r="AL232" i="20" s="1"/>
  <c r="M28" i="20"/>
  <c r="B28" i="20" s="1"/>
  <c r="X218" i="20"/>
  <c r="AL231" i="20" s="1"/>
  <c r="M26" i="20"/>
  <c r="B26" i="20" s="1"/>
  <c r="T218" i="20"/>
  <c r="AL229" i="20" s="1"/>
  <c r="M25" i="20"/>
  <c r="B25" i="20" s="1"/>
  <c r="R218" i="20"/>
  <c r="AL228" i="20" s="1"/>
  <c r="M24" i="20"/>
  <c r="E24" i="20" s="1"/>
  <c r="P218" i="20"/>
  <c r="AL227" i="20" s="1"/>
  <c r="M23" i="20"/>
  <c r="G23" i="20" s="1"/>
  <c r="N218" i="20"/>
  <c r="AL226" i="20" s="1"/>
  <c r="M22" i="20"/>
  <c r="K22" i="20" s="1"/>
  <c r="L218" i="20"/>
  <c r="AL225" i="20" s="1"/>
  <c r="M21" i="20"/>
  <c r="B21" i="20" s="1"/>
  <c r="J218" i="20"/>
  <c r="AL224" i="20" s="1"/>
  <c r="M20" i="20"/>
  <c r="C20" i="20" s="1"/>
  <c r="H218" i="20"/>
  <c r="AL223" i="20" s="1"/>
  <c r="M18" i="20"/>
  <c r="G18" i="20" s="1"/>
  <c r="F218" i="20"/>
  <c r="AL222" i="20" s="1"/>
  <c r="M27" i="20"/>
  <c r="C27" i="20" s="1"/>
  <c r="G24" i="20"/>
  <c r="G22" i="20"/>
  <c r="E18" i="20"/>
  <c r="D18" i="20"/>
  <c r="H18" i="20"/>
  <c r="C18" i="20"/>
  <c r="D25" i="20"/>
  <c r="H25" i="20"/>
  <c r="C25" i="20"/>
  <c r="K25" i="20"/>
  <c r="C23" i="20"/>
  <c r="E23" i="20"/>
  <c r="I23" i="20"/>
  <c r="K23" i="20"/>
  <c r="B23" i="20"/>
  <c r="F23" i="20"/>
  <c r="H23" i="20"/>
  <c r="J23" i="20"/>
  <c r="D21" i="20"/>
  <c r="F21" i="20"/>
  <c r="H21" i="20"/>
  <c r="C21" i="20"/>
  <c r="E21" i="20"/>
  <c r="G21" i="20"/>
  <c r="K21" i="20"/>
  <c r="E20" i="20"/>
  <c r="I20" i="20"/>
  <c r="K20" i="20"/>
  <c r="M19" i="20"/>
  <c r="D26" i="20"/>
  <c r="J24" i="20"/>
  <c r="H24" i="20"/>
  <c r="D24" i="20"/>
  <c r="J22" i="20"/>
  <c r="H22" i="20"/>
  <c r="D22" i="20"/>
  <c r="J20" i="20"/>
  <c r="H20" i="20"/>
  <c r="D20" i="20"/>
  <c r="B20" i="20"/>
  <c r="Q193" i="20"/>
  <c r="P193" i="20"/>
  <c r="M193" i="20"/>
  <c r="L193" i="20"/>
  <c r="J206" i="20"/>
  <c r="G206" i="20"/>
  <c r="F206" i="20"/>
  <c r="G205" i="20"/>
  <c r="F205" i="20"/>
  <c r="G204" i="20"/>
  <c r="F204" i="20"/>
  <c r="G203" i="20"/>
  <c r="F203" i="20"/>
  <c r="G202" i="20"/>
  <c r="F202" i="20"/>
  <c r="G201" i="20"/>
  <c r="F201" i="20"/>
  <c r="G200" i="20"/>
  <c r="F200" i="20"/>
  <c r="G199" i="20"/>
  <c r="F199" i="20"/>
  <c r="G198" i="20"/>
  <c r="F198" i="20"/>
  <c r="G197" i="20"/>
  <c r="F197" i="20"/>
  <c r="G196" i="20"/>
  <c r="F196" i="20"/>
  <c r="G195" i="20"/>
  <c r="F195" i="20"/>
  <c r="G194" i="20"/>
  <c r="F194" i="20"/>
  <c r="D206" i="20"/>
  <c r="C206" i="20"/>
  <c r="D205" i="20"/>
  <c r="C205" i="20"/>
  <c r="D204" i="20"/>
  <c r="C204" i="20"/>
  <c r="D203" i="20"/>
  <c r="C203" i="20"/>
  <c r="D202" i="20"/>
  <c r="C202" i="20"/>
  <c r="D201" i="20"/>
  <c r="C201" i="20"/>
  <c r="D200" i="20"/>
  <c r="C200" i="20"/>
  <c r="D199" i="20"/>
  <c r="C199" i="20"/>
  <c r="D198" i="20"/>
  <c r="C198" i="20"/>
  <c r="D197" i="20"/>
  <c r="C197" i="20"/>
  <c r="D196" i="20"/>
  <c r="C196" i="20"/>
  <c r="D195" i="20"/>
  <c r="C195" i="20"/>
  <c r="D194" i="20"/>
  <c r="C194" i="20"/>
  <c r="E27" i="20" l="1"/>
  <c r="I18" i="20"/>
  <c r="B24" i="20"/>
  <c r="F31" i="20"/>
  <c r="G29" i="20"/>
  <c r="K28" i="20"/>
  <c r="D28" i="20"/>
  <c r="D30" i="20"/>
  <c r="H30" i="20"/>
  <c r="I30" i="20"/>
  <c r="D32" i="20"/>
  <c r="H32" i="20"/>
  <c r="C32" i="20"/>
  <c r="E32" i="20"/>
  <c r="K32" i="20"/>
  <c r="B31" i="20"/>
  <c r="I31" i="20"/>
  <c r="J18" i="20"/>
  <c r="K18" i="20"/>
  <c r="I22" i="20"/>
  <c r="C22" i="20"/>
  <c r="C24" i="20"/>
  <c r="I26" i="20"/>
  <c r="E28" i="20"/>
  <c r="F20" i="20"/>
  <c r="F22" i="20"/>
  <c r="F24" i="20"/>
  <c r="H26" i="20"/>
  <c r="G20" i="20"/>
  <c r="H29" i="20"/>
  <c r="E22" i="20"/>
  <c r="B22" i="20"/>
  <c r="I24" i="20"/>
  <c r="K26" i="20"/>
  <c r="I21" i="20"/>
  <c r="J21" i="20"/>
  <c r="D23" i="20"/>
  <c r="G25" i="20"/>
  <c r="F27" i="20"/>
  <c r="J31" i="20"/>
  <c r="E31" i="20"/>
  <c r="B18" i="20"/>
  <c r="F18" i="20"/>
  <c r="K24" i="20"/>
  <c r="C26" i="20"/>
  <c r="K30" i="20"/>
  <c r="J27" i="20"/>
  <c r="B27" i="20"/>
  <c r="C30" i="20"/>
  <c r="K29" i="20"/>
  <c r="C29" i="20"/>
  <c r="D29" i="20"/>
  <c r="I27" i="20"/>
  <c r="H28" i="20"/>
  <c r="C28" i="20"/>
  <c r="F26" i="20"/>
  <c r="J26" i="20"/>
  <c r="F28" i="20"/>
  <c r="J28" i="20"/>
  <c r="F30" i="20"/>
  <c r="J30" i="20"/>
  <c r="F32" i="20"/>
  <c r="J32" i="20"/>
  <c r="I25" i="20"/>
  <c r="E25" i="20"/>
  <c r="J25" i="20"/>
  <c r="F25" i="20"/>
  <c r="H27" i="20"/>
  <c r="D27" i="20"/>
  <c r="K27" i="20"/>
  <c r="G27" i="20"/>
  <c r="I29" i="20"/>
  <c r="E29" i="20"/>
  <c r="J29" i="20"/>
  <c r="F29" i="20"/>
  <c r="H31" i="20"/>
  <c r="D31" i="20"/>
  <c r="K31" i="20"/>
  <c r="G31" i="20"/>
  <c r="G32" i="20"/>
  <c r="I32" i="20"/>
  <c r="E26" i="20"/>
  <c r="G26" i="20"/>
  <c r="G28" i="20"/>
  <c r="I28" i="20"/>
  <c r="E30" i="20"/>
  <c r="G30" i="20"/>
  <c r="C19" i="20"/>
  <c r="E19" i="20"/>
  <c r="G19" i="20"/>
  <c r="I19" i="20"/>
  <c r="K19" i="20"/>
  <c r="B19" i="20"/>
  <c r="D19" i="20"/>
  <c r="F19" i="20"/>
  <c r="H19" i="20"/>
  <c r="J19" i="20"/>
  <c r="M33" i="20"/>
  <c r="E201" i="20"/>
  <c r="E203" i="20"/>
  <c r="E205" i="20"/>
  <c r="H196" i="20"/>
  <c r="H200" i="20"/>
  <c r="H203" i="20"/>
  <c r="H204" i="20"/>
  <c r="N193" i="20"/>
  <c r="R193" i="20"/>
  <c r="BH127" i="20" s="1"/>
  <c r="E204" i="20"/>
  <c r="H195" i="20"/>
  <c r="H199" i="20"/>
  <c r="H194" i="20"/>
  <c r="H198" i="20"/>
  <c r="H202" i="20"/>
  <c r="H206" i="20"/>
  <c r="E202" i="20"/>
  <c r="E206" i="20"/>
  <c r="H197" i="20"/>
  <c r="H201" i="20"/>
  <c r="H205" i="20"/>
  <c r="AY127" i="20" l="1"/>
  <c r="A91" i="20"/>
  <c r="E91" i="20" s="1"/>
  <c r="I91" i="20" s="1"/>
  <c r="M91" i="20" s="1"/>
  <c r="A92" i="20"/>
  <c r="E92" i="20" s="1"/>
  <c r="I92" i="20" s="1"/>
  <c r="M92" i="20" s="1"/>
  <c r="A93" i="20"/>
  <c r="E93" i="20" s="1"/>
  <c r="I93" i="20" s="1"/>
  <c r="M93" i="20" s="1"/>
  <c r="A94" i="20"/>
  <c r="E94" i="20" s="1"/>
  <c r="I94" i="20" s="1"/>
  <c r="M94" i="20" s="1"/>
  <c r="A95" i="20"/>
  <c r="E95" i="20" s="1"/>
  <c r="I95" i="20" s="1"/>
  <c r="M95" i="20" s="1"/>
  <c r="A96" i="20"/>
  <c r="E96" i="20" s="1"/>
  <c r="I96" i="20" s="1"/>
  <c r="M96" i="20" s="1"/>
  <c r="A97" i="20"/>
  <c r="E97" i="20" s="1"/>
  <c r="I97" i="20" s="1"/>
  <c r="M97" i="20" s="1"/>
  <c r="A98" i="20"/>
  <c r="E98" i="20" s="1"/>
  <c r="I98" i="20" s="1"/>
  <c r="M98" i="20" s="1"/>
  <c r="A99" i="20"/>
  <c r="E99" i="20" s="1"/>
  <c r="I99" i="20" s="1"/>
  <c r="M99" i="20" s="1"/>
  <c r="A100" i="20"/>
  <c r="E100" i="20" s="1"/>
  <c r="I100" i="20" s="1"/>
  <c r="M100" i="20" s="1"/>
  <c r="A101" i="20"/>
  <c r="E101" i="20" s="1"/>
  <c r="I101" i="20" s="1"/>
  <c r="M101" i="20" s="1"/>
  <c r="A90" i="20"/>
  <c r="E90" i="20" s="1"/>
  <c r="I90" i="20" s="1"/>
  <c r="M90" i="20" s="1"/>
  <c r="B702" i="20" l="1"/>
  <c r="C702" i="20"/>
  <c r="D702" i="20"/>
  <c r="E702" i="20"/>
  <c r="B703" i="20"/>
  <c r="C703" i="20"/>
  <c r="D703" i="20"/>
  <c r="E703" i="20"/>
  <c r="B704" i="20"/>
  <c r="C704" i="20"/>
  <c r="D704" i="20"/>
  <c r="E704" i="20"/>
  <c r="B705" i="20"/>
  <c r="C705" i="20"/>
  <c r="D705" i="20"/>
  <c r="E705" i="20"/>
  <c r="B706" i="20"/>
  <c r="C706" i="20"/>
  <c r="D706" i="20"/>
  <c r="E706" i="20"/>
  <c r="B707" i="20"/>
  <c r="C707" i="20"/>
  <c r="D707" i="20"/>
  <c r="E707" i="20"/>
  <c r="B708" i="20"/>
  <c r="C708" i="20"/>
  <c r="D708" i="20"/>
  <c r="E708" i="20"/>
  <c r="B709" i="20"/>
  <c r="C709" i="20"/>
  <c r="D709" i="20"/>
  <c r="E709" i="20"/>
  <c r="B710" i="20"/>
  <c r="C710" i="20"/>
  <c r="D710" i="20"/>
  <c r="E710" i="20"/>
  <c r="B711" i="20"/>
  <c r="C711" i="20"/>
  <c r="D711" i="20"/>
  <c r="E711" i="20"/>
  <c r="B712" i="20"/>
  <c r="C712" i="20"/>
  <c r="D712" i="20"/>
  <c r="E712" i="20"/>
  <c r="B713" i="20"/>
  <c r="C713" i="20"/>
  <c r="D713" i="20"/>
  <c r="E713" i="20"/>
  <c r="B714" i="20"/>
  <c r="C714" i="20"/>
  <c r="D714" i="20"/>
  <c r="E714" i="20"/>
  <c r="B715" i="20"/>
  <c r="C715" i="20"/>
  <c r="D715" i="20"/>
  <c r="E715" i="20"/>
  <c r="B716" i="20"/>
  <c r="C716" i="20"/>
  <c r="D716" i="20"/>
  <c r="E716" i="20"/>
  <c r="B717" i="20"/>
  <c r="C717" i="20"/>
  <c r="D717" i="20"/>
  <c r="E717" i="20"/>
  <c r="B718" i="20"/>
  <c r="C718" i="20"/>
  <c r="D718" i="20"/>
  <c r="E718" i="20"/>
  <c r="B719" i="20"/>
  <c r="C719" i="20"/>
  <c r="D719" i="20"/>
  <c r="E719" i="20"/>
  <c r="B720" i="20"/>
  <c r="C720" i="20"/>
  <c r="D720" i="20"/>
  <c r="E720" i="20"/>
  <c r="B721" i="20"/>
  <c r="C721" i="20"/>
  <c r="D721" i="20"/>
  <c r="E721" i="20"/>
  <c r="B722" i="20"/>
  <c r="C722" i="20"/>
  <c r="D722" i="20"/>
  <c r="E722" i="20"/>
  <c r="B723" i="20"/>
  <c r="C723" i="20"/>
  <c r="D723" i="20"/>
  <c r="E723" i="20"/>
  <c r="B724" i="20"/>
  <c r="C724" i="20"/>
  <c r="D724" i="20"/>
  <c r="E724" i="20"/>
  <c r="B725" i="20"/>
  <c r="C725" i="20"/>
  <c r="D725" i="20"/>
  <c r="E725" i="20"/>
  <c r="B726" i="20"/>
  <c r="C726" i="20"/>
  <c r="D726" i="20"/>
  <c r="E726" i="20"/>
  <c r="B727" i="20"/>
  <c r="C727" i="20"/>
  <c r="D727" i="20"/>
  <c r="E727" i="20"/>
  <c r="B728" i="20"/>
  <c r="C728" i="20"/>
  <c r="D728" i="20"/>
  <c r="E728" i="20"/>
  <c r="B729" i="20"/>
  <c r="C729" i="20"/>
  <c r="D729" i="20"/>
  <c r="E729" i="20"/>
  <c r="B730" i="20"/>
  <c r="C730" i="20"/>
  <c r="D730" i="20"/>
  <c r="E730" i="20"/>
  <c r="B731" i="20"/>
  <c r="C731" i="20"/>
  <c r="D731" i="20"/>
  <c r="E731" i="20"/>
  <c r="B732" i="20"/>
  <c r="C732" i="20"/>
  <c r="D732" i="20"/>
  <c r="E732" i="20"/>
  <c r="B733" i="20"/>
  <c r="C733" i="20"/>
  <c r="D733" i="20"/>
  <c r="E733" i="20"/>
  <c r="B734" i="20"/>
  <c r="C734" i="20"/>
  <c r="D734" i="20"/>
  <c r="E734" i="20"/>
  <c r="B735" i="20"/>
  <c r="C735" i="20"/>
  <c r="D735" i="20"/>
  <c r="E735" i="20"/>
  <c r="B736" i="20"/>
  <c r="C736" i="20"/>
  <c r="D736" i="20"/>
  <c r="E736" i="20"/>
  <c r="B737" i="20"/>
  <c r="C737" i="20"/>
  <c r="D737" i="20"/>
  <c r="E737" i="20"/>
  <c r="B738" i="20"/>
  <c r="C738" i="20"/>
  <c r="D738" i="20"/>
  <c r="E738" i="20"/>
  <c r="B739" i="20"/>
  <c r="C739" i="20"/>
  <c r="D739" i="20"/>
  <c r="E739" i="20"/>
  <c r="B740" i="20"/>
  <c r="C740" i="20"/>
  <c r="D740" i="20"/>
  <c r="E740" i="20"/>
  <c r="B741" i="20"/>
  <c r="C741" i="20"/>
  <c r="D741" i="20"/>
  <c r="E741" i="20"/>
  <c r="B742" i="20"/>
  <c r="C742" i="20"/>
  <c r="D742" i="20"/>
  <c r="E742" i="20"/>
  <c r="B743" i="20"/>
  <c r="C743" i="20"/>
  <c r="D743" i="20"/>
  <c r="E743" i="20"/>
  <c r="B744" i="20"/>
  <c r="C744" i="20"/>
  <c r="D744" i="20"/>
  <c r="E744" i="20"/>
  <c r="B745" i="20"/>
  <c r="C745" i="20"/>
  <c r="D745" i="20"/>
  <c r="E745" i="20"/>
  <c r="B746" i="20"/>
  <c r="C746" i="20"/>
  <c r="D746" i="20"/>
  <c r="E746" i="20"/>
  <c r="B747" i="20"/>
  <c r="C747" i="20"/>
  <c r="D747" i="20"/>
  <c r="E747" i="20"/>
  <c r="B748" i="20"/>
  <c r="C748" i="20"/>
  <c r="D748" i="20"/>
  <c r="E748" i="20"/>
  <c r="B749" i="20"/>
  <c r="C749" i="20"/>
  <c r="D749" i="20"/>
  <c r="E749" i="20"/>
  <c r="B750" i="20"/>
  <c r="C750" i="20"/>
  <c r="D750" i="20"/>
  <c r="E750" i="20"/>
  <c r="B751" i="20"/>
  <c r="C751" i="20"/>
  <c r="D751" i="20"/>
  <c r="E751" i="20"/>
  <c r="B752" i="20"/>
  <c r="C752" i="20"/>
  <c r="D752" i="20"/>
  <c r="E752" i="20"/>
  <c r="B753" i="20"/>
  <c r="C753" i="20"/>
  <c r="D753" i="20"/>
  <c r="E753" i="20"/>
  <c r="B754" i="20"/>
  <c r="C754" i="20"/>
  <c r="D754" i="20"/>
  <c r="E754" i="20"/>
  <c r="B755" i="20"/>
  <c r="C755" i="20"/>
  <c r="D755" i="20"/>
  <c r="E755" i="20"/>
  <c r="B756" i="20"/>
  <c r="C756" i="20"/>
  <c r="D756" i="20"/>
  <c r="E756" i="20"/>
  <c r="B757" i="20"/>
  <c r="C757" i="20"/>
  <c r="D757" i="20"/>
  <c r="E757" i="20"/>
  <c r="B758" i="20"/>
  <c r="C758" i="20"/>
  <c r="D758" i="20"/>
  <c r="E758" i="20"/>
  <c r="B759" i="20"/>
  <c r="C759" i="20"/>
  <c r="D759" i="20"/>
  <c r="E759" i="20"/>
  <c r="B760" i="20"/>
  <c r="C760" i="20"/>
  <c r="D760" i="20"/>
  <c r="E760" i="20"/>
  <c r="B761" i="20"/>
  <c r="C761" i="20"/>
  <c r="D761" i="20"/>
  <c r="E761" i="20"/>
  <c r="B762" i="20"/>
  <c r="C762" i="20"/>
  <c r="D762" i="20"/>
  <c r="E762" i="20"/>
  <c r="B763" i="20"/>
  <c r="C763" i="20"/>
  <c r="D763" i="20"/>
  <c r="E763" i="20"/>
  <c r="B764" i="20"/>
  <c r="C764" i="20"/>
  <c r="D764" i="20"/>
  <c r="E764" i="20"/>
  <c r="B765" i="20"/>
  <c r="C765" i="20"/>
  <c r="D765" i="20"/>
  <c r="E765" i="20"/>
  <c r="B766" i="20"/>
  <c r="C766" i="20"/>
  <c r="D766" i="20"/>
  <c r="E766" i="20"/>
  <c r="B767" i="20"/>
  <c r="C767" i="20"/>
  <c r="D767" i="20"/>
  <c r="E767" i="20"/>
  <c r="B768" i="20"/>
  <c r="C768" i="20"/>
  <c r="D768" i="20"/>
  <c r="E768" i="20"/>
  <c r="B769" i="20"/>
  <c r="C769" i="20"/>
  <c r="D769" i="20"/>
  <c r="E769" i="20"/>
  <c r="B770" i="20"/>
  <c r="C770" i="20"/>
  <c r="D770" i="20"/>
  <c r="E770" i="20"/>
  <c r="B771" i="20"/>
  <c r="C771" i="20"/>
  <c r="D771" i="20"/>
  <c r="E771" i="20"/>
  <c r="B772" i="20"/>
  <c r="C772" i="20"/>
  <c r="D772" i="20"/>
  <c r="E772" i="20"/>
  <c r="B773" i="20"/>
  <c r="C773" i="20"/>
  <c r="D773" i="20"/>
  <c r="E773" i="20"/>
  <c r="B774" i="20"/>
  <c r="C774" i="20"/>
  <c r="D774" i="20"/>
  <c r="E774" i="20"/>
  <c r="B775" i="20"/>
  <c r="C775" i="20"/>
  <c r="D775" i="20"/>
  <c r="E775" i="20"/>
  <c r="B776" i="20"/>
  <c r="C776" i="20"/>
  <c r="D776" i="20"/>
  <c r="E776" i="20"/>
  <c r="B777" i="20"/>
  <c r="C777" i="20"/>
  <c r="D777" i="20"/>
  <c r="E777" i="20"/>
  <c r="B778" i="20"/>
  <c r="C778" i="20"/>
  <c r="D778" i="20"/>
  <c r="E778" i="20"/>
  <c r="B779" i="20"/>
  <c r="C779" i="20"/>
  <c r="D779" i="20"/>
  <c r="E779" i="20"/>
  <c r="B780" i="20"/>
  <c r="C780" i="20"/>
  <c r="D780" i="20"/>
  <c r="E780" i="20"/>
  <c r="B781" i="20"/>
  <c r="C781" i="20"/>
  <c r="D781" i="20"/>
  <c r="E781" i="20"/>
  <c r="B782" i="20"/>
  <c r="C782" i="20"/>
  <c r="D782" i="20"/>
  <c r="E782" i="20"/>
  <c r="B783" i="20"/>
  <c r="C783" i="20"/>
  <c r="D783" i="20"/>
  <c r="E783" i="20"/>
  <c r="B784" i="20"/>
  <c r="C784" i="20"/>
  <c r="D784" i="20"/>
  <c r="E784" i="20"/>
  <c r="B785" i="20"/>
  <c r="C785" i="20"/>
  <c r="D785" i="20"/>
  <c r="E785" i="20"/>
  <c r="B786" i="20"/>
  <c r="C786" i="20"/>
  <c r="D786" i="20"/>
  <c r="E786" i="20"/>
  <c r="B787" i="20"/>
  <c r="C787" i="20"/>
  <c r="D787" i="20"/>
  <c r="E787" i="20"/>
  <c r="B788" i="20"/>
  <c r="C788" i="20"/>
  <c r="D788" i="20"/>
  <c r="E788" i="20"/>
  <c r="B789" i="20"/>
  <c r="C789" i="20"/>
  <c r="D789" i="20"/>
  <c r="E789" i="20"/>
  <c r="B790" i="20"/>
  <c r="C790" i="20"/>
  <c r="D790" i="20"/>
  <c r="E790" i="20"/>
  <c r="B791" i="20"/>
  <c r="C791" i="20"/>
  <c r="D791" i="20"/>
  <c r="E791" i="20"/>
  <c r="B792" i="20"/>
  <c r="C792" i="20"/>
  <c r="D792" i="20"/>
  <c r="E792" i="20"/>
  <c r="B793" i="20"/>
  <c r="C793" i="20"/>
  <c r="D793" i="20"/>
  <c r="E793" i="20"/>
  <c r="B794" i="20"/>
  <c r="C794" i="20"/>
  <c r="D794" i="20"/>
  <c r="E794" i="20"/>
  <c r="B795" i="20"/>
  <c r="C795" i="20"/>
  <c r="D795" i="20"/>
  <c r="E795" i="20"/>
  <c r="B796" i="20"/>
  <c r="C796" i="20"/>
  <c r="D796" i="20"/>
  <c r="E796" i="20"/>
  <c r="B797" i="20"/>
  <c r="C797" i="20"/>
  <c r="D797" i="20"/>
  <c r="E797" i="20"/>
  <c r="B798" i="20"/>
  <c r="C798" i="20"/>
  <c r="D798" i="20"/>
  <c r="E798" i="20"/>
  <c r="B799" i="20"/>
  <c r="C799" i="20"/>
  <c r="D799" i="20"/>
  <c r="E799" i="20"/>
  <c r="B800" i="20"/>
  <c r="C800" i="20"/>
  <c r="D800" i="20"/>
  <c r="E800" i="20"/>
  <c r="B801" i="20"/>
  <c r="C801" i="20"/>
  <c r="D801" i="20"/>
  <c r="E801" i="20"/>
  <c r="B802" i="20"/>
  <c r="C802" i="20"/>
  <c r="D802" i="20"/>
  <c r="E802" i="20"/>
  <c r="B803" i="20"/>
  <c r="C803" i="20"/>
  <c r="D803" i="20"/>
  <c r="E803" i="20"/>
  <c r="B804" i="20"/>
  <c r="C804" i="20"/>
  <c r="D804" i="20"/>
  <c r="E804" i="20"/>
  <c r="B805" i="20"/>
  <c r="C805" i="20"/>
  <c r="D805" i="20"/>
  <c r="E805" i="20"/>
  <c r="B806" i="20"/>
  <c r="C806" i="20"/>
  <c r="D806" i="20"/>
  <c r="E806" i="20"/>
  <c r="B807" i="20"/>
  <c r="C807" i="20"/>
  <c r="D807" i="20"/>
  <c r="E807" i="20"/>
  <c r="B808" i="20"/>
  <c r="C808" i="20"/>
  <c r="D808" i="20"/>
  <c r="E808" i="20"/>
  <c r="B809" i="20"/>
  <c r="C809" i="20"/>
  <c r="D809" i="20"/>
  <c r="E809" i="20"/>
  <c r="B810" i="20"/>
  <c r="C810" i="20"/>
  <c r="D810" i="20"/>
  <c r="E810" i="20"/>
  <c r="B811" i="20"/>
  <c r="C811" i="20"/>
  <c r="D811" i="20"/>
  <c r="E811" i="20"/>
  <c r="B812" i="20"/>
  <c r="C812" i="20"/>
  <c r="D812" i="20"/>
  <c r="E812" i="20"/>
  <c r="B813" i="20"/>
  <c r="C813" i="20"/>
  <c r="D813" i="20"/>
  <c r="E813" i="20"/>
  <c r="B814" i="20"/>
  <c r="C814" i="20"/>
  <c r="D814" i="20"/>
  <c r="E814" i="20"/>
  <c r="B815" i="20"/>
  <c r="C815" i="20"/>
  <c r="D815" i="20"/>
  <c r="E815" i="20"/>
  <c r="B816" i="20"/>
  <c r="C816" i="20"/>
  <c r="D816" i="20"/>
  <c r="E816" i="20"/>
  <c r="B817" i="20"/>
  <c r="C817" i="20"/>
  <c r="D817" i="20"/>
  <c r="E817" i="20"/>
  <c r="B818" i="20"/>
  <c r="C818" i="20"/>
  <c r="D818" i="20"/>
  <c r="E818" i="20"/>
  <c r="B819" i="20"/>
  <c r="C819" i="20"/>
  <c r="D819" i="20"/>
  <c r="E819" i="20"/>
  <c r="B820" i="20"/>
  <c r="C820" i="20"/>
  <c r="D820" i="20"/>
  <c r="E820" i="20"/>
  <c r="B821" i="20"/>
  <c r="C821" i="20"/>
  <c r="D821" i="20"/>
  <c r="E821" i="20"/>
  <c r="B822" i="20"/>
  <c r="C822" i="20"/>
  <c r="D822" i="20"/>
  <c r="E822" i="20"/>
  <c r="B823" i="20"/>
  <c r="C823" i="20"/>
  <c r="D823" i="20"/>
  <c r="E823" i="20"/>
  <c r="B824" i="20"/>
  <c r="C824" i="20"/>
  <c r="D824" i="20"/>
  <c r="E824" i="20"/>
  <c r="B825" i="20"/>
  <c r="C825" i="20"/>
  <c r="D825" i="20"/>
  <c r="E825" i="20"/>
  <c r="B826" i="20"/>
  <c r="C826" i="20"/>
  <c r="D826" i="20"/>
  <c r="E826" i="20"/>
  <c r="B827" i="20"/>
  <c r="C827" i="20"/>
  <c r="D827" i="20"/>
  <c r="E827" i="20"/>
  <c r="B828" i="20"/>
  <c r="C828" i="20"/>
  <c r="D828" i="20"/>
  <c r="E828" i="20"/>
  <c r="B829" i="20"/>
  <c r="C829" i="20"/>
  <c r="D829" i="20"/>
  <c r="E829" i="20"/>
  <c r="B830" i="20"/>
  <c r="C830" i="20"/>
  <c r="D830" i="20"/>
  <c r="E830" i="20"/>
  <c r="B831" i="20"/>
  <c r="C831" i="20"/>
  <c r="D831" i="20"/>
  <c r="E831" i="20"/>
  <c r="B832" i="20"/>
  <c r="C832" i="20"/>
  <c r="D832" i="20"/>
  <c r="E832" i="20"/>
  <c r="B833" i="20"/>
  <c r="C833" i="20"/>
  <c r="D833" i="20"/>
  <c r="E833" i="20"/>
  <c r="B834" i="20"/>
  <c r="C834" i="20"/>
  <c r="D834" i="20"/>
  <c r="E834" i="20"/>
  <c r="B835" i="20"/>
  <c r="C835" i="20"/>
  <c r="D835" i="20"/>
  <c r="E835" i="20"/>
  <c r="B836" i="20"/>
  <c r="C836" i="20"/>
  <c r="D836" i="20"/>
  <c r="E836" i="20"/>
  <c r="B837" i="20"/>
  <c r="C837" i="20"/>
  <c r="D837" i="20"/>
  <c r="E837" i="20"/>
  <c r="B838" i="20"/>
  <c r="C838" i="20"/>
  <c r="D838" i="20"/>
  <c r="E838" i="20"/>
  <c r="B839" i="20"/>
  <c r="C839" i="20"/>
  <c r="D839" i="20"/>
  <c r="E839" i="20"/>
  <c r="B840" i="20"/>
  <c r="C840" i="20"/>
  <c r="D840" i="20"/>
  <c r="E840" i="20"/>
  <c r="B841" i="20"/>
  <c r="C841" i="20"/>
  <c r="D841" i="20"/>
  <c r="E841" i="20"/>
  <c r="B842" i="20"/>
  <c r="C842" i="20"/>
  <c r="D842" i="20"/>
  <c r="E842" i="20"/>
  <c r="B843" i="20"/>
  <c r="C843" i="20"/>
  <c r="D843" i="20"/>
  <c r="E843" i="20"/>
  <c r="B844" i="20"/>
  <c r="C844" i="20"/>
  <c r="D844" i="20"/>
  <c r="E844" i="20"/>
  <c r="B845" i="20"/>
  <c r="C845" i="20"/>
  <c r="D845" i="20"/>
  <c r="E845" i="20"/>
  <c r="B846" i="20"/>
  <c r="C846" i="20"/>
  <c r="D846" i="20"/>
  <c r="E846" i="20"/>
  <c r="B847" i="20"/>
  <c r="C847" i="20"/>
  <c r="D847" i="20"/>
  <c r="E847" i="20"/>
  <c r="B848" i="20"/>
  <c r="C848" i="20"/>
  <c r="D848" i="20"/>
  <c r="E848" i="20"/>
  <c r="B849" i="20"/>
  <c r="C849" i="20"/>
  <c r="D849" i="20"/>
  <c r="E849" i="20"/>
  <c r="B850" i="20"/>
  <c r="C850" i="20"/>
  <c r="D850" i="20"/>
  <c r="E850" i="20"/>
  <c r="B851" i="20"/>
  <c r="C851" i="20"/>
  <c r="D851" i="20"/>
  <c r="E851" i="20"/>
  <c r="B852" i="20"/>
  <c r="C852" i="20"/>
  <c r="D852" i="20"/>
  <c r="E852" i="20"/>
  <c r="B853" i="20"/>
  <c r="C853" i="20"/>
  <c r="D853" i="20"/>
  <c r="E853" i="20"/>
  <c r="B854" i="20"/>
  <c r="C854" i="20"/>
  <c r="D854" i="20"/>
  <c r="E854" i="20"/>
  <c r="B855" i="20"/>
  <c r="C855" i="20"/>
  <c r="D855" i="20"/>
  <c r="E855" i="20"/>
  <c r="B856" i="20"/>
  <c r="C856" i="20"/>
  <c r="D856" i="20"/>
  <c r="E856" i="20"/>
  <c r="B857" i="20"/>
  <c r="C857" i="20"/>
  <c r="D857" i="20"/>
  <c r="E857" i="20"/>
  <c r="B858" i="20"/>
  <c r="C858" i="20"/>
  <c r="D858" i="20"/>
  <c r="E858" i="20"/>
  <c r="B859" i="20"/>
  <c r="C859" i="20"/>
  <c r="D859" i="20"/>
  <c r="E859" i="20"/>
  <c r="B860" i="20"/>
  <c r="C860" i="20"/>
  <c r="D860" i="20"/>
  <c r="E860" i="20"/>
  <c r="B861" i="20"/>
  <c r="C861" i="20"/>
  <c r="D861" i="20"/>
  <c r="E861" i="20"/>
  <c r="B862" i="20"/>
  <c r="C862" i="20"/>
  <c r="D862" i="20"/>
  <c r="E862" i="20"/>
  <c r="B863" i="20"/>
  <c r="C863" i="20"/>
  <c r="D863" i="20"/>
  <c r="E863" i="20"/>
  <c r="B864" i="20"/>
  <c r="C864" i="20"/>
  <c r="D864" i="20"/>
  <c r="E864" i="20"/>
  <c r="B865" i="20"/>
  <c r="C865" i="20"/>
  <c r="D865" i="20"/>
  <c r="E865" i="20"/>
  <c r="B866" i="20"/>
  <c r="C866" i="20"/>
  <c r="D866" i="20"/>
  <c r="E866" i="20"/>
  <c r="B867" i="20"/>
  <c r="C867" i="20"/>
  <c r="D867" i="20"/>
  <c r="E867" i="20"/>
  <c r="B868" i="20"/>
  <c r="C868" i="20"/>
  <c r="D868" i="20"/>
  <c r="E868" i="20"/>
  <c r="B869" i="20"/>
  <c r="C869" i="20"/>
  <c r="D869" i="20"/>
  <c r="E869" i="20"/>
  <c r="B870" i="20"/>
  <c r="C870" i="20"/>
  <c r="D870" i="20"/>
  <c r="E870" i="20"/>
  <c r="B871" i="20"/>
  <c r="C871" i="20"/>
  <c r="D871" i="20"/>
  <c r="E871" i="20"/>
  <c r="B872" i="20"/>
  <c r="C872" i="20"/>
  <c r="D872" i="20"/>
  <c r="E872" i="20"/>
  <c r="B873" i="20"/>
  <c r="C873" i="20"/>
  <c r="D873" i="20"/>
  <c r="E873" i="20"/>
  <c r="B874" i="20"/>
  <c r="C874" i="20"/>
  <c r="D874" i="20"/>
  <c r="E874" i="20"/>
  <c r="B875" i="20"/>
  <c r="C875" i="20"/>
  <c r="D875" i="20"/>
  <c r="E875" i="20"/>
  <c r="B876" i="20"/>
  <c r="C876" i="20"/>
  <c r="D876" i="20"/>
  <c r="E876" i="20"/>
  <c r="B877" i="20"/>
  <c r="C877" i="20"/>
  <c r="D877" i="20"/>
  <c r="E877" i="20"/>
  <c r="B878" i="20"/>
  <c r="C878" i="20"/>
  <c r="D878" i="20"/>
  <c r="E878" i="20"/>
  <c r="B879" i="20"/>
  <c r="C879" i="20"/>
  <c r="D879" i="20"/>
  <c r="E879" i="20"/>
  <c r="B880" i="20"/>
  <c r="C880" i="20"/>
  <c r="D880" i="20"/>
  <c r="E880" i="20"/>
  <c r="B881" i="20"/>
  <c r="C881" i="20"/>
  <c r="D881" i="20"/>
  <c r="E881" i="20"/>
  <c r="B882" i="20"/>
  <c r="C882" i="20"/>
  <c r="D882" i="20"/>
  <c r="E882" i="20"/>
  <c r="B883" i="20"/>
  <c r="C883" i="20"/>
  <c r="D883" i="20"/>
  <c r="E883" i="20"/>
  <c r="B884" i="20"/>
  <c r="C884" i="20"/>
  <c r="D884" i="20"/>
  <c r="E884" i="20"/>
  <c r="B885" i="20"/>
  <c r="C885" i="20"/>
  <c r="D885" i="20"/>
  <c r="E885" i="20"/>
  <c r="B886" i="20"/>
  <c r="C886" i="20"/>
  <c r="D886" i="20"/>
  <c r="E886" i="20"/>
  <c r="B887" i="20"/>
  <c r="C887" i="20"/>
  <c r="D887" i="20"/>
  <c r="E887" i="20"/>
  <c r="B888" i="20"/>
  <c r="C888" i="20"/>
  <c r="D888" i="20"/>
  <c r="E888" i="20"/>
  <c r="B889" i="20"/>
  <c r="C889" i="20"/>
  <c r="D889" i="20"/>
  <c r="E889" i="20"/>
  <c r="B890" i="20"/>
  <c r="C890" i="20"/>
  <c r="D890" i="20"/>
  <c r="E890" i="20"/>
  <c r="B891" i="20"/>
  <c r="C891" i="20"/>
  <c r="D891" i="20"/>
  <c r="E891" i="20"/>
  <c r="B892" i="20"/>
  <c r="C892" i="20"/>
  <c r="D892" i="20"/>
  <c r="E892" i="20"/>
  <c r="B893" i="20"/>
  <c r="C893" i="20"/>
  <c r="D893" i="20"/>
  <c r="E893" i="20"/>
  <c r="B894" i="20"/>
  <c r="C894" i="20"/>
  <c r="D894" i="20"/>
  <c r="E894" i="20"/>
  <c r="B895" i="20"/>
  <c r="C895" i="20"/>
  <c r="D895" i="20"/>
  <c r="E895" i="20"/>
  <c r="B896" i="20"/>
  <c r="C896" i="20"/>
  <c r="D896" i="20"/>
  <c r="E896" i="20"/>
  <c r="B897" i="20"/>
  <c r="C897" i="20"/>
  <c r="D897" i="20"/>
  <c r="E897" i="20"/>
  <c r="B898" i="20"/>
  <c r="C898" i="20"/>
  <c r="D898" i="20"/>
  <c r="E898" i="20"/>
  <c r="B899" i="20"/>
  <c r="C899" i="20"/>
  <c r="D899" i="20"/>
  <c r="E899" i="20"/>
  <c r="B900" i="20"/>
  <c r="C900" i="20"/>
  <c r="D900" i="20"/>
  <c r="E900" i="20"/>
  <c r="E701" i="20"/>
  <c r="D701" i="20"/>
  <c r="C701" i="20"/>
  <c r="B701" i="20"/>
  <c r="I823" i="21"/>
  <c r="I824" i="21"/>
  <c r="I825" i="21"/>
  <c r="I826" i="21"/>
  <c r="I827" i="21"/>
  <c r="I828" i="21"/>
  <c r="I829" i="21"/>
  <c r="I830" i="21"/>
  <c r="I831" i="21"/>
  <c r="I832" i="21"/>
  <c r="I833" i="21"/>
  <c r="C154" i="20"/>
  <c r="E154" i="20" s="1"/>
  <c r="C155" i="20"/>
  <c r="E155" i="20" s="1"/>
  <c r="C156" i="20"/>
  <c r="D156" i="20" s="1"/>
  <c r="C157" i="20"/>
  <c r="G157" i="20" s="1"/>
  <c r="C158" i="20"/>
  <c r="G158" i="20" s="1"/>
  <c r="C159" i="20"/>
  <c r="G159" i="20" s="1"/>
  <c r="C160" i="20"/>
  <c r="G160" i="20" s="1"/>
  <c r="C161" i="20"/>
  <c r="G161" i="20" s="1"/>
  <c r="C162" i="20"/>
  <c r="G162" i="20" s="1"/>
  <c r="C163" i="20"/>
  <c r="G163" i="20" s="1"/>
  <c r="C164" i="20"/>
  <c r="G164" i="20" s="1"/>
  <c r="C165" i="20"/>
  <c r="G165" i="20" s="1"/>
  <c r="C166" i="20"/>
  <c r="G166" i="20" s="1"/>
  <c r="Y704" i="20" l="1"/>
  <c r="N641" i="20" s="1"/>
  <c r="E165" i="20"/>
  <c r="F159" i="20"/>
  <c r="F163" i="20"/>
  <c r="E157" i="20"/>
  <c r="E162" i="20"/>
  <c r="F166" i="20"/>
  <c r="D165" i="20"/>
  <c r="F161" i="20"/>
  <c r="F158" i="20"/>
  <c r="D157" i="20"/>
  <c r="E166" i="20"/>
  <c r="E161" i="20"/>
  <c r="E158" i="20"/>
  <c r="F165" i="20"/>
  <c r="F162" i="20"/>
  <c r="D161" i="20"/>
  <c r="F157" i="20"/>
  <c r="F164" i="20"/>
  <c r="F160" i="20"/>
  <c r="E164" i="20"/>
  <c r="E163" i="20"/>
  <c r="E160" i="20"/>
  <c r="E159" i="20"/>
  <c r="K701" i="20"/>
  <c r="D166" i="20"/>
  <c r="D164" i="20"/>
  <c r="D163" i="20"/>
  <c r="D162" i="20"/>
  <c r="D160" i="20"/>
  <c r="D159" i="20"/>
  <c r="D158" i="20"/>
  <c r="N642" i="20"/>
  <c r="K708" i="20"/>
  <c r="K704" i="20"/>
  <c r="K702" i="20"/>
  <c r="T702" i="20" s="1"/>
  <c r="K712" i="20"/>
  <c r="K716" i="20"/>
  <c r="T716" i="20" s="1"/>
  <c r="K714" i="20"/>
  <c r="K710" i="20"/>
  <c r="K706" i="20"/>
  <c r="T706" i="20" s="1"/>
  <c r="K715" i="20"/>
  <c r="K713" i="20"/>
  <c r="K711" i="20"/>
  <c r="K709" i="20"/>
  <c r="K707" i="20"/>
  <c r="K705" i="20"/>
  <c r="T705" i="20" s="1"/>
  <c r="K703" i="20"/>
  <c r="I702" i="20"/>
  <c r="G703" i="20"/>
  <c r="I701" i="20"/>
  <c r="I721" i="20"/>
  <c r="I719" i="20"/>
  <c r="I717" i="20"/>
  <c r="I715" i="20"/>
  <c r="I713" i="20"/>
  <c r="I711" i="20"/>
  <c r="I709" i="20"/>
  <c r="I707" i="20"/>
  <c r="I705" i="20"/>
  <c r="I703" i="20"/>
  <c r="P703" i="20" s="1"/>
  <c r="I720" i="20"/>
  <c r="I718" i="20"/>
  <c r="I716" i="20"/>
  <c r="I714" i="20"/>
  <c r="I712" i="20"/>
  <c r="I710" i="20"/>
  <c r="I708" i="20"/>
  <c r="I706" i="20"/>
  <c r="I704" i="20"/>
  <c r="P704" i="20" s="1"/>
  <c r="G705" i="20"/>
  <c r="G702" i="20"/>
  <c r="G704" i="20"/>
  <c r="G701" i="20"/>
  <c r="G156" i="20"/>
  <c r="F155" i="20"/>
  <c r="D155" i="20"/>
  <c r="F154" i="20"/>
  <c r="D154" i="20"/>
  <c r="G155" i="20"/>
  <c r="G154" i="20"/>
  <c r="E156" i="20"/>
  <c r="F156" i="20"/>
  <c r="AG82" i="28"/>
  <c r="AG83" i="28"/>
  <c r="AG84" i="28"/>
  <c r="AG85" i="28"/>
  <c r="AG86" i="28"/>
  <c r="AG87" i="28"/>
  <c r="AG88" i="28"/>
  <c r="AG89" i="28"/>
  <c r="AG90" i="28"/>
  <c r="AG91" i="28"/>
  <c r="AG92" i="28"/>
  <c r="AG93" i="28"/>
  <c r="AG94" i="28"/>
  <c r="AG95" i="28"/>
  <c r="AF82" i="28"/>
  <c r="AF83" i="28"/>
  <c r="AF84" i="28"/>
  <c r="AF85" i="28"/>
  <c r="AF86" i="28"/>
  <c r="AF87" i="28"/>
  <c r="AF88" i="28"/>
  <c r="AF89" i="28"/>
  <c r="AF90" i="28"/>
  <c r="AF91" i="28"/>
  <c r="AF92" i="28"/>
  <c r="AF93" i="28"/>
  <c r="AF94" i="28"/>
  <c r="AF95" i="28"/>
  <c r="AE82" i="28"/>
  <c r="AE83" i="28"/>
  <c r="AE84" i="28"/>
  <c r="AE85" i="28"/>
  <c r="AE86" i="28"/>
  <c r="AE87" i="28"/>
  <c r="AE88" i="28"/>
  <c r="AE89" i="28"/>
  <c r="AE90" i="28"/>
  <c r="AE91" i="28"/>
  <c r="AE92" i="28"/>
  <c r="AE93" i="28"/>
  <c r="AE94" i="28"/>
  <c r="AE95" i="28"/>
  <c r="AB82" i="28"/>
  <c r="AB83" i="28"/>
  <c r="AB84" i="28"/>
  <c r="AB85" i="28"/>
  <c r="AB86" i="28"/>
  <c r="AB87" i="28"/>
  <c r="AB88" i="28"/>
  <c r="AB89" i="28"/>
  <c r="AB90" i="28"/>
  <c r="AB91" i="28"/>
  <c r="AB92" i="28"/>
  <c r="AB93" i="28"/>
  <c r="AB94" i="28"/>
  <c r="AB95" i="28"/>
  <c r="AA82" i="28"/>
  <c r="AA83" i="28"/>
  <c r="AA84" i="28"/>
  <c r="AA85" i="28"/>
  <c r="AA86" i="28"/>
  <c r="AA87" i="28"/>
  <c r="AA88" i="28"/>
  <c r="AA89" i="28"/>
  <c r="AA90" i="28"/>
  <c r="AA91" i="28"/>
  <c r="AA92" i="28"/>
  <c r="AA93" i="28"/>
  <c r="AA94" i="28"/>
  <c r="AA95" i="28"/>
  <c r="AG81" i="28"/>
  <c r="AF81" i="28"/>
  <c r="AE81" i="28"/>
  <c r="AB81" i="28"/>
  <c r="AA81" i="28"/>
  <c r="Y77" i="26"/>
  <c r="Y78" i="26"/>
  <c r="Y79" i="26"/>
  <c r="Y80" i="26"/>
  <c r="Y81" i="26"/>
  <c r="Y82" i="26"/>
  <c r="Y83" i="26"/>
  <c r="Y84" i="26"/>
  <c r="Y85" i="26"/>
  <c r="Y86" i="26"/>
  <c r="Y87" i="26"/>
  <c r="Y88" i="26"/>
  <c r="Y89" i="26"/>
  <c r="Y90" i="26"/>
  <c r="X77" i="26"/>
  <c r="X78" i="26"/>
  <c r="X79" i="26"/>
  <c r="X80" i="26"/>
  <c r="X81" i="26"/>
  <c r="X82" i="26"/>
  <c r="X83" i="26"/>
  <c r="X84" i="26"/>
  <c r="X85" i="26"/>
  <c r="X86" i="26"/>
  <c r="X87" i="26"/>
  <c r="X88" i="26"/>
  <c r="X89" i="26"/>
  <c r="X90" i="26"/>
  <c r="W77" i="26"/>
  <c r="W78" i="26"/>
  <c r="W79" i="26"/>
  <c r="W80" i="26"/>
  <c r="W81" i="26"/>
  <c r="W82" i="26"/>
  <c r="W83" i="26"/>
  <c r="W84" i="26"/>
  <c r="W85" i="26"/>
  <c r="W86" i="26"/>
  <c r="W87" i="26"/>
  <c r="W88" i="26"/>
  <c r="W89" i="26"/>
  <c r="W90" i="26"/>
  <c r="T77" i="26"/>
  <c r="T78" i="26"/>
  <c r="T79" i="26"/>
  <c r="T80" i="26"/>
  <c r="T81" i="26"/>
  <c r="T82" i="26"/>
  <c r="T83" i="26"/>
  <c r="T84" i="26"/>
  <c r="T85" i="26"/>
  <c r="T86" i="26"/>
  <c r="T87" i="26"/>
  <c r="T88" i="26"/>
  <c r="T89" i="26"/>
  <c r="T90" i="26"/>
  <c r="S77" i="26"/>
  <c r="S78" i="26"/>
  <c r="S79" i="26"/>
  <c r="S80" i="26"/>
  <c r="S81" i="26"/>
  <c r="S82" i="26"/>
  <c r="S83" i="26"/>
  <c r="S84" i="26"/>
  <c r="S85" i="26"/>
  <c r="S86" i="26"/>
  <c r="S87" i="26"/>
  <c r="S88" i="26"/>
  <c r="S89" i="26"/>
  <c r="S90" i="26"/>
  <c r="Y76" i="26"/>
  <c r="X76" i="26"/>
  <c r="W76" i="26"/>
  <c r="T76" i="26"/>
  <c r="S76" i="26"/>
  <c r="G177" i="27"/>
  <c r="B177" i="27"/>
  <c r="A177" i="27"/>
  <c r="C819" i="21"/>
  <c r="F819" i="21"/>
  <c r="G819" i="21"/>
  <c r="H819" i="21"/>
  <c r="I819" i="21"/>
  <c r="A820" i="21"/>
  <c r="C820" i="21"/>
  <c r="F820" i="21"/>
  <c r="G820" i="21"/>
  <c r="H820" i="21"/>
  <c r="I820" i="21"/>
  <c r="A821" i="21"/>
  <c r="C821" i="21"/>
  <c r="F821" i="21"/>
  <c r="G821" i="21"/>
  <c r="H821" i="21"/>
  <c r="I821" i="21"/>
  <c r="A822" i="21"/>
  <c r="C822" i="21"/>
  <c r="A156" i="20" s="1"/>
  <c r="F822" i="21"/>
  <c r="G822" i="21"/>
  <c r="H822" i="21"/>
  <c r="I822" i="21"/>
  <c r="A823" i="21"/>
  <c r="C823" i="21"/>
  <c r="F823" i="21"/>
  <c r="G823" i="21"/>
  <c r="H823" i="21"/>
  <c r="A824" i="21"/>
  <c r="C824" i="21"/>
  <c r="F824" i="21"/>
  <c r="G824" i="21"/>
  <c r="H824" i="21"/>
  <c r="A825" i="21"/>
  <c r="C825" i="21"/>
  <c r="F825" i="21"/>
  <c r="G825" i="21"/>
  <c r="H825" i="21"/>
  <c r="A826" i="21"/>
  <c r="C826" i="21"/>
  <c r="F826" i="21"/>
  <c r="G826" i="21"/>
  <c r="H826" i="21"/>
  <c r="A827" i="21"/>
  <c r="C827" i="21"/>
  <c r="F827" i="21"/>
  <c r="G827" i="21"/>
  <c r="H827" i="21"/>
  <c r="A828" i="21"/>
  <c r="C828" i="21"/>
  <c r="F828" i="21"/>
  <c r="G828" i="21"/>
  <c r="H828" i="21"/>
  <c r="A829" i="21"/>
  <c r="C829" i="21"/>
  <c r="A163" i="20" s="1"/>
  <c r="F829" i="21"/>
  <c r="G829" i="21"/>
  <c r="H829" i="21"/>
  <c r="A830" i="21"/>
  <c r="C830" i="21"/>
  <c r="A164" i="20" s="1"/>
  <c r="F830" i="21"/>
  <c r="G830" i="21"/>
  <c r="H830" i="21"/>
  <c r="A831" i="21"/>
  <c r="C831" i="21"/>
  <c r="A165" i="20" s="1"/>
  <c r="F831" i="21"/>
  <c r="G831" i="21"/>
  <c r="H831" i="21"/>
  <c r="A832" i="21"/>
  <c r="C832" i="21"/>
  <c r="A166" i="20" s="1"/>
  <c r="F832" i="21"/>
  <c r="G832" i="21"/>
  <c r="H832" i="21"/>
  <c r="A833" i="21"/>
  <c r="C833" i="21"/>
  <c r="F833" i="21"/>
  <c r="G833" i="21"/>
  <c r="H833" i="21"/>
  <c r="T714" i="20" l="1"/>
  <c r="T713" i="20"/>
  <c r="T709" i="20"/>
  <c r="T707" i="20"/>
  <c r="T708" i="20"/>
  <c r="N643" i="20"/>
  <c r="T715" i="20"/>
  <c r="L701" i="20"/>
  <c r="O642" i="20"/>
  <c r="O643" i="20"/>
  <c r="O641" i="20"/>
  <c r="T703" i="20"/>
  <c r="L702" i="20"/>
  <c r="L704" i="20"/>
  <c r="L705" i="20"/>
  <c r="L703" i="20"/>
  <c r="T711" i="20"/>
  <c r="T710" i="20"/>
  <c r="T712" i="20"/>
  <c r="T704" i="20"/>
  <c r="T701" i="20"/>
  <c r="P708" i="20"/>
  <c r="P712" i="20"/>
  <c r="P716" i="20"/>
  <c r="P720" i="20"/>
  <c r="P705" i="20"/>
  <c r="P709" i="20"/>
  <c r="P713" i="20"/>
  <c r="P717" i="20"/>
  <c r="P721" i="20"/>
  <c r="P706" i="20"/>
  <c r="P710" i="20"/>
  <c r="P714" i="20"/>
  <c r="P718" i="20"/>
  <c r="P707" i="20"/>
  <c r="P711" i="20"/>
  <c r="P715" i="20"/>
  <c r="P719" i="20"/>
  <c r="P701" i="20"/>
  <c r="P702" i="20"/>
  <c r="A187" i="27"/>
  <c r="B187" i="27"/>
  <c r="D187" i="27"/>
  <c r="E187" i="27"/>
  <c r="F187" i="27"/>
  <c r="G187" i="27"/>
  <c r="A188" i="27"/>
  <c r="B188" i="27"/>
  <c r="D188" i="27"/>
  <c r="E188" i="27"/>
  <c r="F188" i="27"/>
  <c r="G188" i="27"/>
  <c r="A189" i="27"/>
  <c r="B189" i="27"/>
  <c r="D189" i="27"/>
  <c r="E189" i="27"/>
  <c r="F189" i="27"/>
  <c r="G189" i="27"/>
  <c r="A190" i="27"/>
  <c r="B190" i="27"/>
  <c r="D190" i="27"/>
  <c r="E190" i="27"/>
  <c r="F190" i="27"/>
  <c r="G190" i="27"/>
  <c r="A191" i="27"/>
  <c r="B191" i="27"/>
  <c r="D191" i="27"/>
  <c r="E191" i="27"/>
  <c r="F191" i="27"/>
  <c r="G191" i="27"/>
  <c r="G178" i="27"/>
  <c r="G179" i="27"/>
  <c r="G180" i="27"/>
  <c r="G181" i="27"/>
  <c r="G182" i="27"/>
  <c r="G183" i="27"/>
  <c r="G184" i="27"/>
  <c r="G185" i="27"/>
  <c r="G186" i="27"/>
  <c r="N703" i="20" l="1"/>
  <c r="O703" i="20" s="1"/>
  <c r="N701" i="20"/>
  <c r="O701" i="20" s="1"/>
  <c r="V703" i="20"/>
  <c r="W703" i="20" s="1"/>
  <c r="V704" i="20"/>
  <c r="W704" i="20" s="1"/>
  <c r="V715" i="20"/>
  <c r="W715" i="20" s="1"/>
  <c r="V712" i="20"/>
  <c r="W712" i="20" s="1"/>
  <c r="V713" i="20"/>
  <c r="W713" i="20" s="1"/>
  <c r="V714" i="20"/>
  <c r="W714" i="20" s="1"/>
  <c r="P643" i="20"/>
  <c r="P641" i="20"/>
  <c r="P642" i="20"/>
  <c r="V706" i="20"/>
  <c r="W706" i="20" s="1"/>
  <c r="V707" i="20"/>
  <c r="W707" i="20" s="1"/>
  <c r="N705" i="20"/>
  <c r="O705" i="20" s="1"/>
  <c r="N702" i="20"/>
  <c r="O702" i="20" s="1"/>
  <c r="N704" i="20"/>
  <c r="O704" i="20" s="1"/>
  <c r="V711" i="20"/>
  <c r="W711" i="20" s="1"/>
  <c r="V702" i="20"/>
  <c r="W702" i="20" s="1"/>
  <c r="V710" i="20"/>
  <c r="W710" i="20" s="1"/>
  <c r="V709" i="20"/>
  <c r="W709" i="20" s="1"/>
  <c r="V701" i="20"/>
  <c r="W701" i="20" s="1"/>
  <c r="V708" i="20"/>
  <c r="W708" i="20" s="1"/>
  <c r="V716" i="20"/>
  <c r="W716" i="20" s="1"/>
  <c r="V705" i="20"/>
  <c r="W705" i="20" s="1"/>
  <c r="R721" i="20"/>
  <c r="S721" i="20" s="1"/>
  <c r="R703" i="20"/>
  <c r="S703" i="20" s="1"/>
  <c r="R705" i="20"/>
  <c r="S705" i="20" s="1"/>
  <c r="R707" i="20"/>
  <c r="S707" i="20" s="1"/>
  <c r="R709" i="20"/>
  <c r="S709" i="20" s="1"/>
  <c r="R711" i="20"/>
  <c r="S711" i="20" s="1"/>
  <c r="R713" i="20"/>
  <c r="S713" i="20" s="1"/>
  <c r="R715" i="20"/>
  <c r="S715" i="20" s="1"/>
  <c r="R717" i="20"/>
  <c r="S717" i="20" s="1"/>
  <c r="R719" i="20"/>
  <c r="S719" i="20" s="1"/>
  <c r="R701" i="20"/>
  <c r="S701" i="20" s="1"/>
  <c r="R702" i="20"/>
  <c r="S702" i="20" s="1"/>
  <c r="R704" i="20"/>
  <c r="S704" i="20" s="1"/>
  <c r="R706" i="20"/>
  <c r="S706" i="20" s="1"/>
  <c r="R708" i="20"/>
  <c r="S708" i="20" s="1"/>
  <c r="R710" i="20"/>
  <c r="S710" i="20" s="1"/>
  <c r="R712" i="20"/>
  <c r="S712" i="20" s="1"/>
  <c r="R714" i="20"/>
  <c r="S714" i="20" s="1"/>
  <c r="R716" i="20"/>
  <c r="S716" i="20" s="1"/>
  <c r="R718" i="20"/>
  <c r="S718" i="20" s="1"/>
  <c r="R720" i="20"/>
  <c r="S720" i="20" s="1"/>
  <c r="D72" i="20"/>
  <c r="D73" i="20"/>
  <c r="D74" i="20"/>
  <c r="D75" i="20"/>
  <c r="D76" i="20"/>
  <c r="D77" i="20"/>
  <c r="C72" i="20"/>
  <c r="C73" i="20"/>
  <c r="C74" i="20"/>
  <c r="C75" i="20"/>
  <c r="C76" i="20"/>
  <c r="C77" i="20"/>
  <c r="B72" i="20"/>
  <c r="B73" i="20"/>
  <c r="B74" i="20"/>
  <c r="B75" i="20"/>
  <c r="B76" i="20"/>
  <c r="B77" i="20"/>
  <c r="M3" i="20"/>
  <c r="N3" i="20" s="1"/>
  <c r="M4" i="20"/>
  <c r="N4" i="20" s="1"/>
  <c r="M5" i="20"/>
  <c r="N5" i="20" s="1"/>
  <c r="M6" i="20"/>
  <c r="N6" i="20" s="1"/>
  <c r="M7" i="20"/>
  <c r="N7" i="20" s="1"/>
  <c r="M8" i="20"/>
  <c r="N8" i="20" s="1"/>
  <c r="M9" i="20"/>
  <c r="N9" i="20" s="1"/>
  <c r="M10" i="20"/>
  <c r="N10" i="20" s="1"/>
  <c r="M11" i="20"/>
  <c r="N11" i="20" s="1"/>
  <c r="M12" i="20"/>
  <c r="N12" i="20" s="1"/>
  <c r="M13" i="20"/>
  <c r="N13" i="20" s="1"/>
  <c r="M14" i="20"/>
  <c r="N14" i="20" s="1"/>
  <c r="M15" i="20"/>
  <c r="N15" i="20" s="1"/>
  <c r="M16" i="20"/>
  <c r="N16" i="20" s="1"/>
  <c r="X701" i="20" l="1"/>
  <c r="Y701" i="20" s="1"/>
  <c r="X703" i="20"/>
  <c r="K641" i="20" s="1"/>
  <c r="X702" i="20"/>
  <c r="I643" i="20" s="1"/>
  <c r="D642" i="20"/>
  <c r="R27" i="20"/>
  <c r="D643" i="20" l="1"/>
  <c r="D641" i="20"/>
  <c r="Y703" i="20"/>
  <c r="J641" i="20" s="1"/>
  <c r="K642" i="20"/>
  <c r="K643" i="20"/>
  <c r="Y702" i="20"/>
  <c r="H641" i="20" s="1"/>
  <c r="I642" i="20"/>
  <c r="I641" i="20"/>
  <c r="B641" i="20"/>
  <c r="B643" i="20"/>
  <c r="E643" i="20"/>
  <c r="E641" i="20"/>
  <c r="B642" i="20"/>
  <c r="E642" i="20"/>
  <c r="H643" i="20" l="1"/>
  <c r="H642" i="20"/>
  <c r="G641" i="20"/>
  <c r="G643" i="20"/>
  <c r="G642" i="20"/>
  <c r="J643" i="20"/>
  <c r="L643" i="20"/>
  <c r="L641" i="20"/>
  <c r="M642" i="20" s="1"/>
  <c r="J642" i="20"/>
  <c r="L642" i="20"/>
  <c r="F642" i="20"/>
  <c r="F641" i="20"/>
  <c r="F643" i="20"/>
  <c r="C642" i="20"/>
  <c r="C643" i="20"/>
  <c r="C641" i="20"/>
  <c r="A39" i="28"/>
  <c r="A38" i="28"/>
  <c r="A37" i="28"/>
  <c r="A36" i="28"/>
  <c r="A35" i="28"/>
  <c r="A34" i="28"/>
  <c r="A37" i="26"/>
  <c r="A36" i="26"/>
  <c r="A35" i="26"/>
  <c r="A34" i="26"/>
  <c r="A33" i="26"/>
  <c r="A32" i="26"/>
  <c r="A37" i="27"/>
  <c r="A36" i="27"/>
  <c r="A35" i="27"/>
  <c r="A34" i="27"/>
  <c r="A33" i="27"/>
  <c r="M641" i="20" l="1"/>
  <c r="Q641" i="20" s="1"/>
  <c r="M643" i="20"/>
  <c r="Q643" i="20" s="1"/>
  <c r="Q642" i="20"/>
  <c r="D955" i="21"/>
  <c r="G949" i="21"/>
  <c r="A949" i="21"/>
  <c r="G942" i="21"/>
  <c r="A942" i="21"/>
  <c r="A854" i="21" l="1"/>
  <c r="J26" i="27"/>
  <c r="A5" i="28"/>
  <c r="J150" i="27"/>
  <c r="T321" i="18" l="1"/>
  <c r="T322" i="18"/>
  <c r="T323" i="18"/>
  <c r="T324" i="18"/>
  <c r="T325" i="18"/>
  <c r="T326" i="18"/>
  <c r="T327" i="18"/>
  <c r="T328" i="18"/>
  <c r="T329" i="18"/>
  <c r="T330" i="18"/>
  <c r="T331" i="18"/>
  <c r="T332" i="18"/>
  <c r="T333" i="18"/>
  <c r="T334" i="18"/>
  <c r="T335" i="18"/>
  <c r="T336" i="18"/>
  <c r="T337" i="18"/>
  <c r="T338" i="18"/>
  <c r="T339" i="18"/>
  <c r="T340" i="18"/>
  <c r="T341" i="18"/>
  <c r="T342" i="18"/>
  <c r="T343" i="18"/>
  <c r="T344" i="18"/>
  <c r="T345" i="18"/>
  <c r="T346" i="18"/>
  <c r="T347" i="18"/>
  <c r="T348" i="18"/>
  <c r="T349" i="18"/>
  <c r="A100" i="18" l="1"/>
  <c r="L81" i="28"/>
  <c r="M81" i="28"/>
  <c r="N81" i="28"/>
  <c r="O81" i="28"/>
  <c r="L82" i="28"/>
  <c r="M82" i="28"/>
  <c r="N82" i="28"/>
  <c r="O82" i="28"/>
  <c r="L83" i="28"/>
  <c r="M83" i="28"/>
  <c r="N83" i="28"/>
  <c r="O83" i="28"/>
  <c r="L84" i="28"/>
  <c r="M84" i="28"/>
  <c r="N84" i="28"/>
  <c r="O84" i="28"/>
  <c r="L85" i="28"/>
  <c r="M85" i="28"/>
  <c r="N85" i="28"/>
  <c r="O85" i="28"/>
  <c r="L86" i="28"/>
  <c r="M86" i="28"/>
  <c r="N86" i="28"/>
  <c r="O86" i="28"/>
  <c r="L87" i="28"/>
  <c r="M87" i="28"/>
  <c r="N87" i="28"/>
  <c r="O87" i="28"/>
  <c r="L88" i="28"/>
  <c r="M88" i="28"/>
  <c r="N88" i="28"/>
  <c r="O88" i="28"/>
  <c r="L89" i="28"/>
  <c r="M89" i="28"/>
  <c r="N89" i="28"/>
  <c r="O89" i="28"/>
  <c r="L90" i="28"/>
  <c r="M90" i="28"/>
  <c r="N90" i="28"/>
  <c r="O90" i="28"/>
  <c r="L91" i="28"/>
  <c r="M91" i="28"/>
  <c r="N91" i="28"/>
  <c r="O91" i="28"/>
  <c r="L92" i="28"/>
  <c r="M92" i="28"/>
  <c r="N92" i="28"/>
  <c r="O92" i="28"/>
  <c r="L93" i="28"/>
  <c r="M93" i="28"/>
  <c r="N93" i="28"/>
  <c r="O93" i="28"/>
  <c r="L94" i="28"/>
  <c r="M94" i="28"/>
  <c r="N94" i="28"/>
  <c r="O94" i="28"/>
  <c r="L95" i="28"/>
  <c r="M95" i="28"/>
  <c r="N95" i="28"/>
  <c r="O95" i="28"/>
  <c r="L96" i="28"/>
  <c r="M96" i="28"/>
  <c r="N96" i="28"/>
  <c r="O96" i="28"/>
  <c r="L97" i="28"/>
  <c r="M97" i="28"/>
  <c r="N97" i="28"/>
  <c r="O97" i="28"/>
  <c r="L98" i="28"/>
  <c r="M98" i="28"/>
  <c r="N98" i="28"/>
  <c r="O98" i="28"/>
  <c r="L99" i="28"/>
  <c r="M99" i="28"/>
  <c r="N99" i="28"/>
  <c r="O99" i="28"/>
  <c r="L100" i="28"/>
  <c r="M100" i="28"/>
  <c r="N100" i="28"/>
  <c r="O100" i="28"/>
  <c r="L101" i="28"/>
  <c r="M101" i="28"/>
  <c r="N101" i="28"/>
  <c r="O101" i="28"/>
  <c r="L102" i="28"/>
  <c r="M102" i="28"/>
  <c r="N102" i="28"/>
  <c r="O102" i="28"/>
  <c r="L103" i="28"/>
  <c r="M103" i="28"/>
  <c r="N103" i="28"/>
  <c r="O103" i="28"/>
  <c r="L104" i="28"/>
  <c r="M104" i="28"/>
  <c r="N104" i="28"/>
  <c r="O104" i="28"/>
  <c r="L105" i="28"/>
  <c r="M105" i="28"/>
  <c r="N105" i="28"/>
  <c r="O105" i="28"/>
  <c r="L106" i="28"/>
  <c r="M106" i="28"/>
  <c r="N106" i="28"/>
  <c r="O106" i="28"/>
  <c r="O80" i="28"/>
  <c r="N80" i="28"/>
  <c r="M80" i="28"/>
  <c r="L80" i="28"/>
  <c r="I80" i="28"/>
  <c r="AC81" i="26"/>
  <c r="AC83" i="26"/>
  <c r="AC79" i="26"/>
  <c r="AC77" i="26"/>
  <c r="R107" i="28"/>
  <c r="R103" i="28"/>
  <c r="T111" i="28"/>
  <c r="W107" i="28"/>
  <c r="W103" i="28"/>
  <c r="A32" i="27"/>
  <c r="A102" i="28"/>
  <c r="A101" i="28"/>
  <c r="A100" i="28"/>
  <c r="A99" i="28"/>
  <c r="A98" i="28"/>
  <c r="A97" i="28"/>
  <c r="AC141" i="26"/>
  <c r="AF137" i="26"/>
  <c r="AB137" i="26"/>
  <c r="AF133" i="26"/>
  <c r="AB133" i="26"/>
  <c r="Z41" i="26"/>
  <c r="Y41" i="26"/>
  <c r="X41" i="26"/>
  <c r="W41" i="26"/>
  <c r="F177" i="27"/>
  <c r="E177" i="27"/>
  <c r="Z42" i="26"/>
  <c r="Z43" i="26"/>
  <c r="Z44" i="26"/>
  <c r="Z45" i="26"/>
  <c r="Z46" i="26"/>
  <c r="Z47" i="26"/>
  <c r="Z48" i="26"/>
  <c r="Z49" i="26"/>
  <c r="Z50" i="26"/>
  <c r="Z51" i="26"/>
  <c r="Z52" i="26"/>
  <c r="Z53" i="26"/>
  <c r="Z54" i="26"/>
  <c r="Z55" i="26"/>
  <c r="Z56" i="26"/>
  <c r="Z57" i="26"/>
  <c r="Z58" i="26"/>
  <c r="Z59" i="26"/>
  <c r="Z60" i="26"/>
  <c r="Z61" i="26"/>
  <c r="Z62" i="26"/>
  <c r="Z63" i="26"/>
  <c r="Z64" i="26"/>
  <c r="Z65" i="26"/>
  <c r="Z66" i="26"/>
  <c r="Z67" i="26"/>
  <c r="P244" i="27"/>
  <c r="Y42" i="26"/>
  <c r="Y43" i="26"/>
  <c r="Y44" i="26"/>
  <c r="Y45" i="26"/>
  <c r="Y46" i="26"/>
  <c r="Y47" i="26"/>
  <c r="Y48" i="26"/>
  <c r="Y49" i="26"/>
  <c r="Y50" i="26"/>
  <c r="Y51" i="26"/>
  <c r="Y52" i="26"/>
  <c r="Y53" i="26"/>
  <c r="Y54" i="26"/>
  <c r="Y55" i="26"/>
  <c r="Y56" i="26"/>
  <c r="Y57" i="26"/>
  <c r="Y58" i="26"/>
  <c r="Y59" i="26"/>
  <c r="Y60" i="26"/>
  <c r="Y61" i="26"/>
  <c r="Y62" i="26"/>
  <c r="Y63" i="26"/>
  <c r="Y64" i="26"/>
  <c r="Y65" i="26"/>
  <c r="Y66" i="26"/>
  <c r="Y67" i="26"/>
  <c r="O244" i="27"/>
  <c r="X42" i="26"/>
  <c r="X43" i="26"/>
  <c r="X44" i="26"/>
  <c r="X45" i="26"/>
  <c r="X46" i="26"/>
  <c r="X47" i="26"/>
  <c r="X48" i="26"/>
  <c r="X49" i="26"/>
  <c r="X50" i="26"/>
  <c r="X51" i="26"/>
  <c r="X52" i="26"/>
  <c r="X53" i="26"/>
  <c r="X54" i="26"/>
  <c r="X55" i="26"/>
  <c r="X56" i="26"/>
  <c r="X57" i="26"/>
  <c r="X58" i="26"/>
  <c r="X59" i="26"/>
  <c r="X60" i="26"/>
  <c r="X61" i="26"/>
  <c r="X62" i="26"/>
  <c r="X63" i="26"/>
  <c r="X64" i="26"/>
  <c r="X65" i="26"/>
  <c r="X66" i="26"/>
  <c r="X67" i="26"/>
  <c r="N244" i="27"/>
  <c r="W42" i="26"/>
  <c r="W43" i="26"/>
  <c r="W44" i="26"/>
  <c r="W45" i="26"/>
  <c r="W46" i="26"/>
  <c r="W47" i="26"/>
  <c r="W48" i="26"/>
  <c r="W49" i="26"/>
  <c r="W50" i="26"/>
  <c r="W51" i="26"/>
  <c r="W52" i="26"/>
  <c r="W53" i="26"/>
  <c r="W54" i="26"/>
  <c r="W55" i="26"/>
  <c r="W56" i="26"/>
  <c r="W57" i="26"/>
  <c r="W58" i="26"/>
  <c r="W59" i="26"/>
  <c r="W60" i="26"/>
  <c r="W61" i="26"/>
  <c r="W62" i="26"/>
  <c r="W63" i="26"/>
  <c r="W64" i="26"/>
  <c r="W65" i="26"/>
  <c r="W66" i="26"/>
  <c r="W67" i="26"/>
  <c r="M244" i="27"/>
  <c r="J244" i="27"/>
  <c r="S28" i="26"/>
  <c r="S27" i="26"/>
  <c r="S26" i="26"/>
  <c r="S25" i="26"/>
  <c r="S24" i="26"/>
  <c r="S23" i="26"/>
  <c r="A96" i="27"/>
  <c r="A95" i="27"/>
  <c r="A94" i="27"/>
  <c r="A92" i="27"/>
  <c r="A93" i="27"/>
  <c r="A91" i="27"/>
  <c r="J148" i="27"/>
  <c r="J146" i="27"/>
  <c r="J144" i="27"/>
  <c r="C173" i="27"/>
  <c r="A169" i="27"/>
  <c r="E165" i="27"/>
  <c r="A165" i="27"/>
  <c r="M245" i="27"/>
  <c r="M246" i="27"/>
  <c r="M247" i="27"/>
  <c r="M248" i="27"/>
  <c r="M249" i="27"/>
  <c r="M250" i="27"/>
  <c r="M251" i="27"/>
  <c r="M252" i="27"/>
  <c r="M253" i="27"/>
  <c r="M254" i="27"/>
  <c r="M255" i="27"/>
  <c r="M256" i="27"/>
  <c r="M257" i="27"/>
  <c r="M258" i="27"/>
  <c r="M259" i="27"/>
  <c r="M260" i="27"/>
  <c r="M261" i="27"/>
  <c r="M262" i="27"/>
  <c r="M263" i="27"/>
  <c r="M264" i="27"/>
  <c r="M265" i="27"/>
  <c r="M266" i="27"/>
  <c r="M267" i="27"/>
  <c r="M268" i="27"/>
  <c r="M269" i="27"/>
  <c r="M270" i="27"/>
  <c r="N245" i="27"/>
  <c r="N246" i="27"/>
  <c r="N247" i="27"/>
  <c r="N248" i="27"/>
  <c r="N249" i="27"/>
  <c r="N250" i="27"/>
  <c r="N251" i="27"/>
  <c r="N252" i="27"/>
  <c r="N253" i="27"/>
  <c r="N254" i="27"/>
  <c r="N255" i="27"/>
  <c r="N256" i="27"/>
  <c r="N257" i="27"/>
  <c r="N258" i="27"/>
  <c r="N259" i="27"/>
  <c r="N260" i="27"/>
  <c r="N261" i="27"/>
  <c r="N262" i="27"/>
  <c r="N263" i="27"/>
  <c r="N264" i="27"/>
  <c r="N265" i="27"/>
  <c r="N266" i="27"/>
  <c r="N267" i="27"/>
  <c r="N268" i="27"/>
  <c r="N269" i="27"/>
  <c r="N270" i="27"/>
  <c r="O245" i="27"/>
  <c r="O246" i="27"/>
  <c r="O247" i="27"/>
  <c r="O248" i="27"/>
  <c r="O249" i="27"/>
  <c r="O250" i="27"/>
  <c r="O251" i="27"/>
  <c r="O252" i="27"/>
  <c r="O253" i="27"/>
  <c r="O254" i="27"/>
  <c r="O255" i="27"/>
  <c r="O256" i="27"/>
  <c r="O257" i="27"/>
  <c r="O258" i="27"/>
  <c r="O259" i="27"/>
  <c r="O260" i="27"/>
  <c r="O261" i="27"/>
  <c r="O262" i="27"/>
  <c r="O263" i="27"/>
  <c r="O264" i="27"/>
  <c r="O265" i="27"/>
  <c r="O266" i="27"/>
  <c r="O267" i="27"/>
  <c r="O268" i="27"/>
  <c r="O269" i="27"/>
  <c r="O270" i="27"/>
  <c r="P245" i="27"/>
  <c r="P246" i="27"/>
  <c r="P247" i="27"/>
  <c r="P248" i="27"/>
  <c r="P249" i="27"/>
  <c r="P250" i="27"/>
  <c r="P251" i="27"/>
  <c r="P252" i="27"/>
  <c r="P253" i="27"/>
  <c r="P254" i="27"/>
  <c r="P255" i="27"/>
  <c r="P256" i="27"/>
  <c r="P257" i="27"/>
  <c r="P258" i="27"/>
  <c r="P259" i="27"/>
  <c r="P260" i="27"/>
  <c r="P261" i="27"/>
  <c r="P262" i="27"/>
  <c r="P263" i="27"/>
  <c r="P264" i="27"/>
  <c r="P265" i="27"/>
  <c r="P266" i="27"/>
  <c r="P267" i="27"/>
  <c r="P268" i="27"/>
  <c r="P269" i="27"/>
  <c r="P270" i="27"/>
  <c r="I324" i="21"/>
  <c r="H324" i="21"/>
  <c r="G324" i="21"/>
  <c r="F324" i="21"/>
  <c r="A324" i="21"/>
  <c r="A178" i="27"/>
  <c r="A179" i="27"/>
  <c r="A180" i="27"/>
  <c r="A181" i="27"/>
  <c r="A182" i="27"/>
  <c r="A183" i="27"/>
  <c r="A184" i="27"/>
  <c r="A185" i="27"/>
  <c r="A186" i="27"/>
  <c r="F178" i="27"/>
  <c r="F179" i="27"/>
  <c r="F180" i="27"/>
  <c r="F181" i="27"/>
  <c r="F182" i="27"/>
  <c r="F183" i="27"/>
  <c r="F184" i="27"/>
  <c r="F185" i="27"/>
  <c r="F186" i="27"/>
  <c r="E178" i="27"/>
  <c r="E179" i="27"/>
  <c r="E180" i="27"/>
  <c r="E181" i="27"/>
  <c r="E182" i="27"/>
  <c r="E183" i="27"/>
  <c r="E184" i="27"/>
  <c r="E185" i="27"/>
  <c r="E186" i="27"/>
  <c r="D178" i="27"/>
  <c r="D179" i="27"/>
  <c r="D180" i="27"/>
  <c r="D181" i="27"/>
  <c r="D182" i="27"/>
  <c r="D183" i="27"/>
  <c r="D184" i="27"/>
  <c r="D185" i="27"/>
  <c r="D186" i="27"/>
  <c r="B178" i="27"/>
  <c r="B179" i="27"/>
  <c r="B180" i="27"/>
  <c r="B181" i="27"/>
  <c r="B182" i="27"/>
  <c r="B183" i="27"/>
  <c r="B184" i="27"/>
  <c r="B185" i="27"/>
  <c r="B186" i="27"/>
  <c r="A819" i="21"/>
  <c r="C26" i="21"/>
  <c r="C25" i="21"/>
  <c r="C22" i="21"/>
  <c r="C19" i="21"/>
  <c r="E169" i="27"/>
  <c r="AM215" i="20" l="1"/>
  <c r="AL215" i="20"/>
  <c r="AK215" i="20"/>
  <c r="CH127" i="20" l="1"/>
  <c r="CH126" i="20"/>
  <c r="CH121" i="20"/>
  <c r="CH116" i="20"/>
  <c r="CH115" i="20"/>
  <c r="CH114" i="20"/>
  <c r="F164" i="18"/>
  <c r="B164" i="18"/>
  <c r="F57" i="20"/>
  <c r="F58" i="20"/>
  <c r="F59" i="20"/>
  <c r="E58" i="20"/>
  <c r="E59" i="20"/>
  <c r="E57" i="20"/>
  <c r="AP214" i="20" l="1"/>
  <c r="F48" i="20"/>
  <c r="E48" i="20"/>
  <c r="D48" i="20"/>
  <c r="C48" i="20"/>
  <c r="A48" i="20"/>
  <c r="B48" i="20"/>
  <c r="A47" i="20"/>
  <c r="V50" i="18"/>
  <c r="BC12" i="20" s="1"/>
  <c r="U50" i="18"/>
  <c r="BB12" i="20" s="1"/>
  <c r="T50" i="18"/>
  <c r="BC11" i="20" s="1"/>
  <c r="S50" i="18"/>
  <c r="R50" i="18"/>
  <c r="BC10" i="20" s="1"/>
  <c r="Q50" i="18"/>
  <c r="BB10" i="20" s="1"/>
  <c r="P50" i="18"/>
  <c r="O50" i="18"/>
  <c r="BB9" i="20" s="1"/>
  <c r="BD12" i="20" l="1"/>
  <c r="BD10" i="20"/>
  <c r="BG9" i="20"/>
  <c r="BC9" i="20"/>
  <c r="BC13" i="20" s="1"/>
  <c r="W50" i="18"/>
  <c r="BB11" i="20"/>
  <c r="BB13" i="20" s="1"/>
  <c r="F97" i="28"/>
  <c r="X23" i="26"/>
  <c r="F91" i="27"/>
  <c r="F100" i="28"/>
  <c r="X26" i="26"/>
  <c r="F94" i="27"/>
  <c r="F102" i="28"/>
  <c r="X28" i="26"/>
  <c r="F96" i="27"/>
  <c r="F98" i="28"/>
  <c r="F92" i="27"/>
  <c r="X24" i="26"/>
  <c r="F99" i="28"/>
  <c r="X25" i="26"/>
  <c r="F93" i="27"/>
  <c r="F101" i="28"/>
  <c r="F95" i="27"/>
  <c r="X27" i="26"/>
  <c r="H295" i="21"/>
  <c r="H293" i="21"/>
  <c r="H296" i="21"/>
  <c r="H292" i="21"/>
  <c r="F49" i="20"/>
  <c r="D49" i="20"/>
  <c r="B49" i="20"/>
  <c r="E49" i="20"/>
  <c r="C49" i="20"/>
  <c r="A49" i="20"/>
  <c r="BD9" i="20" l="1"/>
  <c r="BG10" i="20"/>
  <c r="BG8" i="20" s="1"/>
  <c r="F97" i="27"/>
  <c r="F103" i="28"/>
  <c r="X29" i="26"/>
  <c r="BD13" i="20"/>
  <c r="BF9" i="20"/>
  <c r="BF10" i="20" s="1"/>
  <c r="BF8" i="20" s="1"/>
  <c r="BD11" i="20"/>
  <c r="BG11" i="20" l="1"/>
  <c r="BF11" i="20"/>
  <c r="D164" i="18"/>
  <c r="F199" i="18"/>
  <c r="F192" i="18"/>
  <c r="I325" i="21" l="1"/>
  <c r="I326" i="21"/>
  <c r="I327" i="21"/>
  <c r="I328" i="21"/>
  <c r="I329" i="21"/>
  <c r="I330" i="21"/>
  <c r="I331" i="21"/>
  <c r="I332" i="21"/>
  <c r="I333" i="21"/>
  <c r="I334" i="21"/>
  <c r="I335" i="21"/>
  <c r="I336" i="21"/>
  <c r="I337" i="21"/>
  <c r="I338" i="21"/>
  <c r="I339" i="21"/>
  <c r="I340" i="21"/>
  <c r="I341" i="21"/>
  <c r="I342" i="21"/>
  <c r="I343" i="21"/>
  <c r="I344" i="21"/>
  <c r="I345" i="21"/>
  <c r="I346" i="21"/>
  <c r="I347" i="21"/>
  <c r="I348" i="21"/>
  <c r="I349" i="21"/>
  <c r="I350" i="21"/>
  <c r="F325" i="21"/>
  <c r="G325" i="21"/>
  <c r="H325" i="21"/>
  <c r="F326" i="21"/>
  <c r="G326" i="21"/>
  <c r="H326" i="21"/>
  <c r="F327" i="21"/>
  <c r="G327" i="21"/>
  <c r="H327" i="21"/>
  <c r="F328" i="21"/>
  <c r="G328" i="21"/>
  <c r="H328" i="21"/>
  <c r="F329" i="21"/>
  <c r="G329" i="21"/>
  <c r="H329" i="21"/>
  <c r="F330" i="21"/>
  <c r="G330" i="21"/>
  <c r="H330" i="21"/>
  <c r="F331" i="21"/>
  <c r="G331" i="21"/>
  <c r="H331" i="21"/>
  <c r="F332" i="21"/>
  <c r="G332" i="21"/>
  <c r="H332" i="21"/>
  <c r="F333" i="21"/>
  <c r="G333" i="21"/>
  <c r="H333" i="21"/>
  <c r="F334" i="21"/>
  <c r="G334" i="21"/>
  <c r="H334" i="21"/>
  <c r="F335" i="21"/>
  <c r="G335" i="21"/>
  <c r="H335" i="21"/>
  <c r="F336" i="21"/>
  <c r="G336" i="21"/>
  <c r="H336" i="21"/>
  <c r="F337" i="21"/>
  <c r="G337" i="21"/>
  <c r="H337" i="21"/>
  <c r="F338" i="21"/>
  <c r="G338" i="21"/>
  <c r="H338" i="21"/>
  <c r="F339" i="21"/>
  <c r="G339" i="21"/>
  <c r="H339" i="21"/>
  <c r="F340" i="21"/>
  <c r="G340" i="21"/>
  <c r="H340" i="21"/>
  <c r="F341" i="21"/>
  <c r="G341" i="21"/>
  <c r="H341" i="21"/>
  <c r="F342" i="21"/>
  <c r="G342" i="21"/>
  <c r="H342" i="21"/>
  <c r="F343" i="21"/>
  <c r="G343" i="21"/>
  <c r="H343" i="21"/>
  <c r="F344" i="21"/>
  <c r="G344" i="21"/>
  <c r="H344" i="21"/>
  <c r="F345" i="21"/>
  <c r="G345" i="21"/>
  <c r="H345" i="21"/>
  <c r="F346" i="21"/>
  <c r="G346" i="21"/>
  <c r="H346" i="21"/>
  <c r="F347" i="21"/>
  <c r="G347" i="21"/>
  <c r="H347" i="21"/>
  <c r="F348" i="21"/>
  <c r="G348" i="21"/>
  <c r="H348" i="21"/>
  <c r="F349" i="21"/>
  <c r="G349" i="21"/>
  <c r="H349" i="21"/>
  <c r="F350" i="21"/>
  <c r="G350" i="21"/>
  <c r="H350" i="21"/>
  <c r="A53" i="20" l="1"/>
  <c r="K349" i="20" s="1"/>
  <c r="A54" i="20"/>
  <c r="C348" i="20" s="1"/>
  <c r="A52" i="20"/>
  <c r="C347" i="20" l="1"/>
  <c r="C349" i="20"/>
  <c r="K347" i="20"/>
  <c r="K348" i="20"/>
  <c r="C153" i="20"/>
  <c r="E153" i="20" l="1"/>
  <c r="E167" i="20" s="1"/>
  <c r="G153" i="20"/>
  <c r="G167" i="20" s="1"/>
  <c r="F153" i="20"/>
  <c r="F167" i="20" s="1"/>
  <c r="D153" i="20"/>
  <c r="D167" i="20" s="1"/>
  <c r="P329" i="20"/>
  <c r="P330" i="20"/>
  <c r="H167" i="20" l="1"/>
  <c r="K308" i="20"/>
  <c r="K309" i="20"/>
  <c r="G288" i="20"/>
  <c r="G287" i="20"/>
  <c r="G266" i="20"/>
  <c r="G267" i="20"/>
  <c r="S245" i="20"/>
  <c r="S246" i="20"/>
  <c r="B622" i="20" l="1"/>
  <c r="B621" i="20"/>
  <c r="B620" i="20"/>
  <c r="I167" i="20"/>
  <c r="J167" i="20"/>
  <c r="A135" i="20"/>
  <c r="S319" i="18"/>
  <c r="S320" i="18"/>
  <c r="S321" i="18"/>
  <c r="S322" i="18"/>
  <c r="S323" i="18"/>
  <c r="S324" i="18"/>
  <c r="S325" i="18"/>
  <c r="S326" i="18"/>
  <c r="S327" i="18"/>
  <c r="S328" i="18"/>
  <c r="S329" i="18"/>
  <c r="S330" i="18"/>
  <c r="S331" i="18"/>
  <c r="S332" i="18"/>
  <c r="S333" i="18"/>
  <c r="S334" i="18"/>
  <c r="S335" i="18"/>
  <c r="S336" i="18"/>
  <c r="S337" i="18"/>
  <c r="S338" i="18"/>
  <c r="S339" i="18"/>
  <c r="S340" i="18"/>
  <c r="S341" i="18"/>
  <c r="S342" i="18"/>
  <c r="S343" i="18"/>
  <c r="S344" i="18"/>
  <c r="S345" i="18"/>
  <c r="S346" i="18"/>
  <c r="S347" i="18"/>
  <c r="S348" i="18"/>
  <c r="S349" i="18"/>
  <c r="BB127" i="20" s="1"/>
  <c r="BY127" i="20" s="1"/>
  <c r="CL127" i="20" s="1"/>
  <c r="AE367" i="18"/>
  <c r="AF367" i="18"/>
  <c r="AG367" i="18"/>
  <c r="AD367" i="18"/>
  <c r="AH366" i="18"/>
  <c r="AZ127" i="20" s="1"/>
  <c r="BW127" i="20" s="1"/>
  <c r="CK127" i="20" s="1"/>
  <c r="AH365" i="18"/>
  <c r="BB126" i="20" s="1"/>
  <c r="BH126" i="20" s="1"/>
  <c r="AH364" i="18"/>
  <c r="BB125" i="20" s="1"/>
  <c r="BH125" i="20" s="1"/>
  <c r="AH363" i="18"/>
  <c r="BB124" i="20" s="1"/>
  <c r="BH124" i="20" s="1"/>
  <c r="AH362" i="18"/>
  <c r="BB123" i="20" s="1"/>
  <c r="BH123" i="20" s="1"/>
  <c r="AH361" i="18"/>
  <c r="BB122" i="20" s="1"/>
  <c r="BH122" i="20" s="1"/>
  <c r="AH360" i="18"/>
  <c r="BB121" i="20" s="1"/>
  <c r="BH121" i="20" s="1"/>
  <c r="AH359" i="18"/>
  <c r="AH358" i="18"/>
  <c r="AH357" i="18"/>
  <c r="AH356" i="18"/>
  <c r="AH355" i="18"/>
  <c r="AH354" i="18"/>
  <c r="AH353" i="18"/>
  <c r="BB114" i="20" s="1"/>
  <c r="U366" i="18"/>
  <c r="T366" i="18"/>
  <c r="S366" i="18"/>
  <c r="R366" i="18"/>
  <c r="V365" i="18"/>
  <c r="AN126" i="20" s="1"/>
  <c r="AT126" i="20" s="1"/>
  <c r="V364" i="18"/>
  <c r="AN125" i="20" s="1"/>
  <c r="AT125" i="20" s="1"/>
  <c r="V363" i="18"/>
  <c r="AN124" i="20" s="1"/>
  <c r="AT124" i="20" s="1"/>
  <c r="V362" i="18"/>
  <c r="AN123" i="20" s="1"/>
  <c r="AT123" i="20" s="1"/>
  <c r="V361" i="18"/>
  <c r="AN122" i="20" s="1"/>
  <c r="V360" i="18"/>
  <c r="AN121" i="20" s="1"/>
  <c r="V359" i="18"/>
  <c r="V358" i="18"/>
  <c r="V357" i="18"/>
  <c r="V356" i="18"/>
  <c r="AN117" i="20" s="1"/>
  <c r="AT117" i="20" s="1"/>
  <c r="V355" i="18"/>
  <c r="V354" i="18"/>
  <c r="V353" i="18"/>
  <c r="AN114" i="20" s="1"/>
  <c r="S318" i="18"/>
  <c r="AZ126" i="20" s="1"/>
  <c r="S317" i="18"/>
  <c r="AZ125" i="20" s="1"/>
  <c r="S316" i="18"/>
  <c r="AZ124" i="20" s="1"/>
  <c r="S315" i="18"/>
  <c r="AZ123" i="20" s="1"/>
  <c r="S314" i="18"/>
  <c r="AZ122" i="20" s="1"/>
  <c r="S313" i="18"/>
  <c r="AZ121" i="20" s="1"/>
  <c r="S312" i="18"/>
  <c r="AZ120" i="20" s="1"/>
  <c r="S311" i="18"/>
  <c r="AZ119" i="20" s="1"/>
  <c r="S310" i="18"/>
  <c r="AZ118" i="20" s="1"/>
  <c r="S309" i="18"/>
  <c r="AZ117" i="20" s="1"/>
  <c r="S308" i="18"/>
  <c r="AZ116" i="20" s="1"/>
  <c r="S307" i="18"/>
  <c r="AZ115" i="20" s="1"/>
  <c r="S306" i="18"/>
  <c r="AZ114" i="20" s="1"/>
  <c r="L318" i="18"/>
  <c r="AL126" i="20" s="1"/>
  <c r="L317" i="18"/>
  <c r="AL125" i="20" s="1"/>
  <c r="L316" i="18"/>
  <c r="AL124" i="20" s="1"/>
  <c r="L315" i="18"/>
  <c r="AL123" i="20" s="1"/>
  <c r="L314" i="18"/>
  <c r="AL122" i="20" s="1"/>
  <c r="L313" i="18"/>
  <c r="AL121" i="20" s="1"/>
  <c r="L312" i="18"/>
  <c r="AL120" i="20" s="1"/>
  <c r="L311" i="18"/>
  <c r="AL119" i="20" s="1"/>
  <c r="L310" i="18"/>
  <c r="AL118" i="20" s="1"/>
  <c r="L309" i="18"/>
  <c r="AL117" i="20" s="1"/>
  <c r="L308" i="18"/>
  <c r="AL116" i="20" s="1"/>
  <c r="L307" i="18"/>
  <c r="AL115" i="20" s="1"/>
  <c r="L306" i="18"/>
  <c r="AL114" i="20" s="1"/>
  <c r="C621" i="20" l="1"/>
  <c r="F621" i="20"/>
  <c r="F620" i="20"/>
  <c r="C622" i="20"/>
  <c r="F622" i="20"/>
  <c r="C620" i="20"/>
  <c r="CE124" i="20"/>
  <c r="CE126" i="20"/>
  <c r="CE125" i="20"/>
  <c r="AN215" i="20"/>
  <c r="CE127" i="20"/>
  <c r="BB116" i="20"/>
  <c r="BH116" i="20" s="1"/>
  <c r="BB118" i="20"/>
  <c r="BH118" i="20" s="1"/>
  <c r="BB120" i="20"/>
  <c r="BH120" i="20" s="1"/>
  <c r="BB115" i="20"/>
  <c r="BH115" i="20" s="1"/>
  <c r="BB117" i="20"/>
  <c r="BB119" i="20"/>
  <c r="BH119" i="20" s="1"/>
  <c r="AN116" i="20"/>
  <c r="AN118" i="20"/>
  <c r="AN120" i="20"/>
  <c r="AT121" i="20"/>
  <c r="CE121" i="20" s="1"/>
  <c r="AN115" i="20"/>
  <c r="AN119" i="20"/>
  <c r="AT122" i="20"/>
  <c r="V366" i="18"/>
  <c r="N123" i="20" s="1"/>
  <c r="CH123" i="20" s="1"/>
  <c r="AT114" i="20"/>
  <c r="T319" i="18"/>
  <c r="BH114" i="20"/>
  <c r="AH367" i="18"/>
  <c r="N124" i="20" s="1"/>
  <c r="CH124" i="20" s="1"/>
  <c r="D621" i="20" l="1"/>
  <c r="D622" i="20"/>
  <c r="D620" i="20"/>
  <c r="E622" i="20"/>
  <c r="G622" i="20"/>
  <c r="G621" i="20"/>
  <c r="E621" i="20"/>
  <c r="E620" i="20"/>
  <c r="G620" i="20"/>
  <c r="CF127" i="20"/>
  <c r="CD127" i="20"/>
  <c r="CJ127" i="20" s="1"/>
  <c r="A131" i="20"/>
  <c r="N118" i="20"/>
  <c r="CH118" i="20" s="1"/>
  <c r="N119" i="20"/>
  <c r="CH119" i="20" s="1"/>
  <c r="BB128" i="20"/>
  <c r="BH117" i="20"/>
  <c r="AN127" i="20"/>
  <c r="AT119" i="20"/>
  <c r="AT115" i="20"/>
  <c r="AT120" i="20"/>
  <c r="AT118" i="20"/>
  <c r="AT116" i="20"/>
  <c r="AB366" i="18"/>
  <c r="AI366" i="18" s="1"/>
  <c r="H622" i="20" l="1"/>
  <c r="H620" i="20"/>
  <c r="H621" i="20"/>
  <c r="BC127" i="20"/>
  <c r="BZ127" i="20" s="1"/>
  <c r="BA127" i="20"/>
  <c r="I622" i="20" l="1"/>
  <c r="I621" i="20"/>
  <c r="I620" i="20"/>
  <c r="CG127" i="20"/>
  <c r="BD127" i="20"/>
  <c r="BX127" i="20"/>
  <c r="CB127" i="20" s="1"/>
  <c r="AA78" i="20"/>
  <c r="B64" i="20"/>
  <c r="C64" i="20"/>
  <c r="D64" i="20"/>
  <c r="B65" i="20"/>
  <c r="C65" i="20"/>
  <c r="D65" i="20"/>
  <c r="B66" i="20"/>
  <c r="C66" i="20"/>
  <c r="D66" i="20"/>
  <c r="B67" i="20"/>
  <c r="C67" i="20"/>
  <c r="D67" i="20"/>
  <c r="B68" i="20"/>
  <c r="C68" i="20"/>
  <c r="D68" i="20"/>
  <c r="B69" i="20"/>
  <c r="C69" i="20"/>
  <c r="D69" i="20"/>
  <c r="B70" i="20"/>
  <c r="C70" i="20"/>
  <c r="D70" i="20"/>
  <c r="B71" i="20"/>
  <c r="C71" i="20"/>
  <c r="D71" i="20"/>
  <c r="G181" i="18"/>
  <c r="F181" i="18"/>
  <c r="E181" i="18"/>
  <c r="D181" i="18"/>
  <c r="C181" i="18"/>
  <c r="B181" i="18"/>
  <c r="K69" i="18"/>
  <c r="K33" i="20" s="1"/>
  <c r="J69" i="18"/>
  <c r="J33" i="20" s="1"/>
  <c r="I69" i="18"/>
  <c r="I33" i="20" s="1"/>
  <c r="H69" i="18"/>
  <c r="H33" i="20" s="1"/>
  <c r="G69" i="18"/>
  <c r="G33" i="20" s="1"/>
  <c r="F69" i="18"/>
  <c r="F33" i="20" s="1"/>
  <c r="E69" i="18"/>
  <c r="E33" i="20" s="1"/>
  <c r="D69" i="18"/>
  <c r="D33" i="20" s="1"/>
  <c r="C69" i="18"/>
  <c r="C33" i="20" s="1"/>
  <c r="B33" i="20"/>
  <c r="J50" i="18"/>
  <c r="B13" i="20" s="1"/>
  <c r="K50" i="18"/>
  <c r="C13" i="20" s="1"/>
  <c r="B50" i="18"/>
  <c r="B9" i="20" s="1"/>
  <c r="C50" i="18"/>
  <c r="C9" i="20" s="1"/>
  <c r="D50" i="18"/>
  <c r="B10" i="20" s="1"/>
  <c r="E50" i="18"/>
  <c r="F50" i="18"/>
  <c r="B11" i="20" s="1"/>
  <c r="G50" i="18"/>
  <c r="C11" i="20" s="1"/>
  <c r="H50" i="18"/>
  <c r="B12" i="20" s="1"/>
  <c r="I50" i="18"/>
  <c r="C12" i="20" s="1"/>
  <c r="A5" i="20"/>
  <c r="A211" i="20" s="1"/>
  <c r="A217" i="20" s="1"/>
  <c r="A4" i="20"/>
  <c r="A27" i="18"/>
  <c r="A21" i="18"/>
  <c r="A15" i="18"/>
  <c r="C10" i="20" l="1"/>
  <c r="D10" i="20" s="1"/>
  <c r="L50" i="18"/>
  <c r="J622" i="20"/>
  <c r="J621" i="20"/>
  <c r="J620" i="20"/>
  <c r="AH216" i="20"/>
  <c r="B58" i="20" s="1"/>
  <c r="AH217" i="20"/>
  <c r="AI216" i="20"/>
  <c r="C58" i="20" s="1"/>
  <c r="J58" i="20" s="1"/>
  <c r="AI217" i="20"/>
  <c r="F377" i="18" s="1"/>
  <c r="AI215" i="20"/>
  <c r="C57" i="20" s="1"/>
  <c r="J57" i="20" s="1"/>
  <c r="AH215" i="20"/>
  <c r="B57" i="20" s="1"/>
  <c r="E536" i="20"/>
  <c r="E537" i="20"/>
  <c r="E538" i="20"/>
  <c r="B121" i="20"/>
  <c r="AY121" i="20"/>
  <c r="T313" i="18" s="1"/>
  <c r="K201" i="20"/>
  <c r="D11" i="20"/>
  <c r="D9" i="20"/>
  <c r="D361" i="18"/>
  <c r="D362" i="18"/>
  <c r="D363" i="18"/>
  <c r="D364" i="18"/>
  <c r="D365" i="18"/>
  <c r="AB361" i="18"/>
  <c r="AI361" i="18" s="1"/>
  <c r="AB362" i="18"/>
  <c r="AI362" i="18" s="1"/>
  <c r="AB363" i="18"/>
  <c r="AI363" i="18" s="1"/>
  <c r="AB364" i="18"/>
  <c r="AI364" i="18" s="1"/>
  <c r="AB365" i="18"/>
  <c r="AI365" i="18" s="1"/>
  <c r="K202" i="20"/>
  <c r="K203" i="20"/>
  <c r="K204" i="20"/>
  <c r="K205" i="20"/>
  <c r="AK125" i="20" s="1"/>
  <c r="K206" i="20"/>
  <c r="A210" i="20"/>
  <c r="A216" i="20" s="1"/>
  <c r="C223" i="20"/>
  <c r="C222" i="20"/>
  <c r="C221" i="20"/>
  <c r="E195" i="20"/>
  <c r="E196" i="20"/>
  <c r="E197" i="20"/>
  <c r="D356" i="18" s="1"/>
  <c r="E198" i="20"/>
  <c r="E199" i="20"/>
  <c r="E200" i="20"/>
  <c r="AB355" i="18"/>
  <c r="AI355" i="18" s="1"/>
  <c r="AB357" i="18"/>
  <c r="AI357" i="18" s="1"/>
  <c r="AB359" i="18"/>
  <c r="AI359" i="18" s="1"/>
  <c r="K194" i="20"/>
  <c r="K195" i="20"/>
  <c r="K196" i="20"/>
  <c r="AK116" i="20" s="1"/>
  <c r="K197" i="20"/>
  <c r="K198" i="20"/>
  <c r="AK118" i="20" s="1"/>
  <c r="K199" i="20"/>
  <c r="K200" i="20"/>
  <c r="AK120" i="20" s="1"/>
  <c r="E194" i="20"/>
  <c r="B114" i="20" s="1"/>
  <c r="A192" i="20"/>
  <c r="AE5" i="20"/>
  <c r="AF5" i="20" s="1"/>
  <c r="R26" i="20"/>
  <c r="R25" i="20"/>
  <c r="R24" i="20"/>
  <c r="R23" i="20"/>
  <c r="R22" i="20"/>
  <c r="R21" i="20"/>
  <c r="R20" i="20"/>
  <c r="R19" i="20"/>
  <c r="R18" i="20"/>
  <c r="B63" i="20"/>
  <c r="B78" i="20" s="1"/>
  <c r="B62" i="20"/>
  <c r="K51" i="20"/>
  <c r="D377" i="18" l="1"/>
  <c r="AI218" i="20"/>
  <c r="AL236" i="20" s="1"/>
  <c r="C263" i="20"/>
  <c r="B263" i="20"/>
  <c r="P356" i="18"/>
  <c r="W356" i="18" s="1"/>
  <c r="AK117" i="20"/>
  <c r="M309" i="18" s="1"/>
  <c r="P362" i="18"/>
  <c r="W362" i="18" s="1"/>
  <c r="AK123" i="20"/>
  <c r="AM123" i="20" s="1"/>
  <c r="AP123" i="20" s="1"/>
  <c r="AQ123" i="20" s="1"/>
  <c r="AK122" i="20"/>
  <c r="M314" i="18" s="1"/>
  <c r="AK126" i="20"/>
  <c r="AM126" i="20" s="1"/>
  <c r="AP126" i="20" s="1"/>
  <c r="AQ126" i="20" s="1"/>
  <c r="P358" i="18"/>
  <c r="W358" i="18" s="1"/>
  <c r="AK119" i="20"/>
  <c r="P354" i="18"/>
  <c r="W354" i="18" s="1"/>
  <c r="AK115" i="20"/>
  <c r="AM115" i="20" s="1"/>
  <c r="AK124" i="20"/>
  <c r="AO124" i="20" s="1"/>
  <c r="AK121" i="20"/>
  <c r="M313" i="18" s="1"/>
  <c r="K621" i="20"/>
  <c r="K622" i="20"/>
  <c r="K620" i="20"/>
  <c r="AY123" i="20"/>
  <c r="T315" i="18" s="1"/>
  <c r="AY118" i="20"/>
  <c r="BI118" i="20" s="1"/>
  <c r="BJ118" i="20" s="1"/>
  <c r="P360" i="18"/>
  <c r="W360" i="18" s="1"/>
  <c r="AO125" i="20"/>
  <c r="M317" i="18"/>
  <c r="P364" i="18"/>
  <c r="W364" i="18" s="1"/>
  <c r="AY116" i="20"/>
  <c r="BC116" i="20" s="1"/>
  <c r="P365" i="18"/>
  <c r="W365" i="18" s="1"/>
  <c r="AY125" i="20"/>
  <c r="T317" i="18" s="1"/>
  <c r="AG121" i="20"/>
  <c r="AY126" i="20"/>
  <c r="BI126" i="20" s="1"/>
  <c r="BJ126" i="20" s="1"/>
  <c r="AY124" i="20"/>
  <c r="BA124" i="20" s="1"/>
  <c r="BD124" i="20" s="1"/>
  <c r="BE124" i="20" s="1"/>
  <c r="AY122" i="20"/>
  <c r="T314" i="18" s="1"/>
  <c r="C59" i="20"/>
  <c r="J59" i="20" s="1"/>
  <c r="B59" i="20"/>
  <c r="I58" i="20"/>
  <c r="D58" i="20"/>
  <c r="D57" i="20"/>
  <c r="I57" i="20"/>
  <c r="AJ217" i="20"/>
  <c r="C3" i="20"/>
  <c r="B4" i="20"/>
  <c r="B3" i="20"/>
  <c r="AJ216" i="20"/>
  <c r="B5" i="20"/>
  <c r="B125" i="20"/>
  <c r="B124" i="20"/>
  <c r="B123" i="20"/>
  <c r="D360" i="18"/>
  <c r="AJ215" i="20"/>
  <c r="B126" i="20"/>
  <c r="AB360" i="18"/>
  <c r="AI360" i="18" s="1"/>
  <c r="P363" i="18"/>
  <c r="W363" i="18" s="1"/>
  <c r="D14" i="20"/>
  <c r="P361" i="18"/>
  <c r="W361" i="18" s="1"/>
  <c r="B122" i="20"/>
  <c r="AQ15" i="20"/>
  <c r="AP15" i="20"/>
  <c r="H183" i="20"/>
  <c r="AQ11" i="20"/>
  <c r="AP11" i="20"/>
  <c r="AP16" i="20"/>
  <c r="AQ16" i="20"/>
  <c r="AQ14" i="20"/>
  <c r="AP14" i="20"/>
  <c r="AP12" i="20"/>
  <c r="AQ12" i="20"/>
  <c r="AP10" i="20"/>
  <c r="AQ10" i="20"/>
  <c r="H185" i="20"/>
  <c r="AQ13" i="20"/>
  <c r="AP13" i="20"/>
  <c r="AQ9" i="20"/>
  <c r="AP9" i="20"/>
  <c r="AU125" i="20"/>
  <c r="AM125" i="20"/>
  <c r="AP125" i="20" s="1"/>
  <c r="AQ125" i="20" s="1"/>
  <c r="BA121" i="20"/>
  <c r="BD121" i="20" s="1"/>
  <c r="BI121" i="20"/>
  <c r="BJ121" i="20" s="1"/>
  <c r="BC121" i="20"/>
  <c r="J53" i="20"/>
  <c r="J54" i="20"/>
  <c r="J52" i="20"/>
  <c r="C4" i="20"/>
  <c r="B117" i="20"/>
  <c r="AE8" i="20"/>
  <c r="AF8" i="20" s="1"/>
  <c r="AE7" i="20"/>
  <c r="AF7" i="20" s="1"/>
  <c r="AY120" i="20"/>
  <c r="BA120" i="20" s="1"/>
  <c r="BD120" i="20" s="1"/>
  <c r="AE4" i="20"/>
  <c r="AF4" i="20" s="1"/>
  <c r="AE3" i="20"/>
  <c r="AF3" i="20" s="1"/>
  <c r="C5" i="20"/>
  <c r="B120" i="20"/>
  <c r="D359" i="18"/>
  <c r="B116" i="20"/>
  <c r="D355" i="18"/>
  <c r="D353" i="18"/>
  <c r="P359" i="18"/>
  <c r="W359" i="18" s="1"/>
  <c r="P355" i="18"/>
  <c r="W355" i="18" s="1"/>
  <c r="AY114" i="20"/>
  <c r="AB353" i="18"/>
  <c r="AI353" i="18" s="1"/>
  <c r="AB356" i="18"/>
  <c r="AI356" i="18" s="1"/>
  <c r="AY117" i="20"/>
  <c r="AB354" i="18"/>
  <c r="AI354" i="18" s="1"/>
  <c r="AY115" i="20"/>
  <c r="AE6" i="20"/>
  <c r="AF6" i="20" s="1"/>
  <c r="B118" i="20"/>
  <c r="D357" i="18"/>
  <c r="B115" i="20"/>
  <c r="D354" i="18"/>
  <c r="P357" i="18"/>
  <c r="W357" i="18" s="1"/>
  <c r="AK114" i="20"/>
  <c r="M306" i="18" s="1"/>
  <c r="P353" i="18"/>
  <c r="W353" i="18" s="1"/>
  <c r="B119" i="20"/>
  <c r="D358" i="18"/>
  <c r="AB358" i="18"/>
  <c r="AI358" i="18" s="1"/>
  <c r="AY119" i="20"/>
  <c r="H188" i="20"/>
  <c r="AE9" i="20"/>
  <c r="AF9" i="20" s="1"/>
  <c r="H187" i="20"/>
  <c r="H186" i="20"/>
  <c r="H184" i="20"/>
  <c r="H182" i="20"/>
  <c r="H92" i="18"/>
  <c r="AO122" i="20" l="1"/>
  <c r="AU122" i="20"/>
  <c r="AV122" i="20" s="1"/>
  <c r="AM121" i="20"/>
  <c r="AP121" i="20" s="1"/>
  <c r="D3" i="20"/>
  <c r="I52" i="20" s="1"/>
  <c r="AO121" i="20"/>
  <c r="K53" i="20"/>
  <c r="O348" i="20"/>
  <c r="O347" i="20"/>
  <c r="O349" i="20"/>
  <c r="L52" i="20"/>
  <c r="G348" i="20"/>
  <c r="G347" i="20"/>
  <c r="G349" i="20"/>
  <c r="AM122" i="20"/>
  <c r="AP122" i="20" s="1"/>
  <c r="AQ122" i="20" s="1"/>
  <c r="CD121" i="20"/>
  <c r="CJ121" i="20" s="1"/>
  <c r="AO126" i="20"/>
  <c r="AU123" i="20"/>
  <c r="AV123" i="20" s="1"/>
  <c r="M315" i="18"/>
  <c r="AU124" i="20"/>
  <c r="AV124" i="20" s="1"/>
  <c r="AU121" i="20"/>
  <c r="CF121" i="20" s="1"/>
  <c r="AU126" i="20"/>
  <c r="AV126" i="20" s="1"/>
  <c r="CG126" i="20" s="1"/>
  <c r="AO123" i="20"/>
  <c r="M318" i="18"/>
  <c r="AM124" i="20"/>
  <c r="AP124" i="20" s="1"/>
  <c r="AQ124" i="20" s="1"/>
  <c r="M316" i="18"/>
  <c r="L622" i="20"/>
  <c r="N622" i="20" s="1"/>
  <c r="L621" i="20"/>
  <c r="N621" i="20" s="1"/>
  <c r="L620" i="20"/>
  <c r="N620" i="20" s="1"/>
  <c r="L27" i="20"/>
  <c r="AE12" i="20"/>
  <c r="AF12" i="20" s="1"/>
  <c r="AE16" i="20"/>
  <c r="AF16" i="20" s="1"/>
  <c r="BC123" i="20"/>
  <c r="AE15" i="20"/>
  <c r="AF15" i="20" s="1"/>
  <c r="AE14" i="20"/>
  <c r="AF14" i="20" s="1"/>
  <c r="AE13" i="20"/>
  <c r="AF13" i="20" s="1"/>
  <c r="AE10" i="20"/>
  <c r="AF10" i="20" s="1"/>
  <c r="AE11" i="20"/>
  <c r="AF11" i="20" s="1"/>
  <c r="BI123" i="20"/>
  <c r="BJ123" i="20" s="1"/>
  <c r="BA123" i="20"/>
  <c r="BD123" i="20" s="1"/>
  <c r="BE123" i="20" s="1"/>
  <c r="BA118" i="20"/>
  <c r="BD118" i="20" s="1"/>
  <c r="BC118" i="20"/>
  <c r="T310" i="18"/>
  <c r="BC122" i="20"/>
  <c r="BI122" i="20"/>
  <c r="BJ122" i="20" s="1"/>
  <c r="BC125" i="20"/>
  <c r="BI125" i="20"/>
  <c r="BJ125" i="20" s="1"/>
  <c r="BA122" i="20"/>
  <c r="BD122" i="20" s="1"/>
  <c r="BE122" i="20" s="1"/>
  <c r="BA125" i="20"/>
  <c r="BD125" i="20" s="1"/>
  <c r="BE125" i="20" s="1"/>
  <c r="D4" i="20"/>
  <c r="P54" i="20"/>
  <c r="N54" i="20"/>
  <c r="O54" i="20"/>
  <c r="M54" i="20"/>
  <c r="L54" i="20"/>
  <c r="O52" i="20"/>
  <c r="M52" i="20"/>
  <c r="P52" i="20"/>
  <c r="N52" i="20"/>
  <c r="O53" i="20"/>
  <c r="M53" i="20"/>
  <c r="P53" i="20"/>
  <c r="N53" i="20"/>
  <c r="L53" i="20"/>
  <c r="K54" i="20"/>
  <c r="K52" i="20"/>
  <c r="BA116" i="20"/>
  <c r="BD116" i="20" s="1"/>
  <c r="BI119" i="20"/>
  <c r="BJ119" i="20" s="1"/>
  <c r="T311" i="18"/>
  <c r="AU118" i="20"/>
  <c r="CF118" i="20" s="1"/>
  <c r="M310" i="18"/>
  <c r="BI115" i="20"/>
  <c r="BJ115" i="20" s="1"/>
  <c r="T307" i="18"/>
  <c r="BI117" i="20"/>
  <c r="BJ117" i="20" s="1"/>
  <c r="T309" i="18"/>
  <c r="AU116" i="20"/>
  <c r="AV116" i="20" s="1"/>
  <c r="M308" i="18"/>
  <c r="AU120" i="20"/>
  <c r="AV120" i="20" s="1"/>
  <c r="M312" i="18"/>
  <c r="BI120" i="20"/>
  <c r="BJ120" i="20" s="1"/>
  <c r="T312" i="18"/>
  <c r="AU115" i="20"/>
  <c r="AV115" i="20" s="1"/>
  <c r="M307" i="18"/>
  <c r="AU119" i="20"/>
  <c r="AV119" i="20" s="1"/>
  <c r="M311" i="18"/>
  <c r="BA126" i="20"/>
  <c r="BD126" i="20" s="1"/>
  <c r="BE126" i="20" s="1"/>
  <c r="T318" i="18"/>
  <c r="BI114" i="20"/>
  <c r="BJ114" i="20" s="1"/>
  <c r="T306" i="18"/>
  <c r="E131" i="20"/>
  <c r="F132" i="20" s="1"/>
  <c r="D371" i="18"/>
  <c r="BI124" i="20"/>
  <c r="BJ124" i="20" s="1"/>
  <c r="T316" i="18"/>
  <c r="BI116" i="20"/>
  <c r="BJ116" i="20" s="1"/>
  <c r="T308" i="18"/>
  <c r="BC126" i="20"/>
  <c r="AM119" i="20"/>
  <c r="AP119" i="20" s="1"/>
  <c r="AO119" i="20"/>
  <c r="AG116" i="20"/>
  <c r="CD116" i="20"/>
  <c r="CJ116" i="20" s="1"/>
  <c r="AV121" i="20"/>
  <c r="CG121" i="20" s="1"/>
  <c r="AV125" i="20"/>
  <c r="AG119" i="20"/>
  <c r="CD119" i="20"/>
  <c r="CJ119" i="20" s="1"/>
  <c r="AG118" i="20"/>
  <c r="CD118" i="20"/>
  <c r="CJ118" i="20" s="1"/>
  <c r="AG117" i="20"/>
  <c r="CD117" i="20"/>
  <c r="CJ117" i="20" s="1"/>
  <c r="AG114" i="20"/>
  <c r="CD114" i="20"/>
  <c r="CJ114" i="20" s="1"/>
  <c r="AG120" i="20"/>
  <c r="CD120" i="20"/>
  <c r="CJ120" i="20" s="1"/>
  <c r="AG115" i="20"/>
  <c r="CD115" i="20"/>
  <c r="CJ115" i="20" s="1"/>
  <c r="AG125" i="20"/>
  <c r="CD125" i="20"/>
  <c r="CJ125" i="20" s="1"/>
  <c r="AG123" i="20"/>
  <c r="CD123" i="20"/>
  <c r="CJ123" i="20" s="1"/>
  <c r="AG122" i="20"/>
  <c r="CD122" i="20"/>
  <c r="CJ122" i="20" s="1"/>
  <c r="AG126" i="20"/>
  <c r="CD126" i="20"/>
  <c r="CJ126" i="20" s="1"/>
  <c r="AG124" i="20"/>
  <c r="CD124" i="20"/>
  <c r="CJ124" i="20" s="1"/>
  <c r="BC124" i="20"/>
  <c r="D59" i="20"/>
  <c r="I59" i="20"/>
  <c r="D5" i="20"/>
  <c r="B131" i="20"/>
  <c r="AQ214" i="20"/>
  <c r="E135" i="20" s="1"/>
  <c r="B135" i="20"/>
  <c r="L28" i="20"/>
  <c r="AM117" i="20"/>
  <c r="AP117" i="20" s="1"/>
  <c r="L31" i="20"/>
  <c r="L29" i="20"/>
  <c r="BC120" i="20"/>
  <c r="L32" i="20"/>
  <c r="L30" i="20"/>
  <c r="AP8" i="20"/>
  <c r="AP4" i="20"/>
  <c r="AP6" i="20"/>
  <c r="AP3" i="20"/>
  <c r="AP5" i="20"/>
  <c r="AP2" i="20"/>
  <c r="AP7" i="20"/>
  <c r="H180" i="20"/>
  <c r="AU114" i="20"/>
  <c r="AV114" i="20" s="1"/>
  <c r="AO114" i="20"/>
  <c r="AE2" i="20"/>
  <c r="L26" i="20"/>
  <c r="AP115" i="20"/>
  <c r="AO115" i="20"/>
  <c r="AO120" i="20"/>
  <c r="AU117" i="20"/>
  <c r="AO117" i="20"/>
  <c r="L22" i="20"/>
  <c r="L19" i="20"/>
  <c r="L23" i="20"/>
  <c r="L20" i="20"/>
  <c r="AM118" i="20"/>
  <c r="AP118" i="20" s="1"/>
  <c r="BA117" i="20"/>
  <c r="BD117" i="20" s="1"/>
  <c r="BC117" i="20"/>
  <c r="AB367" i="18"/>
  <c r="AI367" i="18" s="1"/>
  <c r="AM116" i="20"/>
  <c r="AP116" i="20" s="1"/>
  <c r="AM120" i="20"/>
  <c r="AP120" i="20" s="1"/>
  <c r="AK127" i="20"/>
  <c r="AO116" i="20"/>
  <c r="AO118" i="20"/>
  <c r="BA119" i="20"/>
  <c r="BD119" i="20" s="1"/>
  <c r="BC119" i="20"/>
  <c r="P366" i="18"/>
  <c r="W366" i="18" s="1"/>
  <c r="AM114" i="20"/>
  <c r="AY128" i="20"/>
  <c r="T320" i="18" s="1"/>
  <c r="BA115" i="20"/>
  <c r="BD115" i="20" s="1"/>
  <c r="BC115" i="20"/>
  <c r="BA114" i="20"/>
  <c r="BD114" i="20" s="1"/>
  <c r="BE121" i="20" s="1"/>
  <c r="BC114" i="20"/>
  <c r="L24" i="20"/>
  <c r="L25" i="20"/>
  <c r="L21" i="20"/>
  <c r="H179" i="20"/>
  <c r="H177" i="20"/>
  <c r="H178" i="20"/>
  <c r="CG122" i="20" l="1"/>
  <c r="CG125" i="20"/>
  <c r="Q348" i="20"/>
  <c r="Q347" i="20"/>
  <c r="Q349" i="20"/>
  <c r="B223" i="20"/>
  <c r="I348" i="20"/>
  <c r="I347" i="20"/>
  <c r="I349" i="20"/>
  <c r="BE13" i="20"/>
  <c r="Y43" i="18" s="1"/>
  <c r="I54" i="20"/>
  <c r="CF126" i="20"/>
  <c r="CF123" i="20"/>
  <c r="AE96" i="28"/>
  <c r="E192" i="27"/>
  <c r="W91" i="26"/>
  <c r="G835" i="21"/>
  <c r="CG123" i="20"/>
  <c r="CF122" i="20"/>
  <c r="CF125" i="20"/>
  <c r="CF119" i="20"/>
  <c r="CF124" i="20"/>
  <c r="CG120" i="20"/>
  <c r="CG116" i="20"/>
  <c r="BJ128" i="20"/>
  <c r="AV118" i="20"/>
  <c r="CG118" i="20" s="1"/>
  <c r="CG124" i="20"/>
  <c r="CF120" i="20"/>
  <c r="H181" i="20"/>
  <c r="CJ128" i="20"/>
  <c r="CR125" i="20" s="1"/>
  <c r="AV117" i="20"/>
  <c r="CG117" i="20" s="1"/>
  <c r="CF117" i="20"/>
  <c r="CG119" i="20"/>
  <c r="CG115" i="20"/>
  <c r="D600" i="20"/>
  <c r="D599" i="20"/>
  <c r="D601" i="20"/>
  <c r="F131" i="20"/>
  <c r="B599" i="20" s="1"/>
  <c r="D579" i="20"/>
  <c r="D580" i="20"/>
  <c r="D578" i="20"/>
  <c r="B222" i="20"/>
  <c r="B221" i="20"/>
  <c r="AQ6" i="20"/>
  <c r="AQ2" i="20"/>
  <c r="AQ5" i="20"/>
  <c r="AQ7" i="20"/>
  <c r="AQ3" i="20"/>
  <c r="AQ4" i="20"/>
  <c r="AQ8" i="20"/>
  <c r="AP114" i="20"/>
  <c r="AQ121" i="20" s="1"/>
  <c r="BE115" i="20"/>
  <c r="O23" i="20"/>
  <c r="O24" i="20"/>
  <c r="BE119" i="20"/>
  <c r="AQ116" i="20"/>
  <c r="BE117" i="20"/>
  <c r="AQ119" i="20"/>
  <c r="AQ115" i="20"/>
  <c r="BE116" i="20"/>
  <c r="BE114" i="20"/>
  <c r="AQ120" i="20"/>
  <c r="AQ118" i="20"/>
  <c r="AQ117" i="20"/>
  <c r="BE120" i="20"/>
  <c r="BE118" i="20"/>
  <c r="F136" i="20"/>
  <c r="E136" i="20"/>
  <c r="O20" i="20"/>
  <c r="O25" i="20"/>
  <c r="O22" i="20"/>
  <c r="O21" i="20"/>
  <c r="O19" i="20"/>
  <c r="F578" i="20" l="1"/>
  <c r="F579" i="20" s="1"/>
  <c r="B578" i="20"/>
  <c r="AV127" i="20"/>
  <c r="CQ126" i="20"/>
  <c r="CR116" i="20"/>
  <c r="CQ124" i="20"/>
  <c r="CO116" i="20"/>
  <c r="CO118" i="20"/>
  <c r="CQ125" i="20"/>
  <c r="CR124" i="20"/>
  <c r="CR126" i="20"/>
  <c r="CR117" i="20"/>
  <c r="CR118" i="20"/>
  <c r="CO117" i="20"/>
  <c r="F599" i="20"/>
  <c r="B601" i="20"/>
  <c r="B600" i="20"/>
  <c r="G579" i="20"/>
  <c r="G578" i="20"/>
  <c r="G580" i="20"/>
  <c r="AQ114" i="20"/>
  <c r="A162" i="20"/>
  <c r="Q53" i="20"/>
  <c r="Q54" i="20"/>
  <c r="Q52" i="20"/>
  <c r="F580" i="20" l="1"/>
  <c r="B580" i="20"/>
  <c r="B579" i="20"/>
  <c r="F600" i="20"/>
  <c r="F601" i="20"/>
  <c r="AM15" i="20"/>
  <c r="AM13" i="20"/>
  <c r="AM14" i="20"/>
  <c r="AM12" i="20"/>
  <c r="J354" i="18"/>
  <c r="J355" i="18"/>
  <c r="J356" i="18"/>
  <c r="J357" i="18"/>
  <c r="J358" i="18"/>
  <c r="J359" i="18"/>
  <c r="J360" i="18"/>
  <c r="J361" i="18"/>
  <c r="J362" i="18"/>
  <c r="J363" i="18"/>
  <c r="J364" i="18"/>
  <c r="J365" i="18"/>
  <c r="J353" i="18"/>
  <c r="K353" i="18" s="1"/>
  <c r="G366" i="18"/>
  <c r="H366" i="18"/>
  <c r="E128" i="20" s="1"/>
  <c r="I366" i="18"/>
  <c r="C139" i="20"/>
  <c r="C138" i="20"/>
  <c r="C137" i="20"/>
  <c r="E125" i="20" l="1"/>
  <c r="BY125" i="20" s="1"/>
  <c r="CL125" i="20" s="1"/>
  <c r="K364" i="18"/>
  <c r="E123" i="20"/>
  <c r="BY123" i="20" s="1"/>
  <c r="CL123" i="20" s="1"/>
  <c r="K362" i="18"/>
  <c r="E119" i="20"/>
  <c r="BY119" i="20" s="1"/>
  <c r="CL119" i="20" s="1"/>
  <c r="K358" i="18"/>
  <c r="E117" i="20"/>
  <c r="BY117" i="20" s="1"/>
  <c r="CL117" i="20" s="1"/>
  <c r="K356" i="18"/>
  <c r="E115" i="20"/>
  <c r="BY115" i="20" s="1"/>
  <c r="CL115" i="20" s="1"/>
  <c r="K354" i="18"/>
  <c r="E126" i="20"/>
  <c r="BY126" i="20" s="1"/>
  <c r="CL126" i="20" s="1"/>
  <c r="K365" i="18"/>
  <c r="E124" i="20"/>
  <c r="BY124" i="20" s="1"/>
  <c r="CL124" i="20" s="1"/>
  <c r="K363" i="18"/>
  <c r="E122" i="20"/>
  <c r="BY122" i="20" s="1"/>
  <c r="CL122" i="20" s="1"/>
  <c r="K361" i="18"/>
  <c r="E120" i="20"/>
  <c r="BY120" i="20" s="1"/>
  <c r="CL120" i="20" s="1"/>
  <c r="K359" i="18"/>
  <c r="E118" i="20"/>
  <c r="BY118" i="20" s="1"/>
  <c r="CL118" i="20" s="1"/>
  <c r="K357" i="18"/>
  <c r="E116" i="20"/>
  <c r="BY116" i="20" s="1"/>
  <c r="CL116" i="20" s="1"/>
  <c r="K355" i="18"/>
  <c r="E121" i="20"/>
  <c r="BY121" i="20" s="1"/>
  <c r="CL121" i="20" s="1"/>
  <c r="K360" i="18"/>
  <c r="D138" i="20"/>
  <c r="J122" i="20"/>
  <c r="C517" i="20" s="1"/>
  <c r="J119" i="20"/>
  <c r="F835" i="21"/>
  <c r="L135" i="20" l="1"/>
  <c r="I578" i="20"/>
  <c r="C516" i="20"/>
  <c r="C515" i="20"/>
  <c r="C495" i="20"/>
  <c r="C496" i="20"/>
  <c r="C494" i="20"/>
  <c r="A155" i="20"/>
  <c r="I580" i="20" l="1"/>
  <c r="I579" i="20"/>
  <c r="J579" i="20" s="1"/>
  <c r="J578" i="20"/>
  <c r="A161" i="20"/>
  <c r="A158" i="20"/>
  <c r="A157" i="20"/>
  <c r="A160" i="20"/>
  <c r="A159" i="20"/>
  <c r="A154" i="20"/>
  <c r="A153" i="20"/>
  <c r="AJ11" i="20" l="1"/>
  <c r="J580" i="20"/>
  <c r="AL50" i="28" s="1"/>
  <c r="AK4" i="20"/>
  <c r="AJ9" i="20"/>
  <c r="AK9" i="20"/>
  <c r="AJ7" i="20"/>
  <c r="AK7" i="20"/>
  <c r="AJ4" i="20"/>
  <c r="AJ8" i="20"/>
  <c r="AJ6" i="20"/>
  <c r="AK6" i="20"/>
  <c r="AJ10" i="20"/>
  <c r="AK10" i="20"/>
  <c r="AJ2" i="20"/>
  <c r="AK2" i="20"/>
  <c r="AJ3" i="20"/>
  <c r="AK3" i="20"/>
  <c r="AJ5" i="20"/>
  <c r="AK5" i="20"/>
  <c r="A1" i="23"/>
  <c r="AK8" i="20" l="1"/>
  <c r="AK11" i="20"/>
  <c r="M46" i="27"/>
  <c r="N116" i="26"/>
  <c r="B736" i="21"/>
  <c r="F834" i="21" l="1"/>
  <c r="D834" i="21"/>
  <c r="C834" i="21"/>
  <c r="A834" i="21"/>
  <c r="A58" i="20" l="1"/>
  <c r="H58" i="20" s="1"/>
  <c r="A59" i="20"/>
  <c r="H59" i="20" s="1"/>
  <c r="A57" i="20"/>
  <c r="H57" i="20" s="1"/>
  <c r="G102" i="20" l="1"/>
  <c r="AM5" i="20"/>
  <c r="AN5" i="20"/>
  <c r="H102" i="20"/>
  <c r="G58" i="20"/>
  <c r="K58" i="20" s="1"/>
  <c r="G57" i="20"/>
  <c r="K57" i="20" s="1"/>
  <c r="G59" i="20"/>
  <c r="K59" i="20" s="1"/>
  <c r="H300" i="18" l="1"/>
  <c r="H299" i="18"/>
  <c r="H298" i="18" s="1"/>
  <c r="H296" i="18"/>
  <c r="H295" i="18" s="1"/>
  <c r="D298" i="18"/>
  <c r="E298" i="18"/>
  <c r="C298" i="18"/>
  <c r="D295" i="18"/>
  <c r="E295" i="18"/>
  <c r="C295" i="18"/>
  <c r="B38" i="20" l="1"/>
  <c r="B39" i="20"/>
  <c r="B40" i="20"/>
  <c r="B41" i="20"/>
  <c r="B37" i="20"/>
  <c r="C41" i="20" l="1"/>
  <c r="C39" i="20"/>
  <c r="C37" i="20"/>
  <c r="I39" i="20"/>
  <c r="C40" i="20"/>
  <c r="C38" i="20"/>
  <c r="C198" i="18"/>
  <c r="F41" i="20" l="1"/>
  <c r="G306" i="20"/>
  <c r="G307" i="20"/>
  <c r="G305" i="20"/>
  <c r="F38" i="20"/>
  <c r="F40" i="20"/>
  <c r="F37" i="20"/>
  <c r="F39" i="20"/>
  <c r="E289" i="18" l="1"/>
  <c r="D289" i="18"/>
  <c r="C289" i="18"/>
  <c r="D283" i="18"/>
  <c r="E283" i="18"/>
  <c r="C283" i="18"/>
  <c r="C276" i="18"/>
  <c r="D276" i="18"/>
  <c r="E276" i="18"/>
  <c r="B257" i="18"/>
  <c r="B244" i="18"/>
  <c r="B226" i="18"/>
  <c r="I108" i="20" l="1"/>
  <c r="I109" i="20"/>
  <c r="I105" i="20"/>
  <c r="I107" i="20"/>
  <c r="I106" i="20"/>
  <c r="M2" i="20" l="1"/>
  <c r="N2" i="20" s="1"/>
  <c r="P4" i="20" l="1"/>
  <c r="O5" i="20"/>
  <c r="P5" i="20"/>
  <c r="P6" i="20"/>
  <c r="P9" i="20"/>
  <c r="P14" i="20"/>
  <c r="P3" i="20"/>
  <c r="O12" i="20"/>
  <c r="P8" i="20"/>
  <c r="O9" i="20"/>
  <c r="P13" i="20"/>
  <c r="O7" i="20"/>
  <c r="O6" i="20"/>
  <c r="O3" i="20"/>
  <c r="P11" i="20"/>
  <c r="O16" i="20"/>
  <c r="P12" i="20"/>
  <c r="O13" i="20"/>
  <c r="P2" i="20"/>
  <c r="P7" i="20"/>
  <c r="O14" i="20"/>
  <c r="O11" i="20"/>
  <c r="P15" i="20"/>
  <c r="P16" i="20"/>
  <c r="O2" i="20"/>
  <c r="O10" i="20"/>
  <c r="O4" i="20"/>
  <c r="P10" i="20"/>
  <c r="O15" i="20"/>
  <c r="O8" i="20"/>
  <c r="Q10" i="20" l="1"/>
  <c r="Q2" i="20"/>
  <c r="Q3" i="20"/>
  <c r="Q14" i="20"/>
  <c r="Q16" i="20"/>
  <c r="Q7" i="20"/>
  <c r="Q6" i="20"/>
  <c r="Q15" i="20"/>
  <c r="Q11" i="20"/>
  <c r="Q13" i="20"/>
  <c r="Q5" i="20"/>
  <c r="Q12" i="20"/>
  <c r="Q8" i="20"/>
  <c r="Q9" i="20"/>
  <c r="Q4" i="20"/>
  <c r="E306" i="18"/>
  <c r="E307" i="18"/>
  <c r="E308" i="18"/>
  <c r="E309" i="18"/>
  <c r="E310" i="18"/>
  <c r="E311" i="18"/>
  <c r="E312" i="18"/>
  <c r="E313" i="18"/>
  <c r="E314" i="18"/>
  <c r="E315" i="18"/>
  <c r="E316" i="18"/>
  <c r="E317" i="18"/>
  <c r="E318" i="18"/>
  <c r="AF2" i="20" l="1"/>
  <c r="AH3" i="20" l="1"/>
  <c r="AH7" i="20"/>
  <c r="AH11" i="20"/>
  <c r="AH15" i="20"/>
  <c r="AG4" i="20"/>
  <c r="AG8" i="20"/>
  <c r="AG12" i="20"/>
  <c r="AG16" i="20"/>
  <c r="AH14" i="20"/>
  <c r="AG11" i="20"/>
  <c r="AH4" i="20"/>
  <c r="AH8" i="20"/>
  <c r="AH12" i="20"/>
  <c r="AH16" i="20"/>
  <c r="AG5" i="20"/>
  <c r="AG9" i="20"/>
  <c r="AG13" i="20"/>
  <c r="AG2" i="20"/>
  <c r="AH10" i="20"/>
  <c r="AG3" i="20"/>
  <c r="AG15" i="20"/>
  <c r="AH5" i="20"/>
  <c r="AH9" i="20"/>
  <c r="AH13" i="20"/>
  <c r="AH2" i="20"/>
  <c r="AG6" i="20"/>
  <c r="AG10" i="20"/>
  <c r="AG14" i="20"/>
  <c r="AH6" i="20"/>
  <c r="AG7" i="20"/>
  <c r="AO15" i="20"/>
  <c r="AN14" i="20"/>
  <c r="AO13" i="20"/>
  <c r="AN12" i="20"/>
  <c r="AN15" i="20"/>
  <c r="AO14" i="20"/>
  <c r="AN13" i="20"/>
  <c r="AO12" i="20"/>
  <c r="Z25" i="20"/>
  <c r="Z19" i="20"/>
  <c r="Z23" i="20"/>
  <c r="Z20" i="20"/>
  <c r="Z24" i="20"/>
  <c r="Z21" i="20"/>
  <c r="Z22" i="20"/>
  <c r="F366" i="18" l="1"/>
  <c r="AF126" i="20"/>
  <c r="AH126" i="20" s="1"/>
  <c r="BN126" i="20" s="1"/>
  <c r="AF125" i="20"/>
  <c r="AH125" i="20" s="1"/>
  <c r="BN125" i="20" s="1"/>
  <c r="AF124" i="20"/>
  <c r="AH124" i="20" s="1"/>
  <c r="BN124" i="20" s="1"/>
  <c r="AF123" i="20"/>
  <c r="AH123" i="20" s="1"/>
  <c r="BN123" i="20" s="1"/>
  <c r="AF122" i="20"/>
  <c r="AH122" i="20" s="1"/>
  <c r="BN122" i="20" s="1"/>
  <c r="AF121" i="20"/>
  <c r="AH121" i="20" s="1"/>
  <c r="BN121" i="20" s="1"/>
  <c r="AF120" i="20"/>
  <c r="AH120" i="20" s="1"/>
  <c r="BN120" i="20" s="1"/>
  <c r="AF119" i="20"/>
  <c r="AH119" i="20" s="1"/>
  <c r="BN119" i="20" s="1"/>
  <c r="AF118" i="20"/>
  <c r="AH118" i="20" s="1"/>
  <c r="BN118" i="20" s="1"/>
  <c r="AF117" i="20"/>
  <c r="AH117" i="20" s="1"/>
  <c r="BN117" i="20" s="1"/>
  <c r="AF116" i="20"/>
  <c r="AH116" i="20" s="1"/>
  <c r="BN116" i="20" s="1"/>
  <c r="AF115" i="20"/>
  <c r="AH115" i="20" s="1"/>
  <c r="BN115" i="20" s="1"/>
  <c r="E114" i="20"/>
  <c r="C115" i="20"/>
  <c r="F307" i="18" s="1"/>
  <c r="C123" i="20"/>
  <c r="F315" i="18" s="1"/>
  <c r="C124" i="20"/>
  <c r="F316" i="18" s="1"/>
  <c r="C114" i="20"/>
  <c r="F306" i="18" s="1"/>
  <c r="BY114" i="20" l="1"/>
  <c r="CL114" i="20" s="1"/>
  <c r="CL128" i="20" s="1"/>
  <c r="E127" i="20"/>
  <c r="S12" i="20"/>
  <c r="T12" i="20" s="1"/>
  <c r="BW124" i="20"/>
  <c r="CK124" i="20" s="1"/>
  <c r="S3" i="20"/>
  <c r="T3" i="20" s="1"/>
  <c r="BW115" i="20"/>
  <c r="CK115" i="20" s="1"/>
  <c r="D114" i="20"/>
  <c r="BW114" i="20"/>
  <c r="CK114" i="20" s="1"/>
  <c r="S11" i="20"/>
  <c r="T11" i="20" s="1"/>
  <c r="BW123" i="20"/>
  <c r="CK123" i="20" s="1"/>
  <c r="AF114" i="20"/>
  <c r="AH114" i="20" s="1"/>
  <c r="BN114" i="20" s="1"/>
  <c r="F114" i="20"/>
  <c r="BZ114" i="20" s="1"/>
  <c r="G114" i="20" s="1"/>
  <c r="S2" i="20"/>
  <c r="T2" i="20" s="1"/>
  <c r="D115" i="20"/>
  <c r="I115" i="20" s="1"/>
  <c r="F115" i="20"/>
  <c r="BZ115" i="20" s="1"/>
  <c r="G115" i="20" s="1"/>
  <c r="F116" i="20"/>
  <c r="BZ116" i="20" s="1"/>
  <c r="G116" i="20" s="1"/>
  <c r="F126" i="20"/>
  <c r="BZ126" i="20" s="1"/>
  <c r="D124" i="20"/>
  <c r="F124" i="20"/>
  <c r="BZ124" i="20" s="1"/>
  <c r="F122" i="20"/>
  <c r="BZ122" i="20" s="1"/>
  <c r="F118" i="20"/>
  <c r="BZ118" i="20" s="1"/>
  <c r="G118" i="20" s="1"/>
  <c r="F125" i="20"/>
  <c r="BZ125" i="20" s="1"/>
  <c r="D123" i="20"/>
  <c r="F123" i="20"/>
  <c r="BZ123" i="20" s="1"/>
  <c r="F121" i="20"/>
  <c r="BZ121" i="20" s="1"/>
  <c r="G121" i="20" s="1"/>
  <c r="F119" i="20"/>
  <c r="BZ119" i="20" s="1"/>
  <c r="G119" i="20" s="1"/>
  <c r="F120" i="20"/>
  <c r="BZ120" i="20" s="1"/>
  <c r="G120" i="20" s="1"/>
  <c r="F117" i="20"/>
  <c r="BZ117" i="20" s="1"/>
  <c r="G117" i="20" s="1"/>
  <c r="B127" i="20"/>
  <c r="S15" i="20" s="1"/>
  <c r="T15" i="20" s="1"/>
  <c r="J366" i="18"/>
  <c r="C116" i="20"/>
  <c r="F308" i="18" s="1"/>
  <c r="C122" i="20"/>
  <c r="C121" i="20"/>
  <c r="C120" i="20"/>
  <c r="F312" i="18" s="1"/>
  <c r="C119" i="20"/>
  <c r="F311" i="18" s="1"/>
  <c r="C118" i="20"/>
  <c r="F310" i="18" s="1"/>
  <c r="C117" i="20"/>
  <c r="F309" i="18" s="1"/>
  <c r="C126" i="20"/>
  <c r="F318" i="18" s="1"/>
  <c r="C125" i="20"/>
  <c r="F317" i="18" s="1"/>
  <c r="BX124" i="20" l="1"/>
  <c r="CB124" i="20" s="1"/>
  <c r="BX114" i="20"/>
  <c r="CB114" i="20" s="1"/>
  <c r="I114" i="20"/>
  <c r="G122" i="20"/>
  <c r="Y10" i="20"/>
  <c r="Z10" i="20" s="1"/>
  <c r="BW121" i="20"/>
  <c r="CK121" i="20" s="1"/>
  <c r="F313" i="18"/>
  <c r="BW122" i="20"/>
  <c r="CK122" i="20" s="1"/>
  <c r="F314" i="18"/>
  <c r="O114" i="20"/>
  <c r="CT126" i="20"/>
  <c r="CV126" i="20" s="1"/>
  <c r="CT124" i="20"/>
  <c r="CV124" i="20" s="1"/>
  <c r="CT125" i="20"/>
  <c r="CV125" i="20" s="1"/>
  <c r="G128" i="20"/>
  <c r="K122" i="20" s="1"/>
  <c r="F127" i="20"/>
  <c r="K119" i="20" s="1"/>
  <c r="F128" i="20"/>
  <c r="O123" i="20"/>
  <c r="S14" i="20"/>
  <c r="T14" i="20" s="1"/>
  <c r="BW126" i="20"/>
  <c r="CK126" i="20" s="1"/>
  <c r="S6" i="20"/>
  <c r="T6" i="20" s="1"/>
  <c r="BW118" i="20"/>
  <c r="CK118" i="20" s="1"/>
  <c r="S8" i="20"/>
  <c r="T8" i="20" s="1"/>
  <c r="BW120" i="20"/>
  <c r="CK120" i="20" s="1"/>
  <c r="BX123" i="20"/>
  <c r="CB123" i="20" s="1"/>
  <c r="G124" i="20"/>
  <c r="Y12" i="20"/>
  <c r="Z12" i="20" s="1"/>
  <c r="G126" i="20"/>
  <c r="Y14" i="20"/>
  <c r="Z14" i="20" s="1"/>
  <c r="S13" i="20"/>
  <c r="T13" i="20" s="1"/>
  <c r="BW125" i="20"/>
  <c r="CK125" i="20" s="1"/>
  <c r="S5" i="20"/>
  <c r="T5" i="20" s="1"/>
  <c r="BW117" i="20"/>
  <c r="CK117" i="20" s="1"/>
  <c r="S7" i="20"/>
  <c r="T7" i="20" s="1"/>
  <c r="BW119" i="20"/>
  <c r="CK119" i="20" s="1"/>
  <c r="S4" i="20"/>
  <c r="T4" i="20" s="1"/>
  <c r="BW116" i="20"/>
  <c r="CK116" i="20" s="1"/>
  <c r="O124" i="20"/>
  <c r="G123" i="20"/>
  <c r="Y11" i="20"/>
  <c r="Z11" i="20" s="1"/>
  <c r="G125" i="20"/>
  <c r="Y13" i="20"/>
  <c r="Z13" i="20" s="1"/>
  <c r="BX115" i="20"/>
  <c r="CB115" i="20" s="1"/>
  <c r="Y8" i="20"/>
  <c r="Z8" i="20" s="1"/>
  <c r="Y6" i="20"/>
  <c r="Z6" i="20" s="1"/>
  <c r="Y5" i="20"/>
  <c r="Z5" i="20" s="1"/>
  <c r="Y7" i="20"/>
  <c r="Z7" i="20" s="1"/>
  <c r="N122" i="20"/>
  <c r="N117" i="20"/>
  <c r="Y3" i="20"/>
  <c r="Z3" i="20" s="1"/>
  <c r="Y2" i="20"/>
  <c r="Y4" i="20"/>
  <c r="Z4" i="20" s="1"/>
  <c r="Y9" i="20"/>
  <c r="Z9" i="20" s="1"/>
  <c r="O121" i="20"/>
  <c r="O125" i="20"/>
  <c r="O122" i="20"/>
  <c r="O126" i="20"/>
  <c r="O120" i="20"/>
  <c r="O119" i="20"/>
  <c r="O118" i="20"/>
  <c r="O117" i="20"/>
  <c r="O116" i="20"/>
  <c r="O115" i="20"/>
  <c r="AH127" i="20"/>
  <c r="D122" i="20"/>
  <c r="S10" i="20"/>
  <c r="T10" i="20" s="1"/>
  <c r="D119" i="20"/>
  <c r="D125" i="20"/>
  <c r="D121" i="20"/>
  <c r="S9" i="20"/>
  <c r="T9" i="20" s="1"/>
  <c r="D117" i="20"/>
  <c r="D120" i="20"/>
  <c r="D118" i="20"/>
  <c r="D126" i="20"/>
  <c r="D116" i="20"/>
  <c r="D366" i="18"/>
  <c r="K366" i="18" s="1"/>
  <c r="H297" i="18"/>
  <c r="H294" i="18"/>
  <c r="H293" i="18"/>
  <c r="H292" i="18"/>
  <c r="H291" i="18"/>
  <c r="H290" i="18"/>
  <c r="H288" i="18"/>
  <c r="H287" i="18"/>
  <c r="H286" i="18"/>
  <c r="H285" i="18"/>
  <c r="H284" i="18"/>
  <c r="H283" i="18" s="1"/>
  <c r="H282" i="18"/>
  <c r="H281" i="18"/>
  <c r="H280" i="18"/>
  <c r="H279" i="18"/>
  <c r="H278" i="18"/>
  <c r="H277" i="18"/>
  <c r="I124" i="20" l="1"/>
  <c r="BX126" i="20"/>
  <c r="CB126" i="20" s="1"/>
  <c r="I126" i="20"/>
  <c r="BX120" i="20"/>
  <c r="CB120" i="20" s="1"/>
  <c r="I120" i="20"/>
  <c r="I125" i="20"/>
  <c r="BX116" i="20"/>
  <c r="CB116" i="20" s="1"/>
  <c r="I116" i="20"/>
  <c r="BX118" i="20"/>
  <c r="CB118" i="20" s="1"/>
  <c r="I118" i="20"/>
  <c r="BX117" i="20"/>
  <c r="CB117" i="20" s="1"/>
  <c r="I117" i="20"/>
  <c r="BX121" i="20"/>
  <c r="CB121" i="20" s="1"/>
  <c r="I121" i="20"/>
  <c r="BX119" i="20"/>
  <c r="CB119" i="20" s="1"/>
  <c r="I119" i="20"/>
  <c r="BX122" i="20"/>
  <c r="CB122" i="20" s="1"/>
  <c r="I122" i="20"/>
  <c r="I123" i="20"/>
  <c r="DE124" i="20"/>
  <c r="CK128" i="20"/>
  <c r="CT117" i="20" s="1"/>
  <c r="CV117" i="20" s="1"/>
  <c r="N120" i="20"/>
  <c r="CH117" i="20"/>
  <c r="B494" i="20"/>
  <c r="B495" i="20" s="1"/>
  <c r="CE119" i="20"/>
  <c r="N125" i="20"/>
  <c r="CH122" i="20"/>
  <c r="K123" i="20"/>
  <c r="CE122" i="20"/>
  <c r="K120" i="20"/>
  <c r="CE120" i="20" s="1"/>
  <c r="P122" i="20"/>
  <c r="H124" i="20"/>
  <c r="H126" i="20"/>
  <c r="P125" i="20"/>
  <c r="P124" i="20"/>
  <c r="P123" i="20"/>
  <c r="P126" i="20"/>
  <c r="H123" i="20"/>
  <c r="U10" i="20"/>
  <c r="V4" i="20"/>
  <c r="V7" i="20"/>
  <c r="P121" i="20"/>
  <c r="H125" i="20"/>
  <c r="BX125" i="20"/>
  <c r="CB125" i="20" s="1"/>
  <c r="V15" i="20"/>
  <c r="V2" i="20"/>
  <c r="U13" i="20"/>
  <c r="U5" i="20"/>
  <c r="P118" i="20"/>
  <c r="P120" i="20"/>
  <c r="P119" i="20"/>
  <c r="V10" i="20"/>
  <c r="P116" i="20"/>
  <c r="O128" i="20"/>
  <c r="P114" i="20"/>
  <c r="P115" i="20"/>
  <c r="P117" i="20"/>
  <c r="BN128" i="20"/>
  <c r="U14" i="20"/>
  <c r="U6" i="20"/>
  <c r="V11" i="20"/>
  <c r="V3" i="20"/>
  <c r="U9" i="20"/>
  <c r="V14" i="20"/>
  <c r="V6" i="20"/>
  <c r="U15" i="20"/>
  <c r="U12" i="20"/>
  <c r="U8" i="20"/>
  <c r="U4" i="20"/>
  <c r="V13" i="20"/>
  <c r="V9" i="20"/>
  <c r="V5" i="20"/>
  <c r="U2" i="20"/>
  <c r="U11" i="20"/>
  <c r="U7" i="20"/>
  <c r="U3" i="20"/>
  <c r="V12" i="20"/>
  <c r="V8" i="20"/>
  <c r="E132" i="20"/>
  <c r="H289" i="18"/>
  <c r="H276" i="18"/>
  <c r="AB125" i="20"/>
  <c r="AB120" i="20"/>
  <c r="AB117" i="20"/>
  <c r="AB119" i="20"/>
  <c r="AB118" i="20"/>
  <c r="AB124" i="20"/>
  <c r="AB116" i="20"/>
  <c r="AB126" i="20"/>
  <c r="AB123" i="20"/>
  <c r="AB122" i="20"/>
  <c r="AB121" i="20"/>
  <c r="AB115" i="20"/>
  <c r="G82" i="20"/>
  <c r="G83" i="20"/>
  <c r="G84" i="20"/>
  <c r="G85" i="20"/>
  <c r="G81" i="20"/>
  <c r="L113" i="20" l="1"/>
  <c r="K113" i="20"/>
  <c r="J113" i="20"/>
  <c r="L114" i="20"/>
  <c r="L116" i="20" s="1"/>
  <c r="CF116" i="20" s="1"/>
  <c r="J114" i="20"/>
  <c r="J116" i="20" s="1"/>
  <c r="D557" i="20" s="1"/>
  <c r="K114" i="20"/>
  <c r="K116" i="20" s="1"/>
  <c r="CE116" i="20" s="1"/>
  <c r="CT116" i="20"/>
  <c r="CV116" i="20" s="1"/>
  <c r="B496" i="20"/>
  <c r="CT118" i="20"/>
  <c r="CV118" i="20" s="1"/>
  <c r="B515" i="20"/>
  <c r="CE123" i="20"/>
  <c r="J123" i="20"/>
  <c r="CH125" i="20"/>
  <c r="J120" i="20"/>
  <c r="CH120" i="20"/>
  <c r="L131" i="20"/>
  <c r="G600" i="20"/>
  <c r="J600" i="20" s="1"/>
  <c r="G599" i="20"/>
  <c r="J599" i="20" s="1"/>
  <c r="G601" i="20"/>
  <c r="J601" i="20" s="1"/>
  <c r="BN129" i="20"/>
  <c r="BN130" i="20" s="1"/>
  <c r="R128" i="20"/>
  <c r="R129" i="20" s="1"/>
  <c r="K473" i="20" s="1"/>
  <c r="BO128" i="20"/>
  <c r="C536" i="20" s="1"/>
  <c r="BO129" i="20"/>
  <c r="G536" i="20" s="1"/>
  <c r="H117" i="20"/>
  <c r="H121" i="20"/>
  <c r="H120" i="20"/>
  <c r="H118" i="20"/>
  <c r="H119" i="20"/>
  <c r="H116" i="20"/>
  <c r="H115" i="20"/>
  <c r="H114" i="20"/>
  <c r="H122" i="20"/>
  <c r="Z2" i="20"/>
  <c r="AA2" i="20" s="1"/>
  <c r="B80" i="20"/>
  <c r="D63" i="20"/>
  <c r="C63" i="20"/>
  <c r="C78" i="20" s="1"/>
  <c r="B559" i="20" l="1"/>
  <c r="B557" i="20"/>
  <c r="B558" i="20"/>
  <c r="T114" i="20"/>
  <c r="R113" i="20"/>
  <c r="T113" i="20"/>
  <c r="S114" i="20"/>
  <c r="R114" i="20"/>
  <c r="S113" i="20"/>
  <c r="D558" i="20"/>
  <c r="D559" i="20"/>
  <c r="B764" i="21"/>
  <c r="DE116" i="20"/>
  <c r="D78" i="20"/>
  <c r="B390" i="20" s="1"/>
  <c r="E72" i="20"/>
  <c r="E71" i="20"/>
  <c r="B536" i="20"/>
  <c r="AI67" i="28"/>
  <c r="K133" i="26"/>
  <c r="J63" i="27"/>
  <c r="E494" i="20"/>
  <c r="G494" i="20" s="1"/>
  <c r="E495" i="20"/>
  <c r="G495" i="20" s="1"/>
  <c r="E496" i="20"/>
  <c r="G496" i="20" s="1"/>
  <c r="E516" i="20"/>
  <c r="G516" i="20" s="1"/>
  <c r="E517" i="20"/>
  <c r="G517" i="20" s="1"/>
  <c r="E515" i="20"/>
  <c r="G515" i="20" s="1"/>
  <c r="B517" i="20"/>
  <c r="B516" i="20"/>
  <c r="CF114" i="20"/>
  <c r="CE114" i="20"/>
  <c r="K474" i="20"/>
  <c r="K475" i="20"/>
  <c r="G537" i="20"/>
  <c r="G538" i="20"/>
  <c r="H537" i="20"/>
  <c r="H538" i="20"/>
  <c r="H536" i="20"/>
  <c r="J536" i="20" s="1"/>
  <c r="C538" i="20"/>
  <c r="C537" i="20"/>
  <c r="K115" i="20"/>
  <c r="CE115" i="20" s="1"/>
  <c r="K117" i="20"/>
  <c r="CE117" i="20" s="1"/>
  <c r="L115" i="20"/>
  <c r="CF115" i="20" s="1"/>
  <c r="AA6" i="20"/>
  <c r="AA10" i="20"/>
  <c r="AA14" i="20"/>
  <c r="AA7" i="20"/>
  <c r="AA11" i="20"/>
  <c r="AA3" i="20"/>
  <c r="AA8" i="20"/>
  <c r="AA12" i="20"/>
  <c r="AA4" i="20"/>
  <c r="AA9" i="20"/>
  <c r="AA13" i="20"/>
  <c r="AA5" i="20"/>
  <c r="G369" i="20"/>
  <c r="G368" i="20"/>
  <c r="G370" i="20"/>
  <c r="BQ127" i="20"/>
  <c r="E63" i="20"/>
  <c r="E66" i="20"/>
  <c r="E67" i="20"/>
  <c r="E77" i="20"/>
  <c r="E68" i="20"/>
  <c r="E76" i="20"/>
  <c r="E75" i="20"/>
  <c r="E74" i="20"/>
  <c r="E64" i="20"/>
  <c r="E65" i="20"/>
  <c r="E70" i="20"/>
  <c r="E69" i="20"/>
  <c r="E73" i="20"/>
  <c r="H297" i="21"/>
  <c r="H294" i="21"/>
  <c r="F47" i="20"/>
  <c r="E47" i="20"/>
  <c r="D47" i="20"/>
  <c r="C47" i="20"/>
  <c r="B47" i="20"/>
  <c r="A3" i="20"/>
  <c r="A209" i="20" s="1"/>
  <c r="A215" i="20" s="1"/>
  <c r="A38" i="20"/>
  <c r="A39" i="20"/>
  <c r="A40" i="20"/>
  <c r="A41" i="20"/>
  <c r="A37" i="20"/>
  <c r="H298" i="21" l="1"/>
  <c r="E368" i="20"/>
  <c r="B368" i="20"/>
  <c r="G63" i="20"/>
  <c r="I63" i="20" s="1"/>
  <c r="B369" i="20"/>
  <c r="B389" i="20"/>
  <c r="G64" i="20"/>
  <c r="H64" i="20" s="1"/>
  <c r="E369" i="20"/>
  <c r="E370" i="20"/>
  <c r="B391" i="20"/>
  <c r="B370" i="20"/>
  <c r="E475" i="20"/>
  <c r="E474" i="20"/>
  <c r="E473" i="20"/>
  <c r="I475" i="20"/>
  <c r="I473" i="20"/>
  <c r="I474" i="20"/>
  <c r="U114" i="20"/>
  <c r="AA72" i="20"/>
  <c r="X621" i="20"/>
  <c r="X622" i="20"/>
  <c r="A670" i="21"/>
  <c r="J92" i="26"/>
  <c r="A227" i="27"/>
  <c r="AA61" i="28"/>
  <c r="AA64" i="28"/>
  <c r="J95" i="26"/>
  <c r="A674" i="21"/>
  <c r="A230" i="27"/>
  <c r="AA64" i="20"/>
  <c r="AA66" i="20"/>
  <c r="AA68" i="20"/>
  <c r="AA70" i="20"/>
  <c r="AA73" i="20"/>
  <c r="AA75" i="20"/>
  <c r="AA77" i="20"/>
  <c r="AA65" i="20"/>
  <c r="AA67" i="20"/>
  <c r="AA69" i="20"/>
  <c r="AA71" i="20"/>
  <c r="AA74" i="20"/>
  <c r="AA76" i="20"/>
  <c r="AA63" i="20"/>
  <c r="G474" i="20"/>
  <c r="G475" i="20"/>
  <c r="C559" i="20"/>
  <c r="C558" i="20"/>
  <c r="C557" i="20"/>
  <c r="B537" i="20"/>
  <c r="J537" i="20" s="1"/>
  <c r="B538" i="20"/>
  <c r="J538" i="20" s="1"/>
  <c r="C473" i="20"/>
  <c r="C474" i="20"/>
  <c r="C475" i="20"/>
  <c r="G473" i="20"/>
  <c r="AB6" i="20"/>
  <c r="K68" i="20"/>
  <c r="L68" i="20"/>
  <c r="AB5" i="20"/>
  <c r="J115" i="20"/>
  <c r="K118" i="20"/>
  <c r="I48" i="20"/>
  <c r="G48" i="20"/>
  <c r="I64" i="20" l="1"/>
  <c r="E559" i="20"/>
  <c r="E558" i="20"/>
  <c r="E557" i="20"/>
  <c r="C222" i="27"/>
  <c r="AC56" i="28"/>
  <c r="A677" i="21"/>
  <c r="L87" i="26"/>
  <c r="CE118" i="20"/>
  <c r="E328" i="20"/>
  <c r="E326" i="20"/>
  <c r="E327" i="20"/>
  <c r="B475" i="20"/>
  <c r="B474" i="20"/>
  <c r="B473" i="20"/>
  <c r="E390" i="20"/>
  <c r="E391" i="20"/>
  <c r="E389" i="20"/>
  <c r="C390" i="20"/>
  <c r="C389" i="20"/>
  <c r="C391" i="20"/>
  <c r="AB2" i="20"/>
  <c r="AB11" i="20"/>
  <c r="AB10" i="20"/>
  <c r="AB3" i="20"/>
  <c r="AB14" i="20"/>
  <c r="AB12" i="20"/>
  <c r="AB8" i="20"/>
  <c r="AB7" i="20"/>
  <c r="AB13" i="20"/>
  <c r="AB4" i="20"/>
  <c r="AB9" i="20"/>
  <c r="K48" i="20"/>
  <c r="CG114" i="20"/>
  <c r="L46" i="20"/>
  <c r="M46" i="20"/>
  <c r="O46" i="20"/>
  <c r="K46" i="20"/>
  <c r="P46" i="20"/>
  <c r="N46" i="20"/>
  <c r="H63" i="20"/>
  <c r="J48" i="20"/>
  <c r="G559" i="20" l="1"/>
  <c r="G558" i="20"/>
  <c r="G557" i="20"/>
  <c r="B328" i="20"/>
  <c r="B326" i="20"/>
  <c r="B327" i="20"/>
  <c r="K327" i="20"/>
  <c r="K328" i="20"/>
  <c r="K326" i="20"/>
  <c r="I326" i="20"/>
  <c r="I327" i="20"/>
  <c r="I328" i="20"/>
  <c r="C327" i="20"/>
  <c r="C328" i="20"/>
  <c r="C326" i="20"/>
  <c r="J327" i="20"/>
  <c r="J328" i="20"/>
  <c r="J326" i="20"/>
  <c r="N327" i="20"/>
  <c r="N328" i="20"/>
  <c r="N326" i="20"/>
  <c r="L326" i="20"/>
  <c r="L327" i="20"/>
  <c r="L328" i="20"/>
  <c r="G328" i="20"/>
  <c r="G326" i="20"/>
  <c r="G327" i="20"/>
  <c r="L474" i="20"/>
  <c r="L475" i="20"/>
  <c r="L473" i="20"/>
  <c r="G391" i="20"/>
  <c r="G390" i="20"/>
  <c r="G389" i="20"/>
  <c r="K63" i="20"/>
  <c r="M124" i="27" l="1"/>
  <c r="H653" i="21"/>
  <c r="X58" i="28"/>
  <c r="G617" i="21"/>
  <c r="G124" i="26"/>
  <c r="O88" i="27"/>
  <c r="AD23" i="28"/>
  <c r="AF56" i="26"/>
  <c r="E233" i="27"/>
  <c r="AE67" i="28"/>
  <c r="N98" i="26"/>
  <c r="F469" i="21"/>
  <c r="P328" i="20"/>
  <c r="P327" i="20"/>
  <c r="P326" i="20"/>
  <c r="H268" i="18"/>
  <c r="E268" i="18"/>
  <c r="B268" i="18"/>
  <c r="H267" i="18"/>
  <c r="E267" i="18"/>
  <c r="B267" i="18"/>
  <c r="H266" i="18"/>
  <c r="E266" i="18"/>
  <c r="B266" i="18"/>
  <c r="H265" i="18"/>
  <c r="E265" i="18"/>
  <c r="B265" i="18"/>
  <c r="H264" i="18"/>
  <c r="E264" i="18"/>
  <c r="B264" i="18"/>
  <c r="H263" i="18"/>
  <c r="E263" i="18"/>
  <c r="B263" i="18"/>
  <c r="H262" i="18"/>
  <c r="E262" i="18"/>
  <c r="B262" i="18"/>
  <c r="H261" i="18"/>
  <c r="E261" i="18"/>
  <c r="B261" i="18"/>
  <c r="H260" i="18"/>
  <c r="E260" i="18"/>
  <c r="B260" i="18"/>
  <c r="H259" i="18"/>
  <c r="E259" i="18"/>
  <c r="B259" i="18"/>
  <c r="H258" i="18"/>
  <c r="E258" i="18"/>
  <c r="B258" i="18"/>
  <c r="H257" i="18"/>
  <c r="E257" i="18"/>
  <c r="H255" i="18"/>
  <c r="E255" i="18"/>
  <c r="B255" i="18"/>
  <c r="H254" i="18"/>
  <c r="E254" i="18"/>
  <c r="B254" i="18"/>
  <c r="H253" i="18"/>
  <c r="E253" i="18"/>
  <c r="B253" i="18"/>
  <c r="H252" i="18"/>
  <c r="E252" i="18"/>
  <c r="B252" i="18"/>
  <c r="H251" i="18"/>
  <c r="E251" i="18"/>
  <c r="B251" i="18"/>
  <c r="H250" i="18"/>
  <c r="E250" i="18"/>
  <c r="B250" i="18"/>
  <c r="H249" i="18"/>
  <c r="E249" i="18"/>
  <c r="B249" i="18"/>
  <c r="H248" i="18"/>
  <c r="E248" i="18"/>
  <c r="B248" i="18"/>
  <c r="H247" i="18"/>
  <c r="E247" i="18"/>
  <c r="B247" i="18"/>
  <c r="H246" i="18"/>
  <c r="E246" i="18"/>
  <c r="B246" i="18"/>
  <c r="H245" i="18"/>
  <c r="E245" i="18"/>
  <c r="B245" i="18"/>
  <c r="H244" i="18"/>
  <c r="E244" i="18"/>
  <c r="H237" i="18"/>
  <c r="E237" i="18"/>
  <c r="B237" i="18"/>
  <c r="H236" i="18"/>
  <c r="E236" i="18"/>
  <c r="B236" i="18"/>
  <c r="H235" i="18"/>
  <c r="E235" i="18"/>
  <c r="B235" i="18"/>
  <c r="H234" i="18"/>
  <c r="E234" i="18"/>
  <c r="B234" i="18"/>
  <c r="H233" i="18"/>
  <c r="E233" i="18"/>
  <c r="B233" i="18"/>
  <c r="H232" i="18"/>
  <c r="E232" i="18"/>
  <c r="B232" i="18"/>
  <c r="H231" i="18"/>
  <c r="E231" i="18"/>
  <c r="B231" i="18"/>
  <c r="H230" i="18"/>
  <c r="E230" i="18"/>
  <c r="B230" i="18"/>
  <c r="H229" i="18"/>
  <c r="E229" i="18"/>
  <c r="B229" i="18"/>
  <c r="H228" i="18"/>
  <c r="E228" i="18"/>
  <c r="B228" i="18"/>
  <c r="H227" i="18"/>
  <c r="E227" i="18"/>
  <c r="B227" i="18"/>
  <c r="H226" i="18"/>
  <c r="E226" i="18"/>
  <c r="H224" i="18"/>
  <c r="E224" i="18"/>
  <c r="B224" i="18"/>
  <c r="H223" i="18"/>
  <c r="E223" i="18"/>
  <c r="B223" i="18"/>
  <c r="H222" i="18"/>
  <c r="E222" i="18"/>
  <c r="B222" i="18"/>
  <c r="H221" i="18"/>
  <c r="E221" i="18"/>
  <c r="B221" i="18"/>
  <c r="H220" i="18"/>
  <c r="E220" i="18"/>
  <c r="B220" i="18"/>
  <c r="H219" i="18"/>
  <c r="E219" i="18"/>
  <c r="B219" i="18"/>
  <c r="H218" i="18"/>
  <c r="E218" i="18"/>
  <c r="B218" i="18"/>
  <c r="H217" i="18"/>
  <c r="E217" i="18"/>
  <c r="B217" i="18"/>
  <c r="H216" i="18"/>
  <c r="E216" i="18"/>
  <c r="B216" i="18"/>
  <c r="H215" i="18"/>
  <c r="E215" i="18"/>
  <c r="B215" i="18"/>
  <c r="H214" i="18"/>
  <c r="E214" i="18"/>
  <c r="B214" i="18"/>
  <c r="H213" i="18"/>
  <c r="E213" i="18"/>
  <c r="B213" i="18"/>
  <c r="D80" i="20"/>
  <c r="K66" i="20" s="1"/>
  <c r="C80" i="20"/>
  <c r="G191" i="18"/>
  <c r="B85" i="20" s="1"/>
  <c r="F191" i="18"/>
  <c r="B84" i="20" s="1"/>
  <c r="E191" i="18"/>
  <c r="B83" i="20" s="1"/>
  <c r="D191" i="18"/>
  <c r="B82" i="20" s="1"/>
  <c r="C191" i="18"/>
  <c r="B81" i="20" s="1"/>
  <c r="G198" i="18"/>
  <c r="C85" i="20" s="1"/>
  <c r="F198" i="18"/>
  <c r="C84" i="20" s="1"/>
  <c r="E198" i="18"/>
  <c r="C83" i="20" s="1"/>
  <c r="D198" i="18"/>
  <c r="C82" i="20" s="1"/>
  <c r="C81" i="20"/>
  <c r="D205" i="18"/>
  <c r="D82" i="20" s="1"/>
  <c r="E205" i="18"/>
  <c r="D83" i="20" s="1"/>
  <c r="F205" i="18"/>
  <c r="D84" i="20" s="1"/>
  <c r="G205" i="18"/>
  <c r="D85" i="20" s="1"/>
  <c r="C205" i="18"/>
  <c r="D81" i="20" s="1"/>
  <c r="S31" i="26" l="1"/>
  <c r="A99" i="27"/>
  <c r="A105" i="28"/>
  <c r="D300" i="21"/>
  <c r="B90" i="20"/>
  <c r="C90" i="20"/>
  <c r="DC2" i="20" s="1"/>
  <c r="D90" i="20"/>
  <c r="DD2" i="20" s="1"/>
  <c r="D92" i="20"/>
  <c r="DD4" i="20" s="1"/>
  <c r="B92" i="20"/>
  <c r="C92" i="20"/>
  <c r="DC4" i="20" s="1"/>
  <c r="D94" i="20"/>
  <c r="DD6" i="20" s="1"/>
  <c r="B94" i="20"/>
  <c r="C94" i="20"/>
  <c r="DC6" i="20" s="1"/>
  <c r="H90" i="20"/>
  <c r="G90" i="20"/>
  <c r="F90" i="20"/>
  <c r="X90" i="20" s="1"/>
  <c r="G91" i="20"/>
  <c r="F91" i="20"/>
  <c r="X91" i="20" s="1"/>
  <c r="H91" i="20"/>
  <c r="G93" i="20"/>
  <c r="F93" i="20"/>
  <c r="X93" i="20" s="1"/>
  <c r="H93" i="20"/>
  <c r="G95" i="20"/>
  <c r="F95" i="20"/>
  <c r="X95" i="20" s="1"/>
  <c r="H95" i="20"/>
  <c r="G97" i="20"/>
  <c r="F97" i="20"/>
  <c r="X97" i="20" s="1"/>
  <c r="H97" i="20"/>
  <c r="G99" i="20"/>
  <c r="F99" i="20"/>
  <c r="X99" i="20" s="1"/>
  <c r="H99" i="20"/>
  <c r="G101" i="20"/>
  <c r="F101" i="20"/>
  <c r="X101" i="20" s="1"/>
  <c r="H101" i="20"/>
  <c r="J92" i="20"/>
  <c r="L92" i="20"/>
  <c r="DN4" i="20" s="1"/>
  <c r="K92" i="20"/>
  <c r="DM4" i="20" s="1"/>
  <c r="J94" i="20"/>
  <c r="L94" i="20"/>
  <c r="DN6" i="20" s="1"/>
  <c r="K94" i="20"/>
  <c r="DM6" i="20" s="1"/>
  <c r="J96" i="20"/>
  <c r="L96" i="20"/>
  <c r="DN8" i="20" s="1"/>
  <c r="K96" i="20"/>
  <c r="DM8" i="20" s="1"/>
  <c r="J98" i="20"/>
  <c r="L98" i="20"/>
  <c r="DN10" i="20" s="1"/>
  <c r="K98" i="20"/>
  <c r="DM10" i="20" s="1"/>
  <c r="J100" i="20"/>
  <c r="L100" i="20"/>
  <c r="DN12" i="20" s="1"/>
  <c r="K100" i="20"/>
  <c r="DM12" i="20" s="1"/>
  <c r="N90" i="20"/>
  <c r="AJ90" i="20" s="1"/>
  <c r="P90" i="20"/>
  <c r="O90" i="20"/>
  <c r="O91" i="20"/>
  <c r="N91" i="20"/>
  <c r="AJ91" i="20" s="1"/>
  <c r="P91" i="20"/>
  <c r="O93" i="20"/>
  <c r="N93" i="20"/>
  <c r="AJ93" i="20" s="1"/>
  <c r="P93" i="20"/>
  <c r="O95" i="20"/>
  <c r="N95" i="20"/>
  <c r="AJ95" i="20" s="1"/>
  <c r="P95" i="20"/>
  <c r="D91" i="20"/>
  <c r="DD3" i="20" s="1"/>
  <c r="C91" i="20"/>
  <c r="DC3" i="20" s="1"/>
  <c r="B91" i="20"/>
  <c r="D93" i="20"/>
  <c r="DD5" i="20" s="1"/>
  <c r="C93" i="20"/>
  <c r="DC5" i="20" s="1"/>
  <c r="B93" i="20"/>
  <c r="D95" i="20"/>
  <c r="DD7" i="20" s="1"/>
  <c r="C95" i="20"/>
  <c r="DC7" i="20" s="1"/>
  <c r="B95" i="20"/>
  <c r="F92" i="20"/>
  <c r="X92" i="20" s="1"/>
  <c r="H92" i="20"/>
  <c r="G92" i="20"/>
  <c r="F94" i="20"/>
  <c r="X94" i="20" s="1"/>
  <c r="H94" i="20"/>
  <c r="G94" i="20"/>
  <c r="F96" i="20"/>
  <c r="X96" i="20" s="1"/>
  <c r="H96" i="20"/>
  <c r="G96" i="20"/>
  <c r="F98" i="20"/>
  <c r="X98" i="20" s="1"/>
  <c r="H98" i="20"/>
  <c r="G98" i="20"/>
  <c r="F100" i="20"/>
  <c r="X100" i="20" s="1"/>
  <c r="H100" i="20"/>
  <c r="G100" i="20"/>
  <c r="L90" i="20"/>
  <c r="DN2" i="20" s="1"/>
  <c r="K90" i="20"/>
  <c r="DM2" i="20" s="1"/>
  <c r="J90" i="20"/>
  <c r="K91" i="20"/>
  <c r="DM3" i="20" s="1"/>
  <c r="J91" i="20"/>
  <c r="L91" i="20"/>
  <c r="DN3" i="20" s="1"/>
  <c r="K93" i="20"/>
  <c r="DM5" i="20" s="1"/>
  <c r="J93" i="20"/>
  <c r="L93" i="20"/>
  <c r="DN5" i="20" s="1"/>
  <c r="K95" i="20"/>
  <c r="DM7" i="20" s="1"/>
  <c r="J95" i="20"/>
  <c r="L95" i="20"/>
  <c r="DN7" i="20" s="1"/>
  <c r="K97" i="20"/>
  <c r="DM9" i="20" s="1"/>
  <c r="J97" i="20"/>
  <c r="L97" i="20"/>
  <c r="DN9" i="20" s="1"/>
  <c r="K99" i="20"/>
  <c r="DM11" i="20" s="1"/>
  <c r="J99" i="20"/>
  <c r="L99" i="20"/>
  <c r="DN11" i="20" s="1"/>
  <c r="K101" i="20"/>
  <c r="DM13" i="20" s="1"/>
  <c r="J101" i="20"/>
  <c r="L101" i="20"/>
  <c r="DN13" i="20" s="1"/>
  <c r="N92" i="20"/>
  <c r="AJ92" i="20" s="1"/>
  <c r="P92" i="20"/>
  <c r="O92" i="20"/>
  <c r="N94" i="20"/>
  <c r="AJ94" i="20" s="1"/>
  <c r="P94" i="20"/>
  <c r="O94" i="20"/>
  <c r="C96" i="20"/>
  <c r="DC8" i="20" s="1"/>
  <c r="D96" i="20"/>
  <c r="DD8" i="20" s="1"/>
  <c r="B96" i="20"/>
  <c r="C99" i="20"/>
  <c r="DC11" i="20" s="1"/>
  <c r="D99" i="20"/>
  <c r="DD11" i="20" s="1"/>
  <c r="B99" i="20"/>
  <c r="DB11" i="20" s="1"/>
  <c r="C101" i="20"/>
  <c r="DC13" i="20" s="1"/>
  <c r="D101" i="20"/>
  <c r="DD13" i="20" s="1"/>
  <c r="B101" i="20"/>
  <c r="DB13" i="20" s="1"/>
  <c r="C98" i="20"/>
  <c r="DC10" i="20" s="1"/>
  <c r="B98" i="20"/>
  <c r="D98" i="20"/>
  <c r="DD10" i="20" s="1"/>
  <c r="C100" i="20"/>
  <c r="DC12" i="20" s="1"/>
  <c r="B100" i="20"/>
  <c r="DB12" i="20" s="1"/>
  <c r="D100" i="20"/>
  <c r="DD12" i="20" s="1"/>
  <c r="C97" i="20"/>
  <c r="DC9" i="20" s="1"/>
  <c r="B97" i="20"/>
  <c r="D97" i="20"/>
  <c r="DD9" i="20" s="1"/>
  <c r="O101" i="20"/>
  <c r="N101" i="20"/>
  <c r="AJ101" i="20" s="1"/>
  <c r="P101" i="20"/>
  <c r="O100" i="20"/>
  <c r="N100" i="20"/>
  <c r="AJ100" i="20" s="1"/>
  <c r="P100" i="20"/>
  <c r="O99" i="20"/>
  <c r="N99" i="20"/>
  <c r="AJ99" i="20" s="1"/>
  <c r="P99" i="20"/>
  <c r="O98" i="20"/>
  <c r="N98" i="20"/>
  <c r="AJ98" i="20" s="1"/>
  <c r="P98" i="20"/>
  <c r="O97" i="20"/>
  <c r="N97" i="20"/>
  <c r="AJ97" i="20" s="1"/>
  <c r="P97" i="20"/>
  <c r="O96" i="20"/>
  <c r="N96" i="20"/>
  <c r="AJ96" i="20" s="1"/>
  <c r="P96" i="20"/>
  <c r="H82" i="20"/>
  <c r="H81" i="20"/>
  <c r="H83" i="20"/>
  <c r="H84" i="20"/>
  <c r="H85" i="20"/>
  <c r="G351" i="21"/>
  <c r="G352" i="21"/>
  <c r="G353" i="21"/>
  <c r="G354" i="21"/>
  <c r="G355" i="21"/>
  <c r="G356" i="21"/>
  <c r="G357" i="21"/>
  <c r="G358" i="21"/>
  <c r="G359" i="21"/>
  <c r="G360" i="21"/>
  <c r="G361" i="21"/>
  <c r="G362" i="21"/>
  <c r="G363" i="21"/>
  <c r="G364" i="21"/>
  <c r="F351" i="21"/>
  <c r="F352" i="21"/>
  <c r="F353" i="21"/>
  <c r="F354" i="21"/>
  <c r="F355" i="21"/>
  <c r="F356" i="21"/>
  <c r="F357" i="21"/>
  <c r="F358" i="21"/>
  <c r="F359" i="21"/>
  <c r="F360" i="21"/>
  <c r="F361" i="21"/>
  <c r="F362" i="21"/>
  <c r="F363" i="21"/>
  <c r="F364" i="21"/>
  <c r="D351" i="21"/>
  <c r="D352" i="21"/>
  <c r="D353" i="21"/>
  <c r="D354" i="21"/>
  <c r="D355" i="21"/>
  <c r="D356" i="21"/>
  <c r="D357" i="21"/>
  <c r="D358" i="21"/>
  <c r="D359" i="21"/>
  <c r="D360" i="21"/>
  <c r="D361" i="21"/>
  <c r="D362" i="21"/>
  <c r="D363" i="21"/>
  <c r="D364" i="21"/>
  <c r="C351" i="21"/>
  <c r="C352" i="21"/>
  <c r="C353" i="21"/>
  <c r="C354" i="21"/>
  <c r="C355" i="21"/>
  <c r="C356" i="21"/>
  <c r="C357" i="21"/>
  <c r="C358" i="21"/>
  <c r="C359" i="21"/>
  <c r="C360" i="21"/>
  <c r="C361" i="21"/>
  <c r="C362" i="21"/>
  <c r="C363" i="21"/>
  <c r="C364" i="21"/>
  <c r="A351" i="21"/>
  <c r="A352" i="21"/>
  <c r="A353" i="21"/>
  <c r="A354" i="21"/>
  <c r="A355" i="21"/>
  <c r="A356" i="21"/>
  <c r="A357" i="21"/>
  <c r="A358" i="21"/>
  <c r="A359" i="21"/>
  <c r="A360" i="21"/>
  <c r="A361" i="21"/>
  <c r="A362" i="21"/>
  <c r="A363" i="21"/>
  <c r="A364" i="21"/>
  <c r="DE12" i="20" l="1"/>
  <c r="DE11" i="20"/>
  <c r="AL94" i="20"/>
  <c r="AK94" i="20"/>
  <c r="AD99" i="20"/>
  <c r="DL11" i="20"/>
  <c r="DO11" i="20" s="1"/>
  <c r="AD95" i="20"/>
  <c r="DL7" i="20"/>
  <c r="DO7" i="20" s="1"/>
  <c r="AD91" i="20"/>
  <c r="DL3" i="20"/>
  <c r="DO3" i="20" s="1"/>
  <c r="AD90" i="20"/>
  <c r="DL2" i="20"/>
  <c r="Z98" i="20"/>
  <c r="Y98" i="20"/>
  <c r="Z94" i="20"/>
  <c r="Y94" i="20"/>
  <c r="R95" i="20"/>
  <c r="DB7" i="20"/>
  <c r="DE7" i="20" s="1"/>
  <c r="R91" i="20"/>
  <c r="DB3" i="20"/>
  <c r="DE3" i="20" s="1"/>
  <c r="AK95" i="20"/>
  <c r="AL95" i="20"/>
  <c r="AL91" i="20"/>
  <c r="AK91" i="20"/>
  <c r="AL90" i="20"/>
  <c r="AK90" i="20"/>
  <c r="AD98" i="20"/>
  <c r="DL10" i="20"/>
  <c r="DO10" i="20" s="1"/>
  <c r="AD94" i="20"/>
  <c r="DL6" i="20"/>
  <c r="DO6" i="20" s="1"/>
  <c r="Y99" i="20"/>
  <c r="Z99" i="20"/>
  <c r="Y95" i="20"/>
  <c r="Z95" i="20"/>
  <c r="Z91" i="20"/>
  <c r="Y91" i="20"/>
  <c r="Y90" i="20"/>
  <c r="Z90" i="20"/>
  <c r="R94" i="20"/>
  <c r="DB6" i="20"/>
  <c r="DE6" i="20" s="1"/>
  <c r="R98" i="20"/>
  <c r="S98" i="20" s="1"/>
  <c r="DB10" i="20"/>
  <c r="DE10" i="20" s="1"/>
  <c r="DE13" i="20"/>
  <c r="AK92" i="20"/>
  <c r="AL92" i="20"/>
  <c r="AD101" i="20"/>
  <c r="DL13" i="20"/>
  <c r="DO13" i="20" s="1"/>
  <c r="AD97" i="20"/>
  <c r="DL9" i="20"/>
  <c r="DO9" i="20" s="1"/>
  <c r="AD93" i="20"/>
  <c r="DL5" i="20"/>
  <c r="DO5" i="20" s="1"/>
  <c r="DO2" i="20"/>
  <c r="Z100" i="20"/>
  <c r="Y100" i="20"/>
  <c r="Y96" i="20"/>
  <c r="Z96" i="20"/>
  <c r="Y92" i="20"/>
  <c r="Z92" i="20"/>
  <c r="R93" i="20"/>
  <c r="DB5" i="20"/>
  <c r="DE5" i="20" s="1"/>
  <c r="AL93" i="20"/>
  <c r="AK93" i="20"/>
  <c r="AD100" i="20"/>
  <c r="DL12" i="20"/>
  <c r="DO12" i="20" s="1"/>
  <c r="AD96" i="20"/>
  <c r="DL8" i="20"/>
  <c r="DO8" i="20" s="1"/>
  <c r="DL4" i="20"/>
  <c r="DO4" i="20" s="1"/>
  <c r="AD92" i="20"/>
  <c r="Y101" i="20"/>
  <c r="Z101" i="20"/>
  <c r="Y97" i="20"/>
  <c r="Z97" i="20"/>
  <c r="Z93" i="20"/>
  <c r="Y93" i="20"/>
  <c r="R92" i="20"/>
  <c r="DB4" i="20"/>
  <c r="DE4" i="20" s="1"/>
  <c r="DB2" i="20"/>
  <c r="DE2" i="20" s="1"/>
  <c r="R90" i="20"/>
  <c r="R97" i="20"/>
  <c r="S97" i="20" s="1"/>
  <c r="DB9" i="20"/>
  <c r="DE9" i="20" s="1"/>
  <c r="R96" i="20"/>
  <c r="S96" i="20" s="1"/>
  <c r="DB8" i="20"/>
  <c r="DE8" i="20" s="1"/>
  <c r="AL96" i="20"/>
  <c r="AK96" i="20"/>
  <c r="AL100" i="20"/>
  <c r="AK100" i="20"/>
  <c r="AN3" i="20"/>
  <c r="AL97" i="20"/>
  <c r="AK97" i="20"/>
  <c r="AL101" i="20"/>
  <c r="AK101" i="20"/>
  <c r="AK99" i="20"/>
  <c r="AL99" i="20"/>
  <c r="AL98" i="20"/>
  <c r="AK98" i="20"/>
  <c r="R101" i="20"/>
  <c r="AM4" i="20"/>
  <c r="AN2" i="20"/>
  <c r="R100" i="20"/>
  <c r="AM3" i="20"/>
  <c r="AN4" i="20"/>
  <c r="R99" i="20"/>
  <c r="AM2" i="20"/>
  <c r="M80" i="20"/>
  <c r="M81" i="20" s="1"/>
  <c r="M82" i="20" s="1"/>
  <c r="K80" i="20"/>
  <c r="J80" i="20"/>
  <c r="B411" i="20" s="1"/>
  <c r="L80" i="20"/>
  <c r="N80" i="20"/>
  <c r="P51" i="20"/>
  <c r="O51" i="20"/>
  <c r="N51" i="20"/>
  <c r="M51" i="20"/>
  <c r="L51" i="20"/>
  <c r="DG2" i="20" l="1"/>
  <c r="T92" i="20"/>
  <c r="S92" i="20"/>
  <c r="AE100" i="20"/>
  <c r="AF100" i="20"/>
  <c r="T93" i="20"/>
  <c r="S93" i="20"/>
  <c r="S94" i="20"/>
  <c r="T94" i="20"/>
  <c r="AE98" i="20"/>
  <c r="AF98" i="20"/>
  <c r="T90" i="20"/>
  <c r="S90" i="20"/>
  <c r="AE92" i="20"/>
  <c r="AF92" i="20"/>
  <c r="AF96" i="20"/>
  <c r="AE96" i="20"/>
  <c r="DS4" i="20"/>
  <c r="DS3" i="20"/>
  <c r="DS5" i="20"/>
  <c r="DS7" i="20"/>
  <c r="DS9" i="20"/>
  <c r="DS11" i="20"/>
  <c r="DS13" i="20"/>
  <c r="DR3" i="20"/>
  <c r="DR5" i="20"/>
  <c r="DR7" i="20"/>
  <c r="DR9" i="20"/>
  <c r="DR11" i="20"/>
  <c r="DR13" i="20"/>
  <c r="DQ3" i="20"/>
  <c r="DQ5" i="20"/>
  <c r="DQ7" i="20"/>
  <c r="DQ9" i="20"/>
  <c r="DQ11" i="20"/>
  <c r="DQ13" i="20"/>
  <c r="DP4" i="20"/>
  <c r="DP6" i="20"/>
  <c r="DP8" i="20"/>
  <c r="DP10" i="20"/>
  <c r="DP12" i="20"/>
  <c r="DP2" i="20"/>
  <c r="DS6" i="20"/>
  <c r="DS8" i="20"/>
  <c r="DS10" i="20"/>
  <c r="DS12" i="20"/>
  <c r="DS2" i="20"/>
  <c r="DR4" i="20"/>
  <c r="DR6" i="20"/>
  <c r="DR8" i="20"/>
  <c r="DR10" i="20"/>
  <c r="DR12" i="20"/>
  <c r="DR2" i="20"/>
  <c r="DQ4" i="20"/>
  <c r="DQ6" i="20"/>
  <c r="DQ8" i="20"/>
  <c r="DQ10" i="20"/>
  <c r="DQ12" i="20"/>
  <c r="DQ2" i="20"/>
  <c r="DP3" i="20"/>
  <c r="DP5" i="20"/>
  <c r="DP7" i="20"/>
  <c r="DP9" i="20"/>
  <c r="DP11" i="20"/>
  <c r="DP13" i="20"/>
  <c r="AE93" i="20"/>
  <c r="AF93" i="20"/>
  <c r="AE97" i="20"/>
  <c r="AF97" i="20"/>
  <c r="AE101" i="20"/>
  <c r="AF101" i="20"/>
  <c r="AB98" i="20"/>
  <c r="AC94" i="20"/>
  <c r="AC99" i="20"/>
  <c r="AC100" i="20"/>
  <c r="AB92" i="20"/>
  <c r="AC97" i="20"/>
  <c r="AB100" i="20"/>
  <c r="AB94" i="20"/>
  <c r="AC90" i="20"/>
  <c r="AC95" i="20"/>
  <c r="AC91" i="20"/>
  <c r="AC98" i="20"/>
  <c r="AB91" i="20"/>
  <c r="AB93" i="20"/>
  <c r="AC93" i="20"/>
  <c r="AB96" i="20"/>
  <c r="AB99" i="20"/>
  <c r="AB95" i="20"/>
  <c r="AB101" i="20"/>
  <c r="AB97" i="20"/>
  <c r="AC92" i="20"/>
  <c r="AC96" i="20"/>
  <c r="AB90" i="20"/>
  <c r="AC101" i="20"/>
  <c r="AF94" i="20"/>
  <c r="AE94" i="20"/>
  <c r="S91" i="20"/>
  <c r="T91" i="20"/>
  <c r="T95" i="20"/>
  <c r="S95" i="20"/>
  <c r="AF90" i="20"/>
  <c r="AE90" i="20"/>
  <c r="AE91" i="20"/>
  <c r="AF91" i="20"/>
  <c r="AE95" i="20"/>
  <c r="AF95" i="20"/>
  <c r="AF99" i="20"/>
  <c r="AE99" i="20"/>
  <c r="DI4" i="20"/>
  <c r="DI8" i="20"/>
  <c r="DI12" i="20"/>
  <c r="DH4" i="20"/>
  <c r="DH8" i="20"/>
  <c r="DH12" i="20"/>
  <c r="DG4" i="20"/>
  <c r="DG8" i="20"/>
  <c r="DG12" i="20"/>
  <c r="DF4" i="20"/>
  <c r="DF8" i="20"/>
  <c r="DF12" i="20"/>
  <c r="DF6" i="20"/>
  <c r="DI7" i="20"/>
  <c r="DH7" i="20"/>
  <c r="DG11" i="20"/>
  <c r="DI5" i="20"/>
  <c r="DI9" i="20"/>
  <c r="DI13" i="20"/>
  <c r="DH5" i="20"/>
  <c r="DH9" i="20"/>
  <c r="DH13" i="20"/>
  <c r="DG5" i="20"/>
  <c r="DG9" i="20"/>
  <c r="DG13" i="20"/>
  <c r="DF5" i="20"/>
  <c r="DF9" i="20"/>
  <c r="DF13" i="20"/>
  <c r="DI6" i="20"/>
  <c r="DI10" i="20"/>
  <c r="DI2" i="20"/>
  <c r="DH6" i="20"/>
  <c r="DH10" i="20"/>
  <c r="DH2" i="20"/>
  <c r="DG6" i="20"/>
  <c r="DG10" i="20"/>
  <c r="DF10" i="20"/>
  <c r="DF2" i="20"/>
  <c r="DI3" i="20"/>
  <c r="DI11" i="20"/>
  <c r="DH3" i="20"/>
  <c r="DH11" i="20"/>
  <c r="DG3" i="20"/>
  <c r="DG7" i="20"/>
  <c r="DF3" i="20"/>
  <c r="DF7" i="20"/>
  <c r="DF11" i="20"/>
  <c r="T98" i="20"/>
  <c r="S100" i="20"/>
  <c r="T100" i="20"/>
  <c r="T97" i="20"/>
  <c r="S101" i="20"/>
  <c r="T101" i="20"/>
  <c r="S99" i="20"/>
  <c r="T99" i="20"/>
  <c r="T96" i="20"/>
  <c r="AO92" i="20"/>
  <c r="AN96" i="20"/>
  <c r="AN94" i="20"/>
  <c r="AO101" i="20"/>
  <c r="AO98" i="20"/>
  <c r="AO99" i="20"/>
  <c r="AO96" i="20"/>
  <c r="AN100" i="20"/>
  <c r="AN90" i="20"/>
  <c r="AN93" i="20"/>
  <c r="AN98" i="20"/>
  <c r="AN91" i="20"/>
  <c r="AO100" i="20"/>
  <c r="AO94" i="20"/>
  <c r="AO93" i="20"/>
  <c r="AN97" i="20"/>
  <c r="AO95" i="20"/>
  <c r="AO91" i="20"/>
  <c r="AN92" i="20"/>
  <c r="AO90" i="20"/>
  <c r="AO97" i="20"/>
  <c r="AN101" i="20"/>
  <c r="AN99" i="20"/>
  <c r="AN95" i="20"/>
  <c r="N81" i="20"/>
  <c r="N82" i="20" s="1"/>
  <c r="P412" i="20"/>
  <c r="P411" i="20"/>
  <c r="P410" i="20"/>
  <c r="J81" i="20"/>
  <c r="J82" i="20" s="1"/>
  <c r="C412" i="20"/>
  <c r="B412" i="20"/>
  <c r="B410" i="20"/>
  <c r="C411" i="20"/>
  <c r="C410" i="20"/>
  <c r="L81" i="20"/>
  <c r="L82" i="20" s="1"/>
  <c r="K412" i="20"/>
  <c r="K411" i="20"/>
  <c r="K410" i="20"/>
  <c r="K81" i="20"/>
  <c r="K82" i="20" s="1"/>
  <c r="G412" i="20"/>
  <c r="G411" i="20"/>
  <c r="G410" i="20"/>
  <c r="D62" i="20"/>
  <c r="C62" i="20"/>
  <c r="G9" i="20"/>
  <c r="F9" i="20"/>
  <c r="AH95" i="20" l="1"/>
  <c r="AI97" i="20"/>
  <c r="AI100" i="20"/>
  <c r="AI95" i="20"/>
  <c r="AH97" i="20"/>
  <c r="AH100" i="20"/>
  <c r="AH91" i="20"/>
  <c r="AI99" i="20"/>
  <c r="AH93" i="20"/>
  <c r="AH96" i="20"/>
  <c r="AI91" i="20"/>
  <c r="AI98" i="20"/>
  <c r="AI90" i="20"/>
  <c r="AI96" i="20"/>
  <c r="AH101" i="20"/>
  <c r="AI94" i="20"/>
  <c r="AH90" i="20"/>
  <c r="AI93" i="20"/>
  <c r="AH99" i="20"/>
  <c r="AH94" i="20"/>
  <c r="AH98" i="20"/>
  <c r="AI92" i="20"/>
  <c r="AI101" i="20"/>
  <c r="AH92" i="20"/>
  <c r="V91" i="20"/>
  <c r="W96" i="20"/>
  <c r="V100" i="20"/>
  <c r="W93" i="20"/>
  <c r="W90" i="20"/>
  <c r="V101" i="20"/>
  <c r="W91" i="20"/>
  <c r="V95" i="20"/>
  <c r="W100" i="20"/>
  <c r="W98" i="20"/>
  <c r="W101" i="20"/>
  <c r="V98" i="20"/>
  <c r="W95" i="20"/>
  <c r="V99" i="20"/>
  <c r="V92" i="20"/>
  <c r="V94" i="20"/>
  <c r="V97" i="20"/>
  <c r="W97" i="20"/>
  <c r="W99" i="20"/>
  <c r="W92" i="20"/>
  <c r="V96" i="20"/>
  <c r="V90" i="20"/>
  <c r="W94" i="20"/>
  <c r="V93" i="20"/>
  <c r="C368" i="20"/>
  <c r="I368" i="20" s="1"/>
  <c r="C369" i="20"/>
  <c r="I369" i="20" s="1"/>
  <c r="C370" i="20"/>
  <c r="I370" i="20" s="1"/>
  <c r="P80" i="20"/>
  <c r="E411" i="20"/>
  <c r="E410" i="20"/>
  <c r="E412" i="20"/>
  <c r="I411" i="20"/>
  <c r="I410" i="20"/>
  <c r="I412" i="20"/>
  <c r="M411" i="20"/>
  <c r="M410" i="20"/>
  <c r="M412" i="20"/>
  <c r="K64" i="20"/>
  <c r="F10" i="20"/>
  <c r="G10" i="20"/>
  <c r="J453" i="20" l="1"/>
  <c r="G453" i="20"/>
  <c r="J452" i="20"/>
  <c r="G454" i="20"/>
  <c r="J454" i="20"/>
  <c r="G452" i="20"/>
  <c r="H454" i="20"/>
  <c r="H452" i="20"/>
  <c r="H453" i="20"/>
  <c r="B453" i="20"/>
  <c r="B452" i="20"/>
  <c r="B454" i="20"/>
  <c r="E453" i="20"/>
  <c r="E454" i="20"/>
  <c r="E452" i="20"/>
  <c r="AA7" i="28"/>
  <c r="A435" i="21"/>
  <c r="AC39" i="26"/>
  <c r="J106" i="27"/>
  <c r="R410" i="20"/>
  <c r="G11" i="20"/>
  <c r="Q243" i="20"/>
  <c r="Q244" i="20"/>
  <c r="Q242" i="20"/>
  <c r="F11" i="20"/>
  <c r="H243" i="20"/>
  <c r="H244" i="20"/>
  <c r="H242" i="20"/>
  <c r="R412" i="20"/>
  <c r="R411" i="20"/>
  <c r="I53" i="20"/>
  <c r="F3" i="20"/>
  <c r="G8" i="20"/>
  <c r="F8" i="20"/>
  <c r="G3" i="20"/>
  <c r="I221" i="20" s="1"/>
  <c r="I454" i="20" l="1"/>
  <c r="I452" i="20"/>
  <c r="I453" i="20"/>
  <c r="K454" i="20"/>
  <c r="K453" i="20"/>
  <c r="K452" i="20"/>
  <c r="F453" i="20"/>
  <c r="F452" i="20"/>
  <c r="F454" i="20"/>
  <c r="D452" i="20"/>
  <c r="D453" i="20"/>
  <c r="D454" i="20"/>
  <c r="C453" i="20"/>
  <c r="C454" i="20"/>
  <c r="C452" i="20"/>
  <c r="V223" i="20"/>
  <c r="V221" i="20"/>
  <c r="E221" i="20"/>
  <c r="E223" i="20" s="1"/>
  <c r="H3" i="20"/>
  <c r="AA30" i="28"/>
  <c r="AC63" i="26"/>
  <c r="F515" i="21"/>
  <c r="J130" i="27"/>
  <c r="B244" i="20"/>
  <c r="B242" i="20"/>
  <c r="B243" i="20"/>
  <c r="M389" i="20"/>
  <c r="E14" i="20"/>
  <c r="Y38" i="18" s="1"/>
  <c r="F243" i="20"/>
  <c r="F244" i="20"/>
  <c r="F242" i="20"/>
  <c r="C242" i="20"/>
  <c r="C243" i="20"/>
  <c r="C244" i="20"/>
  <c r="L243" i="20"/>
  <c r="L244" i="20"/>
  <c r="L242" i="20"/>
  <c r="O242" i="20"/>
  <c r="O243" i="20"/>
  <c r="O244" i="20"/>
  <c r="B348" i="20"/>
  <c r="B349" i="20"/>
  <c r="B347" i="20"/>
  <c r="M349" i="20"/>
  <c r="M348" i="20"/>
  <c r="M347" i="20"/>
  <c r="I223" i="20"/>
  <c r="I222" i="20"/>
  <c r="V222" i="20" s="1"/>
  <c r="L453" i="20" l="1"/>
  <c r="L454" i="20"/>
  <c r="L452" i="20"/>
  <c r="F223" i="20"/>
  <c r="F221" i="20"/>
  <c r="E222" i="20"/>
  <c r="M391" i="20"/>
  <c r="N391" i="20" s="1"/>
  <c r="AC54" i="20"/>
  <c r="AD54" i="20" s="1"/>
  <c r="E347" i="20"/>
  <c r="M369" i="20"/>
  <c r="N369" i="20" s="1"/>
  <c r="U347" i="20"/>
  <c r="S349" i="20"/>
  <c r="E348" i="20"/>
  <c r="M390" i="20"/>
  <c r="N390" i="20" s="1"/>
  <c r="S243" i="20"/>
  <c r="S242" i="20"/>
  <c r="S244" i="20"/>
  <c r="E349" i="20"/>
  <c r="U349" i="20"/>
  <c r="U348" i="20"/>
  <c r="S347" i="20"/>
  <c r="M370" i="20"/>
  <c r="N370" i="20" s="1"/>
  <c r="S348" i="20"/>
  <c r="M368" i="20"/>
  <c r="N368" i="20" s="1"/>
  <c r="AC53" i="20"/>
  <c r="AE53" i="20" s="1"/>
  <c r="N393" i="20"/>
  <c r="N392" i="20"/>
  <c r="N389" i="20"/>
  <c r="N372" i="20"/>
  <c r="N371" i="20"/>
  <c r="N350" i="20"/>
  <c r="N351" i="20"/>
  <c r="G221" i="20"/>
  <c r="AI29" i="28" l="1"/>
  <c r="A265" i="27"/>
  <c r="A96" i="26"/>
  <c r="A542" i="21"/>
  <c r="L221" i="20"/>
  <c r="G222" i="20"/>
  <c r="G223" i="20"/>
  <c r="L223" i="20" s="1"/>
  <c r="F222" i="20"/>
  <c r="E151" i="21"/>
  <c r="K30" i="28"/>
  <c r="D63" i="26"/>
  <c r="L198" i="27"/>
  <c r="AE54" i="20"/>
  <c r="U54" i="20"/>
  <c r="V54" i="20" s="1"/>
  <c r="AD53" i="20"/>
  <c r="U52" i="20"/>
  <c r="V52" i="20" s="1"/>
  <c r="U53" i="20"/>
  <c r="V53" i="20" s="1"/>
  <c r="S53" i="20"/>
  <c r="T53" i="20" s="1"/>
  <c r="S52" i="20"/>
  <c r="T52" i="20" s="1"/>
  <c r="S54" i="20"/>
  <c r="T54" i="20" s="1"/>
  <c r="E37" i="20"/>
  <c r="E40" i="20"/>
  <c r="E41" i="20"/>
  <c r="E39" i="20"/>
  <c r="E38" i="20"/>
  <c r="G39" i="20"/>
  <c r="L222" i="20" l="1"/>
  <c r="E306" i="20"/>
  <c r="E307" i="20"/>
  <c r="E305" i="20"/>
  <c r="T349" i="20"/>
  <c r="V349" i="20" s="1"/>
  <c r="T348" i="20"/>
  <c r="V348" i="20" s="1"/>
  <c r="T347" i="20"/>
  <c r="V347" i="20" s="1"/>
  <c r="H376" i="21" s="1"/>
  <c r="H39" i="20"/>
  <c r="J39" i="20"/>
  <c r="B307" i="20" l="1"/>
  <c r="B306" i="20"/>
  <c r="B305" i="20"/>
  <c r="A25" i="27"/>
  <c r="A27" i="28"/>
  <c r="A25" i="26"/>
  <c r="S34" i="28"/>
  <c r="AB32" i="26"/>
  <c r="A134" i="27"/>
  <c r="A92" i="21"/>
  <c r="I306" i="20"/>
  <c r="I307" i="20"/>
  <c r="I305" i="20"/>
  <c r="C306" i="20"/>
  <c r="C307" i="20"/>
  <c r="C305" i="20"/>
  <c r="K307" i="20" l="1"/>
  <c r="K306" i="20"/>
  <c r="K305" i="20"/>
  <c r="L61" i="28" l="1"/>
  <c r="M227" i="27"/>
  <c r="N58" i="26"/>
  <c r="D244" i="21"/>
  <c r="X620" i="20" l="1"/>
  <c r="T130" i="26" l="1"/>
  <c r="AI100" i="28"/>
  <c r="S20" i="20"/>
  <c r="S22" i="20"/>
  <c r="S21" i="20"/>
  <c r="S27" i="20"/>
  <c r="S25" i="20"/>
  <c r="S24" i="20"/>
  <c r="Z26" i="20"/>
  <c r="S23" i="20"/>
  <c r="S26" i="20" l="1"/>
  <c r="Z18" i="20"/>
  <c r="L18" i="20"/>
  <c r="O26" i="20" s="1"/>
  <c r="S19" i="20"/>
  <c r="S18" i="20"/>
  <c r="T19" i="20" l="1"/>
  <c r="U19" i="20" s="1"/>
  <c r="O29" i="20"/>
  <c r="O32" i="20"/>
  <c r="O27" i="20"/>
  <c r="O30" i="20"/>
  <c r="O28" i="20"/>
  <c r="O31" i="20"/>
  <c r="T18" i="20"/>
  <c r="U18" i="20" s="1"/>
  <c r="T26" i="20"/>
  <c r="T21" i="20"/>
  <c r="T22" i="20"/>
  <c r="T24" i="20"/>
  <c r="T20" i="20"/>
  <c r="T25" i="20"/>
  <c r="T27" i="20"/>
  <c r="T23" i="20"/>
  <c r="AA18" i="20"/>
  <c r="L33" i="20"/>
  <c r="O18" i="20"/>
  <c r="U23" i="20" l="1"/>
  <c r="V23" i="20" s="1"/>
  <c r="U25" i="20"/>
  <c r="V25" i="20" s="1"/>
  <c r="U24" i="20"/>
  <c r="V24" i="20" s="1"/>
  <c r="U21" i="20"/>
  <c r="V19" i="20"/>
  <c r="W19" i="20" s="1"/>
  <c r="X19" i="20" s="1"/>
  <c r="U27" i="20"/>
  <c r="U20" i="20"/>
  <c r="V20" i="20" s="1"/>
  <c r="U22" i="20"/>
  <c r="U26" i="20"/>
  <c r="V26" i="20" s="1"/>
  <c r="Q27" i="20"/>
  <c r="Q20" i="20"/>
  <c r="Q25" i="20"/>
  <c r="Q28" i="20"/>
  <c r="Q18" i="20"/>
  <c r="Q26" i="20"/>
  <c r="Q31" i="20"/>
  <c r="Q30" i="20"/>
  <c r="AA23" i="20"/>
  <c r="Q22" i="20"/>
  <c r="Q29" i="20"/>
  <c r="Q32" i="20"/>
  <c r="Q24" i="20"/>
  <c r="Q23" i="20"/>
  <c r="Q19" i="20"/>
  <c r="Q21" i="20"/>
  <c r="AA19" i="20"/>
  <c r="AB18" i="20"/>
  <c r="V18" i="20"/>
  <c r="W18" i="20" s="1"/>
  <c r="X18" i="20" s="1"/>
  <c r="W26" i="20" l="1"/>
  <c r="X26" i="20" s="1"/>
  <c r="V22" i="20"/>
  <c r="W22" i="20" s="1"/>
  <c r="X22" i="20" s="1"/>
  <c r="W20" i="20"/>
  <c r="X20" i="20" s="1"/>
  <c r="V27" i="20"/>
  <c r="W27" i="20" s="1"/>
  <c r="X27" i="20" s="1"/>
  <c r="V21" i="20"/>
  <c r="W21" i="20" s="1"/>
  <c r="X21" i="20" s="1"/>
  <c r="W24" i="20"/>
  <c r="X24" i="20" s="1"/>
  <c r="W25" i="20"/>
  <c r="X25" i="20" s="1"/>
  <c r="W23" i="20"/>
  <c r="X23" i="20" s="1"/>
  <c r="E265" i="20"/>
  <c r="E264" i="20"/>
  <c r="E263" i="20"/>
  <c r="G263" i="20" s="1"/>
  <c r="C264" i="20"/>
  <c r="C265" i="20"/>
  <c r="B265" i="20"/>
  <c r="B264" i="20"/>
  <c r="C286" i="20"/>
  <c r="B286" i="20"/>
  <c r="B285" i="20"/>
  <c r="C285" i="20"/>
  <c r="C284" i="20"/>
  <c r="B284" i="20"/>
  <c r="AA24" i="20"/>
  <c r="AA25" i="20" s="1"/>
  <c r="G265" i="20" l="1"/>
  <c r="E67" i="28" s="1"/>
  <c r="E286" i="20"/>
  <c r="E285" i="20"/>
  <c r="G285" i="20" s="1"/>
  <c r="E284" i="20"/>
  <c r="G284" i="20" s="1"/>
  <c r="G199" i="21"/>
  <c r="G286" i="20"/>
  <c r="G264" i="20"/>
  <c r="N29" i="26" l="1"/>
  <c r="E63" i="27"/>
  <c r="J29" i="26"/>
  <c r="A67" i="28"/>
  <c r="A63" i="27"/>
  <c r="B199" i="21"/>
</calcChain>
</file>

<file path=xl/comments1.xml><?xml version="1.0" encoding="utf-8"?>
<comments xmlns="http://schemas.openxmlformats.org/spreadsheetml/2006/main">
  <authors>
    <author>asus</author>
  </authors>
  <commentList>
    <comment ref="C12" authorId="0" shapeId="0">
      <text>
        <r>
          <rPr>
            <b/>
            <sz val="9"/>
            <color indexed="81"/>
            <rFont val="Tahoma"/>
            <family val="2"/>
          </rPr>
          <t>asus:</t>
        </r>
        <r>
          <rPr>
            <sz val="9"/>
            <color indexed="81"/>
            <rFont val="Tahoma"/>
            <family val="2"/>
          </rPr>
          <t xml:space="preserve">
International Labour Organization. Note: For indigenous people, child-related activities that are part of their cultural and historical
education-cum-learning are not considered as “child labor”. For example, supporting/joining on-farm agricultural activities and
related activities within their ancestral domain are considered as life-long education and learning. For the indigenous peoples and
their children, their “real classroom” is their ancestral domain, since they considered an education continuum not just confined to
the formal four-wall corners of a classroom.</t>
        </r>
      </text>
    </comment>
    <comment ref="C59" authorId="0" shapeId="0">
      <text>
        <r>
          <rPr>
            <b/>
            <sz val="9"/>
            <color indexed="81"/>
            <rFont val="Tahoma"/>
            <family val="2"/>
          </rPr>
          <t>asus:</t>
        </r>
        <r>
          <rPr>
            <sz val="9"/>
            <color indexed="81"/>
            <rFont val="Tahoma"/>
            <family val="2"/>
          </rPr>
          <t xml:space="preserve">
 Basic Continuous Improvement Trainer’s Guide</t>
        </r>
      </text>
    </comment>
  </commentList>
</comments>
</file>

<file path=xl/sharedStrings.xml><?xml version="1.0" encoding="utf-8"?>
<sst xmlns="http://schemas.openxmlformats.org/spreadsheetml/2006/main" count="2895" uniqueCount="1040">
  <si>
    <t>District:</t>
  </si>
  <si>
    <t>Division:</t>
  </si>
  <si>
    <t>Level</t>
  </si>
  <si>
    <t>Total Enrollment, Current SY</t>
  </si>
  <si>
    <t>Total</t>
  </si>
  <si>
    <t>Kindergarten</t>
  </si>
  <si>
    <t>Grade 1</t>
  </si>
  <si>
    <t>Grade 2</t>
  </si>
  <si>
    <t>Grade 3</t>
  </si>
  <si>
    <t>Grade 4</t>
  </si>
  <si>
    <t>Grade 5</t>
  </si>
  <si>
    <t>Grade 6</t>
  </si>
  <si>
    <t>Grade 7</t>
  </si>
  <si>
    <t>Grade 8</t>
  </si>
  <si>
    <t>Grade 9</t>
  </si>
  <si>
    <t>Grade 10</t>
  </si>
  <si>
    <t>Grade 11</t>
  </si>
  <si>
    <t>Grade 12</t>
  </si>
  <si>
    <t>TOTAL</t>
  </si>
  <si>
    <r>
      <t xml:space="preserve">B.1.2 Classroom seat quantity </t>
    </r>
    <r>
      <rPr>
        <b/>
        <u/>
        <sz val="11"/>
        <color indexed="10"/>
        <rFont val="Calibri"/>
        <family val="2"/>
      </rPr>
      <t>[SRC.17.]</t>
    </r>
    <r>
      <rPr>
        <b/>
        <sz val="11"/>
        <color indexed="10"/>
        <rFont val="Calibri"/>
        <family val="2"/>
      </rPr>
      <t xml:space="preserve"> </t>
    </r>
    <r>
      <rPr>
        <b/>
        <i/>
        <sz val="11"/>
        <rFont val="Calibri"/>
        <family val="2"/>
      </rPr>
      <t>Indicate the total number of seats in all classrooms.</t>
    </r>
  </si>
  <si>
    <t>Number</t>
  </si>
  <si>
    <r>
      <t xml:space="preserve">Learner:seat ratio </t>
    </r>
    <r>
      <rPr>
        <b/>
        <vertAlign val="superscript"/>
        <sz val="11"/>
        <color indexed="8"/>
        <rFont val="Calibri"/>
        <family val="2"/>
      </rPr>
      <t>2</t>
    </r>
  </si>
  <si>
    <r>
      <t xml:space="preserve">B.2.3 Functional toilets </t>
    </r>
    <r>
      <rPr>
        <b/>
        <u/>
        <sz val="11"/>
        <color indexed="10"/>
        <rFont val="Calibri"/>
        <family val="2"/>
      </rPr>
      <t>[SRC.16.]</t>
    </r>
  </si>
  <si>
    <t>Male</t>
  </si>
  <si>
    <t>Female</t>
  </si>
  <si>
    <t xml:space="preserve">Male </t>
  </si>
  <si>
    <t xml:space="preserve">SY Before Previous SY: </t>
  </si>
  <si>
    <t>Current SY:</t>
  </si>
  <si>
    <t>Wasted</t>
  </si>
  <si>
    <t>Severely Wasted</t>
  </si>
  <si>
    <t>Activity</t>
  </si>
  <si>
    <t>Contributions</t>
  </si>
  <si>
    <t>Attendance</t>
  </si>
  <si>
    <t xml:space="preserve">Volunteer
hours </t>
  </si>
  <si>
    <t>Cash</t>
  </si>
  <si>
    <t>In Kind</t>
  </si>
  <si>
    <t>No. of attendees</t>
  </si>
  <si>
    <t>No. invited</t>
  </si>
  <si>
    <t>Attendance rate</t>
  </si>
  <si>
    <t>Co-Curricular Activities</t>
  </si>
  <si>
    <t>Extra-curricular Activities</t>
  </si>
  <si>
    <t>Amount</t>
  </si>
  <si>
    <t>General Appropriations Act (School MOOE)</t>
  </si>
  <si>
    <t>General Appropriations Act (Subsidy for Special Programs)</t>
  </si>
  <si>
    <t>Local Government Unit funds</t>
  </si>
  <si>
    <t>Canteen funds</t>
  </si>
  <si>
    <t>Donations</t>
  </si>
  <si>
    <t>Others</t>
  </si>
  <si>
    <t>Child Labor</t>
  </si>
  <si>
    <t xml:space="preserve">Previous SY: </t>
  </si>
  <si>
    <t>Family Problem</t>
  </si>
  <si>
    <t>Sickness</t>
  </si>
  <si>
    <t>English</t>
  </si>
  <si>
    <t>Filipino</t>
  </si>
  <si>
    <t>Math</t>
  </si>
  <si>
    <t xml:space="preserve">Science </t>
  </si>
  <si>
    <t>HEKASI</t>
  </si>
  <si>
    <t>Pre-Test Results</t>
  </si>
  <si>
    <t>Post-Test Results</t>
  </si>
  <si>
    <t>Category of Awardees</t>
  </si>
  <si>
    <t>Title</t>
  </si>
  <si>
    <t>Year</t>
  </si>
  <si>
    <t>Award-giving Body (Please identify)</t>
  </si>
  <si>
    <t>District</t>
  </si>
  <si>
    <t>Division</t>
  </si>
  <si>
    <t>National</t>
  </si>
  <si>
    <t>International</t>
  </si>
  <si>
    <t>Teacher</t>
  </si>
  <si>
    <t>School Head</t>
  </si>
  <si>
    <t>School</t>
  </si>
  <si>
    <t>Gender</t>
  </si>
  <si>
    <t>Region:</t>
  </si>
  <si>
    <t>MOOE</t>
  </si>
  <si>
    <t>Name of School:</t>
  </si>
  <si>
    <t>School ID:</t>
  </si>
  <si>
    <t>School Address:</t>
  </si>
  <si>
    <t>Covered School Years:</t>
  </si>
  <si>
    <t>Total # of Teachers:</t>
  </si>
  <si>
    <r>
      <t xml:space="preserve">1. Enrollment </t>
    </r>
    <r>
      <rPr>
        <b/>
        <sz val="11"/>
        <color indexed="10"/>
        <rFont val="Calibri"/>
        <family val="2"/>
      </rPr>
      <t>[SRC.1.]</t>
    </r>
  </si>
  <si>
    <r>
      <t xml:space="preserve">2. Health and Nutritional Status </t>
    </r>
    <r>
      <rPr>
        <b/>
        <sz val="11"/>
        <color indexed="10"/>
        <rFont val="Calibri"/>
        <family val="2"/>
      </rPr>
      <t>[SRC.2.]</t>
    </r>
  </si>
  <si>
    <r>
      <t xml:space="preserve">3. Learners' Materials </t>
    </r>
    <r>
      <rPr>
        <b/>
        <sz val="11"/>
        <color rgb="FFFF0000"/>
        <rFont val="Calibri"/>
        <family val="2"/>
        <scheme val="minor"/>
      </rPr>
      <t>[SRC.3.]</t>
    </r>
  </si>
  <si>
    <t>Science</t>
  </si>
  <si>
    <t>EPP/TLE</t>
  </si>
  <si>
    <t>AP</t>
  </si>
  <si>
    <t>EsP</t>
  </si>
  <si>
    <t>MAPEH</t>
  </si>
  <si>
    <r>
      <t xml:space="preserve">4. Teachers' Professional Development </t>
    </r>
    <r>
      <rPr>
        <b/>
        <sz val="11"/>
        <color rgb="FFFF0000"/>
        <rFont val="Calibri"/>
        <family val="2"/>
        <scheme val="minor"/>
      </rPr>
      <t>[SRC.4.]</t>
    </r>
  </si>
  <si>
    <r>
      <t xml:space="preserve">5. Funding Sources </t>
    </r>
    <r>
      <rPr>
        <b/>
        <sz val="11"/>
        <color rgb="FFFF0000"/>
        <rFont val="Calibri"/>
        <family val="2"/>
        <scheme val="minor"/>
      </rPr>
      <t>[SRC.5.]</t>
    </r>
  </si>
  <si>
    <r>
      <t xml:space="preserve">7. Number and Rate of Dropouts by Cause </t>
    </r>
    <r>
      <rPr>
        <b/>
        <sz val="11"/>
        <color rgb="FFFF0000"/>
        <rFont val="Calibri"/>
        <family val="2"/>
        <scheme val="minor"/>
      </rPr>
      <t>[SRC.7.]</t>
    </r>
  </si>
  <si>
    <t>3 Consecutive School Year</t>
  </si>
  <si>
    <t>Lack of Allowance</t>
  </si>
  <si>
    <r>
      <t xml:space="preserve">8. Promotion Rate </t>
    </r>
    <r>
      <rPr>
        <b/>
        <sz val="11"/>
        <color rgb="FFFF0000"/>
        <rFont val="Calibri"/>
        <family val="2"/>
        <scheme val="minor"/>
      </rPr>
      <t>[SRC.8.]</t>
    </r>
  </si>
  <si>
    <t>Excess or Shortage of Books</t>
  </si>
  <si>
    <t>Obese</t>
  </si>
  <si>
    <t>Overweight</t>
  </si>
  <si>
    <t>Normal</t>
  </si>
  <si>
    <t>School Profile</t>
  </si>
  <si>
    <t>Region</t>
  </si>
  <si>
    <t>Promotion Rate</t>
  </si>
  <si>
    <r>
      <t xml:space="preserve">9. MEAN PERCENTAGE SCORES (based on National Achievement Tests) </t>
    </r>
    <r>
      <rPr>
        <b/>
        <sz val="11"/>
        <color indexed="10"/>
        <rFont val="Calibri"/>
        <family val="2"/>
      </rPr>
      <t>[SRC.9.]</t>
    </r>
  </si>
  <si>
    <t>AVERAGE</t>
  </si>
  <si>
    <r>
      <t xml:space="preserve">10. LITERACY LEVEL </t>
    </r>
    <r>
      <rPr>
        <b/>
        <sz val="11"/>
        <color indexed="10"/>
        <rFont val="Calibri"/>
        <family val="2"/>
      </rPr>
      <t>[SRC.10.]</t>
    </r>
  </si>
  <si>
    <t>Performance Indicators: Quality</t>
  </si>
  <si>
    <t>max</t>
  </si>
  <si>
    <t>Meetings</t>
  </si>
  <si>
    <t>Assemblies</t>
  </si>
  <si>
    <t>Contests</t>
  </si>
  <si>
    <t>Scouting</t>
  </si>
  <si>
    <t>Brigada Eskwela</t>
  </si>
  <si>
    <t>Closing Program</t>
  </si>
  <si>
    <t>PTA Meeting</t>
  </si>
  <si>
    <t>General Assembly</t>
  </si>
  <si>
    <t>Enrolment</t>
  </si>
  <si>
    <t>No. of Teachers</t>
  </si>
  <si>
    <t>Ratio Teacher</t>
  </si>
  <si>
    <t>no. Rooms</t>
  </si>
  <si>
    <t>Ratio Classroom</t>
  </si>
  <si>
    <t>Learner-Toilet Ratio</t>
  </si>
  <si>
    <t xml:space="preserve">Data Elements </t>
  </si>
  <si>
    <t>Description</t>
  </si>
  <si>
    <t>Name of School</t>
  </si>
  <si>
    <t>Official name of the school as registeredd in Department of Education and Enhance Basic Education Information System</t>
  </si>
  <si>
    <t>School ID</t>
  </si>
  <si>
    <t>A six (6) digit number assigned to a school recognized in EBEIS</t>
  </si>
  <si>
    <t>Address</t>
  </si>
  <si>
    <t>Refer to the place/location of the school</t>
  </si>
  <si>
    <t>Contact Number</t>
  </si>
  <si>
    <t>Official contact number of the school</t>
  </si>
  <si>
    <t>Email Adddress</t>
  </si>
  <si>
    <t>Official email address used assigned to the school</t>
  </si>
  <si>
    <t>Enrollment</t>
  </si>
  <si>
    <t>Total number of enrolled learners based on DepEd given cut-off</t>
  </si>
  <si>
    <t>Bilogical and physiological sex as reflected in the birth certificate or equivalent document</t>
  </si>
  <si>
    <t>Health and Nutritional Status</t>
  </si>
  <si>
    <t>Learners Materials</t>
  </si>
  <si>
    <t>Textbook</t>
  </si>
  <si>
    <t>Subject</t>
  </si>
  <si>
    <t>Shortage</t>
  </si>
  <si>
    <t>Teachers' Professional Development</t>
  </si>
  <si>
    <t>Training</t>
  </si>
  <si>
    <t>Funding Sources</t>
  </si>
  <si>
    <t>is the act of providing financial resources, usually in the form of money, or other values such as effort or time, donations, grants, savings, subsidies and taxes to finance a need, program, and project, usually by an organization or the government.</t>
  </si>
  <si>
    <t>Canteen</t>
  </si>
  <si>
    <t>LGU</t>
  </si>
  <si>
    <t>Donors</t>
  </si>
  <si>
    <t>School Awards and Recognition</t>
  </si>
  <si>
    <t>Title of Award</t>
  </si>
  <si>
    <t>Award Giving Body</t>
  </si>
  <si>
    <t>International, National, Region, Division and/or District</t>
  </si>
  <si>
    <t>Categoree of Awardee</t>
  </si>
  <si>
    <t>Learner</t>
  </si>
  <si>
    <t>An individual who attends classes in any level of the basic education system, under the supervision and tutelage of a teacher or facilitator.</t>
  </si>
  <si>
    <t>Performance Indicators</t>
  </si>
  <si>
    <t>Refer to the several key indicators that can be computed and utilize for evaluating the educational system's performance at various levels.</t>
  </si>
  <si>
    <t>Dropout</t>
  </si>
  <si>
    <t>a person who stops going to a school before finishing</t>
  </si>
  <si>
    <t>Armed conflict</t>
  </si>
  <si>
    <t>Refer to armed confrontations occuring between governmental forces and one or more armed groups, or between such groups arising in the Philippine territory. This shall include activities which may lead to or in preparation of armedd confrontation or armed violence that put children's lives at risk and their rights violated.</t>
  </si>
  <si>
    <t>Dropout rate</t>
  </si>
  <si>
    <t>Calculates the percentage of learners who do not finish a particular grade level. It does not capture learners who finish a grade level but do not enrol in the next grade level the following year.</t>
  </si>
  <si>
    <t>Quality</t>
  </si>
  <si>
    <t>National Achievement Test</t>
  </si>
  <si>
    <t>Mean Percentage Score</t>
  </si>
  <si>
    <t>Governance</t>
  </si>
  <si>
    <t>Stakeholders' Participation</t>
  </si>
  <si>
    <t>Learner-Teacher Ratio</t>
  </si>
  <si>
    <t>The average number of learners per teachers in elementary/ Secondary education in a given school year</t>
  </si>
  <si>
    <t>Learner-Classroom Ratio</t>
  </si>
  <si>
    <t>The average number of learners per classroom in elementary and secondary education in a given school year</t>
  </si>
  <si>
    <t>Learner-Seat Ratio</t>
  </si>
  <si>
    <t>Ratio of the total enrolment and the number of chairs</t>
  </si>
  <si>
    <t>Projects</t>
  </si>
  <si>
    <t>Annual Implementation Plan</t>
  </si>
  <si>
    <t>Continuous Improvement</t>
  </si>
  <si>
    <t>A methodology to continually assess, analyze, and act on the performance improvement of key processes and service delivery, focusing on both stakeholder needs and the desired performance.
Projects that revolve around the continuous improvement of an identified school process and service delivery related to access, quality or governance, with the end view of improving learning outcomes.</t>
  </si>
  <si>
    <t>School Report Card</t>
  </si>
  <si>
    <t>A report that provides stakeholders a snapshot of the school’s current condition and performance. It is a tool for advocating and communicating the school situation, context, and performance to internal and external stakeholders to involve them in making the school a better learning place for the learners.</t>
  </si>
  <si>
    <t>Employment of children in any work that (a) is mentally, physically, socially or morally dangerous and harmful to children, and (b) interferes with their schooling by depriving them of the opportunity to attend school, obliging them to leave school prematurely, or requiring them to attempt to combine school attendance with excessively long and heavy work.</t>
  </si>
  <si>
    <t>Children</t>
  </si>
  <si>
    <t>Persons below 18 years old. In line with D.O. No. 40, s. 2012, the term also refers to those over 18 years old but unable to fully take care of themselves from abuse, neglect, cruelty, exploitation, or discrimination because of a physical or mental disability or condition</t>
  </si>
  <si>
    <t>Hazard map</t>
  </si>
  <si>
    <t>A map illustrating the areas at risk of natural disasters such as sediment-related disasters, floods, tsunamis, storm surges, and volcanic eruptions. Hazard maps produced by municipal governments usually contain the following information in addition to the areas at risk of disasters: sketches of evacuation routes and shelters, evaluation of disaster possibility and frequency, a warning and evacuation system, and disaster-related basic information.</t>
  </si>
  <si>
    <t>Priority Improvement Areas (PIA)</t>
  </si>
  <si>
    <t>Selected areas in school management, operations, and service delivery that need to be changed to improve the three key result areas in basic education: access, quality, and governance. A PIA is prioritized based on disparity with Division goals, strategic importance, urgency, magnitude, and feasibility.</t>
  </si>
  <si>
    <t>Community</t>
  </si>
  <si>
    <t>Barangay where the school is located. However, it may also be expanded to refer to the following: 
• Adjacent barangays where a significant number of children enrolled in the school come from 
     &gt; Municipality 
     &gt; City 
     &gt; Ancestral domain</t>
  </si>
  <si>
    <t>Disaster Risk Reduction and Management (DRRM)</t>
  </si>
  <si>
    <t>The concept and practice of reducing disaster risks through systematic efforts to analyze and reduce the causal factors of disasters. Reducing exposure to hazards, lessening vulnerability of people and property, wise management of land and the environment, and improving preparedness and early warning for adverse events are all examples of disaster risk reduction and management.</t>
  </si>
  <si>
    <t>Process Owner/s</t>
  </si>
  <si>
    <t>The concerned stakeholder/s – a person or group of people responsible for ensuring the efficiency of the process, who has the ability to make changes in the process and is/are highly involved in the project</t>
  </si>
  <si>
    <t>Project Team</t>
  </si>
  <si>
    <t>A school team that implements improvement projects, reports on project status, outputs and outcomes, and prepares and maintains project documentation and records.6 The members of the Project Team are drawn from the community, teachers, and learners with at least one member coming from the SPT.</t>
  </si>
  <si>
    <t>SchoolCommunity Planning Team (SPT)</t>
  </si>
  <si>
    <t>A team composed of internal and external stakeholders organized for the purpose of identifying school concerns and issues, and strategically coming up with appropriate interventions through a collaborative process.</t>
  </si>
  <si>
    <t>Basic Education Information System</t>
  </si>
  <si>
    <t>weak and emaciated.</t>
  </si>
  <si>
    <t>Previous Year</t>
  </si>
  <si>
    <t>Pre-Populated Data</t>
  </si>
  <si>
    <t>Segmentation</t>
  </si>
  <si>
    <t>the process of dividing something into parts or segments.</t>
  </si>
  <si>
    <t>Elementary</t>
  </si>
  <si>
    <t>Secondary</t>
  </si>
  <si>
    <t>Junior High School</t>
  </si>
  <si>
    <t>defined as a period of formal education following Grades 7 to 10</t>
  </si>
  <si>
    <t>Senior High School</t>
  </si>
  <si>
    <t>defined as a period of formal education following Grades 11 to 12</t>
  </si>
  <si>
    <t>Seat</t>
  </si>
  <si>
    <r>
      <t xml:space="preserve">Learner:toilet ratio </t>
    </r>
    <r>
      <rPr>
        <b/>
        <vertAlign val="superscript"/>
        <sz val="11"/>
        <color indexed="8"/>
        <rFont val="Calibri"/>
        <family val="2"/>
      </rPr>
      <t>2</t>
    </r>
  </si>
  <si>
    <t>Stakeholders’ participation</t>
  </si>
  <si>
    <t>Cover Page</t>
  </si>
  <si>
    <t>Learners' Materials</t>
  </si>
  <si>
    <t>Health &amp; Nutrition</t>
  </si>
  <si>
    <t>School Awards</t>
  </si>
  <si>
    <t>Dropout Rate</t>
  </si>
  <si>
    <t>Learner- Teacher Ratio</t>
  </si>
  <si>
    <t>Learner- Classroom Ratio</t>
  </si>
  <si>
    <t>NAT Results</t>
  </si>
  <si>
    <t>MAX</t>
  </si>
  <si>
    <t>Standard</t>
  </si>
  <si>
    <t>RANK</t>
  </si>
  <si>
    <t>Level_Promotion</t>
  </si>
  <si>
    <t>Promotion</t>
  </si>
  <si>
    <t>Row</t>
  </si>
  <si>
    <t>Level_TSR</t>
  </si>
  <si>
    <t>TSR</t>
  </si>
  <si>
    <t>Level_LCR</t>
  </si>
  <si>
    <t>LCR</t>
  </si>
  <si>
    <t>Learner's Materials</t>
  </si>
  <si>
    <t>Funding sources</t>
  </si>
  <si>
    <t>Number and Rate of Dropouts by Cause</t>
  </si>
  <si>
    <t xml:space="preserve">Percentage of learners who completed the School Year </t>
  </si>
  <si>
    <t>National Achievement Test- by Mean Percentage Score (MPS)</t>
  </si>
  <si>
    <t>Average</t>
  </si>
  <si>
    <t>LM</t>
  </si>
  <si>
    <t>Level_LM</t>
  </si>
  <si>
    <t xml:space="preserve">Learner:Teacher ratio </t>
  </si>
  <si>
    <t>STAKEHOLDER SUPPORT TO EDUCATION</t>
  </si>
  <si>
    <t xml:space="preserve">Learner- Teacher Ratio </t>
  </si>
  <si>
    <t>Functional toilets</t>
  </si>
  <si>
    <t>Ratio</t>
  </si>
  <si>
    <t>Learner:classroom ratio</t>
  </si>
  <si>
    <t>NO.</t>
  </si>
  <si>
    <t>ORDER</t>
  </si>
  <si>
    <t>REASONS</t>
  </si>
  <si>
    <t>*Relocation</t>
  </si>
  <si>
    <t>*Transfer of residence</t>
  </si>
  <si>
    <t>*Failures</t>
  </si>
  <si>
    <t>STATUS OF ANNUAL IMPROVEMENT PLAN</t>
  </si>
  <si>
    <t>Implementer</t>
  </si>
  <si>
    <t>Project Title</t>
  </si>
  <si>
    <t>Classification of School:</t>
  </si>
  <si>
    <t>Office/ School</t>
  </si>
  <si>
    <t>Ronil D. Manayon</t>
  </si>
  <si>
    <t>Jose L. Barba Jr.</t>
  </si>
  <si>
    <t>Mati School of Arts and Trades</t>
  </si>
  <si>
    <t>Mati City</t>
  </si>
  <si>
    <t>Odiongan Elementary School</t>
  </si>
  <si>
    <t>Camarines Sur</t>
  </si>
  <si>
    <t>VII</t>
  </si>
  <si>
    <t>Mandaue City</t>
  </si>
  <si>
    <t>XI</t>
  </si>
  <si>
    <t>V</t>
  </si>
  <si>
    <t>Ebenezer S. Mazo</t>
  </si>
  <si>
    <t>Shared</t>
  </si>
  <si>
    <t>Number (Desks)</t>
  </si>
  <si>
    <t>Number (tables)</t>
  </si>
  <si>
    <t>Learner: seat ratio</t>
  </si>
  <si>
    <t>No. of Academic Classrooms</t>
  </si>
  <si>
    <t>Complete</t>
  </si>
  <si>
    <t>Incomplete</t>
  </si>
  <si>
    <t>For Repair</t>
  </si>
  <si>
    <t>Had to take care of siblings</t>
  </si>
  <si>
    <t>Early marriage/pregnancy</t>
  </si>
  <si>
    <t>Parents' attitude toward schooling</t>
  </si>
  <si>
    <t>Family problems</t>
  </si>
  <si>
    <t>Illness</t>
  </si>
  <si>
    <t>Overage</t>
  </si>
  <si>
    <t>Drug Abuse</t>
  </si>
  <si>
    <t>Poor academic performance</t>
  </si>
  <si>
    <t>School-Related Factors</t>
  </si>
  <si>
    <t xml:space="preserve"> Teacher Factor</t>
  </si>
  <si>
    <t>Physical condition of classroom</t>
  </si>
  <si>
    <t>Peer influence</t>
  </si>
  <si>
    <t xml:space="preserve"> Distance between home and school</t>
  </si>
  <si>
    <t>Armed conflict (incl. Tribal wars &amp; clanfeuds)</t>
  </si>
  <si>
    <t>Individual-Related Factors</t>
  </si>
  <si>
    <t>Domestic-Related Factors</t>
  </si>
  <si>
    <t>Child labor, work</t>
  </si>
  <si>
    <t>No Longer in School (NLS)</t>
  </si>
  <si>
    <t xml:space="preserve">Death  </t>
  </si>
  <si>
    <t xml:space="preserve">Transferred to International School  </t>
  </si>
  <si>
    <t>ALS</t>
  </si>
  <si>
    <t>Literacy Level (Reading)</t>
  </si>
  <si>
    <t>Transferred to school abroad</t>
  </si>
  <si>
    <t>Geographic/Environmental Factors</t>
  </si>
  <si>
    <t>Financial-Related Factors</t>
  </si>
  <si>
    <t>Domestic- Related Factors</t>
  </si>
  <si>
    <t>Individual- Related Factors</t>
  </si>
  <si>
    <t>School- Related Factors</t>
  </si>
  <si>
    <t>Geographic/ Environmental Factors</t>
  </si>
  <si>
    <t>Financial- Related Factors</t>
  </si>
  <si>
    <t>Hunger/ Malnutrition</t>
  </si>
  <si>
    <t>Lack of interest/ Distractions</t>
  </si>
  <si>
    <t>Calamities/ Disasters</t>
  </si>
  <si>
    <t>Developer</t>
  </si>
  <si>
    <t>Cecilio Peralta</t>
  </si>
  <si>
    <t>Team Leader</t>
  </si>
  <si>
    <t>-</t>
  </si>
  <si>
    <t>North District</t>
  </si>
  <si>
    <t>Dexter Pante</t>
  </si>
  <si>
    <t>Ched Allen Martinez</t>
  </si>
  <si>
    <t>Noverose Dadole</t>
  </si>
  <si>
    <t>Pangasinan II</t>
  </si>
  <si>
    <t>I</t>
  </si>
  <si>
    <t>Nueva Ecija</t>
  </si>
  <si>
    <t>III</t>
  </si>
  <si>
    <t>Lipa City</t>
  </si>
  <si>
    <t>IVA</t>
  </si>
  <si>
    <t>Cebu</t>
  </si>
  <si>
    <t>Danao City</t>
  </si>
  <si>
    <t>VIII</t>
  </si>
  <si>
    <t>Ormoc City</t>
  </si>
  <si>
    <t>Iligan City</t>
  </si>
  <si>
    <t>X</t>
  </si>
  <si>
    <t>GenSan City</t>
  </si>
  <si>
    <t>XII</t>
  </si>
  <si>
    <t>Pilot Division</t>
  </si>
  <si>
    <t>Member</t>
  </si>
  <si>
    <t>Team Member</t>
  </si>
  <si>
    <t>Learners' Materials (Books)</t>
  </si>
  <si>
    <t>Stakeholders’ Participation</t>
  </si>
  <si>
    <t>Supervisor</t>
  </si>
  <si>
    <t>Role</t>
  </si>
  <si>
    <t>Jonathan Diche</t>
  </si>
  <si>
    <t>Josephine Martinez</t>
  </si>
  <si>
    <t>Ariel Tandingan</t>
  </si>
  <si>
    <t>Jonathan Fontanilla</t>
  </si>
  <si>
    <t>Judelle Tabano</t>
  </si>
  <si>
    <t>Koronadal City</t>
  </si>
  <si>
    <t>MTB</t>
  </si>
  <si>
    <t>Bachelor's Degree</t>
  </si>
  <si>
    <t>Master's Degree</t>
  </si>
  <si>
    <t>Master's Degree (Units)</t>
  </si>
  <si>
    <t>Doctorate Degree (Units)</t>
  </si>
  <si>
    <t>Doctorate Degree</t>
  </si>
  <si>
    <t>Total Number of Teachers</t>
  </si>
  <si>
    <t>with the total number of teachers for the current school year</t>
  </si>
  <si>
    <t>Highest Educational Attainment</t>
  </si>
  <si>
    <t>Contribution Type</t>
  </si>
  <si>
    <t>Financial_Support</t>
  </si>
  <si>
    <t>Volunteer_Hours</t>
  </si>
  <si>
    <t>Technical_Assistance</t>
  </si>
  <si>
    <t>Infrastructure</t>
  </si>
  <si>
    <t>Furniture</t>
  </si>
  <si>
    <t>Technology</t>
  </si>
  <si>
    <t>Appliances_Equipment</t>
  </si>
  <si>
    <t>Learner_Wellness_Health_Nutrition</t>
  </si>
  <si>
    <t>Learner_School_Supplies_Uniforms</t>
  </si>
  <si>
    <t>Teaching_Non_Teaching_Personnel_Support</t>
  </si>
  <si>
    <t>Work_Immersion</t>
  </si>
  <si>
    <t>Use of Facilities</t>
  </si>
  <si>
    <t>Advocacy Support</t>
  </si>
  <si>
    <t>Policy Support</t>
  </si>
  <si>
    <t>Others_specify_in_remarks</t>
  </si>
  <si>
    <t>Carpentry</t>
  </si>
  <si>
    <t>New Classroom Construction</t>
  </si>
  <si>
    <t>Armchairs</t>
  </si>
  <si>
    <t>Computer Peripherals</t>
  </si>
  <si>
    <t>Airconditioning Units</t>
  </si>
  <si>
    <t>Assistive Devices</t>
  </si>
  <si>
    <t>Bags</t>
  </si>
  <si>
    <t>Training, Skills Development and Scholarships</t>
  </si>
  <si>
    <t>Academic</t>
  </si>
  <si>
    <t>Electrical/Electronics</t>
  </si>
  <si>
    <t>Classroom Repair</t>
  </si>
  <si>
    <t>Blackboard</t>
  </si>
  <si>
    <t>Computers</t>
  </si>
  <si>
    <t>CCTV</t>
  </si>
  <si>
    <t>Dental services</t>
  </si>
  <si>
    <t>Bicycles</t>
  </si>
  <si>
    <t>Teaching and Learning Aids and Devices</t>
  </si>
  <si>
    <t>TVL</t>
  </si>
  <si>
    <t>Landscaping/Gardening</t>
  </si>
  <si>
    <t>New Comfort Room Construction</t>
  </si>
  <si>
    <t>Desks</t>
  </si>
  <si>
    <t>DVD Player</t>
  </si>
  <si>
    <t>DRR Equipment</t>
  </si>
  <si>
    <t>Eyeglasses</t>
  </si>
  <si>
    <t>Boats</t>
  </si>
  <si>
    <t>Wellness, Health and Nutrition Packages</t>
  </si>
  <si>
    <t>Sports</t>
  </si>
  <si>
    <t>Masonry</t>
  </si>
  <si>
    <t>Comfort Room Repair</t>
  </si>
  <si>
    <t>Door</t>
  </si>
  <si>
    <t>DVD/CD</t>
  </si>
  <si>
    <t>Fans</t>
  </si>
  <si>
    <t>Feeding Program</t>
  </si>
  <si>
    <t>Books</t>
  </si>
  <si>
    <t>Arts and Design</t>
  </si>
  <si>
    <t>Ordinary Labor</t>
  </si>
  <si>
    <t>Hardware/Construction Materials</t>
  </si>
  <si>
    <t>Monoblock Chairs</t>
  </si>
  <si>
    <t>E-Books</t>
  </si>
  <si>
    <t>Fire Alarm</t>
  </si>
  <si>
    <t>First Aid/Emergency Kits</t>
  </si>
  <si>
    <t>Footwear</t>
  </si>
  <si>
    <t>Painting</t>
  </si>
  <si>
    <t>New Laboratory Construction</t>
  </si>
  <si>
    <t>Shelves/Cabinets</t>
  </si>
  <si>
    <t>E-channel Subscription</t>
  </si>
  <si>
    <t>Fire Extinguishers</t>
  </si>
  <si>
    <t>Medical check-up</t>
  </si>
  <si>
    <t>Lamps</t>
  </si>
  <si>
    <t>Plumbing</t>
  </si>
  <si>
    <t>Laboratory Repair</t>
  </si>
  <si>
    <t>Sofa/Sala sets</t>
  </si>
  <si>
    <t>Fax Machine</t>
  </si>
  <si>
    <t>Fire Hose</t>
  </si>
  <si>
    <t>Medicine</t>
  </si>
  <si>
    <t>Leaflets</t>
  </si>
  <si>
    <t>New Library Construction</t>
  </si>
  <si>
    <t>Tables</t>
  </si>
  <si>
    <t>Flashdrive</t>
  </si>
  <si>
    <t>Gardening Tools</t>
  </si>
  <si>
    <t>Personal Hygiene</t>
  </si>
  <si>
    <t>Learning Modules</t>
  </si>
  <si>
    <t>Library Repair</t>
  </si>
  <si>
    <t>Teachers' Chair</t>
  </si>
  <si>
    <t>Internet Connectivity</t>
  </si>
  <si>
    <t>Gas Stove</t>
  </si>
  <si>
    <t>Rubber Mat</t>
  </si>
  <si>
    <t>Reference Materials</t>
  </si>
  <si>
    <t>New Handwashing Facility Construction</t>
  </si>
  <si>
    <t>Teachers' Table</t>
  </si>
  <si>
    <t>Ipad/Tablets</t>
  </si>
  <si>
    <t>Glassware</t>
  </si>
  <si>
    <t>Seedlings/Saplings</t>
  </si>
  <si>
    <t>School supplies</t>
  </si>
  <si>
    <t>Handwashing Facilitity Repair</t>
  </si>
  <si>
    <t>Window/Panels</t>
  </si>
  <si>
    <t>Laptops</t>
  </si>
  <si>
    <t>Kitchen ware</t>
  </si>
  <si>
    <t>Seeds</t>
  </si>
  <si>
    <t>Uniform</t>
  </si>
  <si>
    <t>New Covered Court Construction</t>
  </si>
  <si>
    <t>LCD Projector</t>
  </si>
  <si>
    <t>Oven</t>
  </si>
  <si>
    <t>Sports Clinic</t>
  </si>
  <si>
    <t>Covered Court Repair</t>
  </si>
  <si>
    <t>Photocopier</t>
  </si>
  <si>
    <t>Radio</t>
  </si>
  <si>
    <t>Vitamins</t>
  </si>
  <si>
    <t>New Stage Construction</t>
  </si>
  <si>
    <t>Printer</t>
  </si>
  <si>
    <t>Science Laboratory Equipment</t>
  </si>
  <si>
    <t>Stage Repair</t>
  </si>
  <si>
    <t>Scanner</t>
  </si>
  <si>
    <t>Solar Panels</t>
  </si>
  <si>
    <t>New Pathwalk Construction</t>
  </si>
  <si>
    <t>Software</t>
  </si>
  <si>
    <t>Sound System</t>
  </si>
  <si>
    <t>Pathwalk Repair</t>
  </si>
  <si>
    <t>Telephone Line</t>
  </si>
  <si>
    <t>Sports Equipment</t>
  </si>
  <si>
    <t>Construction of Fence and Gate</t>
  </si>
  <si>
    <t>Television</t>
  </si>
  <si>
    <t>Sprinkler</t>
  </si>
  <si>
    <t>Fence and Gate Repair</t>
  </si>
  <si>
    <t>Touchboard</t>
  </si>
  <si>
    <t>Water System Provision</t>
  </si>
  <si>
    <t>White Screen</t>
  </si>
  <si>
    <t>Water System Repair</t>
  </si>
  <si>
    <t>Electrical Facilities Provision</t>
  </si>
  <si>
    <t>Electrical Facilities Repair</t>
  </si>
  <si>
    <t>Construction of Sports Facilities</t>
  </si>
  <si>
    <t>Repair of Sports Facilities</t>
  </si>
  <si>
    <t>Construction of School Signage</t>
  </si>
  <si>
    <t>School signage repair</t>
  </si>
  <si>
    <t>Land/Real Property Donation</t>
  </si>
  <si>
    <t>Other New Construction (specify in remarks)</t>
  </si>
  <si>
    <t>General Partner Type</t>
  </si>
  <si>
    <t>Private Sector</t>
  </si>
  <si>
    <t>Public Sector</t>
  </si>
  <si>
    <t>Civil Society Organizations</t>
  </si>
  <si>
    <t>Specific Partner Type</t>
  </si>
  <si>
    <t>Private Company</t>
  </si>
  <si>
    <t>Private Individual</t>
  </si>
  <si>
    <t>Type of Contribution</t>
  </si>
  <si>
    <t>Specific Type of Contribution</t>
  </si>
  <si>
    <t>Actual Amount/ Value of Contribution</t>
  </si>
  <si>
    <t>Reading</t>
  </si>
  <si>
    <t>enrollment</t>
  </si>
  <si>
    <t>Regular</t>
  </si>
  <si>
    <t>School Year</t>
  </si>
  <si>
    <t>Special Programs</t>
  </si>
  <si>
    <t>ENROLLMENT</t>
  </si>
  <si>
    <t>MALE</t>
  </si>
  <si>
    <t>FEMALE</t>
  </si>
  <si>
    <t>NON-GRDAED (SPED)</t>
  </si>
  <si>
    <t>KINDERGARTEN</t>
  </si>
  <si>
    <t>GRADE 1</t>
  </si>
  <si>
    <t>GRADE 2</t>
  </si>
  <si>
    <t>GRADE 3</t>
  </si>
  <si>
    <t>GRADE 4</t>
  </si>
  <si>
    <t>GRADE 5</t>
  </si>
  <si>
    <t>GRADE 6</t>
  </si>
  <si>
    <t>GRADE 7</t>
  </si>
  <si>
    <t>GRADE 8</t>
  </si>
  <si>
    <t>GRADE 9</t>
  </si>
  <si>
    <t>GRADE 10</t>
  </si>
  <si>
    <t>GRADE 11</t>
  </si>
  <si>
    <t>GRADE 12</t>
  </si>
  <si>
    <t>REGULAR</t>
  </si>
  <si>
    <t>SPECIAL PROGRAM</t>
  </si>
  <si>
    <t>COMPARATIVE</t>
  </si>
  <si>
    <t>REGULAR CLASS</t>
  </si>
  <si>
    <t>ROOMS</t>
  </si>
  <si>
    <t>NEED</t>
  </si>
  <si>
    <t>GAP</t>
  </si>
  <si>
    <t>Number of nationally-funded teachers (current SY) assigned in REGULAR CLASS</t>
  </si>
  <si>
    <t>Number of nationally-funded teachers (current SY) assigned in SPECIAL CLASS</t>
  </si>
  <si>
    <t>Number of nationally-funded teachers (current SY) assigned in SPED CLASS (Graded and Non-Graded)</t>
  </si>
  <si>
    <t>SPECIAL CLASS</t>
  </si>
  <si>
    <t>Classroom quantity (SPECIAL CLASS)</t>
  </si>
  <si>
    <t>Classroom quantity (SPED CLASS)</t>
  </si>
  <si>
    <t>Grade 13</t>
  </si>
  <si>
    <t>Non- Graded</t>
  </si>
  <si>
    <t>SPED CLASS</t>
  </si>
  <si>
    <t>Non-Graded</t>
  </si>
  <si>
    <t>Grade 14</t>
  </si>
  <si>
    <t>Grade 15</t>
  </si>
  <si>
    <t>Grade 16</t>
  </si>
  <si>
    <t>Grade 17</t>
  </si>
  <si>
    <t>Grade 18</t>
  </si>
  <si>
    <t>Grade 19</t>
  </si>
  <si>
    <t>Grade 20</t>
  </si>
  <si>
    <t>Grade 21</t>
  </si>
  <si>
    <t>Grade 22</t>
  </si>
  <si>
    <t>Grade 23</t>
  </si>
  <si>
    <t>Grade 24</t>
  </si>
  <si>
    <t>Grade 25</t>
  </si>
  <si>
    <t>Grade 26</t>
  </si>
  <si>
    <t>Grade 27</t>
  </si>
  <si>
    <t>Grade 28</t>
  </si>
  <si>
    <t>Grade 29</t>
  </si>
  <si>
    <t>Grade 30</t>
  </si>
  <si>
    <t>Grade 31</t>
  </si>
  <si>
    <t>Grade 32</t>
  </si>
  <si>
    <t>Grade 33</t>
  </si>
  <si>
    <t>Grade 34</t>
  </si>
  <si>
    <t>Grade 35</t>
  </si>
  <si>
    <t>Grade 36</t>
  </si>
  <si>
    <t>Grade 37</t>
  </si>
  <si>
    <t>Grade 38</t>
  </si>
  <si>
    <t>Grade 39</t>
  </si>
  <si>
    <t>Grade 40</t>
  </si>
  <si>
    <t>Grade 41</t>
  </si>
  <si>
    <t>Grade 42</t>
  </si>
  <si>
    <t>OVERALL</t>
  </si>
  <si>
    <t>SEATS</t>
  </si>
  <si>
    <t>TOILETS</t>
  </si>
  <si>
    <t>ACTUAL</t>
  </si>
  <si>
    <t>ENGLISH</t>
  </si>
  <si>
    <t>ILOKANO</t>
  </si>
  <si>
    <t>HILIGAYNON</t>
  </si>
  <si>
    <t>LANGUAGE</t>
  </si>
  <si>
    <t>the number of female enrollees</t>
  </si>
  <si>
    <t>This can be attributed to:</t>
  </si>
  <si>
    <t>Ito ay dahil sa mga sumusunod:</t>
  </si>
  <si>
    <t>percent</t>
  </si>
  <si>
    <t>(</t>
  </si>
  <si>
    <t>of</t>
  </si>
  <si>
    <t>)</t>
  </si>
  <si>
    <t>of the male learners fall outside normal health status</t>
  </si>
  <si>
    <t>while</t>
  </si>
  <si>
    <t>of the female learners fall outside normal health status.</t>
  </si>
  <si>
    <t>porsiyento</t>
  </si>
  <si>
    <t>ng</t>
  </si>
  <si>
    <t>habang</t>
  </si>
  <si>
    <t>porsyento</t>
  </si>
  <si>
    <t>sa</t>
  </si>
  <si>
    <t>samtang</t>
  </si>
  <si>
    <t>with</t>
  </si>
  <si>
    <t>na may</t>
  </si>
  <si>
    <t>percent as compared to other subjects.</t>
  </si>
  <si>
    <t>porsiyento kung ihahambing sa ibang subjects.</t>
  </si>
  <si>
    <t>porsyento kung ikumpara sa uban nga subjects.</t>
  </si>
  <si>
    <t>percent as compared to other grade levels.</t>
  </si>
  <si>
    <t>porsiyento kung ihahambing sa ibang baitang.</t>
  </si>
  <si>
    <t>porsyento kung ikumpara sa uban nga mga grado.</t>
  </si>
  <si>
    <t>out of</t>
  </si>
  <si>
    <t>or</t>
  </si>
  <si>
    <t>ang gidaghanon sa mga lalaki nga ni-enroll</t>
  </si>
  <si>
    <t>Ug kini gumikan sa:</t>
  </si>
  <si>
    <t>nga dunay</t>
  </si>
  <si>
    <t>mula sa</t>
  </si>
  <si>
    <t>gikan sa</t>
  </si>
  <si>
    <t xml:space="preserve">o </t>
  </si>
  <si>
    <t>o</t>
  </si>
  <si>
    <t>porsiyento sa kabuuang bilang ng mga guro.</t>
  </si>
  <si>
    <t>porsyento sa kinatibuk-ang gidaghanon sa mga magtutudlo.</t>
  </si>
  <si>
    <t>percent of the total number of teachers.</t>
  </si>
  <si>
    <t>amounting to Php</t>
  </si>
  <si>
    <t>.00 or</t>
  </si>
  <si>
    <t>percent of the total fund source. Other sources are</t>
  </si>
  <si>
    <t>and</t>
  </si>
  <si>
    <t>.</t>
  </si>
  <si>
    <t>nga nagkantidad ug Php</t>
  </si>
  <si>
    <t>.00 o</t>
  </si>
  <si>
    <t>porsyento ng kabuuang pinagkukunang pondo. Ang ibang pinagkukunan ay</t>
  </si>
  <si>
    <t>porsiyento sa total nga tinubdan sa pondo. Ang uban nga mga tinubdan mao ang mga musunod</t>
  </si>
  <si>
    <t>at</t>
  </si>
  <si>
    <t>ug</t>
  </si>
  <si>
    <t>na umaabot sa halagang Php</t>
  </si>
  <si>
    <t>*The number of teachers on this part shall match</t>
  </si>
  <si>
    <t>the number of male enrollees</t>
  </si>
  <si>
    <t>nga adunay</t>
  </si>
  <si>
    <t>is</t>
  </si>
  <si>
    <t>which is</t>
  </si>
  <si>
    <t>percent.</t>
  </si>
  <si>
    <t>ay</t>
  </si>
  <si>
    <t>kay</t>
  </si>
  <si>
    <t>na kung saan ay</t>
  </si>
  <si>
    <t>nga mao ang</t>
  </si>
  <si>
    <t>is at</t>
  </si>
  <si>
    <t>percent as compared to the</t>
  </si>
  <si>
    <t>percent of the previous school year.</t>
  </si>
  <si>
    <t>naa sa</t>
  </si>
  <si>
    <t>porsyento kumpara sa</t>
  </si>
  <si>
    <t>porsyento kung itandi sa</t>
  </si>
  <si>
    <t>porsiyento ng nakaraang taong panuruan.</t>
  </si>
  <si>
    <t>porsyento sa miaging tuig ting-tungha.</t>
  </si>
  <si>
    <t>Mean Percentage Scores followed by</t>
  </si>
  <si>
    <t>Interventions may be needed to help the learners in</t>
  </si>
  <si>
    <t>nga may</t>
  </si>
  <si>
    <t>Mean Percentage Scores na sinusundan ng</t>
  </si>
  <si>
    <t>Mean Percentage Scores nga gisundan sa</t>
  </si>
  <si>
    <t>Maaaring kailanganin ang mga interbensyon upang tulungan ang mga mag-aaral sa</t>
  </si>
  <si>
    <t>Mahimo nga gikinahanglan ang mga interbensyon aron matabangan ang mga estudyante sa</t>
  </si>
  <si>
    <t>average</t>
  </si>
  <si>
    <t>with an average class size of</t>
  </si>
  <si>
    <t>followed by</t>
  </si>
  <si>
    <t>learner/s per class which is</t>
  </si>
  <si>
    <t>na mayroong average class size na</t>
  </si>
  <si>
    <t>nga adunay average class size nga</t>
  </si>
  <si>
    <t>sinundan ng</t>
  </si>
  <si>
    <t>nga gisundan sa</t>
  </si>
  <si>
    <t>nga mga tinun-an sa kada klase nga</t>
  </si>
  <si>
    <t>na mag-aaral sa bawat klase</t>
  </si>
  <si>
    <t>makeshift room/s out of</t>
  </si>
  <si>
    <t>instructional rooms.</t>
  </si>
  <si>
    <t>makeshift room/s mula sa kabuuang</t>
  </si>
  <si>
    <t>makeshift room/s gikan sa kinatibuk-ang</t>
  </si>
  <si>
    <t>room/s out of</t>
  </si>
  <si>
    <t>room/s mula sa kabuuang</t>
  </si>
  <si>
    <t>room/s gikan sa kinatibuk-ang</t>
  </si>
  <si>
    <t>as of</t>
  </si>
  <si>
    <t>which</t>
  </si>
  <si>
    <t>classroom/s.</t>
  </si>
  <si>
    <t>na</t>
  </si>
  <si>
    <t>nga</t>
  </si>
  <si>
    <t>silid-aralan.</t>
  </si>
  <si>
    <t>Award-giving Body</t>
  </si>
  <si>
    <t>Level_AIP</t>
  </si>
  <si>
    <t>AIP</t>
  </si>
  <si>
    <t>Level_SASA</t>
  </si>
  <si>
    <t>SASA</t>
  </si>
  <si>
    <t>*The number of learners on this part shall match</t>
  </si>
  <si>
    <t>with the total enrollment of learners for the current school year</t>
  </si>
  <si>
    <t>Level_Contrib</t>
  </si>
  <si>
    <t>gidaghanon sa mga babaye nga ni-enrol</t>
  </si>
  <si>
    <t>learners per class as compared to the recommended pupil-teacher ratio.</t>
  </si>
  <si>
    <t>mag-aaral sa bawat klase kumpara sa inirekumendang pupil-teacher ratio.</t>
  </si>
  <si>
    <t>ka mga estudyante kada klase kon itandi sa girekomendar nga pupil-teacher ratio.</t>
  </si>
  <si>
    <t>Severely Stunted</t>
  </si>
  <si>
    <t>Stunted</t>
  </si>
  <si>
    <t>Tall</t>
  </si>
  <si>
    <t>Health and Nutritional Status (Body Mass Index)</t>
  </si>
  <si>
    <t>Health and Nutritional Status (Height For Age)</t>
  </si>
  <si>
    <t>2016-2017</t>
  </si>
  <si>
    <t>2017-2018</t>
  </si>
  <si>
    <t>2018-2019</t>
  </si>
  <si>
    <t>rank</t>
  </si>
  <si>
    <t>STANDARD</t>
  </si>
  <si>
    <t>MULTI-GRADE (SHARED ROOMS)</t>
  </si>
  <si>
    <t>The learner-toilet ratio is</t>
  </si>
  <si>
    <t>Ang learner-toilet ratio ay</t>
  </si>
  <si>
    <t>toilet/s for the whole school.</t>
  </si>
  <si>
    <t>toilet/s para sa buong paaralan.</t>
  </si>
  <si>
    <t>toilet/s para sa tibuok tulunghaan.</t>
  </si>
  <si>
    <t>The learner-seat ratio is</t>
  </si>
  <si>
    <t>Ang learner-seat ratio ay</t>
  </si>
  <si>
    <t>Ang learner-seat ratio mao ang</t>
  </si>
  <si>
    <t>:1,</t>
  </si>
  <si>
    <t>seat/s for the whole school.</t>
  </si>
  <si>
    <t>upuan para sa buong paaralan.</t>
  </si>
  <si>
    <t>lingkuranan para sa tibuok tulunghaan.</t>
  </si>
  <si>
    <t>ENROLMENT</t>
  </si>
  <si>
    <t>CL</t>
  </si>
  <si>
    <t>NOC</t>
  </si>
  <si>
    <t>TEACHER</t>
  </si>
  <si>
    <t>CLASSROOM</t>
  </si>
  <si>
    <t>The</t>
  </si>
  <si>
    <t>teacher/s.</t>
  </si>
  <si>
    <t>grade levels are handled by</t>
  </si>
  <si>
    <t>grade levels are having their classes in</t>
  </si>
  <si>
    <t>Ang</t>
  </si>
  <si>
    <t>grade levels ay hinahawakan ng</t>
  </si>
  <si>
    <t>ka grade levels gi-handle ug</t>
  </si>
  <si>
    <t>guro.</t>
  </si>
  <si>
    <t>magtutudlo,</t>
  </si>
  <si>
    <t>grade levels nagklase sulod sa</t>
  </si>
  <si>
    <t>klasrum.</t>
  </si>
  <si>
    <t>grade levels ay nagkaroon ng kaklase sa</t>
  </si>
  <si>
    <t>Student Representative</t>
  </si>
  <si>
    <t>Teacher Representative</t>
  </si>
  <si>
    <t>PTA President</t>
  </si>
  <si>
    <t>SGC Chair</t>
  </si>
  <si>
    <t>SCHOOL PROFILE</t>
  </si>
  <si>
    <r>
      <t xml:space="preserve">SCHOOL PROFILE: </t>
    </r>
    <r>
      <rPr>
        <sz val="28"/>
        <color theme="0"/>
        <rFont val="Arial Rounded MT Bold"/>
        <family val="2"/>
      </rPr>
      <t>ENROLLMENT</t>
    </r>
  </si>
  <si>
    <r>
      <rPr>
        <sz val="14"/>
        <color theme="0"/>
        <rFont val="Arial Rounded MT Bold"/>
        <family val="2"/>
      </rPr>
      <t>SCHOOL PROFILE:</t>
    </r>
    <r>
      <rPr>
        <sz val="16"/>
        <color theme="0"/>
        <rFont val="Arial Rounded MT Bold"/>
        <family val="2"/>
      </rPr>
      <t xml:space="preserve"> </t>
    </r>
    <r>
      <rPr>
        <sz val="22"/>
        <color theme="0"/>
        <rFont val="Arial Rounded MT Bold"/>
        <family val="2"/>
      </rPr>
      <t>LEARNERS' MATERIALS (BOOKS)</t>
    </r>
  </si>
  <si>
    <r>
      <rPr>
        <sz val="14"/>
        <color theme="0"/>
        <rFont val="Arial Rounded MT Bold"/>
        <family val="2"/>
      </rPr>
      <t>SCHOOL PROFILE:</t>
    </r>
    <r>
      <rPr>
        <sz val="16"/>
        <color theme="0"/>
        <rFont val="Arial Rounded MT Bold"/>
        <family val="2"/>
      </rPr>
      <t xml:space="preserve"> </t>
    </r>
    <r>
      <rPr>
        <sz val="24"/>
        <color theme="0"/>
        <rFont val="Arial Rounded MT Bold"/>
        <family val="2"/>
      </rPr>
      <t>FUNDING SOURCE</t>
    </r>
  </si>
  <si>
    <r>
      <rPr>
        <sz val="12"/>
        <color theme="0"/>
        <rFont val="Arial Rounded MT Bold"/>
        <family val="2"/>
      </rPr>
      <t>STATUS OF SCHOOL PROJECTS:</t>
    </r>
    <r>
      <rPr>
        <sz val="16"/>
        <color theme="0"/>
        <rFont val="Arial Rounded MT Bold"/>
        <family val="2"/>
      </rPr>
      <t xml:space="preserve"> </t>
    </r>
    <r>
      <rPr>
        <sz val="22"/>
        <color theme="0"/>
        <rFont val="Arial Rounded MT Bold"/>
        <family val="2"/>
      </rPr>
      <t>STAKEHOLDERS'</t>
    </r>
    <r>
      <rPr>
        <sz val="18"/>
        <color theme="0"/>
        <rFont val="Arial Rounded MT Bold"/>
        <family val="2"/>
      </rPr>
      <t xml:space="preserve"> </t>
    </r>
    <r>
      <rPr>
        <sz val="14"/>
        <color theme="0"/>
        <rFont val="Arial Rounded MT Bold"/>
        <family val="2"/>
      </rPr>
      <t>PARTICIPATION</t>
    </r>
  </si>
  <si>
    <r>
      <rPr>
        <sz val="11"/>
        <color theme="0"/>
        <rFont val="Arial Rounded MT Bold"/>
        <family val="2"/>
      </rPr>
      <t>PERFORMANCE INDICATOR (GOVERNANCE):</t>
    </r>
    <r>
      <rPr>
        <sz val="16"/>
        <color theme="0"/>
        <rFont val="Arial Rounded MT Bold"/>
        <family val="2"/>
      </rPr>
      <t xml:space="preserve"> </t>
    </r>
    <r>
      <rPr>
        <sz val="20"/>
        <color theme="0"/>
        <rFont val="Arial Rounded MT Bold"/>
        <family val="2"/>
      </rPr>
      <t>LEARNER-TEACHER</t>
    </r>
    <r>
      <rPr>
        <sz val="18"/>
        <color theme="0"/>
        <rFont val="Arial Rounded MT Bold"/>
        <family val="2"/>
      </rPr>
      <t xml:space="preserve"> </t>
    </r>
    <r>
      <rPr>
        <sz val="14"/>
        <color theme="0"/>
        <rFont val="Arial Rounded MT Bold"/>
        <family val="2"/>
      </rPr>
      <t>RATIO</t>
    </r>
  </si>
  <si>
    <r>
      <rPr>
        <sz val="12"/>
        <color theme="0"/>
        <rFont val="Arial Rounded MT Bold"/>
        <family val="2"/>
      </rPr>
      <t>PERFORMANCE INDICATOR (QUALITY):</t>
    </r>
    <r>
      <rPr>
        <sz val="22"/>
        <color theme="0"/>
        <rFont val="Arial Rounded MT Bold"/>
        <family val="2"/>
      </rPr>
      <t xml:space="preserve"> PROMOTION</t>
    </r>
    <r>
      <rPr>
        <sz val="14"/>
        <color theme="0"/>
        <rFont val="Arial Rounded MT Bold"/>
        <family val="2"/>
      </rPr>
      <t xml:space="preserve"> RATE &amp;</t>
    </r>
    <r>
      <rPr>
        <sz val="20"/>
        <color theme="0"/>
        <rFont val="Arial Rounded MT Bold"/>
        <family val="2"/>
      </rPr>
      <t xml:space="preserve"> </t>
    </r>
    <r>
      <rPr>
        <sz val="22"/>
        <color theme="0"/>
        <rFont val="Arial Rounded MT Bold"/>
        <family val="2"/>
      </rPr>
      <t>NAT</t>
    </r>
  </si>
  <si>
    <r>
      <rPr>
        <sz val="14"/>
        <color theme="0"/>
        <rFont val="Arial Rounded MT Bold"/>
        <family val="2"/>
      </rPr>
      <t>SCHOOL PROFILE:</t>
    </r>
    <r>
      <rPr>
        <sz val="16"/>
        <color theme="0"/>
        <rFont val="Arial Rounded MT Bold"/>
        <family val="2"/>
      </rPr>
      <t xml:space="preserve"> </t>
    </r>
    <r>
      <rPr>
        <sz val="24"/>
        <color theme="0"/>
        <rFont val="Arial Rounded MT Bold"/>
        <family val="2"/>
      </rPr>
      <t xml:space="preserve">HEALTH </t>
    </r>
    <r>
      <rPr>
        <sz val="14"/>
        <color theme="0"/>
        <rFont val="Arial Rounded MT Bold"/>
        <family val="2"/>
      </rPr>
      <t>&amp;</t>
    </r>
    <r>
      <rPr>
        <sz val="24"/>
        <color theme="0"/>
        <rFont val="Arial Rounded MT Bold"/>
        <family val="2"/>
      </rPr>
      <t xml:space="preserve"> NUTRITIONAL </t>
    </r>
    <r>
      <rPr>
        <sz val="14"/>
        <color theme="0"/>
        <rFont val="Arial Rounded MT Bold"/>
        <family val="2"/>
      </rPr>
      <t>STATUS</t>
    </r>
  </si>
  <si>
    <r>
      <rPr>
        <sz val="14"/>
        <color theme="0"/>
        <rFont val="Arial Rounded MT Bold"/>
        <family val="2"/>
      </rPr>
      <t>SCHOOL PROFILE:</t>
    </r>
    <r>
      <rPr>
        <sz val="16"/>
        <color theme="0"/>
        <rFont val="Arial Rounded MT Bold"/>
        <family val="2"/>
      </rPr>
      <t xml:space="preserve"> </t>
    </r>
    <r>
      <rPr>
        <sz val="24"/>
        <color theme="0"/>
        <rFont val="Arial Rounded MT Bold"/>
        <family val="2"/>
      </rPr>
      <t xml:space="preserve">TEACHERS' </t>
    </r>
    <r>
      <rPr>
        <sz val="14"/>
        <color theme="0"/>
        <rFont val="Arial Rounded MT Bold"/>
        <family val="2"/>
      </rPr>
      <t>PROFESSIONAL DEVELOPMENT</t>
    </r>
  </si>
  <si>
    <r>
      <rPr>
        <sz val="12"/>
        <color theme="0"/>
        <rFont val="Arial Rounded MT Bold"/>
        <family val="2"/>
      </rPr>
      <t>PERFORMANCE INDICATOR (QUALITY):</t>
    </r>
    <r>
      <rPr>
        <sz val="16"/>
        <color theme="0"/>
        <rFont val="Arial Rounded MT Bold"/>
        <family val="2"/>
      </rPr>
      <t xml:space="preserve"> </t>
    </r>
    <r>
      <rPr>
        <sz val="24"/>
        <color theme="0"/>
        <rFont val="Arial Rounded MT Bold"/>
        <family val="2"/>
      </rPr>
      <t>LITERACY</t>
    </r>
    <r>
      <rPr>
        <sz val="18"/>
        <color theme="0"/>
        <rFont val="Arial Rounded MT Bold"/>
        <family val="2"/>
      </rPr>
      <t xml:space="preserve"> </t>
    </r>
    <r>
      <rPr>
        <sz val="14"/>
        <color theme="0"/>
        <rFont val="Arial Rounded MT Bold"/>
        <family val="2"/>
      </rPr>
      <t>LEVEL (READING)</t>
    </r>
  </si>
  <si>
    <r>
      <rPr>
        <sz val="14"/>
        <color theme="0"/>
        <rFont val="Arial Rounded MT Bold"/>
        <family val="2"/>
      </rPr>
      <t>SCHOOL PROFILE:</t>
    </r>
    <r>
      <rPr>
        <sz val="16"/>
        <color theme="0"/>
        <rFont val="Arial Rounded MT Bold"/>
        <family val="2"/>
      </rPr>
      <t xml:space="preserve"> </t>
    </r>
    <r>
      <rPr>
        <sz val="20"/>
        <color theme="0"/>
        <rFont val="Arial Rounded MT Bold"/>
        <family val="2"/>
      </rPr>
      <t>SCHOOL AWARDS &amp; RECOGNITION</t>
    </r>
  </si>
  <si>
    <r>
      <rPr>
        <sz val="9"/>
        <color theme="0"/>
        <rFont val="Arial Rounded MT Bold"/>
        <family val="2"/>
      </rPr>
      <t>PERFORMANCE INDICATOR (GOVERNANCE):</t>
    </r>
    <r>
      <rPr>
        <sz val="16"/>
        <color theme="0"/>
        <rFont val="Arial Rounded MT Bold"/>
        <family val="2"/>
      </rPr>
      <t xml:space="preserve"> </t>
    </r>
    <r>
      <rPr>
        <sz val="14"/>
        <color theme="0"/>
        <rFont val="Arial Rounded MT Bold"/>
        <family val="2"/>
      </rPr>
      <t xml:space="preserve">LEARNER-TOILET </t>
    </r>
    <r>
      <rPr>
        <sz val="10"/>
        <color theme="0"/>
        <rFont val="Arial Rounded MT Bold"/>
        <family val="2"/>
      </rPr>
      <t>&amp;</t>
    </r>
    <r>
      <rPr>
        <sz val="14"/>
        <color theme="0"/>
        <rFont val="Arial Rounded MT Bold"/>
        <family val="2"/>
      </rPr>
      <t xml:space="preserve"> LEARNER-SEAT </t>
    </r>
    <r>
      <rPr>
        <sz val="10"/>
        <color theme="0"/>
        <rFont val="Arial Rounded MT Bold"/>
        <family val="2"/>
      </rPr>
      <t>RATIO</t>
    </r>
  </si>
  <si>
    <r>
      <rPr>
        <sz val="14"/>
        <color theme="0"/>
        <rFont val="Arial Rounded MT Bold"/>
        <family val="2"/>
      </rPr>
      <t>PERFORMANCE INDICATOR (ACCESS):</t>
    </r>
    <r>
      <rPr>
        <sz val="16"/>
        <color theme="0"/>
        <rFont val="Arial Rounded MT Bold"/>
        <family val="2"/>
      </rPr>
      <t xml:space="preserve"> </t>
    </r>
    <r>
      <rPr>
        <sz val="24"/>
        <color theme="0"/>
        <rFont val="Arial Rounded MT Bold"/>
        <family val="2"/>
      </rPr>
      <t xml:space="preserve">DROP-OUT </t>
    </r>
    <r>
      <rPr>
        <sz val="16"/>
        <color theme="0"/>
        <rFont val="Arial Rounded MT Bold"/>
        <family val="2"/>
      </rPr>
      <t>RATE</t>
    </r>
  </si>
  <si>
    <t>Name</t>
  </si>
  <si>
    <t>Designation/ Position</t>
  </si>
  <si>
    <t>Signatories</t>
  </si>
  <si>
    <t>Status (%)</t>
  </si>
  <si>
    <t>Category</t>
  </si>
  <si>
    <t>PERFORMANCE INDICATORS</t>
  </si>
  <si>
    <t>STATUS OF SCHOOL PROJECTS</t>
  </si>
  <si>
    <r>
      <rPr>
        <sz val="10"/>
        <color theme="0"/>
        <rFont val="Arial Rounded MT Bold"/>
        <family val="2"/>
      </rPr>
      <t>PERFORMANCE INDICATOR (GOVERNANCE):</t>
    </r>
    <r>
      <rPr>
        <sz val="16"/>
        <color theme="0"/>
        <rFont val="Arial Rounded MT Bold"/>
        <family val="2"/>
      </rPr>
      <t xml:space="preserve"> </t>
    </r>
    <r>
      <rPr>
        <sz val="19"/>
        <color theme="0"/>
        <rFont val="Arial Rounded MT Bold"/>
        <family val="2"/>
      </rPr>
      <t>LEARNER-CLASSROOM</t>
    </r>
    <r>
      <rPr>
        <sz val="18"/>
        <color theme="0"/>
        <rFont val="Arial Rounded MT Bold"/>
        <family val="2"/>
      </rPr>
      <t xml:space="preserve"> </t>
    </r>
    <r>
      <rPr>
        <sz val="12"/>
        <color theme="0"/>
        <rFont val="Arial Rounded MT Bold"/>
        <family val="2"/>
      </rPr>
      <t>RATIO</t>
    </r>
  </si>
  <si>
    <r>
      <rPr>
        <sz val="14"/>
        <color theme="0"/>
        <rFont val="Arial Rounded MT Bold"/>
        <family val="2"/>
      </rPr>
      <t>SCHOOL PROFILE:</t>
    </r>
    <r>
      <rPr>
        <sz val="22"/>
        <color theme="0"/>
        <rFont val="Arial Rounded MT Bold"/>
        <family val="2"/>
      </rPr>
      <t xml:space="preserve"> TEACHERS' </t>
    </r>
    <r>
      <rPr>
        <sz val="14"/>
        <color theme="0"/>
        <rFont val="Arial Rounded MT Bold"/>
        <family val="2"/>
      </rPr>
      <t>PROFESSIONAL DEVELOPMENT</t>
    </r>
  </si>
  <si>
    <t>Instructions</t>
  </si>
  <si>
    <r>
      <t xml:space="preserve">As a general rule, non-colored cells are </t>
    </r>
    <r>
      <rPr>
        <b/>
        <i/>
        <sz val="11"/>
        <color theme="1"/>
        <rFont val="Arial"/>
        <family val="2"/>
      </rPr>
      <t>INPUT</t>
    </r>
    <r>
      <rPr>
        <i/>
        <sz val="11"/>
        <color theme="1"/>
        <rFont val="Arial"/>
        <family val="2"/>
      </rPr>
      <t xml:space="preserve"> cells. Input the required data on these cells. Colored cells are locked/protected cells. They require no data input. Instead, they automatically generate results based on the data you supplied.  </t>
    </r>
  </si>
  <si>
    <t xml:space="preserve">           This tool is provided with Ease-Access Buttons (colored-buttons with labels) to move around or to go immediately to the specific part of the tool where you would like to go. It can be within the sheet or to other sheets.</t>
  </si>
  <si>
    <r>
      <rPr>
        <b/>
        <sz val="18"/>
        <color rgb="FFFF0000"/>
        <rFont val="Arial Black"/>
        <family val="2"/>
      </rPr>
      <t>Step 4.</t>
    </r>
    <r>
      <rPr>
        <sz val="11"/>
        <color theme="1"/>
        <rFont val="Arial"/>
        <family val="2"/>
      </rPr>
      <t xml:space="preserve">  </t>
    </r>
    <r>
      <rPr>
        <b/>
        <sz val="11"/>
        <color rgb="FF00B050"/>
        <rFont val="Arial"/>
        <family val="2"/>
      </rPr>
      <t xml:space="preserve">UPLOADING THE SCHOOL DATA TO THE SRC FACILITY        </t>
    </r>
    <r>
      <rPr>
        <sz val="11"/>
        <color theme="1"/>
        <rFont val="Arial"/>
        <family val="2"/>
      </rPr>
      <t xml:space="preserve">                                                              (Instructions will be provided once the facility is completed</t>
    </r>
  </si>
  <si>
    <t>Language:</t>
  </si>
  <si>
    <t>Appliances Equipment</t>
  </si>
  <si>
    <t>Financial Support</t>
  </si>
  <si>
    <t>Learner School Supplies Uniforms</t>
  </si>
  <si>
    <t>Learner Wellness Health Nutrition</t>
  </si>
  <si>
    <t>Teaching Non Teaching Personnel Support</t>
  </si>
  <si>
    <t>Technical Assistance</t>
  </si>
  <si>
    <t>Volunteer Hours</t>
  </si>
  <si>
    <t>Work Immersion</t>
  </si>
  <si>
    <t>Junior High School (w/ SHS)</t>
  </si>
  <si>
    <r>
      <t xml:space="preserve">            This e-tool is specially designed to prepare electronically the </t>
    </r>
    <r>
      <rPr>
        <b/>
        <sz val="11"/>
        <color theme="1"/>
        <rFont val="Arial"/>
        <family val="2"/>
      </rPr>
      <t>School Report Card</t>
    </r>
    <r>
      <rPr>
        <sz val="11"/>
        <color theme="1"/>
        <rFont val="Arial"/>
        <family val="2"/>
      </rPr>
      <t xml:space="preserve"> (</t>
    </r>
    <r>
      <rPr>
        <b/>
        <sz val="11"/>
        <color theme="1"/>
        <rFont val="Arial"/>
        <family val="2"/>
      </rPr>
      <t>SRC</t>
    </r>
    <r>
      <rPr>
        <sz val="11"/>
        <color theme="1"/>
        <rFont val="Arial"/>
        <family val="2"/>
      </rPr>
      <t>). This will improve data accuracy of School Report Card and will lessen the time of preparation.
            This e-tool works best using Office 2013 and higher.
            You will be working on this tool using the Main Interface provided with Selection icons and drop-down list for the language of your SRC.</t>
    </r>
  </si>
  <si>
    <t>Classification of Schools</t>
  </si>
  <si>
    <t>Kinder+Primary</t>
  </si>
  <si>
    <t>Intergrated(K to JHS)</t>
  </si>
  <si>
    <t>Integrated (K to SHS)</t>
  </si>
  <si>
    <t>No. (Arm Chairs)</t>
  </si>
  <si>
    <t>Capacity /table</t>
  </si>
  <si>
    <t>Capacity /desk</t>
  </si>
  <si>
    <t>Number of Dropouts due to:</t>
  </si>
  <si>
    <t>Class Organization</t>
  </si>
  <si>
    <t>Mono-Grade</t>
  </si>
  <si>
    <t>Multi-Grade</t>
  </si>
  <si>
    <t>Combined (Mono-Grade &amp; Multi-Grade)</t>
  </si>
  <si>
    <t>Classroom seat quantity. Indicate the total number of seats in all classrooms.</t>
  </si>
  <si>
    <t>John Benedict Ty</t>
  </si>
  <si>
    <t>National Achievement Tests (NAT) Results (Mean Percentage Score)
Note: For Grade 3 - LAPG/ELLNA</t>
  </si>
  <si>
    <t>bilang ng mga babae na nag-enroll ay</t>
  </si>
  <si>
    <t>ang bilang ng mga lalaking nag-enroll ay</t>
  </si>
  <si>
    <t>ng mga lalaking mag-aaral ay hindi kabilang sa normal na katayuan ng kalusugan</t>
  </si>
  <si>
    <t>sa mga lalaki nga tinun-an ang wala ma-apil sa normal nga kahimtang sa panglawas</t>
  </si>
  <si>
    <t>ng mga babaeng mag-aaral ay hindi kabilang sa normal na katayuan ng kalusugan.</t>
  </si>
  <si>
    <t>sa mga babaye nga tinun-an ang wala ma-apil sa normal nga kahimtang sa panglawas.</t>
  </si>
  <si>
    <t>classroom/s</t>
  </si>
  <si>
    <t>silid-aralan</t>
  </si>
  <si>
    <t>klasehanan</t>
  </si>
  <si>
    <t>Printing Procedure</t>
  </si>
  <si>
    <t>A. Printing using the Booklet Format SRC. (use A4 size paper)</t>
  </si>
  <si>
    <t>B. Printing using the Brocure Format SRC. (use 13"x8.5" size paper)</t>
  </si>
  <si>
    <t>1. Check "Scale" in PAGE LAYOUT Tab. All should fit in 8 pages (see Print Preview). Adjust Scale if necessary.
2. Print pages 1-4 first.
3. Flip the printed 1-4 pages and feed back to printer. (Important Note: Some printers set margins on its own, in case your printed output has excess margin in one side, you need to cut it so the left and right margins will be equal.
4. Print pages 5-8, then fold to form a booklet.</t>
  </si>
  <si>
    <t>1. Check "Scale" in PAGE LAYOUT Tab. All should fit in 2 pages (see Print Preview). Adjust Scale if necessary.
2. Print page 1 first.
3. Flip the printed 1st page and feed back to printer. (Important Note: Some printers set margins on its own, in case your printed output has excess margin in one side, you need to cut it so the left and right margins will be equal.
4. Print page 2, then fold to form a brochure.</t>
  </si>
  <si>
    <t>C. Printing using the Tarpaulin Format SRC. (use 6'x4' size Tarp or other larger but propotional sizes like 9'x6', etc.)</t>
  </si>
  <si>
    <t>1. After Clicking the Tarpaulin icon press Ctrl+C to copy.
2. Open MS Paint.
3. Press Ctrl+V to paste.
4. Save to jpeg format.
(Note: Just instruct the printing shop to print a size you want which is proportional to the saved jpeg format.)</t>
  </si>
  <si>
    <t>Ang learner-toilet ratio niabot ug</t>
  </si>
  <si>
    <t>Language</t>
  </si>
  <si>
    <t>TAGALOG</t>
  </si>
  <si>
    <t>KAPAMPANGAN</t>
  </si>
  <si>
    <t>PANGASINENSE</t>
  </si>
  <si>
    <t>ILOKO</t>
  </si>
  <si>
    <t>BIKOL</t>
  </si>
  <si>
    <t>CEBUANO</t>
  </si>
  <si>
    <t>WARAY</t>
  </si>
  <si>
    <t>TAUSUS</t>
  </si>
  <si>
    <t>MAGUONDANAOAN</t>
  </si>
  <si>
    <t>MARANAO</t>
  </si>
  <si>
    <t>CHABACANO</t>
  </si>
  <si>
    <t>YBANAG</t>
  </si>
  <si>
    <t>IVATAN</t>
  </si>
  <si>
    <t>SAMBAL</t>
  </si>
  <si>
    <t>AKLANON</t>
  </si>
  <si>
    <t>KINARAY-A</t>
  </si>
  <si>
    <t>YAKAN</t>
  </si>
  <si>
    <t>SURIGAONON</t>
  </si>
  <si>
    <t>*Balik-aral</t>
  </si>
  <si>
    <t>*Transfer in/out in Private Schools</t>
  </si>
  <si>
    <t>*Establishment/Closing of nearby schools</t>
  </si>
  <si>
    <t>Simple Dropout Rate</t>
  </si>
  <si>
    <t>LSENs</t>
  </si>
  <si>
    <t>Transition</t>
  </si>
  <si>
    <t>Status of Annual Implementation Plan (AIP)</t>
  </si>
  <si>
    <t>Status of AIP Projects</t>
  </si>
  <si>
    <t>Status of AIP</t>
  </si>
  <si>
    <r>
      <rPr>
        <sz val="14"/>
        <color theme="0"/>
        <rFont val="Arial Rounded MT Bold"/>
        <family val="2"/>
      </rPr>
      <t>STATUS OF SCHOOL PROJECTS:</t>
    </r>
    <r>
      <rPr>
        <sz val="16"/>
        <color theme="0"/>
        <rFont val="Arial Rounded MT Bold"/>
        <family val="2"/>
      </rPr>
      <t xml:space="preserve"> STATUS OF </t>
    </r>
    <r>
      <rPr>
        <sz val="24"/>
        <color theme="0"/>
        <rFont val="Arial Rounded MT Bold"/>
        <family val="2"/>
      </rPr>
      <t>AIP</t>
    </r>
  </si>
  <si>
    <t>Status AIP</t>
  </si>
  <si>
    <t>Proposed</t>
  </si>
  <si>
    <t>Ongoing</t>
  </si>
  <si>
    <t>Completed</t>
  </si>
  <si>
    <t>Cancelled</t>
  </si>
  <si>
    <t>Status</t>
  </si>
  <si>
    <t>Remarks</t>
  </si>
  <si>
    <t>Budget</t>
  </si>
  <si>
    <t>Source</t>
  </si>
  <si>
    <t>Cost</t>
  </si>
  <si>
    <t>Funding Source</t>
  </si>
  <si>
    <t>GAA Subsidy</t>
  </si>
  <si>
    <t>Donation</t>
  </si>
  <si>
    <t>Private_Sector</t>
  </si>
  <si>
    <t>Corporate Foundation</t>
  </si>
  <si>
    <t>Public_Sector</t>
  </si>
  <si>
    <t>National Government Agency</t>
  </si>
  <si>
    <t>Congress</t>
  </si>
  <si>
    <t>GOCC (Government-Owned and Controlled Corporation)</t>
  </si>
  <si>
    <t>LGU-Province</t>
  </si>
  <si>
    <t>LGU-Municipality</t>
  </si>
  <si>
    <t>LGU-City</t>
  </si>
  <si>
    <t>LGU-Barangay</t>
  </si>
  <si>
    <t>State Universities and Colleges (SUCs)</t>
  </si>
  <si>
    <t>Non-Government Organizations</t>
  </si>
  <si>
    <t>Faith-Based Organizations</t>
  </si>
  <si>
    <t>People's Organizations</t>
  </si>
  <si>
    <t>Professional Associations</t>
  </si>
  <si>
    <t>Cooperatives</t>
  </si>
  <si>
    <t>Trade Unions</t>
  </si>
  <si>
    <t>Media Associations</t>
  </si>
  <si>
    <t>Government</t>
  </si>
  <si>
    <t>INGO-International Non-Government Organizations</t>
  </si>
  <si>
    <t>Other Repair</t>
  </si>
  <si>
    <t>Other Furniture</t>
  </si>
  <si>
    <t>Other ICT Equipment</t>
  </si>
  <si>
    <t>Other Equipment</t>
  </si>
  <si>
    <t>STATUS</t>
  </si>
  <si>
    <t>N</t>
  </si>
  <si>
    <t>CONTRIBUTION TYPE</t>
  </si>
  <si>
    <t>INDEX</t>
  </si>
  <si>
    <t>DIFFERENCE</t>
  </si>
  <si>
    <t>Literacy Level- PHIL-IRI Group Screening Test (GST)</t>
  </si>
  <si>
    <t>20-14</t>
  </si>
  <si>
    <t>13-8</t>
  </si>
  <si>
    <t>7-0</t>
  </si>
  <si>
    <t>Number of learners who scores 20-14, 13-8, and 7-0 during the Group Screening Test (ENGLISH)</t>
  </si>
  <si>
    <t>Number of learners who scores 20-14, 13-8, and 7-0 during the Group Screening Test (FILIPINO)</t>
  </si>
  <si>
    <t>ENGLISH (PRE-TEST)</t>
  </si>
  <si>
    <t>ENGLISH (POST-TEST)</t>
  </si>
  <si>
    <t>FILIPINO (PRE-TEST)</t>
  </si>
  <si>
    <t>FILIPINO (POST-TEST)</t>
  </si>
  <si>
    <t>13-0</t>
  </si>
  <si>
    <t>INDEXA</t>
  </si>
  <si>
    <t>INDEXB</t>
  </si>
  <si>
    <t>ENGLISH PRE-TEST</t>
  </si>
  <si>
    <t>ENGLISH POST-TEST</t>
  </si>
  <si>
    <t>FILIPINO PRE-TEST</t>
  </si>
  <si>
    <t>LSENS (GRADED)</t>
  </si>
  <si>
    <t>LSENS (NON-GRADED</t>
  </si>
  <si>
    <t>TRANSITION</t>
  </si>
  <si>
    <t>Non-Graded and Transition</t>
  </si>
  <si>
    <t>Level_PHILIRI</t>
  </si>
  <si>
    <t>PHILIRI</t>
  </si>
  <si>
    <t>PHILIRI2</t>
  </si>
  <si>
    <t>PHILIRI3</t>
  </si>
  <si>
    <t>Level_PHILIRIFIL</t>
  </si>
  <si>
    <t>PHILIRIFIL</t>
  </si>
  <si>
    <t>PHILIRIFIL2</t>
  </si>
  <si>
    <t>PHILIRIFIL3</t>
  </si>
  <si>
    <t>Operational Plan crafted from the SIP for specific projects that can be addressed for a year. This includes interventions, strategies and learning activities, timeframe for implementation, persons responsible and resources needed which are appropriate to achieve the objective set.</t>
  </si>
  <si>
    <t>Awards given and recognized by the Department of Education as low as from the District Office and as high as from International organizations.</t>
  </si>
  <si>
    <t xml:space="preserve">Official Databased of the Department of Education on Schools' Performance Indicators </t>
  </si>
  <si>
    <t>School Canteen</t>
  </si>
  <si>
    <t>is a great place to promote an enjoyment of healthy eating. It has a considerable influence on the development of children's long-term eating habits, food preferences and attitudes towards food.</t>
  </si>
  <si>
    <t>any school members be it learners or school personnel participates and represents the school in any DepEd sponsored competitions</t>
  </si>
  <si>
    <t>a geographical unit for the local administration of schools.</t>
  </si>
  <si>
    <r>
      <t>A </t>
    </r>
    <r>
      <rPr>
        <b/>
        <sz val="11"/>
        <color rgb="FF222222"/>
        <rFont val="Calibri"/>
        <family val="2"/>
        <scheme val="minor"/>
      </rPr>
      <t>school division</t>
    </r>
    <r>
      <rPr>
        <sz val="11"/>
        <color rgb="FF222222"/>
        <rFont val="Calibri"/>
        <family val="2"/>
        <scheme val="minor"/>
      </rPr>
      <t> is a geographic </t>
    </r>
    <r>
      <rPr>
        <b/>
        <sz val="11"/>
        <color rgb="FF222222"/>
        <rFont val="Calibri"/>
        <family val="2"/>
        <scheme val="minor"/>
      </rPr>
      <t>division</t>
    </r>
    <r>
      <rPr>
        <sz val="11"/>
        <color rgb="FF222222"/>
        <rFont val="Calibri"/>
        <family val="2"/>
        <scheme val="minor"/>
      </rPr>
      <t> over which a </t>
    </r>
    <r>
      <rPr>
        <b/>
        <sz val="11"/>
        <color rgb="FF222222"/>
        <rFont val="Calibri"/>
        <family val="2"/>
        <scheme val="minor"/>
      </rPr>
      <t>school</t>
    </r>
    <r>
      <rPr>
        <sz val="11"/>
        <color rgb="FF222222"/>
        <rFont val="Calibri"/>
        <family val="2"/>
        <scheme val="minor"/>
      </rPr>
      <t> board has jurisdiction.</t>
    </r>
  </si>
  <si>
    <t>a person who donates something, especially money to a fund or charity.</t>
  </si>
  <si>
    <r>
      <t>Elementary</t>
    </r>
    <r>
      <rPr>
        <sz val="11"/>
        <color rgb="FF222222"/>
        <rFont val="Calibri"/>
        <family val="2"/>
        <scheme val="minor"/>
      </rPr>
      <t> school is defined as a period of formal </t>
    </r>
    <r>
      <rPr>
        <b/>
        <sz val="11"/>
        <color rgb="FF222222"/>
        <rFont val="Calibri"/>
        <family val="2"/>
        <scheme val="minor"/>
      </rPr>
      <t>education</t>
    </r>
    <r>
      <rPr>
        <sz val="11"/>
        <color rgb="FF222222"/>
        <rFont val="Calibri"/>
        <family val="2"/>
        <scheme val="minor"/>
      </rPr>
      <t> following pre-school but before high school. It usually encompasses grades 1- 6 and learners basic skills in areas such as reading, writing and math.</t>
    </r>
  </si>
  <si>
    <r>
      <t>A dysfunctional </t>
    </r>
    <r>
      <rPr>
        <b/>
        <sz val="11"/>
        <color rgb="FF222222"/>
        <rFont val="Calibri"/>
        <family val="2"/>
        <scheme val="minor"/>
      </rPr>
      <t>family</t>
    </r>
    <r>
      <rPr>
        <sz val="11"/>
        <color rgb="FF222222"/>
        <rFont val="Calibri"/>
        <family val="2"/>
        <scheme val="minor"/>
      </rPr>
      <t> is a </t>
    </r>
    <r>
      <rPr>
        <b/>
        <sz val="11"/>
        <color rgb="FF222222"/>
        <rFont val="Calibri"/>
        <family val="2"/>
        <scheme val="minor"/>
      </rPr>
      <t>family</t>
    </r>
    <r>
      <rPr>
        <sz val="11"/>
        <color rgb="FF222222"/>
        <rFont val="Calibri"/>
        <family val="2"/>
        <scheme val="minor"/>
      </rPr>
      <t> in which conflict, misbehavior, and often child neglect or abuse on the part of individual parents occur continuously and regularly, leading other members to accommodate such actions.</t>
    </r>
  </si>
  <si>
    <t>the action or manner of governing.</t>
  </si>
  <si>
    <t>The condition of the body in those respects influenced by the diet; the levels of nutrients in the body and the ability of those levels to maintain normal metabolic integrity.</t>
  </si>
  <si>
    <t>Indigenous People</t>
  </si>
  <si>
    <t>A group of people or homogenous societies identified by self-ascription and ascription by others, who have continuously lived as organized community on communally bounded and defined territory</t>
  </si>
  <si>
    <t>existing, occurring, or carried on between two or more nations.</t>
  </si>
  <si>
    <t>The amount of something that is permitted, especially within a set of regulations or for a specified purpose.</t>
  </si>
  <si>
    <r>
      <t>a spectrum of educational </t>
    </r>
    <r>
      <rPr>
        <b/>
        <sz val="11"/>
        <color rgb="FF222222"/>
        <rFont val="Calibri"/>
        <family val="2"/>
        <scheme val="minor"/>
      </rPr>
      <t>materials</t>
    </r>
    <r>
      <rPr>
        <sz val="11"/>
        <color rgb="FF222222"/>
        <rFont val="Calibri"/>
        <family val="2"/>
        <scheme val="minor"/>
      </rPr>
      <t> that teachers use in the classroom to support specific </t>
    </r>
    <r>
      <rPr>
        <b/>
        <sz val="11"/>
        <color rgb="FF222222"/>
        <rFont val="Calibri"/>
        <family val="2"/>
        <scheme val="minor"/>
      </rPr>
      <t>learning</t>
    </r>
    <r>
      <rPr>
        <sz val="11"/>
        <color rgb="FF222222"/>
        <rFont val="Calibri"/>
        <family val="2"/>
        <scheme val="minor"/>
      </rPr>
      <t> objectives, as set out in lesson plans.</t>
    </r>
  </si>
  <si>
    <t>Learner Reference Number</t>
  </si>
  <si>
    <t>Twelve (12)-digit number which the pupil, student or learner shall keep while completing the basic education program, regardless of transfer to another school or learning center in the public or private sector, and promotion/moving up to the secondary level (DO 22, s. 2012)</t>
  </si>
  <si>
    <t>Number of learner using a particular toilet</t>
  </si>
  <si>
    <r>
      <t>Local government units</t>
    </r>
    <r>
      <rPr>
        <sz val="11"/>
        <color rgb="FF222222"/>
        <rFont val="Calibri"/>
        <family val="2"/>
        <scheme val="minor"/>
      </rPr>
      <t> are institutional </t>
    </r>
    <r>
      <rPr>
        <b/>
        <sz val="11"/>
        <color rgb="FF222222"/>
        <rFont val="Calibri"/>
        <family val="2"/>
        <scheme val="minor"/>
      </rPr>
      <t>units</t>
    </r>
    <r>
      <rPr>
        <sz val="11"/>
        <color rgb="FF222222"/>
        <rFont val="Calibri"/>
        <family val="2"/>
        <scheme val="minor"/>
      </rPr>
      <t> whose fiscal, legislative and executive authority extends over the smallest geographical areas distinguished for administrative and political purposes.</t>
    </r>
  </si>
  <si>
    <t>Literacy level</t>
  </si>
  <si>
    <r>
      <t>literacy</t>
    </r>
    <r>
      <rPr>
        <sz val="11"/>
        <color rgb="FF222222"/>
        <rFont val="Calibri"/>
        <family val="2"/>
        <scheme val="minor"/>
      </rPr>
      <t> is the ability to use written language actively and passively; sometimes it is the ability to "read, write, spell, listen, and speak".</t>
    </r>
  </si>
  <si>
    <r>
      <t>Mean Percentage Score</t>
    </r>
    <r>
      <rPr>
        <sz val="11"/>
        <color rgb="FF222222"/>
        <rFont val="Calibri"/>
        <family val="2"/>
        <scheme val="minor"/>
      </rPr>
      <t> (MPS) The pupils' raw </t>
    </r>
    <r>
      <rPr>
        <b/>
        <sz val="11"/>
        <color rgb="FF222222"/>
        <rFont val="Calibri"/>
        <family val="2"/>
        <scheme val="minor"/>
      </rPr>
      <t>scores</t>
    </r>
    <r>
      <rPr>
        <sz val="11"/>
        <color rgb="FF222222"/>
        <rFont val="Calibri"/>
        <family val="2"/>
        <scheme val="minor"/>
      </rPr>
      <t> are transformed into </t>
    </r>
    <r>
      <rPr>
        <b/>
        <sz val="11"/>
        <color rgb="FF222222"/>
        <rFont val="Calibri"/>
        <family val="2"/>
        <scheme val="minor"/>
      </rPr>
      <t>Mean Percentage Scores</t>
    </r>
    <r>
      <rPr>
        <sz val="11"/>
        <color rgb="FF222222"/>
        <rFont val="Calibri"/>
        <family val="2"/>
        <scheme val="minor"/>
      </rPr>
      <t> (MPS). This indicates the ratio between the number of correctly answered items in a test and the total number of items.</t>
    </r>
  </si>
  <si>
    <t>Miscellaneous and Other Operating Expenses</t>
  </si>
  <si>
    <t>Mother Tongue</t>
  </si>
  <si>
    <t>The Language first learned by a learner; there 19 major languages identified in the recent DepEd Orders which are: Tagalog, Kapampangan, Pangasinense, Iloko, Bikol, Cebuano, Hiligaynon, Waray, Tausus, Maguondanaoan, Maranao, Chabacano, Ybanag, Ivatan, Sambal, Aklanon, Kinaray-a, Yakan, and Surigaonon (DO 16, s. 2012 &amp; DO 28, s. 2013)</t>
  </si>
  <si>
    <t>common to or characteristic of a whole nation.</t>
  </si>
  <si>
    <r>
      <t>The </t>
    </r>
    <r>
      <rPr>
        <b/>
        <sz val="11"/>
        <rFont val="Calibri"/>
        <family val="2"/>
        <scheme val="minor"/>
      </rPr>
      <t>National Achievement Test</t>
    </r>
    <r>
      <rPr>
        <sz val="11"/>
        <rFont val="Calibri"/>
        <family val="2"/>
        <scheme val="minor"/>
      </rPr>
      <t> (NAT) is a standardized set of examinations taken in the Philippines by students in Years 6, 10, and 12.</t>
    </r>
  </si>
  <si>
    <t>conforming to a standard; usual, typical, or expected.</t>
  </si>
  <si>
    <t>grossly fat or overweight</t>
  </si>
  <si>
    <t>above a weight considered normal or desirable.</t>
  </si>
  <si>
    <r>
      <t>(third-person singular simple present prepopulates, present participle prepopulating, simple past and past participle </t>
    </r>
    <r>
      <rPr>
        <b/>
        <sz val="11"/>
        <color rgb="FF222222"/>
        <rFont val="Calibri"/>
        <family val="2"/>
        <scheme val="minor"/>
      </rPr>
      <t>prepopulated</t>
    </r>
    <r>
      <rPr>
        <sz val="11"/>
        <color rgb="FF222222"/>
        <rFont val="Calibri"/>
        <family val="2"/>
        <scheme val="minor"/>
      </rPr>
      <t>) (computing) To</t>
    </r>
    <r>
      <rPr>
        <b/>
        <sz val="11"/>
        <color rgb="FF222222"/>
        <rFont val="Calibri"/>
        <family val="2"/>
        <scheme val="minor"/>
      </rPr>
      <t>populate</t>
    </r>
    <r>
      <rPr>
        <sz val="11"/>
        <color rgb="FF222222"/>
        <rFont val="Calibri"/>
        <family val="2"/>
        <scheme val="minor"/>
      </rPr>
      <t> (form fields, a database, etc.) in advance</t>
    </r>
  </si>
  <si>
    <t>Two years from the current year</t>
  </si>
  <si>
    <t>an individual or collaborative enterprise that is carefully planned and designed to achieve a particular aim.</t>
  </si>
  <si>
    <t>the standard of something as measured against other things of a similar kind; the degree of excellence of something.</t>
  </si>
  <si>
    <t>an area  especially part of a country having definable characteristics but not always fixed boundaries</t>
  </si>
  <si>
    <t>an institution for educating children or any institution at which instruction is given in a particular discipline.</t>
  </si>
  <si>
    <r>
      <rPr>
        <sz val="11"/>
        <color rgb="FF222222"/>
        <rFont val="Calibri"/>
        <family val="2"/>
        <scheme val="minor"/>
      </rPr>
      <t>Honoring exemplary students, teachers, classified employees and </t>
    </r>
    <r>
      <rPr>
        <b/>
        <sz val="11"/>
        <color rgb="FF222222"/>
        <rFont val="Calibri"/>
        <family val="2"/>
        <scheme val="minor"/>
      </rPr>
      <t>schools</t>
    </r>
    <r>
      <rPr>
        <sz val="11"/>
        <color rgb="FF222222"/>
        <rFont val="Calibri"/>
        <family val="2"/>
        <scheme val="minor"/>
      </rPr>
      <t> for achievement and for advancing excellence in education.</t>
    </r>
  </si>
  <si>
    <r>
      <t>The staff member with the greatest responsibility for the management of a </t>
    </r>
    <r>
      <rPr>
        <b/>
        <sz val="11"/>
        <color rgb="FF222222"/>
        <rFont val="Calibri"/>
        <family val="2"/>
        <scheme val="minor"/>
      </rPr>
      <t>school</t>
    </r>
    <r>
      <rPr>
        <sz val="11"/>
        <color rgb="FF222222"/>
        <rFont val="Calibri"/>
        <family val="2"/>
        <scheme val="minor"/>
      </rPr>
      <t>.</t>
    </r>
  </si>
  <si>
    <t>School Improvement Plan</t>
  </si>
  <si>
    <t>roadmap that lays down specific interventions that a school, with the help of the community and other stakeholders, will undertake within a period of three consecutive school years. It seeks to provide those involved in school planning an evidence-based, systematic approach with the point of view of the learner as the starting point. Ultimately, it is envisioned to help schools reach the goal of providing access to quality education</t>
  </si>
  <si>
    <r>
      <t>A document which was required to be produced by most maintained </t>
    </r>
    <r>
      <rPr>
        <b/>
        <sz val="11"/>
        <color rgb="FF222222"/>
        <rFont val="Calibri"/>
        <family val="2"/>
        <scheme val="minor"/>
      </rPr>
      <t>schools</t>
    </r>
    <r>
      <rPr>
        <sz val="11"/>
        <color rgb="FF222222"/>
        <rFont val="Calibri"/>
        <family val="2"/>
        <scheme val="minor"/>
      </rPr>
      <t>. This data included standard information such as number of pupils and </t>
    </r>
    <r>
      <rPr>
        <b/>
        <sz val="11"/>
        <color rgb="FF222222"/>
        <rFont val="Calibri"/>
        <family val="2"/>
        <scheme val="minor"/>
      </rPr>
      <t>school</t>
    </r>
    <r>
      <rPr>
        <sz val="11"/>
        <color rgb="FF222222"/>
        <rFont val="Calibri"/>
        <family val="2"/>
        <scheme val="minor"/>
      </rPr>
      <t> type, and a summary of </t>
    </r>
    <r>
      <rPr>
        <b/>
        <sz val="11"/>
        <color rgb="FF222222"/>
        <rFont val="Calibri"/>
        <family val="2"/>
        <scheme val="minor"/>
      </rPr>
      <t>school</t>
    </r>
    <r>
      <rPr>
        <sz val="11"/>
        <color rgb="FF222222"/>
        <rFont val="Calibri"/>
        <family val="2"/>
        <scheme val="minor"/>
      </rPr>
      <t> performance in National Curriculum assessments.</t>
    </r>
  </si>
  <si>
    <t>a thing made or used for sitting on, such as a chair or stool.</t>
  </si>
  <si>
    <r>
      <t>Secondary</t>
    </r>
    <r>
      <rPr>
        <sz val="11"/>
        <color rgb="FF222222"/>
        <rFont val="Calibri"/>
        <family val="2"/>
        <scheme val="minor"/>
      </rPr>
      <t> schools may be called high schools</t>
    </r>
  </si>
  <si>
    <r>
      <t>Moderate malnutrition (MM) is </t>
    </r>
    <r>
      <rPr>
        <b/>
        <sz val="11"/>
        <color rgb="FF222222"/>
        <rFont val="Calibri"/>
        <family val="2"/>
        <scheme val="minor"/>
      </rPr>
      <t>defined</t>
    </r>
    <r>
      <rPr>
        <sz val="11"/>
        <color rgb="FF222222"/>
        <rFont val="Calibri"/>
        <family val="2"/>
        <scheme val="minor"/>
      </rPr>
      <t> as a weight-for-age between -3 and -2 z-scores below the median of the WHO child growth standards. It can be due to a low weight-for-height (</t>
    </r>
    <r>
      <rPr>
        <b/>
        <sz val="11"/>
        <color rgb="FF222222"/>
        <rFont val="Calibri"/>
        <family val="2"/>
        <scheme val="minor"/>
      </rPr>
      <t>wasting</t>
    </r>
    <r>
      <rPr>
        <sz val="11"/>
        <color rgb="FF222222"/>
        <rFont val="Calibri"/>
        <family val="2"/>
        <scheme val="minor"/>
      </rPr>
      <t>) or a low height-for-age (stunting) or to a combination of both.</t>
    </r>
  </si>
  <si>
    <t>a state or situation in which something needed cannot be obtained in sufficient amounts.</t>
  </si>
  <si>
    <t>the state of being ill.</t>
  </si>
  <si>
    <t>is the process by which an organisation involves people who may be affected by the decisions it makes, or can influence the implementation of its decisions.</t>
  </si>
  <si>
    <t>a branch of knowledge studied or taught in a school</t>
  </si>
  <si>
    <t>a person who teaches, especially in a school.</t>
  </si>
  <si>
    <r>
      <t>it may be used in reference to a wide variety of specialized training, formal </t>
    </r>
    <r>
      <rPr>
        <b/>
        <sz val="11"/>
        <color rgb="FF222222"/>
        <rFont val="Calibri"/>
        <family val="2"/>
        <scheme val="minor"/>
      </rPr>
      <t>education</t>
    </r>
    <r>
      <rPr>
        <sz val="11"/>
        <color rgb="FF222222"/>
        <rFont val="Calibri"/>
        <family val="2"/>
        <scheme val="minor"/>
      </rPr>
      <t>, or advanced </t>
    </r>
    <r>
      <rPr>
        <b/>
        <sz val="11"/>
        <color rgb="FF222222"/>
        <rFont val="Calibri"/>
        <family val="2"/>
        <scheme val="minor"/>
      </rPr>
      <t xml:space="preserve">professional </t>
    </r>
    <r>
      <rPr>
        <sz val="11"/>
        <color rgb="FF222222"/>
        <rFont val="Calibri"/>
        <family val="2"/>
        <scheme val="minor"/>
      </rPr>
      <t>learning intended to help administrators, </t>
    </r>
    <r>
      <rPr>
        <b/>
        <sz val="11"/>
        <color rgb="FF222222"/>
        <rFont val="Calibri"/>
        <family val="2"/>
        <scheme val="minor"/>
      </rPr>
      <t>teachers</t>
    </r>
    <r>
      <rPr>
        <sz val="11"/>
        <color rgb="FF222222"/>
        <rFont val="Calibri"/>
        <family val="2"/>
        <scheme val="minor"/>
      </rPr>
      <t>, and other educators improve their </t>
    </r>
    <r>
      <rPr>
        <b/>
        <sz val="11"/>
        <color rgb="FF222222"/>
        <rFont val="Calibri"/>
        <family val="2"/>
        <scheme val="minor"/>
      </rPr>
      <t>professional</t>
    </r>
    <r>
      <rPr>
        <sz val="11"/>
        <color rgb="FF222222"/>
        <rFont val="Calibri"/>
        <family val="2"/>
        <scheme val="minor"/>
      </rPr>
      <t> knowledge, competence, skill, and effectiveness</t>
    </r>
  </si>
  <si>
    <t>a book used as a standard work for the study of a particular subject.</t>
  </si>
  <si>
    <t>given to a person, a group of people, or an organization in recognition of their excellence in a certain field.</t>
  </si>
  <si>
    <t>the action of teaching a person in a particular skill or type of behavior.</t>
  </si>
  <si>
    <t>excess</t>
  </si>
  <si>
    <t>STD</t>
  </si>
  <si>
    <t xml:space="preserve">             When all graphical presentations and data analysis are correctly displayed, you may now print this part and this will serve as one of the annexes of your School Improvement Plan (SIP). If some graphical presentations and data analysis are displayed incorrectly or with errors, go back to the SCHOOL DATA icon and check for erroneous inputs (ex. you would like to input number "0" but accidentally you are entering letter "O"). Though, majority of the fields are set with error alerts and input messages, still you have to check the correctness of your inputs in all required fields.</t>
  </si>
  <si>
    <r>
      <rPr>
        <b/>
        <sz val="18"/>
        <color rgb="FFFF0000"/>
        <rFont val="Arial Black"/>
        <family val="2"/>
      </rPr>
      <t>Step 2.</t>
    </r>
    <r>
      <rPr>
        <sz val="11"/>
        <color theme="1"/>
        <rFont val="Arial"/>
        <family val="2"/>
      </rPr>
      <t xml:space="preserve">  When all data required in the Data Table are filled-in, Clck the SCHOOL REPORT CARD icon To view the automated result. This part of the tool will display the the </t>
    </r>
    <r>
      <rPr>
        <b/>
        <sz val="11"/>
        <color theme="1"/>
        <rFont val="Arial"/>
        <family val="2"/>
      </rPr>
      <t>Graphical Presentations</t>
    </r>
    <r>
      <rPr>
        <sz val="11"/>
        <color theme="1"/>
        <rFont val="Arial"/>
        <family val="2"/>
      </rPr>
      <t xml:space="preserve"> and the </t>
    </r>
    <r>
      <rPr>
        <b/>
        <sz val="11"/>
        <color theme="1"/>
        <rFont val="Arial"/>
        <family val="2"/>
      </rPr>
      <t xml:space="preserve">Data Analysis </t>
    </r>
    <r>
      <rPr>
        <sz val="11"/>
        <color theme="1"/>
        <rFont val="Arial"/>
        <family val="2"/>
      </rPr>
      <t>which are automatically generated</t>
    </r>
    <r>
      <rPr>
        <b/>
        <sz val="11"/>
        <color theme="1"/>
        <rFont val="Arial"/>
        <family val="2"/>
      </rPr>
      <t>.</t>
    </r>
  </si>
  <si>
    <t>Non-Standard/ Makeshift</t>
  </si>
  <si>
    <t>*Moved in (transfer of learners from one school to another between school year)</t>
  </si>
  <si>
    <t>*Moved out</t>
  </si>
  <si>
    <t>*Drop-outs</t>
  </si>
  <si>
    <t>*Migration</t>
  </si>
  <si>
    <t>Learners with Disability (Non-Graded)</t>
  </si>
  <si>
    <t>Learners with Disability  (Graded)</t>
  </si>
  <si>
    <t>Learners with Disability</t>
  </si>
  <si>
    <t xml:space="preserve">Classroom quantity (REGULAR CLASS) </t>
  </si>
  <si>
    <t>(Note: Classroom will be declared only once even if it is shared by different classes.)</t>
  </si>
  <si>
    <t xml:space="preserve"> (Note: Teachers assigned in nultiple class assignments (assigned in regular class at the same time in SPED class/ Special class) shall be entered only once and it should be where  majority of her/his assignment belongs.)</t>
  </si>
  <si>
    <t>K</t>
  </si>
  <si>
    <t>T</t>
  </si>
  <si>
    <t>LWD</t>
  </si>
  <si>
    <t>MTB-MLE</t>
  </si>
  <si>
    <t>Rank</t>
  </si>
  <si>
    <t>First</t>
  </si>
  <si>
    <t>Second</t>
  </si>
  <si>
    <t>Third</t>
  </si>
  <si>
    <t>Fourth</t>
  </si>
  <si>
    <t>Fifth</t>
  </si>
  <si>
    <t>Date (mm/dd/yyyy)</t>
  </si>
  <si>
    <r>
      <rPr>
        <b/>
        <sz val="12"/>
        <color theme="1"/>
        <rFont val="Arial Narrow"/>
        <family val="2"/>
      </rPr>
      <t>Date</t>
    </r>
    <r>
      <rPr>
        <b/>
        <sz val="8"/>
        <color theme="1"/>
        <rFont val="Arial Narrow"/>
        <family val="2"/>
      </rPr>
      <t xml:space="preserve"> (mm/dd/yyyy)</t>
    </r>
  </si>
  <si>
    <t>percent or (</t>
  </si>
  <si>
    <t>porsiyento o (</t>
  </si>
  <si>
    <t>as compared to the dropout rate of S.Y.</t>
  </si>
  <si>
    <t>kumpara sa dropout rate ng S.Y.</t>
  </si>
  <si>
    <t>kung itandi sa dropout rate sa S.Y.</t>
  </si>
  <si>
    <t>porsyento o (</t>
  </si>
  <si>
    <t>Number of Dropouts by Cause</t>
  </si>
  <si>
    <r>
      <rPr>
        <b/>
        <sz val="18"/>
        <color rgb="FFFF0000"/>
        <rFont val="Arial Black"/>
        <family val="2"/>
      </rPr>
      <t>Step 1.</t>
    </r>
    <r>
      <rPr>
        <sz val="11"/>
        <color theme="1"/>
        <rFont val="Arial"/>
        <family val="2"/>
      </rPr>
      <t xml:space="preserve">  Click the SCHOOL DATA icon to go to the data sheet/ data table. In the data table, input the necessary information required in each indicator of the School Report Card (SRC). As to the specific instructions, follow the screen tips on what to input in each required cellls or fields. Please see the picture below.</t>
    </r>
  </si>
  <si>
    <r>
      <rPr>
        <b/>
        <sz val="18"/>
        <color rgb="FFFF0000"/>
        <rFont val="Arial Black"/>
        <family val="2"/>
      </rPr>
      <t>Step 3.</t>
    </r>
    <r>
      <rPr>
        <sz val="11"/>
        <color theme="1"/>
        <rFont val="Arial"/>
        <family val="2"/>
      </rPr>
      <t xml:space="preserve">  PRINT the different SRC reports based on the type of print layout you would like to have. Available layouts are booklet, brochure (4-folds), and tarpaulin other than the regular print layout. Any of these print layouts can be utilize in presenting to the stakeholders during meetings, assembly, summit and other school activities. To do the printing, just look for the different icons labeled booklet, brochure or tarpaulin.</t>
    </r>
  </si>
  <si>
    <t>02-6335397</t>
  </si>
  <si>
    <t>09065726388</t>
  </si>
  <si>
    <t>09175232674</t>
  </si>
  <si>
    <t>09176220367</t>
  </si>
  <si>
    <t>09488951948</t>
  </si>
  <si>
    <t>09959710397</t>
  </si>
  <si>
    <t>09990118017</t>
  </si>
  <si>
    <t>Central Office</t>
  </si>
  <si>
    <t>Bureau of Human Resource Organizational Development</t>
  </si>
  <si>
    <t>School Effectiveness Division</t>
  </si>
  <si>
    <t>Planning Service</t>
  </si>
  <si>
    <t>Office of Director</t>
  </si>
  <si>
    <t>EMISD</t>
  </si>
  <si>
    <t>Information, Communication and Technology Service</t>
  </si>
  <si>
    <t>Solutions Development Division</t>
  </si>
  <si>
    <t>Merida</t>
  </si>
  <si>
    <t>Leyte</t>
  </si>
  <si>
    <t>MERIDA VOCATIONAL SCHOOL</t>
  </si>
  <si>
    <t>Poblacion, Merida, Leyte</t>
  </si>
  <si>
    <t>Divina B. Sanchez</t>
  </si>
  <si>
    <t>Junril S. Obeda</t>
  </si>
  <si>
    <t>Francisco B. Latorre</t>
  </si>
  <si>
    <t>Raul G. Itchon</t>
  </si>
  <si>
    <t>Lida L. Cabardo</t>
  </si>
  <si>
    <t>Governor's Office</t>
  </si>
  <si>
    <t>Student</t>
  </si>
  <si>
    <t>Division Office</t>
  </si>
  <si>
    <t>Scouting ( Scout Membership Against Potentials Secondary Big Category)</t>
  </si>
  <si>
    <t>Scouting (2019 Award of Commendation on Woodbagdge Holder)</t>
  </si>
  <si>
    <t>Reading Interpretation</t>
  </si>
  <si>
    <t>Mathematics ( Math Quiz)</t>
  </si>
  <si>
    <t>Provincial Meet ( Arnis)</t>
  </si>
  <si>
    <t>Softball</t>
  </si>
  <si>
    <t>Baseball</t>
  </si>
  <si>
    <t>Technolympics (Dressmaking Contest)</t>
  </si>
  <si>
    <t>Technolympics(Automotice Servicing)</t>
  </si>
  <si>
    <t>Table Tennis</t>
  </si>
  <si>
    <t>Badminton</t>
  </si>
  <si>
    <t>Taekwondo</t>
  </si>
  <si>
    <t>Yes -o Camp</t>
  </si>
  <si>
    <t xml:space="preserve">Talento MO- Pag-agak KO </t>
  </si>
  <si>
    <t>SCHOOL</t>
  </si>
  <si>
    <t>100% IMPLEMENTED</t>
  </si>
  <si>
    <t>SAKAY NA LIBRE PA</t>
  </si>
  <si>
    <t>PTA</t>
  </si>
  <si>
    <t>PROJECT WAS CANCELLED DUE TO BUDGET CONSTRAINT</t>
  </si>
  <si>
    <t>HASHTAG ( Help Achieve High performance Teacher Assistance Group)</t>
  </si>
  <si>
    <t>30% IMPLEMENTED</t>
  </si>
  <si>
    <t>Bahay Sa Paaralan ko Pansamantalang Tirahan KO</t>
  </si>
  <si>
    <t>NEEDS ALLOCATION</t>
  </si>
  <si>
    <t xml:space="preserve"> Pagkain Alagaan, Timbang dagdagan</t>
  </si>
  <si>
    <t>80% IMPLEMENTED</t>
  </si>
  <si>
    <t>Improved Reading Program (IRP)</t>
  </si>
  <si>
    <t>50% IMPLEMENTED</t>
  </si>
  <si>
    <t>Kumprehensibong Programa sa Pagbasa</t>
  </si>
  <si>
    <t>I LOVE MATH PROGRAM</t>
  </si>
  <si>
    <t>Project BEST (Barangay Education Strategic Team)</t>
  </si>
  <si>
    <t>MVSports "ABAG" Program</t>
  </si>
  <si>
    <t xml:space="preserve"> MVS ARKADO (Arnis-Kali-Do)</t>
  </si>
  <si>
    <t>The Meridian - Journalism</t>
  </si>
  <si>
    <t xml:space="preserve"> Repaired today, Damaged away</t>
  </si>
  <si>
    <t>MVS ERUF (Emergency Response Unit Force)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</si>
</sst>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5">
    <font>
      <sz val="11"/>
      <color theme="1"/>
      <name val="Calibri"/>
      <family val="2"/>
      <scheme val="minor"/>
    </font>
    <font>
      <sz val="11"/>
      <color theme="1"/>
      <name val="Calibri"/>
      <family val="2"/>
      <scheme val="minor"/>
    </font>
    <font>
      <b/>
      <sz val="11"/>
      <color theme="1"/>
      <name val="Calibri"/>
      <family val="2"/>
      <scheme val="minor"/>
    </font>
    <font>
      <sz val="12"/>
      <color theme="1"/>
      <name val="Times New Roman"/>
      <family val="2"/>
    </font>
    <font>
      <sz val="11"/>
      <name val="Calibri"/>
      <family val="2"/>
      <scheme val="minor"/>
    </font>
    <font>
      <b/>
      <u/>
      <sz val="11"/>
      <color theme="1"/>
      <name val="Calibri"/>
      <family val="2"/>
      <scheme val="minor"/>
    </font>
    <font>
      <b/>
      <u/>
      <sz val="11"/>
      <color indexed="10"/>
      <name val="Calibri"/>
      <family val="2"/>
    </font>
    <font>
      <b/>
      <vertAlign val="superscript"/>
      <sz val="11"/>
      <color indexed="8"/>
      <name val="Calibri"/>
      <family val="2"/>
    </font>
    <font>
      <sz val="10"/>
      <color theme="1"/>
      <name val="Calibri"/>
      <family val="2"/>
      <scheme val="minor"/>
    </font>
    <font>
      <b/>
      <sz val="11"/>
      <color indexed="10"/>
      <name val="Calibri"/>
      <family val="2"/>
    </font>
    <font>
      <b/>
      <i/>
      <sz val="11"/>
      <name val="Calibri"/>
      <family val="2"/>
    </font>
    <font>
      <sz val="10"/>
      <name val="Arial"/>
      <family val="2"/>
    </font>
    <font>
      <b/>
      <sz val="11"/>
      <color rgb="FFFF0000"/>
      <name val="Calibri"/>
      <family val="2"/>
      <scheme val="minor"/>
    </font>
    <font>
      <b/>
      <sz val="14"/>
      <color theme="1"/>
      <name val="Calibri"/>
      <family val="2"/>
      <scheme val="minor"/>
    </font>
    <font>
      <u/>
      <sz val="11"/>
      <color theme="10"/>
      <name val="Calibri"/>
      <family val="2"/>
      <scheme val="minor"/>
    </font>
    <font>
      <sz val="20"/>
      <color theme="1"/>
      <name val="Calibri"/>
      <family val="2"/>
      <scheme val="minor"/>
    </font>
    <font>
      <sz val="14"/>
      <color theme="1"/>
      <name val="Calibri"/>
      <family val="2"/>
      <scheme val="minor"/>
    </font>
    <font>
      <b/>
      <sz val="22"/>
      <color theme="1"/>
      <name val="Calibri"/>
      <family val="2"/>
      <scheme val="minor"/>
    </font>
    <font>
      <b/>
      <sz val="20"/>
      <color rgb="FF00B050"/>
      <name val="Calibri"/>
      <family val="2"/>
      <scheme val="minor"/>
    </font>
    <font>
      <sz val="18"/>
      <color rgb="FF00B050"/>
      <name val="Calibri"/>
      <family val="2"/>
      <scheme val="minor"/>
    </font>
    <font>
      <sz val="24"/>
      <color rgb="FF0000FF"/>
      <name val="Arial Narrow"/>
      <family val="2"/>
    </font>
    <font>
      <sz val="20"/>
      <color theme="1"/>
      <name val="Arial Narrow"/>
      <family val="2"/>
    </font>
    <font>
      <b/>
      <sz val="18"/>
      <color rgb="FF00B050"/>
      <name val="Arial Narrow"/>
      <family val="2"/>
    </font>
    <font>
      <sz val="16"/>
      <color theme="4" tint="-0.499984740745262"/>
      <name val="AR CENA"/>
    </font>
    <font>
      <sz val="22"/>
      <color theme="0"/>
      <name val="Calibri"/>
      <family val="2"/>
      <scheme val="minor"/>
    </font>
    <font>
      <sz val="26"/>
      <color theme="1"/>
      <name val="Calibri"/>
      <family val="2"/>
      <scheme val="minor"/>
    </font>
    <font>
      <b/>
      <sz val="18"/>
      <color theme="1"/>
      <name val="Calibri"/>
      <family val="2"/>
      <scheme val="minor"/>
    </font>
    <font>
      <sz val="8"/>
      <color theme="1"/>
      <name val="Calibri"/>
      <family val="2"/>
      <scheme val="minor"/>
    </font>
    <font>
      <b/>
      <sz val="9"/>
      <color indexed="81"/>
      <name val="Tahoma"/>
      <family val="2"/>
    </font>
    <font>
      <sz val="9"/>
      <color indexed="81"/>
      <name val="Tahoma"/>
      <family val="2"/>
    </font>
    <font>
      <b/>
      <sz val="11"/>
      <color theme="0"/>
      <name val="Calibri"/>
      <family val="2"/>
      <scheme val="minor"/>
    </font>
    <font>
      <sz val="11"/>
      <color theme="0"/>
      <name val="Calibri"/>
      <family val="2"/>
      <scheme val="minor"/>
    </font>
    <font>
      <sz val="8"/>
      <color theme="0"/>
      <name val="Arial Narrow"/>
      <family val="2"/>
    </font>
    <font>
      <b/>
      <sz val="8"/>
      <color theme="0"/>
      <name val="Arial Narrow"/>
      <family val="2"/>
    </font>
    <font>
      <sz val="16"/>
      <color theme="1"/>
      <name val="Arial Narrow"/>
      <family val="2"/>
    </font>
    <font>
      <sz val="16"/>
      <color theme="0"/>
      <name val="Calibri"/>
      <family val="2"/>
      <scheme val="minor"/>
    </font>
    <font>
      <b/>
      <i/>
      <sz val="14"/>
      <color theme="1"/>
      <name val="Arial Narrow"/>
      <family val="2"/>
    </font>
    <font>
      <i/>
      <sz val="14"/>
      <color theme="1"/>
      <name val="Arial Narrow"/>
      <family val="2"/>
    </font>
    <font>
      <sz val="18"/>
      <color rgb="FF00B050"/>
      <name val="Arial Narrow"/>
      <family val="2"/>
    </font>
    <font>
      <b/>
      <sz val="16"/>
      <color rgb="FF00B050"/>
      <name val="Arial Narrow"/>
      <family val="2"/>
    </font>
    <font>
      <b/>
      <sz val="24"/>
      <color rgb="FF00B050"/>
      <name val="Arial Narrow"/>
      <family val="2"/>
    </font>
    <font>
      <sz val="22"/>
      <color theme="1"/>
      <name val="Arial Narrow"/>
      <family val="2"/>
    </font>
    <font>
      <b/>
      <sz val="18"/>
      <color rgb="FF0000FF"/>
      <name val="Arial Narrow"/>
      <family val="2"/>
    </font>
    <font>
      <b/>
      <sz val="10"/>
      <color theme="0"/>
      <name val="Arial Narrow"/>
      <family val="2"/>
    </font>
    <font>
      <b/>
      <sz val="7"/>
      <color theme="0"/>
      <name val="Arial Narrow"/>
      <family val="2"/>
    </font>
    <font>
      <b/>
      <sz val="16"/>
      <color theme="0"/>
      <name val="Arial Narrow"/>
      <family val="2"/>
    </font>
    <font>
      <b/>
      <sz val="10"/>
      <color theme="1"/>
      <name val="Arial Narrow"/>
      <family val="2"/>
    </font>
    <font>
      <sz val="48"/>
      <color theme="0"/>
      <name val="Wingdings 3"/>
      <family val="1"/>
      <charset val="2"/>
    </font>
    <font>
      <sz val="8"/>
      <color theme="0"/>
      <name val="Calibri"/>
      <family val="2"/>
      <scheme val="minor"/>
    </font>
    <font>
      <sz val="30"/>
      <color theme="0"/>
      <name val="Arial Black"/>
      <family val="2"/>
    </font>
    <font>
      <sz val="8"/>
      <color theme="0"/>
      <name val="Arial Black"/>
      <family val="2"/>
    </font>
    <font>
      <b/>
      <sz val="9"/>
      <color theme="1"/>
      <name val="Arial Narrow"/>
      <family val="2"/>
    </font>
    <font>
      <b/>
      <sz val="11"/>
      <color theme="8" tint="-0.249977111117893"/>
      <name val="Arial Black"/>
      <family val="2"/>
    </font>
    <font>
      <sz val="30"/>
      <color theme="8" tint="-0.249977111117893"/>
      <name val="Arial Black"/>
      <family val="2"/>
    </font>
    <font>
      <sz val="11"/>
      <color theme="8" tint="-0.249977111117893"/>
      <name val="Calibri"/>
      <family val="2"/>
      <scheme val="minor"/>
    </font>
    <font>
      <sz val="10"/>
      <color theme="1"/>
      <name val="Arial Narrow"/>
      <family val="2"/>
    </font>
    <font>
      <b/>
      <sz val="11"/>
      <color theme="1"/>
      <name val="Arial Narrow"/>
      <family val="2"/>
    </font>
    <font>
      <sz val="18"/>
      <color theme="1"/>
      <name val="Arial Narrow"/>
      <family val="2"/>
    </font>
    <font>
      <sz val="8"/>
      <color theme="1"/>
      <name val="Arial Narrow"/>
      <family val="2"/>
    </font>
    <font>
      <sz val="7"/>
      <color theme="1"/>
      <name val="Arial Narrow"/>
      <family val="2"/>
    </font>
    <font>
      <sz val="12"/>
      <color theme="1"/>
      <name val="Arial Narrow"/>
      <family val="2"/>
    </font>
    <font>
      <b/>
      <sz val="8"/>
      <color theme="1"/>
      <name val="Arial Narrow"/>
      <family val="2"/>
    </font>
    <font>
      <sz val="12"/>
      <color theme="1"/>
      <name val="Calibri"/>
      <family val="2"/>
      <scheme val="minor"/>
    </font>
    <font>
      <sz val="11"/>
      <color theme="1"/>
      <name val="Arial Narrow"/>
      <family val="2"/>
    </font>
    <font>
      <sz val="9"/>
      <color theme="1"/>
      <name val="Arial Narrow"/>
      <family val="2"/>
    </font>
    <font>
      <b/>
      <sz val="8"/>
      <color rgb="FF0033CC"/>
      <name val="Arial Narrow"/>
      <family val="2"/>
    </font>
    <font>
      <sz val="20"/>
      <color rgb="FF00B050"/>
      <name val="Arial Narrow"/>
      <family val="2"/>
    </font>
    <font>
      <b/>
      <sz val="12"/>
      <color theme="1"/>
      <name val="Arial Narrow"/>
      <family val="2"/>
    </font>
    <font>
      <sz val="18"/>
      <name val="Arial Narrow"/>
      <family val="2"/>
    </font>
    <font>
      <sz val="17"/>
      <color theme="1"/>
      <name val="Arial Narrow"/>
      <family val="2"/>
    </font>
    <font>
      <sz val="22"/>
      <color rgb="FF0000FF"/>
      <name val="Arial Narrow"/>
      <family val="2"/>
    </font>
    <font>
      <sz val="26"/>
      <color rgb="FF0033CC"/>
      <name val="Arial Narrow"/>
      <family val="2"/>
    </font>
    <font>
      <sz val="12"/>
      <color rgb="FF212121"/>
      <name val="Inherit"/>
    </font>
    <font>
      <sz val="20"/>
      <name val="Arial Narrow"/>
      <family val="2"/>
    </font>
    <font>
      <sz val="19"/>
      <color theme="1"/>
      <name val="Arial Narrow"/>
      <family val="2"/>
    </font>
    <font>
      <sz val="16.5"/>
      <color theme="1"/>
      <name val="Arial Narrow"/>
      <family val="2"/>
    </font>
    <font>
      <sz val="22"/>
      <color theme="0"/>
      <name val="Arial Narrow"/>
      <family val="2"/>
    </font>
    <font>
      <sz val="24"/>
      <color theme="1"/>
      <name val="Arial Narrow"/>
      <family val="2"/>
    </font>
    <font>
      <sz val="16"/>
      <color theme="1"/>
      <name val="Calibri"/>
      <family val="2"/>
      <scheme val="minor"/>
    </font>
    <font>
      <sz val="16"/>
      <color theme="0"/>
      <name val="Arial Rounded MT Bold"/>
      <family val="2"/>
    </font>
    <font>
      <sz val="9"/>
      <color theme="0"/>
      <name val="Arial Rounded MT Bold"/>
      <family val="2"/>
    </font>
    <font>
      <sz val="10"/>
      <color theme="0"/>
      <name val="Arial Rounded MT Bold"/>
      <family val="2"/>
    </font>
    <font>
      <sz val="11"/>
      <color theme="0"/>
      <name val="Arial Rounded MT Bold"/>
      <family val="2"/>
    </font>
    <font>
      <sz val="14"/>
      <color theme="0"/>
      <name val="Arial Rounded MT Bold"/>
      <family val="2"/>
    </font>
    <font>
      <sz val="18"/>
      <color theme="0"/>
      <name val="Arial Rounded MT Bold"/>
      <family val="2"/>
    </font>
    <font>
      <sz val="20"/>
      <color theme="0"/>
      <name val="Arial Rounded MT Bold"/>
      <family val="2"/>
    </font>
    <font>
      <sz val="22"/>
      <color theme="0"/>
      <name val="Arial Rounded MT Bold"/>
      <family val="2"/>
    </font>
    <font>
      <sz val="24"/>
      <color theme="0"/>
      <name val="Arial Rounded MT Bold"/>
      <family val="2"/>
    </font>
    <font>
      <sz val="28"/>
      <color theme="0"/>
      <name val="Arial Rounded MT Bold"/>
      <family val="2"/>
    </font>
    <font>
      <sz val="12"/>
      <color theme="0"/>
      <name val="Arial Rounded MT Bold"/>
      <family val="2"/>
    </font>
    <font>
      <sz val="9"/>
      <color theme="1"/>
      <name val="Calibri"/>
      <family val="2"/>
      <scheme val="minor"/>
    </font>
    <font>
      <sz val="7"/>
      <color theme="1"/>
      <name val="Calibri"/>
      <family val="2"/>
      <scheme val="minor"/>
    </font>
    <font>
      <sz val="70"/>
      <color theme="0"/>
      <name val="Arial Rounded MT Bold"/>
      <family val="2"/>
    </font>
    <font>
      <sz val="50"/>
      <color theme="0"/>
      <name val="Arial Rounded MT Bold"/>
      <family val="2"/>
    </font>
    <font>
      <sz val="70"/>
      <color theme="5" tint="0.79998168889431442"/>
      <name val="Arial Rounded MT Bold"/>
      <family val="2"/>
    </font>
    <font>
      <sz val="32"/>
      <color theme="7" tint="0.79998168889431442"/>
      <name val="Arial Rounded MT Bold"/>
      <family val="2"/>
    </font>
    <font>
      <sz val="26"/>
      <color theme="9" tint="0.79998168889431442"/>
      <name val="Arial Rounded MT Bold"/>
      <family val="2"/>
    </font>
    <font>
      <sz val="19"/>
      <color theme="0"/>
      <name val="Arial Rounded MT Bold"/>
      <family val="2"/>
    </font>
    <font>
      <sz val="14"/>
      <color theme="1"/>
      <name val="Arial Narrow"/>
      <family val="2"/>
    </font>
    <font>
      <sz val="13"/>
      <color theme="1"/>
      <name val="Arial Narrow"/>
      <family val="2"/>
    </font>
    <font>
      <b/>
      <sz val="14"/>
      <color theme="1"/>
      <name val="Arial Narrow"/>
      <family val="2"/>
    </font>
    <font>
      <b/>
      <sz val="24"/>
      <color rgb="FFFF0000"/>
      <name val="Arial Black"/>
      <family val="2"/>
    </font>
    <font>
      <sz val="11"/>
      <color theme="1"/>
      <name val="Arial"/>
      <family val="2"/>
    </font>
    <font>
      <b/>
      <sz val="18"/>
      <color rgb="FFFF0000"/>
      <name val="Arial Black"/>
      <family val="2"/>
    </font>
    <font>
      <i/>
      <sz val="11"/>
      <color theme="1"/>
      <name val="Arial"/>
      <family val="2"/>
    </font>
    <font>
      <b/>
      <i/>
      <sz val="11"/>
      <color theme="1"/>
      <name val="Arial"/>
      <family val="2"/>
    </font>
    <font>
      <b/>
      <sz val="11"/>
      <color theme="1"/>
      <name val="Arial"/>
      <family val="2"/>
    </font>
    <font>
      <sz val="11"/>
      <color theme="0"/>
      <name val="Arial Narrow"/>
      <family val="2"/>
    </font>
    <font>
      <b/>
      <sz val="20"/>
      <color rgb="FF00B050"/>
      <name val="Arial Narrow"/>
      <family val="2"/>
    </font>
    <font>
      <b/>
      <sz val="22"/>
      <color rgb="FF00B050"/>
      <name val="Arial Narrow"/>
      <family val="2"/>
    </font>
    <font>
      <b/>
      <sz val="20"/>
      <color theme="1"/>
      <name val="Arial Narrow"/>
      <family val="2"/>
    </font>
    <font>
      <b/>
      <sz val="16"/>
      <color theme="1"/>
      <name val="Arial Narrow"/>
      <family val="2"/>
    </font>
    <font>
      <b/>
      <sz val="11"/>
      <color rgb="FF00B050"/>
      <name val="Arial"/>
      <family val="2"/>
    </font>
    <font>
      <b/>
      <sz val="14"/>
      <color theme="0"/>
      <name val="Calibri"/>
      <family val="2"/>
      <scheme val="minor"/>
    </font>
    <font>
      <sz val="11"/>
      <color indexed="8"/>
      <name val="Arial Narrow"/>
      <family val="2"/>
    </font>
    <font>
      <i/>
      <sz val="11"/>
      <color theme="1"/>
      <name val="Arial Narrow"/>
      <family val="2"/>
    </font>
    <font>
      <b/>
      <u/>
      <sz val="11"/>
      <color theme="1"/>
      <name val="Arial Narrow"/>
      <family val="2"/>
    </font>
    <font>
      <u/>
      <sz val="11"/>
      <color theme="1"/>
      <name val="Arial Narrow"/>
      <family val="2"/>
    </font>
    <font>
      <sz val="11"/>
      <color theme="1"/>
      <name val="Wingdings"/>
      <charset val="2"/>
    </font>
    <font>
      <b/>
      <sz val="7"/>
      <color theme="1"/>
      <name val="Arial Narrow"/>
      <family val="2"/>
    </font>
    <font>
      <b/>
      <sz val="14"/>
      <color rgb="FFFF0000"/>
      <name val="Calibri"/>
      <family val="2"/>
      <scheme val="minor"/>
    </font>
    <font>
      <b/>
      <sz val="9"/>
      <color theme="0"/>
      <name val="Arial Narrow"/>
      <family val="2"/>
    </font>
    <font>
      <b/>
      <sz val="14"/>
      <color theme="4" tint="-0.499984740745262"/>
      <name val="AR CENA"/>
    </font>
    <font>
      <sz val="10.5"/>
      <color theme="1"/>
      <name val="Arial Narrow"/>
      <family val="2"/>
    </font>
    <font>
      <sz val="11"/>
      <color rgb="FF222222"/>
      <name val="Calibri"/>
      <family val="2"/>
      <scheme val="minor"/>
    </font>
    <font>
      <b/>
      <sz val="11"/>
      <color rgb="FF222222"/>
      <name val="Calibri"/>
      <family val="2"/>
      <scheme val="minor"/>
    </font>
    <font>
      <sz val="11"/>
      <color rgb="FF3B3E41"/>
      <name val="Calibri"/>
      <family val="2"/>
      <scheme val="minor"/>
    </font>
    <font>
      <sz val="11"/>
      <color rgb="FF2A2A2A"/>
      <name val="Calibri"/>
      <family val="2"/>
      <scheme val="minor"/>
    </font>
    <font>
      <b/>
      <sz val="11"/>
      <name val="Calibri"/>
      <family val="2"/>
      <scheme val="minor"/>
    </font>
    <font>
      <sz val="11"/>
      <color rgb="FF0A0A0A"/>
      <name val="Calibri"/>
      <family val="2"/>
      <scheme val="minor"/>
    </font>
    <font>
      <sz val="11"/>
      <color rgb="FF000000"/>
      <name val="Calibri"/>
      <family val="2"/>
    </font>
    <font>
      <b/>
      <i/>
      <sz val="11"/>
      <color theme="1"/>
      <name val="Arial Narrow"/>
      <family val="2"/>
    </font>
    <font>
      <b/>
      <sz val="12"/>
      <color theme="1"/>
      <name val="Calibri"/>
      <family val="2"/>
      <scheme val="minor"/>
    </font>
    <font>
      <b/>
      <sz val="55"/>
      <color theme="0"/>
      <name val="Arial Rounded MT Bold"/>
      <family val="2"/>
    </font>
    <font>
      <b/>
      <sz val="6"/>
      <color theme="1"/>
      <name val="Arial Narrow"/>
      <family val="2"/>
    </font>
  </fonts>
  <fills count="3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59999389629810485"/>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theme="5" tint="-0.49998474074526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theme="5" tint="0.39997558519241921"/>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499984740745262"/>
        <bgColor indexed="64"/>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8" tint="0.59999389629810485"/>
        <bgColor indexed="64"/>
      </patternFill>
    </fill>
    <fill>
      <patternFill patternType="solid">
        <fgColor theme="6" tint="0.39997558519241921"/>
        <bgColor indexed="65"/>
      </patternFill>
    </fill>
    <fill>
      <patternFill patternType="solid">
        <fgColor theme="3" tint="0.59999389629810485"/>
        <bgColor indexed="64"/>
      </patternFill>
    </fill>
  </fills>
  <borders count="91">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diagonal/>
    </border>
    <border>
      <left style="hair">
        <color indexed="64"/>
      </left>
      <right style="hair">
        <color indexed="64"/>
      </right>
      <top style="hair">
        <color indexed="64"/>
      </top>
      <bottom style="hair">
        <color indexed="64"/>
      </bottom>
      <diagonal/>
    </border>
    <border>
      <left style="thick">
        <color theme="0"/>
      </left>
      <right style="thick">
        <color theme="0"/>
      </right>
      <top style="thick">
        <color theme="0"/>
      </top>
      <bottom style="thick">
        <color theme="0"/>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right style="thin">
        <color indexed="64"/>
      </right>
      <top/>
      <bottom/>
      <diagonal/>
    </border>
    <border>
      <left/>
      <right style="thin">
        <color indexed="64"/>
      </right>
      <top/>
      <bottom style="thin">
        <color indexed="64"/>
      </bottom>
      <diagonal/>
    </border>
    <border>
      <left/>
      <right/>
      <top/>
      <bottom style="hair">
        <color indexed="64"/>
      </bottom>
      <diagonal/>
    </border>
    <border>
      <left style="thick">
        <color theme="0"/>
      </left>
      <right/>
      <top style="thick">
        <color theme="0"/>
      </top>
      <bottom style="thick">
        <color theme="0"/>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style="medium">
        <color theme="0"/>
      </right>
      <top/>
      <bottom style="medium">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medium">
        <color theme="0"/>
      </left>
      <right style="medium">
        <color theme="0"/>
      </right>
      <top style="medium">
        <color theme="0"/>
      </top>
      <bottom style="medium">
        <color theme="0"/>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double">
        <color theme="0"/>
      </left>
      <right/>
      <top/>
      <bottom/>
      <diagonal/>
    </border>
    <border>
      <left style="thin">
        <color theme="1"/>
      </left>
      <right/>
      <top style="thin">
        <color theme="1"/>
      </top>
      <bottom style="thin">
        <color theme="1"/>
      </bottom>
      <diagonal/>
    </border>
    <border>
      <left/>
      <right/>
      <top style="medium">
        <color theme="0"/>
      </top>
      <bottom/>
      <diagonal/>
    </border>
    <border>
      <left/>
      <right/>
      <top/>
      <bottom style="medium">
        <color theme="0"/>
      </bottom>
      <diagonal/>
    </border>
    <border>
      <left/>
      <right/>
      <top style="thin">
        <color theme="1"/>
      </top>
      <bottom/>
      <diagonal/>
    </border>
    <border>
      <left style="thin">
        <color theme="1"/>
      </left>
      <right/>
      <top/>
      <bottom/>
      <diagonal/>
    </border>
    <border>
      <left/>
      <right/>
      <top/>
      <bottom style="thin">
        <color theme="1"/>
      </bottom>
      <diagonal/>
    </border>
    <border>
      <left/>
      <right/>
      <top style="thin">
        <color theme="0"/>
      </top>
      <bottom/>
      <diagonal/>
    </border>
    <border>
      <left/>
      <right/>
      <top/>
      <bottom style="thin">
        <color theme="0"/>
      </bottom>
      <diagonal/>
    </border>
    <border>
      <left style="thin">
        <color theme="1"/>
      </left>
      <right style="thin">
        <color theme="1"/>
      </right>
      <top/>
      <bottom style="thin">
        <color theme="1"/>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medium">
        <color theme="0"/>
      </left>
      <right/>
      <top style="medium">
        <color theme="0"/>
      </top>
      <bottom style="thin">
        <color theme="1"/>
      </bottom>
      <diagonal/>
    </border>
    <border>
      <left/>
      <right/>
      <top style="medium">
        <color theme="0"/>
      </top>
      <bottom style="thin">
        <color theme="1"/>
      </bottom>
      <diagonal/>
    </border>
    <border>
      <left/>
      <right style="medium">
        <color theme="0"/>
      </right>
      <top style="medium">
        <color theme="0"/>
      </top>
      <bottom style="thin">
        <color theme="1"/>
      </bottom>
      <diagonal/>
    </border>
    <border>
      <left style="medium">
        <color theme="0"/>
      </left>
      <right/>
      <top style="thin">
        <color theme="1"/>
      </top>
      <bottom/>
      <diagonal/>
    </border>
    <border>
      <left/>
      <right style="medium">
        <color theme="0"/>
      </right>
      <top style="thin">
        <color theme="1"/>
      </top>
      <bottom/>
      <diagonal/>
    </border>
    <border>
      <left style="medium">
        <color theme="0"/>
      </left>
      <right/>
      <top/>
      <bottom style="thin">
        <color theme="1"/>
      </bottom>
      <diagonal/>
    </border>
    <border>
      <left/>
      <right style="medium">
        <color theme="0"/>
      </right>
      <top/>
      <bottom style="thin">
        <color theme="1"/>
      </bottom>
      <diagonal/>
    </border>
    <border>
      <left style="medium">
        <color theme="0"/>
      </left>
      <right/>
      <top style="thin">
        <color theme="1"/>
      </top>
      <bottom style="medium">
        <color theme="0"/>
      </bottom>
      <diagonal/>
    </border>
    <border>
      <left/>
      <right/>
      <top style="thin">
        <color theme="1"/>
      </top>
      <bottom style="medium">
        <color theme="0"/>
      </bottom>
      <diagonal/>
    </border>
    <border>
      <left/>
      <right style="medium">
        <color theme="0"/>
      </right>
      <top style="thin">
        <color theme="1"/>
      </top>
      <bottom style="medium">
        <color theme="0"/>
      </bottom>
      <diagonal/>
    </border>
    <border>
      <left/>
      <right style="thin">
        <color theme="1"/>
      </right>
      <top/>
      <bottom/>
      <diagonal/>
    </border>
    <border>
      <left style="thin">
        <color theme="1"/>
      </left>
      <right style="thin">
        <color theme="1"/>
      </right>
      <top/>
      <bottom/>
      <diagonal/>
    </border>
    <border>
      <left style="thin">
        <color theme="1"/>
      </left>
      <right/>
      <top style="thin">
        <color indexed="64"/>
      </top>
      <bottom style="thin">
        <color indexed="64"/>
      </bottom>
      <diagonal/>
    </border>
    <border>
      <left/>
      <right style="double">
        <color theme="0"/>
      </right>
      <top/>
      <bottom/>
      <diagonal/>
    </border>
    <border>
      <left/>
      <right style="double">
        <color theme="0"/>
      </right>
      <top/>
      <bottom style="thin">
        <color theme="0"/>
      </bottom>
      <diagonal/>
    </border>
    <border>
      <left/>
      <right style="double">
        <color theme="0"/>
      </right>
      <top style="thin">
        <color theme="0"/>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theme="1"/>
      </left>
      <right style="hair">
        <color theme="1"/>
      </right>
      <top style="thin">
        <color theme="1"/>
      </top>
      <bottom style="hair">
        <color theme="1"/>
      </bottom>
      <diagonal/>
    </border>
    <border>
      <left style="hair">
        <color theme="1"/>
      </left>
      <right style="hair">
        <color theme="1"/>
      </right>
      <top style="thin">
        <color theme="1"/>
      </top>
      <bottom style="hair">
        <color theme="1"/>
      </bottom>
      <diagonal/>
    </border>
    <border>
      <left style="hair">
        <color theme="1"/>
      </left>
      <right style="thin">
        <color theme="1"/>
      </right>
      <top style="thin">
        <color theme="1"/>
      </top>
      <bottom style="hair">
        <color theme="1"/>
      </bottom>
      <diagonal/>
    </border>
    <border>
      <left style="thin">
        <color theme="1"/>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style="thin">
        <color theme="1"/>
      </right>
      <top style="hair">
        <color theme="1"/>
      </top>
      <bottom style="hair">
        <color theme="1"/>
      </bottom>
      <diagonal/>
    </border>
    <border>
      <left style="thin">
        <color theme="1"/>
      </left>
      <right style="hair">
        <color theme="1"/>
      </right>
      <top style="hair">
        <color theme="1"/>
      </top>
      <bottom style="thin">
        <color theme="1"/>
      </bottom>
      <diagonal/>
    </border>
    <border>
      <left style="hair">
        <color theme="1"/>
      </left>
      <right style="hair">
        <color theme="1"/>
      </right>
      <top style="hair">
        <color theme="1"/>
      </top>
      <bottom style="thin">
        <color theme="1"/>
      </bottom>
      <diagonal/>
    </border>
    <border>
      <left style="hair">
        <color theme="1"/>
      </left>
      <right style="thin">
        <color theme="1"/>
      </right>
      <top style="hair">
        <color theme="1"/>
      </top>
      <bottom style="thin">
        <color theme="1"/>
      </bottom>
      <diagonal/>
    </border>
    <border>
      <left style="thin">
        <color theme="1"/>
      </left>
      <right style="hair">
        <color theme="1"/>
      </right>
      <top style="hair">
        <color theme="1"/>
      </top>
      <bottom style="thin">
        <color indexed="64"/>
      </bottom>
      <diagonal/>
    </border>
    <border>
      <left style="hair">
        <color theme="1"/>
      </left>
      <right style="hair">
        <color theme="1"/>
      </right>
      <top style="hair">
        <color theme="1"/>
      </top>
      <bottom style="thin">
        <color indexed="64"/>
      </bottom>
      <diagonal/>
    </border>
    <border>
      <left style="medium">
        <color theme="1"/>
      </left>
      <right style="medium">
        <color theme="1"/>
      </right>
      <top style="medium">
        <color theme="1"/>
      </top>
      <bottom style="hair">
        <color theme="1"/>
      </bottom>
      <diagonal/>
    </border>
    <border>
      <left style="medium">
        <color theme="1"/>
      </left>
      <right style="medium">
        <color theme="1"/>
      </right>
      <top style="hair">
        <color theme="1"/>
      </top>
      <bottom style="hair">
        <color theme="1"/>
      </bottom>
      <diagonal/>
    </border>
    <border>
      <left style="medium">
        <color theme="1"/>
      </left>
      <right style="medium">
        <color theme="1"/>
      </right>
      <top style="hair">
        <color theme="1"/>
      </top>
      <bottom style="medium">
        <color theme="1"/>
      </bottom>
      <diagonal/>
    </border>
    <border>
      <left/>
      <right style="thin">
        <color theme="1"/>
      </right>
      <top style="thin">
        <color theme="1"/>
      </top>
      <bottom style="thin">
        <color theme="1"/>
      </bottom>
      <diagonal/>
    </border>
    <border>
      <left style="thin">
        <color theme="1"/>
      </left>
      <right/>
      <top style="thin">
        <color indexed="64"/>
      </top>
      <bottom style="thin">
        <color theme="1"/>
      </bottom>
      <diagonal/>
    </border>
    <border>
      <left/>
      <right style="thin">
        <color theme="1"/>
      </right>
      <top style="thin">
        <color indexed="64"/>
      </top>
      <bottom style="thin">
        <color theme="1"/>
      </bottom>
      <diagonal/>
    </border>
  </borders>
  <cellStyleXfs count="15">
    <xf numFmtId="0" fontId="0" fillId="0" borderId="0"/>
    <xf numFmtId="9" fontId="1" fillId="0" borderId="0" applyFont="0" applyFill="0" applyBorder="0" applyAlignment="0" applyProtection="0"/>
    <xf numFmtId="0" fontId="3" fillId="0" borderId="0"/>
    <xf numFmtId="0" fontId="11" fillId="0" borderId="0"/>
    <xf numFmtId="0" fontId="14" fillId="0" borderId="0" applyNumberFormat="0" applyFill="0" applyBorder="0" applyAlignment="0" applyProtection="0"/>
    <xf numFmtId="0" fontId="1" fillId="0" borderId="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0" borderId="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9" borderId="0" applyNumberFormat="0" applyBorder="0" applyAlignment="0" applyProtection="0"/>
  </cellStyleXfs>
  <cellXfs count="850">
    <xf numFmtId="0" fontId="0" fillId="0" borderId="0" xfId="0"/>
    <xf numFmtId="0" fontId="0" fillId="0" borderId="0" xfId="0" applyProtection="1">
      <protection hidden="1"/>
    </xf>
    <xf numFmtId="0" fontId="24" fillId="0" borderId="0" xfId="0" applyFont="1" applyFill="1" applyBorder="1" applyAlignment="1" applyProtection="1">
      <alignment vertical="center" wrapText="1"/>
      <protection hidden="1"/>
    </xf>
    <xf numFmtId="0" fontId="25" fillId="0" borderId="0" xfId="0" applyFont="1" applyFill="1" applyBorder="1" applyAlignment="1" applyProtection="1">
      <alignment vertical="center" wrapText="1"/>
      <protection hidden="1"/>
    </xf>
    <xf numFmtId="0" fontId="2" fillId="0" borderId="13" xfId="0" applyFont="1" applyBorder="1" applyAlignment="1">
      <alignment horizontal="center" vertical="center"/>
    </xf>
    <xf numFmtId="0" fontId="2" fillId="0" borderId="0" xfId="0" applyFont="1" applyAlignment="1">
      <alignment horizontal="center" vertical="center"/>
    </xf>
    <xf numFmtId="0" fontId="0" fillId="0" borderId="13" xfId="0" applyFont="1" applyBorder="1" applyAlignment="1">
      <alignment horizontal="left" vertical="top"/>
    </xf>
    <xf numFmtId="0" fontId="0" fillId="0" borderId="13" xfId="0" applyFont="1" applyBorder="1" applyAlignment="1">
      <alignment horizontal="left" vertical="top" wrapText="1"/>
    </xf>
    <xf numFmtId="0" fontId="0" fillId="0" borderId="0" xfId="0" applyFont="1" applyAlignment="1">
      <alignment horizontal="left" vertical="top"/>
    </xf>
    <xf numFmtId="0" fontId="0" fillId="0" borderId="0" xfId="0" applyAlignment="1">
      <alignment horizontal="left" vertical="top"/>
    </xf>
    <xf numFmtId="0" fontId="0" fillId="0" borderId="0" xfId="0" applyAlignment="1">
      <alignment wrapText="1"/>
    </xf>
    <xf numFmtId="0" fontId="35" fillId="0" borderId="0" xfId="0" applyFont="1" applyFill="1" applyAlignment="1" applyProtection="1">
      <alignment vertical="center" wrapText="1"/>
      <protection hidden="1"/>
    </xf>
    <xf numFmtId="0" fontId="0" fillId="0" borderId="0" xfId="0" applyFill="1" applyProtection="1">
      <protection hidden="1"/>
    </xf>
    <xf numFmtId="0" fontId="0" fillId="0" borderId="0" xfId="0" applyFill="1" applyBorder="1" applyProtection="1">
      <protection hidden="1"/>
    </xf>
    <xf numFmtId="0" fontId="0" fillId="0" borderId="0" xfId="0" applyAlignment="1" applyProtection="1">
      <protection hidden="1"/>
    </xf>
    <xf numFmtId="0" fontId="15" fillId="0" borderId="0" xfId="0" applyFont="1" applyAlignment="1" applyProtection="1">
      <alignment vertical="center" wrapText="1"/>
      <protection hidden="1"/>
    </xf>
    <xf numFmtId="0" fontId="0" fillId="0" borderId="0" xfId="0" applyAlignment="1" applyProtection="1">
      <alignment vertical="top"/>
      <protection hidden="1"/>
    </xf>
    <xf numFmtId="0" fontId="0" fillId="7" borderId="0" xfId="0" applyFill="1" applyProtection="1">
      <protection hidden="1"/>
    </xf>
    <xf numFmtId="0" fontId="18" fillId="7" borderId="0" xfId="0" applyFont="1" applyFill="1" applyProtection="1">
      <protection hidden="1"/>
    </xf>
    <xf numFmtId="0" fontId="0" fillId="0" borderId="0" xfId="0" applyFill="1" applyAlignment="1" applyProtection="1">
      <alignment vertical="top"/>
      <protection hidden="1"/>
    </xf>
    <xf numFmtId="0" fontId="17" fillId="7" borderId="0" xfId="0" applyFont="1" applyFill="1" applyProtection="1">
      <protection hidden="1"/>
    </xf>
    <xf numFmtId="0" fontId="8" fillId="0" borderId="0" xfId="0" applyFont="1" applyFill="1" applyBorder="1" applyAlignment="1" applyProtection="1">
      <alignment horizontal="left"/>
      <protection hidden="1"/>
    </xf>
    <xf numFmtId="0" fontId="2" fillId="0" borderId="0" xfId="0" applyFont="1" applyFill="1" applyBorder="1" applyAlignment="1" applyProtection="1">
      <alignment wrapText="1"/>
      <protection hidden="1"/>
    </xf>
    <xf numFmtId="0" fontId="0" fillId="0" borderId="0" xfId="0" applyFill="1" applyBorder="1" applyAlignment="1" applyProtection="1">
      <protection hidden="1"/>
    </xf>
    <xf numFmtId="0" fontId="0" fillId="0" borderId="0" xfId="0" applyBorder="1" applyAlignment="1" applyProtection="1">
      <protection hidden="1"/>
    </xf>
    <xf numFmtId="0" fontId="1" fillId="11" borderId="0" xfId="8" applyProtection="1">
      <protection hidden="1"/>
    </xf>
    <xf numFmtId="0" fontId="1" fillId="10" borderId="0" xfId="7" applyProtection="1">
      <protection hidden="1"/>
    </xf>
    <xf numFmtId="0" fontId="38" fillId="7" borderId="0" xfId="0" applyFont="1" applyFill="1" applyProtection="1">
      <protection hidden="1"/>
    </xf>
    <xf numFmtId="0" fontId="19" fillId="7" borderId="0" xfId="0" applyFont="1" applyFill="1" applyProtection="1">
      <protection hidden="1"/>
    </xf>
    <xf numFmtId="0" fontId="39" fillId="11" borderId="0" xfId="8" applyFont="1" applyProtection="1">
      <protection hidden="1"/>
    </xf>
    <xf numFmtId="0" fontId="1" fillId="0" borderId="0" xfId="8" applyFill="1" applyProtection="1">
      <protection hidden="1"/>
    </xf>
    <xf numFmtId="0" fontId="22" fillId="7" borderId="0" xfId="8" applyFont="1" applyFill="1" applyProtection="1">
      <protection hidden="1"/>
    </xf>
    <xf numFmtId="0" fontId="23" fillId="0" borderId="0" xfId="0" applyFont="1" applyProtection="1">
      <protection hidden="1"/>
    </xf>
    <xf numFmtId="0" fontId="22" fillId="0" borderId="0" xfId="8" applyFont="1" applyFill="1" applyProtection="1">
      <protection hidden="1"/>
    </xf>
    <xf numFmtId="0" fontId="13" fillId="0" borderId="0" xfId="0" applyFont="1" applyProtection="1">
      <protection hidden="1"/>
    </xf>
    <xf numFmtId="0" fontId="16" fillId="0" borderId="0" xfId="0" applyFont="1" applyProtection="1">
      <protection hidden="1"/>
    </xf>
    <xf numFmtId="0" fontId="36" fillId="0" borderId="0" xfId="0" applyFont="1" applyProtection="1">
      <protection hidden="1"/>
    </xf>
    <xf numFmtId="0" fontId="26" fillId="0" borderId="0" xfId="0" applyFont="1" applyProtection="1">
      <protection hidden="1"/>
    </xf>
    <xf numFmtId="0" fontId="37" fillId="0" borderId="0" xfId="0" applyFont="1" applyProtection="1">
      <protection hidden="1"/>
    </xf>
    <xf numFmtId="0" fontId="0" fillId="0" borderId="0" xfId="0" applyBorder="1" applyProtection="1">
      <protection hidden="1"/>
    </xf>
    <xf numFmtId="0" fontId="32" fillId="0" borderId="0" xfId="0" applyFont="1" applyProtection="1">
      <protection hidden="1"/>
    </xf>
    <xf numFmtId="0" fontId="33" fillId="0" borderId="0" xfId="0" applyFont="1" applyProtection="1">
      <protection hidden="1"/>
    </xf>
    <xf numFmtId="0" fontId="42" fillId="7" borderId="0" xfId="0" applyFont="1" applyFill="1" applyAlignment="1" applyProtection="1">
      <protection hidden="1"/>
    </xf>
    <xf numFmtId="0" fontId="0" fillId="17" borderId="0" xfId="0" applyFill="1" applyProtection="1">
      <protection hidden="1"/>
    </xf>
    <xf numFmtId="0" fontId="43" fillId="18" borderId="14" xfId="4" applyFont="1" applyFill="1" applyBorder="1" applyAlignment="1" applyProtection="1">
      <alignment horizontal="center" vertical="center" wrapText="1"/>
      <protection hidden="1"/>
    </xf>
    <xf numFmtId="0" fontId="44" fillId="18" borderId="14" xfId="4" applyFont="1" applyFill="1" applyBorder="1" applyAlignment="1" applyProtection="1">
      <alignment horizontal="center" vertical="center" wrapText="1"/>
      <protection hidden="1"/>
    </xf>
    <xf numFmtId="0" fontId="46" fillId="19" borderId="14" xfId="4" applyFont="1" applyFill="1" applyBorder="1" applyAlignment="1" applyProtection="1">
      <alignment horizontal="center" vertical="center" wrapText="1"/>
      <protection hidden="1"/>
    </xf>
    <xf numFmtId="0" fontId="0" fillId="0" borderId="0" xfId="0" applyFill="1" applyAlignment="1">
      <alignment vertical="center"/>
    </xf>
    <xf numFmtId="0" fontId="0" fillId="0" borderId="0" xfId="0" applyFill="1" applyAlignment="1"/>
    <xf numFmtId="0" fontId="0" fillId="0" borderId="0" xfId="0" applyFill="1"/>
    <xf numFmtId="0" fontId="47" fillId="17" borderId="0" xfId="0" applyFont="1" applyFill="1" applyAlignment="1" applyProtection="1">
      <protection hidden="1"/>
    </xf>
    <xf numFmtId="0" fontId="0" fillId="17" borderId="0" xfId="0" applyFill="1" applyAlignment="1" applyProtection="1">
      <protection hidden="1"/>
    </xf>
    <xf numFmtId="0" fontId="43" fillId="17" borderId="14" xfId="4" applyFont="1" applyFill="1" applyBorder="1" applyAlignment="1" applyProtection="1">
      <alignment horizontal="center" vertical="center" wrapText="1"/>
      <protection hidden="1"/>
    </xf>
    <xf numFmtId="0" fontId="44" fillId="0" borderId="14" xfId="4" applyFont="1" applyFill="1" applyBorder="1" applyAlignment="1" applyProtection="1">
      <alignment horizontal="center" vertical="center" wrapText="1"/>
      <protection hidden="1"/>
    </xf>
    <xf numFmtId="0" fontId="51" fillId="19" borderId="14" xfId="4" applyFont="1" applyFill="1" applyBorder="1" applyAlignment="1" applyProtection="1">
      <alignment horizontal="center" vertical="center" wrapText="1"/>
      <protection hidden="1"/>
    </xf>
    <xf numFmtId="0" fontId="0" fillId="17" borderId="12" xfId="0" applyFill="1" applyBorder="1" applyAlignment="1"/>
    <xf numFmtId="0" fontId="0" fillId="17" borderId="0" xfId="0" applyFill="1" applyBorder="1" applyAlignment="1"/>
    <xf numFmtId="0" fontId="0" fillId="17" borderId="18" xfId="0" applyFill="1" applyBorder="1" applyAlignment="1"/>
    <xf numFmtId="0" fontId="0" fillId="17" borderId="12" xfId="0" applyFill="1" applyBorder="1"/>
    <xf numFmtId="0" fontId="0" fillId="17" borderId="0" xfId="0" applyFill="1" applyBorder="1"/>
    <xf numFmtId="0" fontId="49" fillId="17" borderId="0" xfId="4" applyFont="1" applyFill="1" applyBorder="1" applyAlignment="1">
      <alignment vertical="center" wrapText="1"/>
    </xf>
    <xf numFmtId="0" fontId="53" fillId="17" borderId="0" xfId="4" applyFont="1" applyFill="1" applyBorder="1" applyAlignment="1">
      <alignment vertical="center" wrapText="1"/>
    </xf>
    <xf numFmtId="0" fontId="54" fillId="17" borderId="0" xfId="0" applyFont="1" applyFill="1" applyBorder="1" applyAlignment="1"/>
    <xf numFmtId="0" fontId="54" fillId="17" borderId="0" xfId="0" applyFont="1" applyFill="1" applyBorder="1"/>
    <xf numFmtId="0" fontId="52" fillId="17" borderId="0" xfId="0" applyFont="1" applyFill="1" applyBorder="1" applyAlignment="1"/>
    <xf numFmtId="0" fontId="54" fillId="17" borderId="18" xfId="0" applyFont="1" applyFill="1" applyBorder="1" applyAlignment="1"/>
    <xf numFmtId="0" fontId="52" fillId="17" borderId="0" xfId="0" applyFont="1" applyFill="1" applyBorder="1"/>
    <xf numFmtId="0" fontId="54" fillId="17" borderId="12" xfId="0" applyFont="1" applyFill="1" applyBorder="1"/>
    <xf numFmtId="0" fontId="54" fillId="17" borderId="0" xfId="0" applyFont="1" applyFill="1"/>
    <xf numFmtId="0" fontId="0" fillId="17" borderId="0" xfId="0" applyFill="1" applyAlignment="1"/>
    <xf numFmtId="0" fontId="52" fillId="17" borderId="18" xfId="0" applyFont="1" applyFill="1" applyBorder="1" applyAlignment="1"/>
    <xf numFmtId="0" fontId="21" fillId="0" borderId="0" xfId="0" applyFont="1" applyFill="1" applyAlignment="1" applyProtection="1">
      <alignment vertical="top" wrapText="1"/>
      <protection hidden="1"/>
    </xf>
    <xf numFmtId="0" fontId="57" fillId="0" borderId="0" xfId="0" applyFont="1" applyFill="1" applyAlignment="1" applyProtection="1">
      <alignment vertical="top" wrapText="1"/>
      <protection hidden="1"/>
    </xf>
    <xf numFmtId="0" fontId="46" fillId="19" borderId="21" xfId="4" applyFont="1" applyFill="1" applyBorder="1" applyAlignment="1" applyProtection="1">
      <alignment horizontal="center" vertical="center" wrapText="1"/>
      <protection hidden="1"/>
    </xf>
    <xf numFmtId="0" fontId="33" fillId="14" borderId="21" xfId="4" applyFont="1" applyFill="1" applyBorder="1" applyAlignment="1" applyProtection="1">
      <alignment horizontal="center" vertical="center" wrapText="1"/>
      <protection hidden="1"/>
    </xf>
    <xf numFmtId="0" fontId="46" fillId="4" borderId="28" xfId="0" applyFont="1" applyFill="1" applyBorder="1" applyAlignment="1" applyProtection="1">
      <alignment horizontal="center" vertical="center"/>
      <protection hidden="1"/>
    </xf>
    <xf numFmtId="0" fontId="46" fillId="4" borderId="28" xfId="0" applyFont="1" applyFill="1" applyBorder="1" applyAlignment="1" applyProtection="1">
      <alignment horizontal="center" vertical="center" shrinkToFit="1"/>
      <protection hidden="1"/>
    </xf>
    <xf numFmtId="0" fontId="61" fillId="19" borderId="14" xfId="4" applyFont="1" applyFill="1" applyBorder="1" applyAlignment="1" applyProtection="1">
      <alignment horizontal="center" vertical="center" wrapText="1"/>
      <protection hidden="1"/>
    </xf>
    <xf numFmtId="0" fontId="33" fillId="18" borderId="14" xfId="4" applyFont="1" applyFill="1" applyBorder="1" applyAlignment="1" applyProtection="1">
      <alignment horizontal="center" vertical="center" wrapText="1"/>
      <protection hidden="1"/>
    </xf>
    <xf numFmtId="0" fontId="30" fillId="17" borderId="21" xfId="4" applyFont="1" applyFill="1" applyBorder="1" applyAlignment="1" applyProtection="1">
      <alignment horizontal="center" vertical="center" wrapText="1"/>
      <protection hidden="1"/>
    </xf>
    <xf numFmtId="0" fontId="55" fillId="0" borderId="30" xfId="0" applyFont="1" applyBorder="1" applyProtection="1">
      <protection hidden="1"/>
    </xf>
    <xf numFmtId="0" fontId="43" fillId="0" borderId="30" xfId="4" applyFont="1" applyFill="1" applyBorder="1" applyAlignment="1" applyProtection="1">
      <alignment vertical="center" wrapText="1"/>
      <protection hidden="1"/>
    </xf>
    <xf numFmtId="0" fontId="43" fillId="0" borderId="30" xfId="0" applyFont="1" applyBorder="1" applyProtection="1">
      <protection hidden="1"/>
    </xf>
    <xf numFmtId="0" fontId="55" fillId="0" borderId="0" xfId="0" applyFont="1" applyProtection="1">
      <protection hidden="1"/>
    </xf>
    <xf numFmtId="0" fontId="51" fillId="4" borderId="8" xfId="0" applyFont="1" applyFill="1" applyBorder="1" applyAlignment="1" applyProtection="1">
      <alignment vertical="center"/>
      <protection hidden="1"/>
    </xf>
    <xf numFmtId="0" fontId="46" fillId="4" borderId="8" xfId="2" applyFont="1" applyFill="1" applyBorder="1" applyAlignment="1" applyProtection="1">
      <alignment horizontal="center" vertical="center" wrapText="1"/>
      <protection hidden="1"/>
    </xf>
    <xf numFmtId="0" fontId="46" fillId="4" borderId="8" xfId="2" applyFont="1" applyFill="1" applyBorder="1" applyAlignment="1" applyProtection="1">
      <alignment horizontal="center" vertical="center" shrinkToFit="1"/>
      <protection hidden="1"/>
    </xf>
    <xf numFmtId="0" fontId="63" fillId="0" borderId="8" xfId="0" applyFont="1" applyBorder="1" applyAlignment="1" applyProtection="1">
      <alignment horizontal="center" vertical="center"/>
      <protection locked="0"/>
    </xf>
    <xf numFmtId="0" fontId="41" fillId="0" borderId="0" xfId="0" applyFont="1" applyFill="1" applyBorder="1" applyAlignment="1" applyProtection="1">
      <alignment vertical="top" wrapText="1"/>
      <protection hidden="1"/>
    </xf>
    <xf numFmtId="0" fontId="40" fillId="0" borderId="0" xfId="0" applyFont="1" applyFill="1" applyAlignment="1" applyProtection="1">
      <alignment vertical="top" wrapText="1"/>
      <protection hidden="1"/>
    </xf>
    <xf numFmtId="0" fontId="68" fillId="0" borderId="0" xfId="0" applyFont="1" applyFill="1" applyBorder="1" applyAlignment="1" applyProtection="1">
      <alignment vertical="top" wrapText="1"/>
      <protection hidden="1"/>
    </xf>
    <xf numFmtId="0" fontId="61" fillId="4" borderId="8" xfId="0" applyFont="1" applyFill="1" applyBorder="1" applyAlignment="1" applyProtection="1">
      <alignment horizontal="center" vertical="center" wrapText="1"/>
      <protection hidden="1"/>
    </xf>
    <xf numFmtId="0" fontId="0" fillId="12" borderId="0" xfId="0" applyFill="1" applyProtection="1">
      <protection hidden="1"/>
    </xf>
    <xf numFmtId="0" fontId="0" fillId="0" borderId="0" xfId="0" applyProtection="1">
      <protection hidden="1"/>
    </xf>
    <xf numFmtId="0" fontId="0" fillId="0" borderId="0" xfId="0" applyAlignment="1" applyProtection="1">
      <alignment horizontal="center"/>
      <protection hidden="1"/>
    </xf>
    <xf numFmtId="14" fontId="55" fillId="0" borderId="6" xfId="0" applyNumberFormat="1" applyFont="1" applyFill="1" applyBorder="1" applyAlignment="1" applyProtection="1">
      <alignment horizontal="center" wrapText="1"/>
      <protection hidden="1"/>
    </xf>
    <xf numFmtId="0" fontId="0" fillId="12" borderId="0" xfId="0" applyFill="1" applyBorder="1" applyProtection="1">
      <protection hidden="1"/>
    </xf>
    <xf numFmtId="0" fontId="0" fillId="7" borderId="0" xfId="0" applyFill="1" applyBorder="1" applyProtection="1">
      <protection hidden="1"/>
    </xf>
    <xf numFmtId="0" fontId="0" fillId="7" borderId="0" xfId="0" applyFill="1" applyBorder="1" applyAlignment="1" applyProtection="1">
      <alignment vertical="top" wrapText="1"/>
      <protection hidden="1"/>
    </xf>
    <xf numFmtId="0" fontId="0" fillId="12" borderId="37" xfId="0" applyFill="1" applyBorder="1" applyProtection="1">
      <protection hidden="1"/>
    </xf>
    <xf numFmtId="0" fontId="92" fillId="0" borderId="0" xfId="0" applyFont="1" applyFill="1" applyBorder="1" applyAlignment="1" applyProtection="1">
      <alignment vertical="center" textRotation="255"/>
      <protection hidden="1"/>
    </xf>
    <xf numFmtId="0" fontId="79" fillId="0" borderId="0" xfId="0" applyFont="1" applyFill="1" applyBorder="1" applyAlignment="1" applyProtection="1">
      <alignment vertical="center" textRotation="90"/>
      <protection hidden="1"/>
    </xf>
    <xf numFmtId="0" fontId="0" fillId="16" borderId="0" xfId="0" applyFill="1" applyProtection="1">
      <protection hidden="1"/>
    </xf>
    <xf numFmtId="0" fontId="91" fillId="16" borderId="0" xfId="0" applyFont="1" applyFill="1" applyBorder="1" applyProtection="1">
      <protection hidden="1"/>
    </xf>
    <xf numFmtId="0" fontId="27" fillId="16" borderId="0" xfId="0" applyFont="1" applyFill="1" applyBorder="1" applyProtection="1">
      <protection hidden="1"/>
    </xf>
    <xf numFmtId="0" fontId="0" fillId="16" borderId="0" xfId="0" applyFill="1" applyBorder="1" applyProtection="1">
      <protection hidden="1"/>
    </xf>
    <xf numFmtId="0" fontId="31" fillId="0" borderId="0" xfId="0" applyFont="1" applyFill="1" applyBorder="1" applyAlignment="1" applyProtection="1">
      <alignment vertical="center" textRotation="90"/>
      <protection hidden="1"/>
    </xf>
    <xf numFmtId="0" fontId="90" fillId="16" borderId="0" xfId="0" applyFont="1" applyFill="1" applyBorder="1" applyProtection="1">
      <protection hidden="1"/>
    </xf>
    <xf numFmtId="0" fontId="78" fillId="16" borderId="0" xfId="0" applyFont="1" applyFill="1" applyBorder="1" applyProtection="1">
      <protection hidden="1"/>
    </xf>
    <xf numFmtId="0" fontId="0" fillId="12" borderId="38" xfId="0" applyFill="1" applyBorder="1" applyAlignment="1" applyProtection="1">
      <alignment horizontal="center" shrinkToFit="1"/>
      <protection hidden="1"/>
    </xf>
    <xf numFmtId="0" fontId="0" fillId="12" borderId="0" xfId="0" applyFill="1" applyBorder="1" applyAlignment="1" applyProtection="1">
      <alignment horizontal="center" shrinkToFit="1"/>
      <protection hidden="1"/>
    </xf>
    <xf numFmtId="0" fontId="0" fillId="0" borderId="37" xfId="0" applyBorder="1" applyProtection="1">
      <protection hidden="1"/>
    </xf>
    <xf numFmtId="0" fontId="0" fillId="0" borderId="38" xfId="0" applyBorder="1" applyAlignment="1" applyProtection="1">
      <alignment horizontal="center" shrinkToFit="1"/>
      <protection hidden="1"/>
    </xf>
    <xf numFmtId="0" fontId="0" fillId="0" borderId="38" xfId="0" applyFill="1" applyBorder="1" applyAlignment="1" applyProtection="1">
      <alignment horizontal="center" shrinkToFit="1"/>
      <protection hidden="1"/>
    </xf>
    <xf numFmtId="0" fontId="0" fillId="0" borderId="0" xfId="0" applyBorder="1" applyAlignment="1" applyProtection="1">
      <alignment horizontal="center" shrinkToFit="1"/>
      <protection hidden="1"/>
    </xf>
    <xf numFmtId="0" fontId="0" fillId="0" borderId="0" xfId="0" applyFill="1" applyBorder="1" applyAlignment="1" applyProtection="1">
      <alignment horizontal="center" shrinkToFit="1"/>
      <protection hidden="1"/>
    </xf>
    <xf numFmtId="0" fontId="27" fillId="0" borderId="0" xfId="0" applyFont="1" applyBorder="1" applyProtection="1">
      <protection hidden="1"/>
    </xf>
    <xf numFmtId="0" fontId="0" fillId="0" borderId="0" xfId="0" applyFill="1" applyBorder="1" applyAlignment="1" applyProtection="1">
      <alignment vertical="top" wrapText="1"/>
      <protection hidden="1"/>
    </xf>
    <xf numFmtId="0" fontId="78" fillId="0" borderId="0" xfId="0" applyFont="1" applyBorder="1" applyProtection="1">
      <protection hidden="1"/>
    </xf>
    <xf numFmtId="0" fontId="0" fillId="0" borderId="0" xfId="0" applyFill="1" applyBorder="1" applyAlignment="1" applyProtection="1">
      <alignment horizontal="left" vertical="top" wrapText="1"/>
      <protection hidden="1"/>
    </xf>
    <xf numFmtId="0" fontId="31" fillId="0" borderId="0" xfId="0" applyFont="1" applyFill="1" applyBorder="1" applyAlignment="1" applyProtection="1">
      <alignment horizontal="left" vertical="center" textRotation="90"/>
      <protection hidden="1"/>
    </xf>
    <xf numFmtId="0" fontId="62" fillId="0" borderId="0" xfId="0" applyFont="1" applyFill="1" applyBorder="1" applyAlignment="1" applyProtection="1">
      <alignment horizontal="left" vertical="top" wrapText="1"/>
      <protection hidden="1"/>
    </xf>
    <xf numFmtId="0" fontId="16" fillId="0" borderId="0" xfId="0" applyFont="1" applyFill="1" applyBorder="1" applyAlignment="1" applyProtection="1">
      <alignment horizontal="left" vertical="top" wrapText="1"/>
      <protection hidden="1"/>
    </xf>
    <xf numFmtId="0" fontId="79" fillId="0" borderId="0" xfId="0" applyFont="1" applyFill="1" applyBorder="1" applyAlignment="1" applyProtection="1">
      <alignment horizontal="left" vertical="center" textRotation="90"/>
      <protection hidden="1"/>
    </xf>
    <xf numFmtId="0" fontId="101" fillId="0" borderId="0" xfId="9" applyFont="1" applyFill="1"/>
    <xf numFmtId="0" fontId="1" fillId="0" borderId="0" xfId="9" applyFill="1"/>
    <xf numFmtId="0" fontId="63" fillId="0" borderId="28" xfId="0" applyFont="1" applyBorder="1" applyAlignment="1" applyProtection="1">
      <alignment horizontal="center" shrinkToFit="1"/>
      <protection hidden="1"/>
    </xf>
    <xf numFmtId="0" fontId="63" fillId="0" borderId="28" xfId="0" applyFont="1" applyFill="1" applyBorder="1" applyAlignment="1" applyProtection="1">
      <alignment horizontal="center" shrinkToFit="1"/>
      <protection hidden="1"/>
    </xf>
    <xf numFmtId="0" fontId="58" fillId="0" borderId="28" xfId="0" applyFont="1" applyBorder="1" applyAlignment="1" applyProtection="1">
      <alignment horizontal="center" shrinkToFit="1"/>
      <protection hidden="1"/>
    </xf>
    <xf numFmtId="0" fontId="63" fillId="0" borderId="0" xfId="0" applyFont="1" applyBorder="1" applyProtection="1">
      <protection hidden="1"/>
    </xf>
    <xf numFmtId="0" fontId="63" fillId="0" borderId="24" xfId="0" applyFont="1" applyBorder="1" applyProtection="1">
      <protection hidden="1"/>
    </xf>
    <xf numFmtId="0" fontId="107" fillId="0" borderId="25" xfId="0" applyFont="1" applyFill="1" applyBorder="1" applyAlignment="1" applyProtection="1">
      <alignment vertical="center" textRotation="90"/>
      <protection hidden="1"/>
    </xf>
    <xf numFmtId="0" fontId="107" fillId="0" borderId="0" xfId="0" applyFont="1" applyFill="1" applyBorder="1" applyAlignment="1" applyProtection="1">
      <alignment vertical="center" textRotation="90"/>
      <protection hidden="1"/>
    </xf>
    <xf numFmtId="0" fontId="63" fillId="12" borderId="28" xfId="0" applyFont="1" applyFill="1" applyBorder="1" applyAlignment="1" applyProtection="1">
      <alignment horizontal="center" shrinkToFit="1"/>
      <protection hidden="1"/>
    </xf>
    <xf numFmtId="0" fontId="63" fillId="0" borderId="0" xfId="0" applyFont="1" applyProtection="1">
      <protection hidden="1"/>
    </xf>
    <xf numFmtId="0" fontId="100" fillId="0" borderId="0" xfId="0" applyFont="1" applyFill="1" applyBorder="1" applyAlignment="1" applyProtection="1">
      <alignment shrinkToFit="1"/>
      <protection hidden="1"/>
    </xf>
    <xf numFmtId="0" fontId="98" fillId="0" borderId="0" xfId="0" applyFont="1" applyFill="1" applyBorder="1" applyAlignment="1" applyProtection="1">
      <alignment shrinkToFit="1"/>
      <protection hidden="1"/>
    </xf>
    <xf numFmtId="0" fontId="63" fillId="0" borderId="0" xfId="0" applyFont="1" applyFill="1" applyBorder="1" applyProtection="1">
      <protection hidden="1"/>
    </xf>
    <xf numFmtId="0" fontId="100" fillId="0" borderId="0" xfId="0" applyFont="1" applyBorder="1" applyAlignment="1" applyProtection="1">
      <protection hidden="1"/>
    </xf>
    <xf numFmtId="0" fontId="98" fillId="0" borderId="0" xfId="0" applyFont="1" applyBorder="1" applyAlignment="1" applyProtection="1">
      <protection hidden="1"/>
    </xf>
    <xf numFmtId="0" fontId="64" fillId="0" borderId="0" xfId="0" applyFont="1" applyBorder="1" applyProtection="1">
      <protection hidden="1"/>
    </xf>
    <xf numFmtId="0" fontId="59" fillId="0" borderId="0" xfId="0" applyFont="1" applyBorder="1" applyProtection="1">
      <protection hidden="1"/>
    </xf>
    <xf numFmtId="0" fontId="108" fillId="7" borderId="0" xfId="0" applyFont="1" applyFill="1" applyProtection="1">
      <protection hidden="1"/>
    </xf>
    <xf numFmtId="0" fontId="109" fillId="7" borderId="0" xfId="0" applyFont="1" applyFill="1" applyProtection="1">
      <protection hidden="1"/>
    </xf>
    <xf numFmtId="0" fontId="0" fillId="0" borderId="0" xfId="0" applyProtection="1">
      <protection hidden="1"/>
    </xf>
    <xf numFmtId="0" fontId="31" fillId="0" borderId="0" xfId="0" applyFont="1" applyFill="1" applyBorder="1" applyAlignment="1" applyProtection="1">
      <alignment horizontal="right" vertical="center" textRotation="90"/>
      <protection hidden="1"/>
    </xf>
    <xf numFmtId="0" fontId="113" fillId="20" borderId="11" xfId="0" applyFont="1" applyFill="1" applyBorder="1" applyAlignment="1" applyProtection="1">
      <alignment horizontal="right" vertical="center"/>
      <protection hidden="1"/>
    </xf>
    <xf numFmtId="0" fontId="16" fillId="2" borderId="4" xfId="0" applyFont="1" applyFill="1" applyBorder="1" applyAlignment="1" applyProtection="1">
      <alignment horizontal="left" vertical="center"/>
      <protection locked="0"/>
    </xf>
    <xf numFmtId="0" fontId="60" fillId="0" borderId="0" xfId="0" applyFont="1" applyBorder="1" applyProtection="1">
      <protection hidden="1"/>
    </xf>
    <xf numFmtId="0" fontId="78" fillId="0" borderId="0" xfId="0" applyFont="1" applyProtection="1">
      <protection hidden="1"/>
    </xf>
    <xf numFmtId="0" fontId="63" fillId="0" borderId="0" xfId="0" applyFont="1" applyBorder="1" applyAlignment="1" applyProtection="1">
      <alignment shrinkToFit="1"/>
      <protection hidden="1"/>
    </xf>
    <xf numFmtId="0" fontId="63" fillId="0" borderId="29" xfId="0" applyFont="1" applyBorder="1" applyAlignment="1" applyProtection="1">
      <alignment horizontal="center" shrinkToFit="1"/>
      <protection hidden="1"/>
    </xf>
    <xf numFmtId="0" fontId="63" fillId="0" borderId="29" xfId="0" applyFont="1" applyFill="1" applyBorder="1" applyAlignment="1" applyProtection="1">
      <alignment horizontal="center" shrinkToFit="1"/>
      <protection hidden="1"/>
    </xf>
    <xf numFmtId="0" fontId="102" fillId="0" borderId="0" xfId="0" applyFont="1" applyFill="1" applyAlignment="1">
      <alignment horizontal="left" vertical="center" wrapText="1"/>
    </xf>
    <xf numFmtId="0" fontId="102" fillId="0" borderId="0" xfId="9" applyFont="1" applyFill="1" applyAlignment="1">
      <alignment horizontal="left" vertical="center" wrapText="1"/>
    </xf>
    <xf numFmtId="0" fontId="0" fillId="0" borderId="0" xfId="0" applyProtection="1">
      <protection hidden="1"/>
    </xf>
    <xf numFmtId="0" fontId="0" fillId="0" borderId="0" xfId="0" applyFill="1" applyBorder="1" applyAlignment="1" applyProtection="1">
      <alignment horizontal="center" vertical="center" wrapText="1"/>
      <protection hidden="1"/>
    </xf>
    <xf numFmtId="0" fontId="2" fillId="4" borderId="0" xfId="0" applyFont="1" applyFill="1" applyBorder="1" applyAlignment="1" applyProtection="1">
      <alignment horizontal="center" vertical="center"/>
      <protection hidden="1"/>
    </xf>
    <xf numFmtId="0" fontId="2" fillId="0" borderId="0" xfId="0" applyFont="1" applyFill="1" applyBorder="1" applyProtection="1">
      <protection hidden="1"/>
    </xf>
    <xf numFmtId="0" fontId="56" fillId="0" borderId="0" xfId="0" applyFont="1" applyAlignment="1" applyProtection="1">
      <alignment horizontal="center"/>
      <protection hidden="1"/>
    </xf>
    <xf numFmtId="0" fontId="63" fillId="0" borderId="0" xfId="0" applyFont="1" applyFill="1" applyProtection="1">
      <protection hidden="1"/>
    </xf>
    <xf numFmtId="0" fontId="56" fillId="2" borderId="0" xfId="0" applyFont="1" applyFill="1" applyProtection="1">
      <protection hidden="1"/>
    </xf>
    <xf numFmtId="0" fontId="107" fillId="0" borderId="0" xfId="0" applyFont="1" applyFill="1" applyBorder="1" applyProtection="1">
      <protection hidden="1"/>
    </xf>
    <xf numFmtId="0" fontId="63" fillId="0" borderId="0" xfId="0" applyFont="1" applyFill="1" applyBorder="1" applyAlignment="1" applyProtection="1">
      <alignment horizontal="center" vertical="center"/>
      <protection hidden="1"/>
    </xf>
    <xf numFmtId="0" fontId="56" fillId="4" borderId="6" xfId="0" applyFont="1" applyFill="1" applyBorder="1" applyAlignment="1" applyProtection="1">
      <alignment vertical="top"/>
      <protection hidden="1"/>
    </xf>
    <xf numFmtId="0" fontId="56" fillId="4" borderId="2" xfId="0" applyFont="1" applyFill="1" applyBorder="1" applyAlignment="1" applyProtection="1">
      <alignment vertical="top"/>
      <protection hidden="1"/>
    </xf>
    <xf numFmtId="0" fontId="56" fillId="4" borderId="7" xfId="0" applyFont="1" applyFill="1" applyBorder="1" applyAlignment="1" applyProtection="1">
      <alignment vertical="top"/>
      <protection hidden="1"/>
    </xf>
    <xf numFmtId="0" fontId="63" fillId="2" borderId="0" xfId="2" applyFont="1" applyFill="1" applyProtection="1">
      <protection hidden="1"/>
    </xf>
    <xf numFmtId="0" fontId="60" fillId="0" borderId="0" xfId="2" applyFont="1" applyProtection="1">
      <protection hidden="1"/>
    </xf>
    <xf numFmtId="0" fontId="114" fillId="2" borderId="0" xfId="2" applyFont="1" applyFill="1" applyProtection="1">
      <protection hidden="1"/>
    </xf>
    <xf numFmtId="0" fontId="63" fillId="2" borderId="0" xfId="0" applyFont="1" applyFill="1" applyProtection="1">
      <protection hidden="1"/>
    </xf>
    <xf numFmtId="0" fontId="115" fillId="0" borderId="0" xfId="0" applyFont="1" applyBorder="1" applyAlignment="1" applyProtection="1">
      <alignment horizontal="left" wrapText="1"/>
      <protection hidden="1"/>
    </xf>
    <xf numFmtId="0" fontId="114" fillId="2" borderId="0" xfId="0" applyFont="1" applyFill="1" applyProtection="1">
      <protection hidden="1"/>
    </xf>
    <xf numFmtId="0" fontId="63" fillId="2" borderId="0" xfId="0" applyFont="1" applyFill="1" applyBorder="1" applyProtection="1">
      <protection hidden="1"/>
    </xf>
    <xf numFmtId="0" fontId="116" fillId="0" borderId="0" xfId="0" applyFont="1" applyFill="1" applyBorder="1" applyProtection="1">
      <protection hidden="1"/>
    </xf>
    <xf numFmtId="0" fontId="56" fillId="0" borderId="0" xfId="0" applyFont="1" applyFill="1" applyBorder="1" applyProtection="1">
      <protection hidden="1"/>
    </xf>
    <xf numFmtId="0" fontId="56" fillId="0" borderId="0" xfId="0" applyFont="1" applyFill="1" applyBorder="1" applyAlignment="1" applyProtection="1">
      <alignment horizontal="center" vertical="center" wrapText="1"/>
      <protection hidden="1"/>
    </xf>
    <xf numFmtId="0" fontId="116" fillId="0" borderId="0" xfId="0" applyFont="1" applyFill="1" applyBorder="1" applyAlignment="1" applyProtection="1">
      <alignment vertical="center"/>
      <protection hidden="1"/>
    </xf>
    <xf numFmtId="0" fontId="117" fillId="0" borderId="0" xfId="0" applyFont="1" applyFill="1" applyBorder="1" applyProtection="1">
      <protection hidden="1"/>
    </xf>
    <xf numFmtId="0" fontId="56" fillId="0" borderId="0" xfId="0" applyFont="1" applyFill="1" applyBorder="1" applyAlignment="1" applyProtection="1">
      <alignment horizontal="center" vertical="center"/>
      <protection hidden="1"/>
    </xf>
    <xf numFmtId="0" fontId="56" fillId="0" borderId="0" xfId="0" applyFont="1" applyFill="1" applyBorder="1" applyAlignment="1" applyProtection="1">
      <alignment horizontal="left" vertical="top" wrapText="1"/>
      <protection hidden="1"/>
    </xf>
    <xf numFmtId="0" fontId="63" fillId="4" borderId="8" xfId="0" applyFont="1" applyFill="1" applyBorder="1" applyAlignment="1" applyProtection="1">
      <alignment horizontal="center" vertical="center"/>
      <protection hidden="1"/>
    </xf>
    <xf numFmtId="0" fontId="63" fillId="2" borderId="0" xfId="0" applyFont="1" applyFill="1" applyBorder="1" applyAlignment="1" applyProtection="1">
      <alignment horizontal="left"/>
      <protection hidden="1"/>
    </xf>
    <xf numFmtId="0" fontId="64" fillId="0" borderId="68" xfId="0" applyFont="1" applyBorder="1" applyAlignment="1" applyProtection="1">
      <alignment horizontal="left" vertical="center" wrapText="1" shrinkToFit="1"/>
      <protection locked="0"/>
    </xf>
    <xf numFmtId="0" fontId="63" fillId="10" borderId="0" xfId="7" applyFont="1" applyProtection="1">
      <protection hidden="1"/>
    </xf>
    <xf numFmtId="0" fontId="63" fillId="26" borderId="8" xfId="12" applyFont="1" applyBorder="1" applyAlignment="1" applyProtection="1">
      <alignment horizontal="left"/>
      <protection hidden="1"/>
    </xf>
    <xf numFmtId="0" fontId="63" fillId="11" borderId="0" xfId="8" applyFont="1" applyProtection="1">
      <protection hidden="1"/>
    </xf>
    <xf numFmtId="0" fontId="63" fillId="10" borderId="0" xfId="7" applyFont="1" applyBorder="1" applyAlignment="1" applyProtection="1">
      <alignment horizontal="center"/>
      <protection hidden="1"/>
    </xf>
    <xf numFmtId="0" fontId="63" fillId="26" borderId="8" xfId="12" applyFont="1" applyBorder="1" applyAlignment="1" applyProtection="1">
      <alignment vertical="center" wrapText="1"/>
      <protection hidden="1"/>
    </xf>
    <xf numFmtId="0" fontId="55" fillId="27" borderId="13" xfId="13" applyFont="1" applyBorder="1" applyAlignment="1" applyProtection="1">
      <alignment horizontal="center" vertical="center" wrapText="1" shrinkToFit="1"/>
      <protection hidden="1"/>
    </xf>
    <xf numFmtId="0" fontId="67" fillId="4" borderId="8" xfId="0" applyFont="1" applyFill="1" applyBorder="1" applyAlignment="1" applyProtection="1">
      <alignment horizontal="center" vertical="center" wrapText="1"/>
      <protection hidden="1"/>
    </xf>
    <xf numFmtId="0" fontId="56" fillId="4" borderId="8" xfId="0" applyFont="1" applyFill="1" applyBorder="1" applyAlignment="1" applyProtection="1">
      <alignment horizontal="center" vertical="center"/>
      <protection hidden="1"/>
    </xf>
    <xf numFmtId="0" fontId="46" fillId="4" borderId="8" xfId="0" applyFont="1" applyFill="1" applyBorder="1" applyAlignment="1" applyProtection="1">
      <alignment horizontal="center"/>
      <protection hidden="1"/>
    </xf>
    <xf numFmtId="0" fontId="56" fillId="4" borderId="8" xfId="0" applyFont="1" applyFill="1" applyBorder="1" applyAlignment="1" applyProtection="1">
      <alignment horizontal="center" vertical="center" wrapText="1"/>
      <protection hidden="1"/>
    </xf>
    <xf numFmtId="0" fontId="65" fillId="17" borderId="24" xfId="0" applyFont="1" applyFill="1" applyBorder="1" applyAlignment="1" applyProtection="1">
      <protection hidden="1"/>
    </xf>
    <xf numFmtId="0" fontId="65" fillId="17" borderId="0" xfId="0" applyFont="1" applyFill="1" applyAlignment="1" applyProtection="1">
      <protection hidden="1"/>
    </xf>
    <xf numFmtId="0" fontId="63" fillId="5" borderId="0" xfId="7" applyFont="1" applyFill="1" applyAlignment="1" applyProtection="1">
      <protection hidden="1"/>
    </xf>
    <xf numFmtId="0" fontId="33" fillId="5" borderId="0" xfId="0" applyFont="1" applyFill="1" applyProtection="1">
      <protection hidden="1"/>
    </xf>
    <xf numFmtId="0" fontId="33" fillId="5" borderId="0" xfId="4" applyFont="1" applyFill="1" applyBorder="1" applyAlignment="1" applyProtection="1">
      <alignment horizontal="center" vertical="center" wrapText="1"/>
      <protection hidden="1"/>
    </xf>
    <xf numFmtId="0" fontId="33" fillId="5" borderId="0" xfId="0" applyFont="1" applyFill="1" applyBorder="1" applyAlignment="1" applyProtection="1">
      <alignment horizontal="center" vertical="center" wrapText="1"/>
      <protection hidden="1"/>
    </xf>
    <xf numFmtId="0" fontId="1" fillId="5" borderId="0" xfId="7" applyFill="1" applyProtection="1">
      <protection hidden="1"/>
    </xf>
    <xf numFmtId="0" fontId="63" fillId="5" borderId="0" xfId="7" applyFont="1" applyFill="1" applyProtection="1">
      <protection hidden="1"/>
    </xf>
    <xf numFmtId="0" fontId="63" fillId="5" borderId="0" xfId="7" applyFont="1" applyFill="1" applyBorder="1" applyProtection="1">
      <protection hidden="1"/>
    </xf>
    <xf numFmtId="0" fontId="63" fillId="22" borderId="8" xfId="0" applyFont="1" applyFill="1" applyBorder="1" applyAlignment="1" applyProtection="1">
      <alignment horizontal="center" vertical="center"/>
      <protection locked="0"/>
    </xf>
    <xf numFmtId="0" fontId="63" fillId="5" borderId="0" xfId="7" applyFont="1" applyFill="1" applyBorder="1" applyAlignment="1" applyProtection="1">
      <alignment horizontal="left"/>
      <protection hidden="1"/>
    </xf>
    <xf numFmtId="0" fontId="63" fillId="5" borderId="0" xfId="7" applyFont="1" applyFill="1" applyBorder="1" applyAlignment="1" applyProtection="1">
      <alignment horizontal="center" vertical="center"/>
      <protection hidden="1"/>
    </xf>
    <xf numFmtId="0" fontId="63" fillId="5" borderId="0" xfId="7" applyFont="1" applyFill="1" applyBorder="1" applyAlignment="1" applyProtection="1">
      <protection hidden="1"/>
    </xf>
    <xf numFmtId="0" fontId="63" fillId="5" borderId="0" xfId="7" applyFont="1" applyFill="1" applyBorder="1" applyAlignment="1" applyProtection="1">
      <alignment horizontal="center" vertical="center" shrinkToFit="1"/>
      <protection hidden="1"/>
    </xf>
    <xf numFmtId="0" fontId="63" fillId="5" borderId="0" xfId="7" applyFont="1" applyFill="1" applyBorder="1" applyAlignment="1" applyProtection="1">
      <alignment horizontal="center" vertical="center" wrapText="1"/>
      <protection hidden="1"/>
    </xf>
    <xf numFmtId="0" fontId="63" fillId="5" borderId="0" xfId="7" applyFont="1" applyFill="1" applyBorder="1" applyAlignment="1" applyProtection="1">
      <alignment wrapText="1"/>
      <protection hidden="1"/>
    </xf>
    <xf numFmtId="0" fontId="63" fillId="5" borderId="0" xfId="7" applyFont="1" applyFill="1" applyBorder="1" applyAlignment="1" applyProtection="1">
      <alignment horizontal="center"/>
      <protection hidden="1"/>
    </xf>
    <xf numFmtId="0" fontId="63" fillId="5" borderId="0" xfId="0" applyFont="1" applyFill="1" applyProtection="1">
      <protection hidden="1"/>
    </xf>
    <xf numFmtId="0" fontId="63" fillId="5" borderId="0" xfId="7" applyFont="1" applyFill="1" applyAlignment="1" applyProtection="1">
      <alignment horizontal="right"/>
      <protection hidden="1"/>
    </xf>
    <xf numFmtId="0" fontId="63" fillId="5" borderId="0" xfId="7" applyFont="1" applyFill="1" applyAlignment="1" applyProtection="1">
      <alignment vertical="center" wrapText="1"/>
      <protection hidden="1"/>
    </xf>
    <xf numFmtId="0" fontId="63" fillId="5" borderId="0" xfId="7" applyFont="1" applyFill="1" applyBorder="1" applyAlignment="1" applyProtection="1">
      <alignment vertical="center" wrapText="1"/>
      <protection hidden="1"/>
    </xf>
    <xf numFmtId="3" fontId="63" fillId="5" borderId="0" xfId="7" applyNumberFormat="1" applyFont="1" applyFill="1" applyBorder="1" applyAlignment="1" applyProtection="1">
      <alignment horizontal="center" vertical="center"/>
      <protection hidden="1"/>
    </xf>
    <xf numFmtId="0" fontId="63" fillId="5" borderId="0" xfId="7" applyFont="1" applyFill="1" applyBorder="1" applyAlignment="1" applyProtection="1">
      <alignment vertical="center"/>
      <protection hidden="1"/>
    </xf>
    <xf numFmtId="0" fontId="63" fillId="5" borderId="0" xfId="2" applyFont="1" applyFill="1" applyProtection="1">
      <protection hidden="1"/>
    </xf>
    <xf numFmtId="0" fontId="60" fillId="5" borderId="0" xfId="2" applyFont="1" applyFill="1" applyProtection="1">
      <protection hidden="1"/>
    </xf>
    <xf numFmtId="0" fontId="56" fillId="5" borderId="0" xfId="2" applyFont="1" applyFill="1" applyProtection="1">
      <protection hidden="1"/>
    </xf>
    <xf numFmtId="0" fontId="63" fillId="5" borderId="0" xfId="7" applyFont="1" applyFill="1" applyBorder="1" applyAlignment="1" applyProtection="1">
      <alignment horizontal="left" wrapText="1"/>
      <protection hidden="1"/>
    </xf>
    <xf numFmtId="0" fontId="63" fillId="5" borderId="8" xfId="7" applyFont="1" applyFill="1" applyBorder="1" applyAlignment="1" applyProtection="1">
      <alignment horizontal="center" vertical="center" wrapText="1"/>
      <protection hidden="1"/>
    </xf>
    <xf numFmtId="0" fontId="63" fillId="5" borderId="8" xfId="7" applyFont="1" applyFill="1" applyBorder="1" applyAlignment="1" applyProtection="1">
      <alignment horizontal="center" vertical="center"/>
      <protection hidden="1"/>
    </xf>
    <xf numFmtId="0" fontId="63" fillId="5" borderId="6" xfId="7" applyFont="1" applyFill="1" applyBorder="1" applyAlignment="1" applyProtection="1">
      <protection hidden="1"/>
    </xf>
    <xf numFmtId="0" fontId="63" fillId="5" borderId="2" xfId="7" applyFont="1" applyFill="1" applyBorder="1" applyAlignment="1" applyProtection="1">
      <protection hidden="1"/>
    </xf>
    <xf numFmtId="0" fontId="63" fillId="5" borderId="2" xfId="7" applyFont="1" applyFill="1" applyBorder="1" applyAlignment="1" applyProtection="1">
      <alignment horizontal="center" vertical="center"/>
      <protection hidden="1"/>
    </xf>
    <xf numFmtId="9" fontId="63" fillId="5" borderId="8" xfId="7" applyNumberFormat="1" applyFont="1" applyFill="1" applyBorder="1" applyProtection="1">
      <protection hidden="1"/>
    </xf>
    <xf numFmtId="0" fontId="63" fillId="5" borderId="8" xfId="7" applyFont="1" applyFill="1" applyBorder="1" applyAlignment="1" applyProtection="1">
      <alignment horizontal="center" vertical="center"/>
      <protection locked="0"/>
    </xf>
    <xf numFmtId="0" fontId="63" fillId="5" borderId="8" xfId="7" applyNumberFormat="1" applyFont="1" applyFill="1" applyBorder="1" applyAlignment="1" applyProtection="1">
      <alignment horizontal="center" vertical="center"/>
      <protection locked="0"/>
    </xf>
    <xf numFmtId="0" fontId="63" fillId="5" borderId="6" xfId="7" applyFont="1" applyFill="1" applyBorder="1" applyAlignment="1" applyProtection="1">
      <alignment horizontal="left" vertical="center"/>
      <protection locked="0"/>
    </xf>
    <xf numFmtId="0" fontId="63" fillId="5" borderId="7" xfId="7" applyFont="1" applyFill="1" applyBorder="1" applyAlignment="1" applyProtection="1">
      <alignment horizontal="left" vertical="center"/>
      <protection locked="0"/>
    </xf>
    <xf numFmtId="0" fontId="63" fillId="5" borderId="6" xfId="7" applyFont="1" applyFill="1" applyBorder="1" applyAlignment="1" applyProtection="1">
      <alignment vertical="center"/>
      <protection hidden="1"/>
    </xf>
    <xf numFmtId="0" fontId="63" fillId="5" borderId="2" xfId="7" applyFont="1" applyFill="1" applyBorder="1" applyAlignment="1" applyProtection="1">
      <alignment vertical="center"/>
      <protection hidden="1"/>
    </xf>
    <xf numFmtId="9" fontId="63" fillId="5" borderId="8" xfId="7" applyNumberFormat="1" applyFont="1" applyFill="1" applyBorder="1" applyAlignment="1" applyProtection="1">
      <alignment horizontal="center" vertical="center"/>
      <protection hidden="1"/>
    </xf>
    <xf numFmtId="3" fontId="63" fillId="5" borderId="8" xfId="7" applyNumberFormat="1" applyFont="1" applyFill="1" applyBorder="1" applyAlignment="1" applyProtection="1">
      <alignment horizontal="center" vertical="center"/>
      <protection locked="0"/>
    </xf>
    <xf numFmtId="0" fontId="63" fillId="5" borderId="0" xfId="7" applyFont="1" applyFill="1" applyAlignment="1" applyProtection="1">
      <alignment horizontal="center" vertical="center"/>
      <protection hidden="1"/>
    </xf>
    <xf numFmtId="0" fontId="63" fillId="5" borderId="0" xfId="7" applyFont="1" applyFill="1" applyBorder="1" applyAlignment="1" applyProtection="1">
      <alignment horizontal="center" shrinkToFit="1"/>
      <protection hidden="1"/>
    </xf>
    <xf numFmtId="15" fontId="63" fillId="5" borderId="0" xfId="7" applyNumberFormat="1" applyFont="1" applyFill="1" applyProtection="1">
      <protection hidden="1"/>
    </xf>
    <xf numFmtId="3" fontId="63" fillId="4" borderId="8" xfId="0" applyNumberFormat="1" applyFont="1" applyFill="1" applyBorder="1" applyAlignment="1" applyProtection="1">
      <alignment horizontal="center" vertical="center"/>
      <protection hidden="1"/>
    </xf>
    <xf numFmtId="0" fontId="63" fillId="0" borderId="8" xfId="2" applyFont="1" applyFill="1" applyBorder="1" applyAlignment="1" applyProtection="1">
      <alignment horizontal="center" vertical="center" wrapText="1"/>
      <protection locked="0"/>
    </xf>
    <xf numFmtId="0" fontId="63" fillId="0" borderId="8" xfId="0" applyFont="1" applyBorder="1" applyAlignment="1" applyProtection="1">
      <alignment horizontal="left" vertical="center" wrapText="1"/>
      <protection locked="0"/>
    </xf>
    <xf numFmtId="0" fontId="55" fillId="0" borderId="8" xfId="0" applyFont="1" applyBorder="1" applyAlignment="1" applyProtection="1">
      <alignment horizontal="left" vertical="center" wrapText="1"/>
      <protection locked="0"/>
    </xf>
    <xf numFmtId="0" fontId="63" fillId="0" borderId="8" xfId="0" applyFont="1" applyFill="1" applyBorder="1" applyAlignment="1" applyProtection="1">
      <alignment horizontal="center" vertical="center"/>
      <protection locked="0"/>
    </xf>
    <xf numFmtId="0" fontId="56" fillId="4" borderId="8" xfId="0" applyFont="1" applyFill="1" applyBorder="1" applyAlignment="1" applyProtection="1">
      <alignment horizontal="left"/>
      <protection hidden="1"/>
    </xf>
    <xf numFmtId="0" fontId="56" fillId="4" borderId="8" xfId="0" applyFont="1" applyFill="1" applyBorder="1" applyAlignment="1" applyProtection="1">
      <alignment horizontal="center" vertical="center" shrinkToFit="1"/>
      <protection hidden="1"/>
    </xf>
    <xf numFmtId="0" fontId="63" fillId="0" borderId="8" xfId="2" applyFont="1" applyFill="1" applyBorder="1" applyAlignment="1" applyProtection="1">
      <alignment horizontal="center" vertical="center"/>
      <protection locked="0"/>
    </xf>
    <xf numFmtId="0" fontId="56" fillId="4" borderId="8" xfId="10" applyFont="1" applyFill="1" applyBorder="1" applyAlignment="1" applyProtection="1">
      <alignment horizontal="center" vertical="center" wrapText="1"/>
      <protection hidden="1"/>
    </xf>
    <xf numFmtId="0" fontId="2" fillId="27" borderId="8" xfId="13" applyFont="1" applyBorder="1" applyAlignment="1" applyProtection="1">
      <alignment horizontal="center" vertical="center"/>
      <protection hidden="1"/>
    </xf>
    <xf numFmtId="2" fontId="56" fillId="4" borderId="8" xfId="10" applyNumberFormat="1" applyFont="1" applyFill="1" applyBorder="1" applyAlignment="1" applyProtection="1">
      <alignment horizontal="center" vertical="center"/>
      <protection hidden="1"/>
    </xf>
    <xf numFmtId="2" fontId="63" fillId="4" borderId="8" xfId="10" applyNumberFormat="1" applyFont="1" applyFill="1" applyBorder="1" applyAlignment="1" applyProtection="1">
      <alignment horizontal="center" vertical="center"/>
      <protection hidden="1"/>
    </xf>
    <xf numFmtId="0" fontId="56" fillId="4" borderId="8" xfId="2" applyFont="1" applyFill="1" applyBorder="1" applyAlignment="1" applyProtection="1">
      <alignment horizontal="center" vertical="center" wrapText="1"/>
      <protection hidden="1"/>
    </xf>
    <xf numFmtId="0" fontId="56" fillId="4" borderId="8" xfId="2" applyFont="1" applyFill="1" applyBorder="1" applyAlignment="1" applyProtection="1">
      <alignment horizontal="center" vertical="center" shrinkToFit="1"/>
      <protection hidden="1"/>
    </xf>
    <xf numFmtId="0" fontId="119" fillId="4" borderId="8" xfId="0" applyFont="1" applyFill="1" applyBorder="1" applyAlignment="1" applyProtection="1">
      <alignment horizontal="center" vertical="center" wrapText="1"/>
      <protection hidden="1"/>
    </xf>
    <xf numFmtId="0" fontId="119" fillId="4" borderId="8" xfId="0" applyFont="1" applyFill="1" applyBorder="1" applyAlignment="1" applyProtection="1">
      <alignment vertical="center" wrapText="1"/>
      <protection hidden="1"/>
    </xf>
    <xf numFmtId="0" fontId="56" fillId="4" borderId="8" xfId="0" applyFont="1" applyFill="1" applyBorder="1" applyAlignment="1" applyProtection="1">
      <alignment horizontal="center"/>
      <protection hidden="1"/>
    </xf>
    <xf numFmtId="0" fontId="63" fillId="0" borderId="8" xfId="0" applyFont="1" applyFill="1" applyBorder="1" applyProtection="1">
      <protection hidden="1"/>
    </xf>
    <xf numFmtId="0" fontId="63" fillId="0" borderId="8" xfId="0" applyFont="1" applyFill="1" applyBorder="1" applyProtection="1">
      <protection locked="0"/>
    </xf>
    <xf numFmtId="0" fontId="63" fillId="28" borderId="8" xfId="12" applyFont="1" applyFill="1" applyBorder="1" applyAlignment="1" applyProtection="1">
      <alignment horizontal="left"/>
      <protection hidden="1"/>
    </xf>
    <xf numFmtId="0" fontId="63" fillId="28" borderId="8" xfId="12" applyFont="1" applyFill="1" applyBorder="1" applyAlignment="1" applyProtection="1">
      <alignment horizontal="left" shrinkToFit="1"/>
      <protection hidden="1"/>
    </xf>
    <xf numFmtId="0" fontId="63" fillId="5" borderId="0" xfId="7" applyFont="1" applyFill="1" applyAlignment="1" applyProtection="1">
      <alignment horizontal="center"/>
      <protection hidden="1"/>
    </xf>
    <xf numFmtId="0" fontId="63" fillId="26" borderId="8" xfId="12" applyFont="1" applyBorder="1" applyAlignment="1" applyProtection="1">
      <alignment horizontal="left" shrinkToFit="1"/>
      <protection hidden="1"/>
    </xf>
    <xf numFmtId="0" fontId="63" fillId="5" borderId="0" xfId="12" applyFont="1" applyFill="1" applyBorder="1" applyAlignment="1" applyProtection="1">
      <alignment horizontal="left"/>
      <protection hidden="1"/>
    </xf>
    <xf numFmtId="0" fontId="56" fillId="5" borderId="0" xfId="0" applyFont="1" applyFill="1" applyBorder="1" applyAlignment="1" applyProtection="1">
      <alignment horizontal="center" vertical="center"/>
      <protection hidden="1"/>
    </xf>
    <xf numFmtId="0" fontId="56" fillId="4" borderId="8" xfId="2" applyFont="1" applyFill="1" applyBorder="1" applyAlignment="1" applyProtection="1">
      <alignment horizontal="center" shrinkToFit="1"/>
      <protection hidden="1"/>
    </xf>
    <xf numFmtId="0" fontId="56" fillId="4" borderId="11" xfId="0" applyFont="1" applyFill="1" applyBorder="1" applyAlignment="1" applyProtection="1">
      <alignment vertical="top"/>
      <protection hidden="1"/>
    </xf>
    <xf numFmtId="0" fontId="56" fillId="4" borderId="6" xfId="0" applyFont="1" applyFill="1" applyBorder="1" applyAlignment="1" applyProtection="1">
      <protection hidden="1"/>
    </xf>
    <xf numFmtId="0" fontId="56" fillId="4" borderId="2" xfId="0" applyFont="1" applyFill="1" applyBorder="1" applyAlignment="1" applyProtection="1">
      <protection hidden="1"/>
    </xf>
    <xf numFmtId="0" fontId="56" fillId="4" borderId="7" xfId="0" applyFont="1" applyFill="1" applyBorder="1" applyAlignment="1" applyProtection="1">
      <protection hidden="1"/>
    </xf>
    <xf numFmtId="0" fontId="56" fillId="4" borderId="8" xfId="12" applyFont="1" applyFill="1" applyBorder="1" applyAlignment="1" applyProtection="1">
      <alignment horizontal="left"/>
      <protection hidden="1"/>
    </xf>
    <xf numFmtId="0" fontId="55" fillId="28" borderId="74" xfId="0" applyFont="1" applyFill="1" applyBorder="1" applyAlignment="1" applyProtection="1">
      <alignment horizontal="left"/>
      <protection hidden="1"/>
    </xf>
    <xf numFmtId="0" fontId="55" fillId="28" borderId="77" xfId="0" applyFont="1" applyFill="1" applyBorder="1" applyAlignment="1" applyProtection="1">
      <alignment horizontal="left"/>
      <protection hidden="1"/>
    </xf>
    <xf numFmtId="0" fontId="55" fillId="28" borderId="83" xfId="0" applyFont="1" applyFill="1" applyBorder="1" applyAlignment="1" applyProtection="1">
      <alignment horizontal="left"/>
      <protection hidden="1"/>
    </xf>
    <xf numFmtId="0" fontId="63" fillId="7" borderId="0" xfId="8" applyFont="1" applyFill="1" applyProtection="1">
      <protection hidden="1"/>
    </xf>
    <xf numFmtId="0" fontId="63" fillId="7" borderId="0" xfId="10" applyFont="1" applyFill="1" applyProtection="1">
      <protection hidden="1"/>
    </xf>
    <xf numFmtId="0" fontId="46" fillId="4" borderId="8" xfId="0" applyFont="1" applyFill="1" applyBorder="1" applyAlignment="1" applyProtection="1">
      <alignment shrinkToFit="1"/>
      <protection hidden="1"/>
    </xf>
    <xf numFmtId="0" fontId="56" fillId="4" borderId="8" xfId="11" applyFont="1" applyFill="1" applyBorder="1" applyAlignment="1" applyProtection="1">
      <alignment horizontal="center" vertical="center"/>
      <protection hidden="1"/>
    </xf>
    <xf numFmtId="2" fontId="56" fillId="4" borderId="8" xfId="0" applyNumberFormat="1" applyFont="1" applyFill="1" applyBorder="1" applyAlignment="1" applyProtection="1">
      <alignment horizontal="center"/>
      <protection hidden="1"/>
    </xf>
    <xf numFmtId="0" fontId="56" fillId="4" borderId="8" xfId="0" applyFont="1" applyFill="1" applyBorder="1" applyAlignment="1" applyProtection="1">
      <alignment horizontal="center" shrinkToFit="1"/>
      <protection hidden="1"/>
    </xf>
    <xf numFmtId="0" fontId="120" fillId="0" borderId="0" xfId="0" applyFont="1"/>
    <xf numFmtId="0" fontId="2" fillId="0" borderId="0" xfId="0" applyFont="1"/>
    <xf numFmtId="0" fontId="0" fillId="0" borderId="0" xfId="0" applyProtection="1">
      <protection hidden="1"/>
    </xf>
    <xf numFmtId="0" fontId="56" fillId="4" borderId="8" xfId="0" applyFont="1" applyFill="1" applyBorder="1" applyAlignment="1" applyProtection="1">
      <alignment horizontal="center"/>
      <protection hidden="1"/>
    </xf>
    <xf numFmtId="0" fontId="63" fillId="26" borderId="8" xfId="12" applyFont="1" applyBorder="1" applyAlignment="1" applyProtection="1">
      <alignment horizontal="left"/>
      <protection hidden="1"/>
    </xf>
    <xf numFmtId="0" fontId="46" fillId="4" borderId="8" xfId="0" applyFont="1" applyFill="1" applyBorder="1" applyAlignment="1" applyProtection="1">
      <alignment horizontal="center"/>
      <protection hidden="1"/>
    </xf>
    <xf numFmtId="14" fontId="55" fillId="0" borderId="8" xfId="0" applyNumberFormat="1" applyFont="1" applyFill="1" applyBorder="1" applyAlignment="1" applyProtection="1">
      <alignment horizontal="center" vertical="center" wrapText="1"/>
      <protection locked="0" hidden="1"/>
    </xf>
    <xf numFmtId="2" fontId="55" fillId="0" borderId="8" xfId="0" applyNumberFormat="1" applyFont="1" applyFill="1" applyBorder="1" applyAlignment="1" applyProtection="1">
      <alignment vertical="center" wrapText="1"/>
      <protection locked="0" hidden="1"/>
    </xf>
    <xf numFmtId="0" fontId="55" fillId="0" borderId="8" xfId="0" applyFont="1" applyFill="1" applyBorder="1" applyAlignment="1" applyProtection="1">
      <alignment vertical="center" wrapText="1"/>
      <protection locked="0" hidden="1"/>
    </xf>
    <xf numFmtId="0" fontId="0" fillId="0" borderId="0" xfId="0" applyProtection="1">
      <protection hidden="1"/>
    </xf>
    <xf numFmtId="0" fontId="63" fillId="4" borderId="8" xfId="0" applyFont="1" applyFill="1" applyBorder="1" applyAlignment="1" applyProtection="1">
      <alignment horizontal="center" vertical="center"/>
      <protection hidden="1"/>
    </xf>
    <xf numFmtId="0" fontId="56" fillId="0" borderId="0" xfId="0" applyFont="1" applyFill="1" applyBorder="1" applyAlignment="1" applyProtection="1">
      <alignment horizontal="center" vertical="center"/>
      <protection hidden="1"/>
    </xf>
    <xf numFmtId="0" fontId="121" fillId="14" borderId="21" xfId="4" applyFont="1" applyFill="1" applyBorder="1" applyAlignment="1" applyProtection="1">
      <alignment horizontal="center" vertical="center" wrapText="1"/>
      <protection hidden="1"/>
    </xf>
    <xf numFmtId="0" fontId="63" fillId="0" borderId="0" xfId="7" applyFont="1" applyFill="1" applyProtection="1">
      <protection hidden="1"/>
    </xf>
    <xf numFmtId="0" fontId="77" fillId="0" borderId="0" xfId="0" applyFont="1" applyFill="1" applyBorder="1" applyAlignment="1" applyProtection="1">
      <alignment vertical="top" wrapText="1"/>
      <protection hidden="1"/>
    </xf>
    <xf numFmtId="0" fontId="56" fillId="4" borderId="8" xfId="0" applyFont="1" applyFill="1" applyBorder="1" applyAlignment="1" applyProtection="1">
      <alignment vertical="center" wrapText="1"/>
      <protection hidden="1"/>
    </xf>
    <xf numFmtId="3" fontId="55" fillId="0" borderId="8" xfId="0" applyNumberFormat="1" applyFont="1" applyFill="1" applyBorder="1" applyAlignment="1" applyProtection="1">
      <alignment horizontal="center" vertical="center" shrinkToFit="1"/>
      <protection locked="0" hidden="1"/>
    </xf>
    <xf numFmtId="3" fontId="46" fillId="0" borderId="8" xfId="0" applyNumberFormat="1" applyFont="1" applyFill="1" applyBorder="1" applyAlignment="1" applyProtection="1">
      <alignment horizontal="center" vertical="center" shrinkToFit="1"/>
      <protection hidden="1"/>
    </xf>
    <xf numFmtId="0" fontId="56" fillId="3" borderId="8" xfId="0" applyFont="1" applyFill="1" applyBorder="1" applyAlignment="1" applyProtection="1">
      <alignment vertical="center"/>
      <protection hidden="1"/>
    </xf>
    <xf numFmtId="14" fontId="55" fillId="0" borderId="8" xfId="0" applyNumberFormat="1" applyFont="1" applyFill="1" applyBorder="1" applyAlignment="1" applyProtection="1">
      <alignment shrinkToFit="1"/>
      <protection hidden="1"/>
    </xf>
    <xf numFmtId="2" fontId="55" fillId="0" borderId="8" xfId="0" applyNumberFormat="1" applyFont="1" applyFill="1" applyBorder="1" applyAlignment="1" applyProtection="1">
      <alignment shrinkToFit="1"/>
      <protection hidden="1"/>
    </xf>
    <xf numFmtId="3" fontId="55" fillId="0" borderId="8" xfId="0" applyNumberFormat="1" applyFont="1" applyFill="1" applyBorder="1" applyAlignment="1" applyProtection="1">
      <alignment shrinkToFit="1"/>
      <protection hidden="1"/>
    </xf>
    <xf numFmtId="3" fontId="55" fillId="0" borderId="8" xfId="0" applyNumberFormat="1" applyFont="1" applyFill="1" applyBorder="1" applyAlignment="1" applyProtection="1">
      <alignment horizontal="center" shrinkToFit="1"/>
      <protection hidden="1"/>
    </xf>
    <xf numFmtId="14" fontId="55" fillId="0" borderId="6" xfId="0" applyNumberFormat="1" applyFont="1" applyFill="1" applyBorder="1" applyAlignment="1" applyProtection="1">
      <alignment horizontal="center" shrinkToFit="1"/>
      <protection hidden="1"/>
    </xf>
    <xf numFmtId="4" fontId="63" fillId="0" borderId="0" xfId="1" applyNumberFormat="1" applyFont="1" applyFill="1" applyBorder="1" applyAlignment="1" applyProtection="1">
      <alignment horizontal="center" vertical="center" shrinkToFit="1"/>
      <protection locked="0"/>
    </xf>
    <xf numFmtId="3" fontId="63" fillId="0" borderId="0" xfId="0" applyNumberFormat="1" applyFont="1" applyFill="1" applyBorder="1" applyAlignment="1" applyProtection="1">
      <alignment horizontal="center" vertical="center" shrinkToFit="1"/>
      <protection locked="0"/>
    </xf>
    <xf numFmtId="0" fontId="46" fillId="0" borderId="0" xfId="0" applyFont="1" applyFill="1" applyBorder="1" applyAlignment="1" applyProtection="1">
      <alignment horizontal="center" vertical="center" wrapText="1"/>
      <protection hidden="1"/>
    </xf>
    <xf numFmtId="0" fontId="46" fillId="0" borderId="0" xfId="0" applyFont="1" applyFill="1" applyBorder="1" applyAlignment="1" applyProtection="1">
      <protection hidden="1"/>
    </xf>
    <xf numFmtId="0" fontId="56" fillId="0" borderId="0" xfId="0" applyFont="1" applyFill="1" applyBorder="1" applyAlignment="1" applyProtection="1">
      <protection hidden="1"/>
    </xf>
    <xf numFmtId="3" fontId="56" fillId="0" borderId="0" xfId="0" applyNumberFormat="1" applyFont="1" applyFill="1" applyBorder="1" applyAlignment="1" applyProtection="1">
      <alignment horizontal="center" vertical="center" shrinkToFit="1"/>
      <protection hidden="1"/>
    </xf>
    <xf numFmtId="4" fontId="63" fillId="0" borderId="0" xfId="0" applyNumberFormat="1" applyFont="1" applyFill="1" applyBorder="1" applyAlignment="1" applyProtection="1">
      <alignment horizontal="center" vertical="center" shrinkToFit="1"/>
      <protection locked="0"/>
    </xf>
    <xf numFmtId="0" fontId="46" fillId="0" borderId="0" xfId="0" applyFont="1" applyFill="1" applyBorder="1" applyAlignment="1" applyProtection="1">
      <alignment vertical="center"/>
      <protection hidden="1"/>
    </xf>
    <xf numFmtId="0" fontId="56" fillId="0" borderId="0" xfId="0" applyFont="1" applyFill="1" applyBorder="1" applyAlignment="1" applyProtection="1">
      <alignment vertical="center"/>
      <protection hidden="1"/>
    </xf>
    <xf numFmtId="0" fontId="63" fillId="0" borderId="0" xfId="7" applyFont="1" applyFill="1" applyBorder="1" applyAlignment="1" applyProtection="1">
      <protection hidden="1"/>
    </xf>
    <xf numFmtId="0" fontId="63" fillId="0" borderId="0" xfId="7" applyFont="1" applyFill="1" applyBorder="1" applyAlignment="1" applyProtection="1">
      <alignment horizontal="center" vertical="center" wrapText="1"/>
      <protection hidden="1"/>
    </xf>
    <xf numFmtId="0" fontId="63" fillId="0" borderId="0" xfId="7" applyFont="1" applyFill="1" applyBorder="1" applyAlignment="1" applyProtection="1">
      <alignment vertical="center" wrapText="1"/>
      <protection hidden="1"/>
    </xf>
    <xf numFmtId="3" fontId="63" fillId="0" borderId="0" xfId="7" applyNumberFormat="1" applyFont="1" applyFill="1" applyBorder="1" applyProtection="1">
      <protection hidden="1"/>
    </xf>
    <xf numFmtId="9" fontId="63" fillId="0" borderId="0" xfId="7" applyNumberFormat="1" applyFont="1" applyFill="1" applyBorder="1" applyAlignment="1" applyProtection="1">
      <protection hidden="1"/>
    </xf>
    <xf numFmtId="3" fontId="63" fillId="0" borderId="0" xfId="7" applyNumberFormat="1" applyFont="1" applyFill="1" applyBorder="1" applyAlignment="1" applyProtection="1">
      <alignment horizontal="center" vertical="center" shrinkToFit="1"/>
      <protection locked="0"/>
    </xf>
    <xf numFmtId="9" fontId="63" fillId="0" borderId="0" xfId="7" applyNumberFormat="1" applyFont="1" applyFill="1" applyBorder="1" applyAlignment="1" applyProtection="1">
      <alignment vertical="center"/>
      <protection hidden="1"/>
    </xf>
    <xf numFmtId="3" fontId="63" fillId="0" borderId="0" xfId="7" applyNumberFormat="1" applyFont="1" applyFill="1" applyBorder="1" applyAlignment="1" applyProtection="1">
      <alignment horizontal="center" vertical="center" shrinkToFit="1"/>
      <protection hidden="1"/>
    </xf>
    <xf numFmtId="0" fontId="63" fillId="0" borderId="0" xfId="7" applyFont="1" applyFill="1" applyBorder="1" applyAlignment="1" applyProtection="1">
      <alignment vertical="center"/>
      <protection hidden="1"/>
    </xf>
    <xf numFmtId="0" fontId="63" fillId="0" borderId="0" xfId="7" applyFont="1" applyFill="1" applyBorder="1" applyAlignment="1" applyProtection="1">
      <alignment horizontal="center" vertical="center" shrinkToFit="1"/>
      <protection hidden="1"/>
    </xf>
    <xf numFmtId="9" fontId="63" fillId="0" borderId="0" xfId="7" applyNumberFormat="1" applyFont="1" applyFill="1" applyBorder="1" applyAlignment="1" applyProtection="1">
      <alignment horizontal="center" vertical="center"/>
      <protection hidden="1"/>
    </xf>
    <xf numFmtId="0" fontId="1" fillId="5" borderId="0" xfId="14" applyFill="1" applyProtection="1">
      <protection hidden="1"/>
    </xf>
    <xf numFmtId="0" fontId="1" fillId="5" borderId="0" xfId="14" applyFill="1" applyBorder="1" applyProtection="1">
      <protection hidden="1"/>
    </xf>
    <xf numFmtId="0" fontId="0" fillId="5" borderId="0" xfId="0" applyFill="1" applyBorder="1" applyProtection="1">
      <protection hidden="1"/>
    </xf>
    <xf numFmtId="0" fontId="56" fillId="4" borderId="8" xfId="2" applyFont="1" applyFill="1" applyBorder="1" applyAlignment="1" applyProtection="1">
      <alignment horizontal="center" vertical="center" wrapText="1"/>
      <protection hidden="1"/>
    </xf>
    <xf numFmtId="3" fontId="0" fillId="0" borderId="0" xfId="0" applyNumberFormat="1" applyFill="1" applyBorder="1" applyAlignment="1" applyProtection="1">
      <alignment horizontal="center" vertical="center"/>
      <protection hidden="1"/>
    </xf>
    <xf numFmtId="0" fontId="56" fillId="5" borderId="0" xfId="2" applyFont="1" applyFill="1" applyBorder="1" applyAlignment="1" applyProtection="1">
      <alignment horizontal="center" vertical="center" wrapText="1"/>
      <protection hidden="1"/>
    </xf>
    <xf numFmtId="0" fontId="46" fillId="5" borderId="0" xfId="2" applyFont="1" applyFill="1" applyBorder="1" applyAlignment="1" applyProtection="1">
      <alignment horizontal="center" vertical="center" wrapText="1"/>
      <protection hidden="1"/>
    </xf>
    <xf numFmtId="0" fontId="56" fillId="5" borderId="0" xfId="2" applyFont="1" applyFill="1" applyBorder="1" applyAlignment="1" applyProtection="1">
      <alignment horizontal="center" vertical="center" shrinkToFit="1"/>
      <protection hidden="1"/>
    </xf>
    <xf numFmtId="0" fontId="63" fillId="5" borderId="0" xfId="12" applyFont="1" applyFill="1" applyBorder="1" applyAlignment="1" applyProtection="1">
      <alignment vertical="center" wrapText="1"/>
      <protection hidden="1"/>
    </xf>
    <xf numFmtId="3" fontId="63" fillId="5" borderId="0" xfId="0" applyNumberFormat="1" applyFont="1" applyFill="1" applyBorder="1" applyAlignment="1" applyProtection="1">
      <alignment horizontal="center" vertical="center"/>
      <protection hidden="1"/>
    </xf>
    <xf numFmtId="0" fontId="63" fillId="5" borderId="0" xfId="2" applyFont="1" applyFill="1" applyBorder="1" applyAlignment="1" applyProtection="1">
      <alignment horizontal="center" vertical="center" wrapText="1"/>
      <protection locked="0"/>
    </xf>
    <xf numFmtId="0" fontId="60" fillId="5" borderId="0" xfId="2" applyFont="1" applyFill="1" applyBorder="1" applyProtection="1">
      <protection locked="0"/>
    </xf>
    <xf numFmtId="0" fontId="63" fillId="5" borderId="0" xfId="0" applyFont="1" applyFill="1" applyBorder="1" applyAlignment="1" applyProtection="1">
      <alignment horizontal="center" vertical="center"/>
      <protection locked="0"/>
    </xf>
    <xf numFmtId="0" fontId="63" fillId="5" borderId="0" xfId="12" applyFont="1" applyFill="1" applyBorder="1" applyAlignment="1" applyProtection="1">
      <alignment vertical="center" shrinkToFit="1"/>
      <protection hidden="1"/>
    </xf>
    <xf numFmtId="0" fontId="114" fillId="5" borderId="0" xfId="2" applyFont="1" applyFill="1" applyBorder="1" applyProtection="1">
      <protection hidden="1"/>
    </xf>
    <xf numFmtId="0" fontId="63" fillId="5" borderId="0" xfId="2" applyFont="1" applyFill="1" applyBorder="1" applyProtection="1">
      <protection hidden="1"/>
    </xf>
    <xf numFmtId="0" fontId="60" fillId="5" borderId="0" xfId="2" applyFont="1" applyFill="1" applyBorder="1" applyProtection="1">
      <protection hidden="1"/>
    </xf>
    <xf numFmtId="0" fontId="56" fillId="5" borderId="0" xfId="2" applyFont="1" applyFill="1" applyBorder="1" applyProtection="1">
      <protection hidden="1"/>
    </xf>
    <xf numFmtId="0" fontId="56" fillId="5" borderId="0" xfId="2" applyFont="1" applyFill="1" applyBorder="1" applyAlignment="1" applyProtection="1">
      <protection hidden="1"/>
    </xf>
    <xf numFmtId="0" fontId="56" fillId="5" borderId="0" xfId="2" applyFont="1" applyFill="1" applyBorder="1" applyAlignment="1" applyProtection="1">
      <alignment vertical="center"/>
      <protection hidden="1"/>
    </xf>
    <xf numFmtId="0" fontId="0" fillId="0" borderId="0" xfId="0" applyFill="1" applyBorder="1" applyAlignment="1" applyProtection="1">
      <alignment horizontal="center" vertical="center" wrapText="1"/>
      <protection hidden="1"/>
    </xf>
    <xf numFmtId="0" fontId="2" fillId="0" borderId="0" xfId="0" applyFont="1" applyFill="1" applyBorder="1" applyAlignment="1" applyProtection="1">
      <alignment horizontal="center" vertical="center"/>
      <protection hidden="1"/>
    </xf>
    <xf numFmtId="9" fontId="0" fillId="0" borderId="0" xfId="0" applyNumberFormat="1" applyFill="1" applyBorder="1" applyAlignment="1" applyProtection="1">
      <alignment horizontal="center" vertical="center"/>
      <protection hidden="1"/>
    </xf>
    <xf numFmtId="2" fontId="4" fillId="0" borderId="0" xfId="0" applyNumberFormat="1" applyFont="1" applyFill="1" applyBorder="1" applyAlignment="1" applyProtection="1">
      <alignment horizontal="center" vertical="center"/>
      <protection hidden="1"/>
    </xf>
    <xf numFmtId="10" fontId="0" fillId="0" borderId="0" xfId="0" applyNumberFormat="1" applyFill="1" applyBorder="1" applyAlignment="1" applyProtection="1">
      <alignment horizontal="center" vertical="center"/>
      <protection hidden="1"/>
    </xf>
    <xf numFmtId="1" fontId="0" fillId="0" borderId="0" xfId="0" applyNumberFormat="1" applyFill="1" applyBorder="1" applyAlignment="1" applyProtection="1">
      <alignment horizontal="center" vertical="center"/>
      <protection hidden="1"/>
    </xf>
    <xf numFmtId="164" fontId="0" fillId="0" borderId="0" xfId="0" applyNumberFormat="1" applyFill="1" applyBorder="1" applyAlignment="1" applyProtection="1">
      <alignment horizontal="center" vertical="center"/>
      <protection hidden="1"/>
    </xf>
    <xf numFmtId="2" fontId="0" fillId="0" borderId="0" xfId="0" applyNumberFormat="1" applyFill="1" applyBorder="1" applyAlignment="1" applyProtection="1">
      <alignment horizontal="center" vertical="center"/>
      <protection hidden="1"/>
    </xf>
    <xf numFmtId="49" fontId="0" fillId="0" borderId="0" xfId="0" applyNumberFormat="1" applyFill="1" applyBorder="1" applyAlignment="1" applyProtection="1">
      <alignment horizontal="center" vertical="center"/>
      <protection hidden="1"/>
    </xf>
    <xf numFmtId="3" fontId="0"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wrapText="1"/>
      <protection hidden="1"/>
    </xf>
    <xf numFmtId="0" fontId="0" fillId="0" borderId="0" xfId="0" applyFill="1" applyBorder="1" applyAlignment="1" applyProtection="1">
      <alignment horizontal="center" vertical="center"/>
      <protection hidden="1"/>
    </xf>
    <xf numFmtId="0" fontId="0" fillId="0" borderId="0" xfId="0" applyFill="1" applyBorder="1" applyAlignment="1">
      <alignment horizontal="center" vertical="center"/>
    </xf>
    <xf numFmtId="0" fontId="72" fillId="0" borderId="0" xfId="0" applyFont="1" applyFill="1" applyBorder="1" applyAlignment="1">
      <alignment horizontal="center" vertical="center"/>
    </xf>
    <xf numFmtId="0" fontId="2" fillId="0" borderId="0" xfId="2" applyFont="1" applyFill="1" applyBorder="1" applyAlignment="1" applyProtection="1">
      <alignment horizontal="center" vertical="center"/>
      <protection hidden="1"/>
    </xf>
    <xf numFmtId="0" fontId="8" fillId="0" borderId="0" xfId="0" applyFont="1" applyFill="1" applyBorder="1" applyAlignment="1" applyProtection="1">
      <alignment horizontal="center" vertical="center"/>
      <protection hidden="1"/>
    </xf>
    <xf numFmtId="49" fontId="118" fillId="0" borderId="0" xfId="0" applyNumberFormat="1" applyFont="1" applyFill="1" applyBorder="1" applyAlignment="1" applyProtection="1">
      <alignment horizontal="center" vertical="center"/>
      <protection hidden="1"/>
    </xf>
    <xf numFmtId="4" fontId="0" fillId="0" borderId="0" xfId="0" applyNumberFormat="1" applyFill="1" applyBorder="1" applyAlignment="1" applyProtection="1">
      <alignment horizontal="center" vertical="center"/>
      <protection hidden="1"/>
    </xf>
    <xf numFmtId="2" fontId="8" fillId="0" borderId="0" xfId="0" applyNumberFormat="1" applyFont="1" applyFill="1" applyBorder="1" applyAlignment="1" applyProtection="1">
      <alignment horizontal="center" vertical="center"/>
      <protection hidden="1"/>
    </xf>
    <xf numFmtId="10" fontId="0" fillId="0" borderId="0" xfId="0" applyNumberFormat="1" applyFill="1" applyBorder="1" applyAlignment="1">
      <alignment horizontal="center" vertical="center"/>
    </xf>
    <xf numFmtId="4" fontId="0" fillId="0" borderId="0" xfId="0" applyNumberFormat="1" applyFill="1" applyBorder="1" applyAlignment="1">
      <alignment horizontal="center" vertical="center"/>
    </xf>
    <xf numFmtId="4" fontId="27" fillId="0" borderId="0" xfId="0" applyNumberFormat="1" applyFont="1" applyFill="1" applyBorder="1" applyAlignment="1" applyProtection="1">
      <alignment horizontal="center" vertical="center"/>
      <protection hidden="1"/>
    </xf>
    <xf numFmtId="0" fontId="5" fillId="0" borderId="0" xfId="0" applyFont="1" applyFill="1" applyBorder="1" applyAlignment="1" applyProtection="1">
      <alignment horizontal="center" vertical="center"/>
      <protection hidden="1"/>
    </xf>
    <xf numFmtId="22" fontId="0" fillId="0" borderId="0" xfId="0" applyNumberFormat="1" applyFill="1" applyBorder="1" applyAlignment="1" applyProtection="1">
      <alignment horizontal="center" vertical="center"/>
      <protection hidden="1"/>
    </xf>
    <xf numFmtId="0" fontId="0" fillId="0" borderId="0" xfId="0" applyFill="1" applyBorder="1" applyAlignment="1" applyProtection="1">
      <alignment horizontal="center" vertical="center" wrapText="1"/>
      <protection locked="0" hidden="1"/>
    </xf>
    <xf numFmtId="0" fontId="46" fillId="0" borderId="0" xfId="0" applyFont="1" applyFill="1" applyBorder="1" applyAlignment="1" applyProtection="1">
      <alignment horizontal="center" vertical="center"/>
      <protection hidden="1"/>
    </xf>
    <xf numFmtId="0" fontId="0" fillId="0" borderId="0" xfId="0" applyNumberFormat="1" applyFill="1" applyBorder="1" applyAlignment="1" applyProtection="1">
      <alignment horizontal="center" vertical="center"/>
      <protection hidden="1"/>
    </xf>
    <xf numFmtId="0" fontId="2"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ill="1" applyBorder="1" applyAlignment="1" applyProtection="1">
      <alignment horizontal="center" vertical="center"/>
      <protection hidden="1"/>
    </xf>
    <xf numFmtId="0" fontId="0" fillId="0" borderId="0" xfId="0" applyAlignment="1">
      <alignment vertical="center"/>
    </xf>
    <xf numFmtId="2" fontId="0" fillId="0" borderId="0" xfId="0" applyNumberFormat="1" applyAlignment="1">
      <alignment horizontal="center" vertical="center"/>
    </xf>
    <xf numFmtId="0" fontId="0" fillId="0" borderId="0" xfId="0" applyAlignment="1">
      <alignment horizontal="center" vertical="center"/>
    </xf>
    <xf numFmtId="0" fontId="0" fillId="0" borderId="0" xfId="0"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0" fontId="122" fillId="0" borderId="0" xfId="0" applyFont="1" applyProtection="1">
      <protection hidden="1"/>
    </xf>
    <xf numFmtId="0" fontId="0" fillId="0" borderId="67" xfId="0" applyFont="1" applyBorder="1" applyAlignment="1">
      <alignment horizontal="left" vertical="top" wrapText="1"/>
    </xf>
    <xf numFmtId="0" fontId="0" fillId="0" borderId="68" xfId="0" applyFont="1" applyBorder="1" applyAlignment="1">
      <alignment horizontal="left" vertical="top" wrapText="1"/>
    </xf>
    <xf numFmtId="0" fontId="124" fillId="0" borderId="68" xfId="0" applyFont="1" applyBorder="1" applyAlignment="1">
      <alignment wrapText="1"/>
    </xf>
    <xf numFmtId="0" fontId="0" fillId="0" borderId="68" xfId="0" applyFont="1" applyBorder="1" applyAlignment="1">
      <alignment vertical="top" wrapText="1"/>
    </xf>
    <xf numFmtId="0" fontId="0" fillId="0" borderId="67" xfId="0" applyFont="1" applyBorder="1" applyAlignment="1">
      <alignment vertical="top" wrapText="1"/>
    </xf>
    <xf numFmtId="0" fontId="0" fillId="0" borderId="13" xfId="0" applyFont="1" applyBorder="1" applyAlignment="1">
      <alignment vertical="top" wrapText="1"/>
    </xf>
    <xf numFmtId="0" fontId="124" fillId="0" borderId="68" xfId="0" applyFont="1" applyBorder="1"/>
    <xf numFmtId="0" fontId="124" fillId="0" borderId="68" xfId="0" applyFont="1" applyBorder="1" applyAlignment="1">
      <alignment horizontal="left" vertical="top" wrapText="1"/>
    </xf>
    <xf numFmtId="0" fontId="126" fillId="0" borderId="68" xfId="0" applyFont="1" applyBorder="1" applyAlignment="1">
      <alignment vertical="top" wrapText="1"/>
    </xf>
    <xf numFmtId="0" fontId="125" fillId="0" borderId="68" xfId="0" applyFont="1" applyBorder="1" applyAlignment="1">
      <alignment vertical="top" wrapText="1"/>
    </xf>
    <xf numFmtId="0" fontId="124" fillId="0" borderId="68" xfId="0" applyFont="1" applyBorder="1" applyAlignment="1">
      <alignment vertical="top" wrapText="1"/>
    </xf>
    <xf numFmtId="0" fontId="127" fillId="0" borderId="68" xfId="0" applyFont="1" applyBorder="1" applyAlignment="1">
      <alignment wrapText="1"/>
    </xf>
    <xf numFmtId="0" fontId="125" fillId="0" borderId="68" xfId="0" applyFont="1" applyBorder="1" applyAlignment="1">
      <alignment wrapText="1"/>
    </xf>
    <xf numFmtId="0" fontId="4" fillId="0" borderId="68" xfId="0" applyFont="1" applyBorder="1" applyAlignment="1">
      <alignment wrapText="1"/>
    </xf>
    <xf numFmtId="0" fontId="125" fillId="0" borderId="68" xfId="0" applyFont="1" applyBorder="1" applyAlignment="1">
      <alignment horizontal="left" vertical="top" wrapText="1"/>
    </xf>
    <xf numFmtId="0" fontId="129" fillId="0" borderId="68" xfId="0" applyFont="1" applyBorder="1" applyAlignment="1">
      <alignment horizontal="left" vertical="top" wrapText="1"/>
    </xf>
    <xf numFmtId="0" fontId="124" fillId="0" borderId="68" xfId="0" applyFont="1" applyBorder="1" applyAlignment="1">
      <alignment horizontal="left" vertical="center" wrapText="1"/>
    </xf>
    <xf numFmtId="0" fontId="0" fillId="0" borderId="69" xfId="0" applyFont="1" applyBorder="1" applyAlignment="1">
      <alignment horizontal="left" vertical="top" wrapText="1"/>
    </xf>
    <xf numFmtId="0" fontId="0" fillId="0" borderId="70" xfId="0" applyFont="1" applyBorder="1" applyAlignment="1">
      <alignment horizontal="left" vertical="top" wrapText="1"/>
    </xf>
    <xf numFmtId="0" fontId="124" fillId="0" borderId="71" xfId="0" applyFont="1" applyBorder="1" applyAlignment="1">
      <alignment vertical="top" wrapText="1"/>
    </xf>
    <xf numFmtId="0" fontId="0" fillId="0" borderId="0" xfId="0"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0" fontId="0" fillId="0" borderId="0" xfId="0" applyFont="1"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0" fontId="63" fillId="0" borderId="75" xfId="0" applyFont="1" applyBorder="1" applyAlignment="1" applyProtection="1">
      <alignment horizontal="center" vertical="center"/>
      <protection locked="0"/>
    </xf>
    <xf numFmtId="0" fontId="63" fillId="0" borderId="78" xfId="0" applyFont="1" applyBorder="1" applyAlignment="1" applyProtection="1">
      <alignment horizontal="center" vertical="center"/>
      <protection locked="0"/>
    </xf>
    <xf numFmtId="0" fontId="63" fillId="0" borderId="84" xfId="0" applyFont="1" applyBorder="1" applyAlignment="1" applyProtection="1">
      <alignment horizontal="center" vertical="center"/>
      <protection locked="0"/>
    </xf>
    <xf numFmtId="0" fontId="63" fillId="0" borderId="32" xfId="0" applyFont="1" applyBorder="1" applyAlignment="1" applyProtection="1">
      <alignment horizontal="left" vertical="center" wrapText="1"/>
      <protection hidden="1"/>
    </xf>
    <xf numFmtId="0" fontId="67" fillId="4" borderId="8" xfId="0" applyFont="1" applyFill="1" applyBorder="1" applyAlignment="1" applyProtection="1">
      <alignment horizontal="center" vertical="center" wrapText="1"/>
      <protection hidden="1"/>
    </xf>
    <xf numFmtId="0" fontId="63" fillId="0" borderId="31" xfId="0" applyFont="1" applyBorder="1" applyAlignment="1" applyProtection="1">
      <alignment horizontal="left" vertical="center" wrapText="1"/>
      <protection hidden="1"/>
    </xf>
    <xf numFmtId="0" fontId="63" fillId="0" borderId="33" xfId="0" applyFont="1" applyBorder="1" applyAlignment="1" applyProtection="1">
      <alignment horizontal="left" vertical="center" wrapText="1"/>
      <protection hidden="1"/>
    </xf>
    <xf numFmtId="0" fontId="0" fillId="0" borderId="0" xfId="0" applyFill="1" applyBorder="1" applyAlignment="1" applyProtection="1">
      <alignment horizontal="center" vertical="center"/>
      <protection hidden="1"/>
    </xf>
    <xf numFmtId="0" fontId="63" fillId="26" borderId="8" xfId="12" applyFont="1" applyBorder="1" applyAlignment="1" applyProtection="1">
      <alignment horizontal="left" vertical="center"/>
      <protection hidden="1"/>
    </xf>
    <xf numFmtId="0" fontId="63" fillId="4" borderId="8" xfId="0" applyFont="1" applyFill="1" applyBorder="1" applyAlignment="1" applyProtection="1">
      <alignment horizontal="center" vertical="center"/>
      <protection hidden="1"/>
    </xf>
    <xf numFmtId="0" fontId="130" fillId="0" borderId="0" xfId="0" applyFont="1"/>
    <xf numFmtId="0" fontId="58" fillId="26" borderId="8" xfId="12" applyFont="1" applyBorder="1" applyAlignment="1" applyProtection="1">
      <alignment horizontal="left" vertical="center" wrapText="1"/>
      <protection hidden="1"/>
    </xf>
    <xf numFmtId="0" fontId="64" fillId="26" borderId="8" xfId="12" applyFont="1" applyBorder="1" applyAlignment="1" applyProtection="1">
      <alignment horizontal="left"/>
      <protection hidden="1"/>
    </xf>
    <xf numFmtId="0" fontId="63" fillId="5" borderId="0" xfId="7" applyFont="1" applyFill="1" applyAlignment="1" applyProtection="1">
      <alignment vertical="center"/>
      <protection hidden="1"/>
    </xf>
    <xf numFmtId="0" fontId="63" fillId="0" borderId="0" xfId="0" applyFont="1" applyAlignment="1" applyProtection="1">
      <alignment vertical="center"/>
      <protection hidden="1"/>
    </xf>
    <xf numFmtId="0" fontId="131" fillId="5" borderId="0" xfId="7" applyFont="1" applyFill="1" applyProtection="1">
      <protection hidden="1"/>
    </xf>
    <xf numFmtId="3" fontId="60" fillId="4" borderId="8" xfId="7" applyNumberFormat="1" applyFont="1" applyFill="1" applyBorder="1" applyAlignment="1" applyProtection="1">
      <alignment horizontal="center" vertical="center"/>
      <protection hidden="1"/>
    </xf>
    <xf numFmtId="0" fontId="0" fillId="0" borderId="8" xfId="0" applyFill="1" applyBorder="1" applyAlignment="1" applyProtection="1">
      <alignment horizontal="center" vertical="center"/>
      <protection hidden="1"/>
    </xf>
    <xf numFmtId="3" fontId="67" fillId="4" borderId="8" xfId="7" applyNumberFormat="1" applyFont="1" applyFill="1" applyBorder="1" applyAlignment="1" applyProtection="1">
      <alignment horizontal="center" vertical="center"/>
      <protection hidden="1"/>
    </xf>
    <xf numFmtId="0" fontId="63" fillId="5" borderId="0" xfId="8" applyFont="1" applyFill="1" applyProtection="1">
      <protection hidden="1"/>
    </xf>
    <xf numFmtId="0" fontId="63" fillId="5" borderId="0" xfId="8" applyFont="1" applyFill="1" applyAlignment="1" applyProtection="1">
      <alignment vertical="center" wrapText="1"/>
      <protection hidden="1"/>
    </xf>
    <xf numFmtId="0" fontId="63" fillId="0" borderId="8" xfId="0" applyFont="1" applyBorder="1" applyAlignment="1" applyProtection="1">
      <alignment horizontal="center" vertical="center"/>
      <protection hidden="1"/>
    </xf>
    <xf numFmtId="0" fontId="63" fillId="0" borderId="8" xfId="0" applyFont="1" applyFill="1" applyBorder="1" applyAlignment="1" applyProtection="1">
      <alignment horizontal="center" vertical="center"/>
      <protection hidden="1"/>
    </xf>
    <xf numFmtId="0" fontId="56" fillId="7" borderId="0" xfId="10" applyFont="1" applyFill="1" applyProtection="1">
      <protection hidden="1"/>
    </xf>
    <xf numFmtId="0" fontId="73" fillId="0" borderId="0" xfId="0" applyFont="1" applyFill="1" applyAlignment="1" applyProtection="1">
      <alignment vertical="top" wrapText="1"/>
      <protection hidden="1"/>
    </xf>
    <xf numFmtId="0" fontId="99" fillId="0" borderId="0" xfId="0" applyFont="1" applyFill="1" applyBorder="1" applyAlignment="1" applyProtection="1">
      <alignment vertical="top" wrapText="1"/>
      <protection hidden="1"/>
    </xf>
    <xf numFmtId="0" fontId="60" fillId="0" borderId="0" xfId="0" applyFont="1" applyFill="1" applyBorder="1" applyAlignment="1" applyProtection="1">
      <alignment vertical="top" wrapText="1"/>
      <protection hidden="1"/>
    </xf>
    <xf numFmtId="0" fontId="63" fillId="0" borderId="0" xfId="0" applyFont="1" applyFill="1" applyBorder="1" applyAlignment="1" applyProtection="1">
      <alignment vertical="top" wrapText="1"/>
      <protection hidden="1"/>
    </xf>
    <xf numFmtId="0" fontId="63" fillId="0" borderId="8" xfId="0" applyFont="1" applyFill="1" applyBorder="1" applyAlignment="1" applyProtection="1">
      <alignment horizontal="center" vertical="center" wrapText="1"/>
      <protection locked="0"/>
    </xf>
    <xf numFmtId="14" fontId="63" fillId="0" borderId="8" xfId="0" applyNumberFormat="1" applyFont="1" applyFill="1" applyBorder="1" applyAlignment="1" applyProtection="1">
      <alignment horizontal="left" vertical="center" wrapText="1"/>
      <protection locked="0"/>
    </xf>
    <xf numFmtId="0" fontId="63" fillId="0" borderId="31" xfId="0" applyFont="1" applyFill="1" applyBorder="1" applyAlignment="1" applyProtection="1">
      <alignment vertical="center" wrapText="1"/>
      <protection hidden="1"/>
    </xf>
    <xf numFmtId="0" fontId="63" fillId="0" borderId="32" xfId="0" applyFont="1" applyFill="1" applyBorder="1" applyAlignment="1" applyProtection="1">
      <alignment vertical="center" wrapText="1"/>
      <protection hidden="1"/>
    </xf>
    <xf numFmtId="0" fontId="63" fillId="0" borderId="33" xfId="0" applyFont="1" applyFill="1" applyBorder="1" applyAlignment="1" applyProtection="1">
      <alignment vertical="center" wrapText="1"/>
      <protection hidden="1"/>
    </xf>
    <xf numFmtId="0" fontId="134" fillId="4" borderId="8" xfId="0" applyFont="1" applyFill="1" applyBorder="1" applyAlignment="1" applyProtection="1">
      <alignment horizontal="center" vertical="center" wrapText="1"/>
      <protection hidden="1"/>
    </xf>
    <xf numFmtId="0" fontId="63" fillId="0" borderId="35" xfId="0" applyFont="1" applyBorder="1" applyAlignment="1" applyProtection="1">
      <alignment vertical="top" shrinkToFit="1"/>
      <protection hidden="1"/>
    </xf>
    <xf numFmtId="0" fontId="63" fillId="12" borderId="43" xfId="0" applyFont="1" applyFill="1" applyBorder="1" applyAlignment="1" applyProtection="1">
      <alignment horizontal="center" shrinkToFit="1"/>
      <protection hidden="1"/>
    </xf>
    <xf numFmtId="0" fontId="0" fillId="0" borderId="0" xfId="0" quotePrefix="1" applyFont="1" applyAlignment="1">
      <alignment horizontal="left" vertical="top"/>
    </xf>
    <xf numFmtId="0" fontId="0" fillId="0" borderId="0" xfId="0" quotePrefix="1" applyAlignment="1">
      <alignment horizontal="left" vertical="top"/>
    </xf>
    <xf numFmtId="0" fontId="0" fillId="0" borderId="0" xfId="0" applyFont="1" applyAlignment="1">
      <alignment horizontal="left" vertical="center"/>
    </xf>
    <xf numFmtId="0" fontId="63" fillId="0" borderId="8" xfId="0" applyFont="1" applyBorder="1" applyAlignment="1" applyProtection="1">
      <alignment horizontal="left" vertical="center" wrapText="1"/>
      <protection locked="0"/>
    </xf>
    <xf numFmtId="0" fontId="50" fillId="20" borderId="5" xfId="4" applyFont="1" applyFill="1" applyBorder="1" applyAlignment="1">
      <alignment horizontal="right" vertical="center"/>
    </xf>
    <xf numFmtId="0" fontId="50" fillId="20" borderId="1" xfId="4" applyFont="1" applyFill="1" applyBorder="1" applyAlignment="1">
      <alignment horizontal="right" vertical="center"/>
    </xf>
    <xf numFmtId="0" fontId="50" fillId="20" borderId="19" xfId="4" applyFont="1" applyFill="1" applyBorder="1" applyAlignment="1">
      <alignment horizontal="right" vertical="center"/>
    </xf>
    <xf numFmtId="0" fontId="48" fillId="20" borderId="3" xfId="0" applyFont="1" applyFill="1" applyBorder="1" applyAlignment="1" applyProtection="1">
      <alignment horizontal="left" vertical="center"/>
      <protection hidden="1"/>
    </xf>
    <xf numFmtId="0" fontId="48" fillId="20" borderId="11" xfId="0" applyFont="1" applyFill="1" applyBorder="1" applyAlignment="1" applyProtection="1">
      <alignment horizontal="left" vertical="center"/>
      <protection hidden="1"/>
    </xf>
    <xf numFmtId="0" fontId="0" fillId="0" borderId="0" xfId="0" applyAlignment="1">
      <alignment horizontal="left" vertical="top" wrapText="1"/>
    </xf>
    <xf numFmtId="0" fontId="2" fillId="0" borderId="0" xfId="0" applyFont="1" applyAlignment="1">
      <alignment horizontal="left" vertical="top" wrapText="1"/>
    </xf>
    <xf numFmtId="0" fontId="104" fillId="0" borderId="0" xfId="9" applyFont="1" applyFill="1" applyAlignment="1">
      <alignment horizontal="left" vertical="top" wrapText="1"/>
    </xf>
    <xf numFmtId="0" fontId="102" fillId="0" borderId="0" xfId="9" applyFont="1" applyFill="1" applyAlignment="1">
      <alignment horizontal="left" vertical="center" wrapText="1"/>
    </xf>
    <xf numFmtId="0" fontId="0" fillId="17" borderId="0" xfId="0" applyFill="1" applyAlignment="1">
      <alignment horizontal="center" vertical="top"/>
    </xf>
    <xf numFmtId="0" fontId="102" fillId="0" borderId="0" xfId="0" applyFont="1" applyFill="1" applyAlignment="1">
      <alignment horizontal="left" vertical="center" wrapText="1"/>
    </xf>
    <xf numFmtId="0" fontId="0" fillId="17" borderId="20" xfId="0" applyFill="1" applyBorder="1" applyAlignment="1">
      <alignment horizontal="center" vertical="top"/>
    </xf>
    <xf numFmtId="2" fontId="55" fillId="0" borderId="6" xfId="0" applyNumberFormat="1" applyFont="1" applyFill="1" applyBorder="1" applyAlignment="1" applyProtection="1">
      <alignment horizontal="left" shrinkToFit="1"/>
      <protection hidden="1"/>
    </xf>
    <xf numFmtId="2" fontId="55" fillId="0" borderId="2" xfId="0" applyNumberFormat="1" applyFont="1" applyFill="1" applyBorder="1" applyAlignment="1" applyProtection="1">
      <alignment horizontal="left" shrinkToFit="1"/>
      <protection hidden="1"/>
    </xf>
    <xf numFmtId="2" fontId="55" fillId="0" borderId="7" xfId="0" applyNumberFormat="1" applyFont="1" applyFill="1" applyBorder="1" applyAlignment="1" applyProtection="1">
      <alignment horizontal="left" shrinkToFit="1"/>
      <protection hidden="1"/>
    </xf>
    <xf numFmtId="0" fontId="56" fillId="3" borderId="3" xfId="0" applyFont="1" applyFill="1" applyBorder="1" applyAlignment="1" applyProtection="1">
      <alignment horizontal="center" vertical="center"/>
      <protection hidden="1"/>
    </xf>
    <xf numFmtId="0" fontId="56" fillId="3" borderId="11" xfId="0" applyFont="1" applyFill="1" applyBorder="1" applyAlignment="1" applyProtection="1">
      <alignment horizontal="center" vertical="center"/>
      <protection hidden="1"/>
    </xf>
    <xf numFmtId="0" fontId="56" fillId="3" borderId="4" xfId="0" applyFont="1" applyFill="1" applyBorder="1" applyAlignment="1" applyProtection="1">
      <alignment horizontal="center" vertical="center"/>
      <protection hidden="1"/>
    </xf>
    <xf numFmtId="0" fontId="56" fillId="3" borderId="5" xfId="0" applyFont="1" applyFill="1" applyBorder="1" applyAlignment="1" applyProtection="1">
      <alignment horizontal="center" vertical="center"/>
      <protection hidden="1"/>
    </xf>
    <xf numFmtId="0" fontId="56" fillId="3" borderId="1" xfId="0" applyFont="1" applyFill="1" applyBorder="1" applyAlignment="1" applyProtection="1">
      <alignment horizontal="center" vertical="center"/>
      <protection hidden="1"/>
    </xf>
    <xf numFmtId="0" fontId="56" fillId="3" borderId="19" xfId="0" applyFont="1" applyFill="1" applyBorder="1" applyAlignment="1" applyProtection="1">
      <alignment horizontal="center" vertical="center"/>
      <protection hidden="1"/>
    </xf>
    <xf numFmtId="0" fontId="56" fillId="3" borderId="8" xfId="0" applyFont="1" applyFill="1" applyBorder="1" applyAlignment="1" applyProtection="1">
      <alignment horizontal="center" vertical="center"/>
      <protection hidden="1"/>
    </xf>
    <xf numFmtId="0" fontId="55" fillId="0" borderId="6" xfId="0" applyFont="1" applyFill="1" applyBorder="1" applyAlignment="1" applyProtection="1">
      <alignment horizontal="center" shrinkToFit="1"/>
      <protection hidden="1"/>
    </xf>
    <xf numFmtId="0" fontId="55" fillId="0" borderId="2" xfId="0" applyFont="1" applyFill="1" applyBorder="1" applyAlignment="1" applyProtection="1">
      <alignment horizontal="center" shrinkToFit="1"/>
      <protection hidden="1"/>
    </xf>
    <xf numFmtId="0" fontId="55" fillId="0" borderId="7" xfId="0" applyFont="1" applyFill="1" applyBorder="1" applyAlignment="1" applyProtection="1">
      <alignment horizontal="center" shrinkToFit="1"/>
      <protection hidden="1"/>
    </xf>
    <xf numFmtId="0" fontId="0" fillId="0" borderId="0" xfId="0" applyProtection="1">
      <protection hidden="1"/>
    </xf>
    <xf numFmtId="0" fontId="63" fillId="0" borderId="0" xfId="0" applyFont="1" applyAlignment="1" applyProtection="1">
      <alignment horizontal="center"/>
      <protection hidden="1"/>
    </xf>
    <xf numFmtId="0" fontId="56" fillId="0" borderId="1" xfId="0" applyFont="1" applyBorder="1" applyAlignment="1" applyProtection="1">
      <alignment horizontal="center" shrinkToFit="1"/>
      <protection hidden="1"/>
    </xf>
    <xf numFmtId="0" fontId="63" fillId="0" borderId="0" xfId="0" applyFont="1" applyBorder="1" applyAlignment="1" applyProtection="1">
      <alignment horizontal="center"/>
      <protection hidden="1"/>
    </xf>
    <xf numFmtId="0" fontId="63" fillId="0" borderId="11" xfId="0" applyFont="1" applyBorder="1" applyAlignment="1" applyProtection="1">
      <alignment horizontal="center"/>
      <protection hidden="1"/>
    </xf>
    <xf numFmtId="0" fontId="17" fillId="7" borderId="0" xfId="0" applyFont="1" applyFill="1" applyAlignment="1" applyProtection="1">
      <alignment horizontal="left"/>
      <protection hidden="1"/>
    </xf>
    <xf numFmtId="0" fontId="66" fillId="2" borderId="0" xfId="0" applyFont="1" applyFill="1" applyAlignment="1" applyProtection="1">
      <alignment horizontal="left" vertical="top" wrapText="1"/>
      <protection hidden="1"/>
    </xf>
    <xf numFmtId="0" fontId="68" fillId="7" borderId="0" xfId="0" applyFont="1" applyFill="1" applyBorder="1" applyAlignment="1" applyProtection="1">
      <alignment horizontal="left" vertical="top" wrapText="1"/>
      <protection hidden="1"/>
    </xf>
    <xf numFmtId="0" fontId="75" fillId="15" borderId="0" xfId="0" applyFont="1" applyFill="1" applyAlignment="1" applyProtection="1">
      <alignment horizontal="left" vertical="top" wrapText="1"/>
      <protection hidden="1"/>
    </xf>
    <xf numFmtId="0" fontId="74" fillId="8" borderId="0" xfId="0" applyFont="1" applyFill="1" applyBorder="1" applyAlignment="1" applyProtection="1">
      <alignment horizontal="left" vertical="top" wrapText="1"/>
      <protection hidden="1"/>
    </xf>
    <xf numFmtId="0" fontId="56" fillId="0" borderId="0" xfId="0" applyFont="1" applyAlignment="1" applyProtection="1">
      <alignment horizontal="center"/>
      <protection hidden="1"/>
    </xf>
    <xf numFmtId="0" fontId="76" fillId="14" borderId="0" xfId="0" applyFont="1" applyFill="1" applyAlignment="1" applyProtection="1">
      <alignment horizontal="left" vertical="top" wrapText="1"/>
      <protection hidden="1"/>
    </xf>
    <xf numFmtId="0" fontId="69" fillId="13" borderId="0" xfId="8" applyFont="1" applyFill="1" applyAlignment="1" applyProtection="1">
      <alignment horizontal="left" vertical="top" wrapText="1"/>
      <protection hidden="1"/>
    </xf>
    <xf numFmtId="0" fontId="34" fillId="16" borderId="0" xfId="8" applyFont="1" applyFill="1" applyAlignment="1" applyProtection="1">
      <alignment horizontal="left" vertical="top" wrapText="1"/>
      <protection hidden="1"/>
    </xf>
    <xf numFmtId="0" fontId="63" fillId="0" borderId="32" xfId="0" applyFont="1" applyBorder="1" applyAlignment="1" applyProtection="1">
      <alignment horizontal="left" vertical="center" wrapText="1"/>
      <protection hidden="1"/>
    </xf>
    <xf numFmtId="0" fontId="63" fillId="0" borderId="33" xfId="0" applyFont="1" applyBorder="1" applyAlignment="1" applyProtection="1">
      <alignment horizontal="left" vertical="center" wrapText="1"/>
      <protection hidden="1"/>
    </xf>
    <xf numFmtId="0" fontId="63" fillId="0" borderId="32" xfId="0" applyFont="1" applyFill="1" applyBorder="1" applyAlignment="1" applyProtection="1">
      <alignment horizontal="left" vertical="center" wrapText="1"/>
      <protection hidden="1"/>
    </xf>
    <xf numFmtId="0" fontId="63" fillId="0" borderId="33" xfId="0" applyFont="1" applyFill="1" applyBorder="1" applyAlignment="1" applyProtection="1">
      <alignment horizontal="left" vertical="center" wrapText="1"/>
      <protection hidden="1"/>
    </xf>
    <xf numFmtId="0" fontId="0" fillId="4" borderId="17" xfId="0" applyFill="1" applyBorder="1" applyAlignment="1" applyProtection="1">
      <alignment horizontal="center"/>
      <protection hidden="1"/>
    </xf>
    <xf numFmtId="4" fontId="56" fillId="4" borderId="17" xfId="0" applyNumberFormat="1" applyFont="1" applyFill="1" applyBorder="1" applyAlignment="1" applyProtection="1">
      <alignment horizontal="right"/>
      <protection hidden="1"/>
    </xf>
    <xf numFmtId="0" fontId="73" fillId="7" borderId="0" xfId="0" applyFont="1" applyFill="1" applyAlignment="1" applyProtection="1">
      <alignment horizontal="left" vertical="top" wrapText="1"/>
      <protection hidden="1"/>
    </xf>
    <xf numFmtId="0" fontId="63" fillId="0" borderId="31" xfId="0" applyFont="1" applyFill="1" applyBorder="1" applyAlignment="1" applyProtection="1">
      <alignment horizontal="left" vertical="center" wrapText="1"/>
      <protection hidden="1"/>
    </xf>
    <xf numFmtId="0" fontId="67" fillId="4" borderId="8" xfId="0" applyFont="1" applyFill="1" applyBorder="1" applyAlignment="1" applyProtection="1">
      <alignment horizontal="center" vertical="center" wrapText="1"/>
      <protection hidden="1"/>
    </xf>
    <xf numFmtId="0" fontId="63" fillId="0" borderId="31" xfId="0" applyFont="1" applyBorder="1" applyAlignment="1" applyProtection="1">
      <alignment horizontal="left" vertical="center" wrapText="1"/>
      <protection hidden="1"/>
    </xf>
    <xf numFmtId="0" fontId="67" fillId="4" borderId="6" xfId="0" applyFont="1" applyFill="1" applyBorder="1" applyAlignment="1" applyProtection="1">
      <alignment horizontal="center" vertical="center" wrapText="1"/>
      <protection hidden="1"/>
    </xf>
    <xf numFmtId="0" fontId="67" fillId="4" borderId="2" xfId="0" applyFont="1" applyFill="1" applyBorder="1" applyAlignment="1" applyProtection="1">
      <alignment horizontal="center" vertical="center" wrapText="1"/>
      <protection hidden="1"/>
    </xf>
    <xf numFmtId="0" fontId="67" fillId="4" borderId="7" xfId="0" applyFont="1" applyFill="1" applyBorder="1" applyAlignment="1" applyProtection="1">
      <alignment horizontal="center" vertical="center" wrapText="1"/>
      <protection hidden="1"/>
    </xf>
    <xf numFmtId="0" fontId="45" fillId="17" borderId="22" xfId="4" applyFont="1" applyFill="1" applyBorder="1" applyAlignment="1" applyProtection="1">
      <alignment horizontal="center" vertical="center" wrapText="1"/>
      <protection hidden="1"/>
    </xf>
    <xf numFmtId="0" fontId="45" fillId="17" borderId="23" xfId="4" applyFont="1" applyFill="1" applyBorder="1" applyAlignment="1" applyProtection="1">
      <alignment horizontal="center" vertical="center" wrapText="1"/>
      <protection hidden="1"/>
    </xf>
    <xf numFmtId="0" fontId="45" fillId="17" borderId="24" xfId="4" applyFont="1" applyFill="1" applyBorder="1" applyAlignment="1" applyProtection="1">
      <alignment horizontal="center" vertical="center" wrapText="1"/>
      <protection hidden="1"/>
    </xf>
    <xf numFmtId="0" fontId="45" fillId="17" borderId="25" xfId="4" applyFont="1" applyFill="1" applyBorder="1" applyAlignment="1" applyProtection="1">
      <alignment horizontal="center" vertical="center" wrapText="1"/>
      <protection hidden="1"/>
    </xf>
    <xf numFmtId="0" fontId="45" fillId="17" borderId="26" xfId="4" applyFont="1" applyFill="1" applyBorder="1" applyAlignment="1" applyProtection="1">
      <alignment horizontal="center" vertical="center" wrapText="1"/>
      <protection hidden="1"/>
    </xf>
    <xf numFmtId="0" fontId="45" fillId="17" borderId="27" xfId="4" applyFont="1" applyFill="1" applyBorder="1" applyAlignment="1" applyProtection="1">
      <alignment horizontal="center" vertical="center" wrapText="1"/>
      <protection hidden="1"/>
    </xf>
    <xf numFmtId="0" fontId="74" fillId="9" borderId="0" xfId="6" applyFont="1" applyAlignment="1" applyProtection="1">
      <alignment horizontal="left" vertical="top" wrapText="1"/>
      <protection hidden="1"/>
    </xf>
    <xf numFmtId="0" fontId="0" fillId="0" borderId="0" xfId="0" applyFill="1" applyBorder="1" applyAlignment="1" applyProtection="1">
      <alignment horizontal="center" vertical="center" wrapText="1"/>
      <protection hidden="1"/>
    </xf>
    <xf numFmtId="0" fontId="110" fillId="0" borderId="0" xfId="0" applyFont="1" applyAlignment="1" applyProtection="1">
      <alignment horizontal="center" vertical="center" wrapText="1"/>
      <protection hidden="1"/>
    </xf>
    <xf numFmtId="0" fontId="98" fillId="0" borderId="0" xfId="0" applyFont="1" applyAlignment="1" applyProtection="1">
      <alignment horizontal="center" vertical="top" wrapText="1"/>
      <protection hidden="1"/>
    </xf>
    <xf numFmtId="0" fontId="57" fillId="0" borderId="0" xfId="0" applyFont="1" applyAlignment="1" applyProtection="1">
      <alignment horizontal="center"/>
      <protection hidden="1"/>
    </xf>
    <xf numFmtId="0" fontId="70" fillId="8" borderId="0" xfId="0" applyFont="1" applyFill="1" applyAlignment="1" applyProtection="1">
      <alignment horizontal="left" vertical="top" wrapText="1" shrinkToFit="1"/>
      <protection hidden="1"/>
    </xf>
    <xf numFmtId="0" fontId="2" fillId="4" borderId="0" xfId="0" applyFont="1" applyFill="1" applyBorder="1" applyAlignment="1" applyProtection="1">
      <alignment horizontal="center" vertical="center"/>
      <protection hidden="1"/>
    </xf>
    <xf numFmtId="0" fontId="70" fillId="7" borderId="0" xfId="0" applyFont="1" applyFill="1" applyAlignment="1" applyProtection="1">
      <alignment horizontal="left" vertical="center" wrapText="1"/>
      <protection hidden="1"/>
    </xf>
    <xf numFmtId="4" fontId="63" fillId="0" borderId="15" xfId="0" applyNumberFormat="1" applyFont="1" applyBorder="1" applyAlignment="1" applyProtection="1">
      <alignment horizontal="right"/>
      <protection hidden="1"/>
    </xf>
    <xf numFmtId="0" fontId="63" fillId="0" borderId="15" xfId="0" applyFont="1" applyBorder="1" applyAlignment="1" applyProtection="1">
      <alignment horizontal="left"/>
      <protection hidden="1"/>
    </xf>
    <xf numFmtId="0" fontId="20" fillId="7" borderId="0" xfId="0" applyFont="1" applyFill="1" applyAlignment="1" applyProtection="1">
      <alignment horizontal="left" vertical="top" wrapText="1"/>
      <protection locked="0"/>
    </xf>
    <xf numFmtId="0" fontId="71" fillId="7" borderId="0" xfId="0" applyFont="1" applyFill="1" applyAlignment="1" applyProtection="1">
      <alignment horizontal="left" vertical="top" wrapText="1"/>
      <protection hidden="1"/>
    </xf>
    <xf numFmtId="0" fontId="57" fillId="16" borderId="0" xfId="0" applyFont="1" applyFill="1" applyBorder="1" applyAlignment="1" applyProtection="1">
      <alignment horizontal="left" vertical="top" wrapText="1"/>
      <protection hidden="1"/>
    </xf>
    <xf numFmtId="0" fontId="57" fillId="8" borderId="0" xfId="0" applyFont="1" applyFill="1" applyBorder="1" applyAlignment="1" applyProtection="1">
      <alignment horizontal="left" vertical="top" wrapText="1"/>
      <protection hidden="1"/>
    </xf>
    <xf numFmtId="0" fontId="0" fillId="0" borderId="0" xfId="0" applyAlignment="1" applyProtection="1">
      <alignment horizontal="center"/>
      <protection hidden="1"/>
    </xf>
    <xf numFmtId="0" fontId="66" fillId="6" borderId="0" xfId="0" applyFont="1" applyFill="1" applyAlignment="1" applyProtection="1">
      <alignment horizontal="left" vertical="top" wrapText="1"/>
      <protection hidden="1"/>
    </xf>
    <xf numFmtId="0" fontId="57" fillId="16" borderId="0" xfId="0" applyFont="1" applyFill="1" applyAlignment="1" applyProtection="1">
      <alignment horizontal="left" vertical="top" wrapText="1"/>
      <protection hidden="1"/>
    </xf>
    <xf numFmtId="4" fontId="63" fillId="0" borderId="16" xfId="0" applyNumberFormat="1" applyFont="1" applyBorder="1" applyAlignment="1" applyProtection="1">
      <alignment horizontal="right"/>
      <protection hidden="1"/>
    </xf>
    <xf numFmtId="0" fontId="63" fillId="0" borderId="16" xfId="0" applyFont="1" applyBorder="1" applyAlignment="1" applyProtection="1">
      <alignment horizontal="left"/>
      <protection hidden="1"/>
    </xf>
    <xf numFmtId="0" fontId="77" fillId="6" borderId="0" xfId="0" applyFont="1" applyFill="1" applyAlignment="1" applyProtection="1">
      <alignment horizontal="left" vertical="top" wrapText="1"/>
      <protection hidden="1"/>
    </xf>
    <xf numFmtId="0" fontId="34" fillId="4" borderId="0" xfId="0" applyFont="1" applyFill="1" applyAlignment="1" applyProtection="1">
      <alignment horizontal="left" vertical="top" wrapText="1"/>
      <protection hidden="1"/>
    </xf>
    <xf numFmtId="0" fontId="108" fillId="7" borderId="0" xfId="0" applyFont="1" applyFill="1" applyAlignment="1" applyProtection="1">
      <alignment horizontal="left" wrapText="1"/>
      <protection hidden="1"/>
    </xf>
    <xf numFmtId="0" fontId="60" fillId="4" borderId="0" xfId="0" applyFont="1" applyFill="1" applyAlignment="1" applyProtection="1">
      <alignment horizontal="left" vertical="top" wrapText="1"/>
      <protection hidden="1"/>
    </xf>
    <xf numFmtId="0" fontId="60" fillId="21" borderId="0" xfId="0" applyFont="1" applyFill="1" applyAlignment="1" applyProtection="1">
      <alignment horizontal="left" vertical="top" wrapText="1"/>
      <protection hidden="1"/>
    </xf>
    <xf numFmtId="0" fontId="21" fillId="8" borderId="0" xfId="0" applyFont="1" applyFill="1" applyAlignment="1" applyProtection="1">
      <alignment horizontal="left" vertical="top" wrapText="1"/>
      <protection hidden="1"/>
    </xf>
    <xf numFmtId="0" fontId="42" fillId="0" borderId="0" xfId="0" applyFont="1" applyAlignment="1" applyProtection="1">
      <alignment horizontal="left"/>
      <protection hidden="1"/>
    </xf>
    <xf numFmtId="0" fontId="63" fillId="0" borderId="35" xfId="0" applyFont="1" applyBorder="1" applyAlignment="1" applyProtection="1">
      <alignment horizontal="left" vertical="top" shrinkToFit="1"/>
      <protection hidden="1"/>
    </xf>
    <xf numFmtId="0" fontId="63" fillId="0" borderId="88" xfId="0" applyFont="1" applyBorder="1" applyAlignment="1" applyProtection="1">
      <alignment horizontal="left" vertical="top" shrinkToFit="1"/>
      <protection hidden="1"/>
    </xf>
    <xf numFmtId="0" fontId="55" fillId="0" borderId="60" xfId="0" applyFont="1" applyFill="1" applyBorder="1" applyAlignment="1" applyProtection="1">
      <alignment horizontal="center" shrinkToFit="1"/>
      <protection hidden="1"/>
    </xf>
    <xf numFmtId="0" fontId="79" fillId="23" borderId="0" xfId="0" applyFont="1" applyFill="1" applyBorder="1" applyAlignment="1" applyProtection="1">
      <alignment horizontal="left" vertical="center" textRotation="90"/>
      <protection hidden="1"/>
    </xf>
    <xf numFmtId="0" fontId="31" fillId="23" borderId="0" xfId="0" applyFont="1" applyFill="1" applyBorder="1" applyAlignment="1" applyProtection="1">
      <alignment horizontal="left" vertical="center" textRotation="90"/>
      <protection hidden="1"/>
    </xf>
    <xf numFmtId="0" fontId="79" fillId="23" borderId="34" xfId="0" applyFont="1" applyFill="1" applyBorder="1" applyAlignment="1" applyProtection="1">
      <alignment horizontal="right" vertical="center" textRotation="90"/>
      <protection hidden="1"/>
    </xf>
    <xf numFmtId="0" fontId="31" fillId="23" borderId="34" xfId="0" applyFont="1" applyFill="1" applyBorder="1" applyAlignment="1" applyProtection="1">
      <alignment horizontal="right" vertical="center" textRotation="90"/>
      <protection hidden="1"/>
    </xf>
    <xf numFmtId="0" fontId="98" fillId="6" borderId="0" xfId="0" applyFont="1" applyFill="1" applyBorder="1" applyAlignment="1" applyProtection="1">
      <alignment horizontal="left" vertical="top" wrapText="1"/>
      <protection hidden="1"/>
    </xf>
    <xf numFmtId="0" fontId="61" fillId="6" borderId="29" xfId="0" applyFont="1" applyFill="1" applyBorder="1" applyAlignment="1" applyProtection="1">
      <alignment horizontal="center" vertical="center" wrapText="1" shrinkToFit="1"/>
      <protection hidden="1"/>
    </xf>
    <xf numFmtId="0" fontId="61" fillId="6" borderId="43" xfId="0" applyFont="1" applyFill="1" applyBorder="1" applyAlignment="1" applyProtection="1">
      <alignment horizontal="center" vertical="center" wrapText="1" shrinkToFit="1"/>
      <protection hidden="1"/>
    </xf>
    <xf numFmtId="0" fontId="56" fillId="6" borderId="29" xfId="0" applyFont="1" applyFill="1" applyBorder="1" applyAlignment="1" applyProtection="1">
      <alignment horizontal="center" vertical="center" shrinkToFit="1"/>
      <protection hidden="1"/>
    </xf>
    <xf numFmtId="0" fontId="56" fillId="6" borderId="43" xfId="0" applyFont="1" applyFill="1" applyBorder="1" applyAlignment="1" applyProtection="1">
      <alignment horizontal="center" vertical="center" shrinkToFit="1"/>
      <protection hidden="1"/>
    </xf>
    <xf numFmtId="0" fontId="63" fillId="6" borderId="41" xfId="0" applyFont="1" applyFill="1" applyBorder="1" applyAlignment="1" applyProtection="1">
      <alignment horizontal="left" vertical="top"/>
      <protection hidden="1"/>
    </xf>
    <xf numFmtId="0" fontId="63" fillId="6" borderId="42" xfId="0" applyFont="1" applyFill="1" applyBorder="1" applyAlignment="1" applyProtection="1">
      <alignment horizontal="left" vertical="top"/>
      <protection hidden="1"/>
    </xf>
    <xf numFmtId="0" fontId="123" fillId="6" borderId="0" xfId="0" applyFont="1" applyFill="1" applyBorder="1" applyAlignment="1" applyProtection="1">
      <alignment horizontal="left" vertical="top" wrapText="1"/>
      <protection hidden="1"/>
    </xf>
    <xf numFmtId="0" fontId="56" fillId="6" borderId="44" xfId="0" applyFont="1" applyFill="1" applyBorder="1" applyAlignment="1" applyProtection="1">
      <alignment horizontal="center" vertical="center" shrinkToFit="1"/>
      <protection hidden="1"/>
    </xf>
    <xf numFmtId="0" fontId="56" fillId="6" borderId="38" xfId="0" applyFont="1" applyFill="1" applyBorder="1" applyAlignment="1" applyProtection="1">
      <alignment horizontal="center" vertical="center" shrinkToFit="1"/>
      <protection hidden="1"/>
    </xf>
    <xf numFmtId="0" fontId="56" fillId="6" borderId="46" xfId="0" applyFont="1" applyFill="1" applyBorder="1" applyAlignment="1" applyProtection="1">
      <alignment horizontal="center" vertical="center" shrinkToFit="1"/>
      <protection hidden="1"/>
    </xf>
    <xf numFmtId="0" fontId="56" fillId="6" borderId="40" xfId="0" applyFont="1" applyFill="1" applyBorder="1" applyAlignment="1" applyProtection="1">
      <alignment horizontal="center" vertical="center" shrinkToFit="1"/>
      <protection hidden="1"/>
    </xf>
    <xf numFmtId="0" fontId="56" fillId="6" borderId="45" xfId="0" applyFont="1" applyFill="1" applyBorder="1" applyAlignment="1" applyProtection="1">
      <alignment horizontal="center" vertical="center" shrinkToFit="1"/>
      <protection hidden="1"/>
    </xf>
    <xf numFmtId="0" fontId="56" fillId="6" borderId="47" xfId="0" applyFont="1" applyFill="1" applyBorder="1" applyAlignment="1" applyProtection="1">
      <alignment horizontal="center" vertical="center" shrinkToFit="1"/>
      <protection hidden="1"/>
    </xf>
    <xf numFmtId="0" fontId="100" fillId="0" borderId="40" xfId="0" applyFont="1" applyBorder="1" applyAlignment="1" applyProtection="1">
      <alignment horizontal="center" shrinkToFit="1"/>
      <protection hidden="1"/>
    </xf>
    <xf numFmtId="0" fontId="63" fillId="0" borderId="38" xfId="0" applyFont="1" applyBorder="1" applyAlignment="1" applyProtection="1">
      <alignment horizontal="center" shrinkToFit="1"/>
      <protection hidden="1"/>
    </xf>
    <xf numFmtId="0" fontId="56" fillId="0" borderId="1" xfId="0" applyFont="1" applyBorder="1" applyAlignment="1" applyProtection="1">
      <alignment horizontal="center"/>
      <protection hidden="1"/>
    </xf>
    <xf numFmtId="0" fontId="61" fillId="3" borderId="8" xfId="0" applyFont="1" applyFill="1" applyBorder="1" applyAlignment="1" applyProtection="1">
      <alignment horizontal="center" vertical="center" shrinkToFit="1"/>
      <protection hidden="1"/>
    </xf>
    <xf numFmtId="0" fontId="61" fillId="3" borderId="10" xfId="0" applyFont="1" applyFill="1" applyBorder="1" applyAlignment="1" applyProtection="1">
      <alignment horizontal="center" vertical="center" shrinkToFit="1"/>
      <protection hidden="1"/>
    </xf>
    <xf numFmtId="0" fontId="61" fillId="3" borderId="8" xfId="0" applyFont="1" applyFill="1" applyBorder="1" applyAlignment="1" applyProtection="1">
      <alignment horizontal="center" vertical="center"/>
      <protection hidden="1"/>
    </xf>
    <xf numFmtId="0" fontId="61" fillId="3" borderId="10" xfId="0" applyFont="1" applyFill="1" applyBorder="1" applyAlignment="1" applyProtection="1">
      <alignment horizontal="center" vertical="center"/>
      <protection hidden="1"/>
    </xf>
    <xf numFmtId="0" fontId="99" fillId="6" borderId="0" xfId="0" applyFont="1" applyFill="1" applyBorder="1" applyAlignment="1" applyProtection="1">
      <alignment horizontal="left" vertical="top" wrapText="1"/>
      <protection hidden="1"/>
    </xf>
    <xf numFmtId="0" fontId="61" fillId="3" borderId="3" xfId="0" applyFont="1" applyFill="1" applyBorder="1" applyAlignment="1" applyProtection="1">
      <alignment horizontal="center" vertical="center"/>
      <protection hidden="1"/>
    </xf>
    <xf numFmtId="0" fontId="61" fillId="3" borderId="11" xfId="0" applyFont="1" applyFill="1" applyBorder="1" applyAlignment="1" applyProtection="1">
      <alignment horizontal="center" vertical="center"/>
      <protection hidden="1"/>
    </xf>
    <xf numFmtId="0" fontId="61" fillId="3" borderId="4" xfId="0" applyFont="1" applyFill="1" applyBorder="1" applyAlignment="1" applyProtection="1">
      <alignment horizontal="center" vertical="center"/>
      <protection hidden="1"/>
    </xf>
    <xf numFmtId="0" fontId="61" fillId="3" borderId="5" xfId="0" applyFont="1" applyFill="1" applyBorder="1" applyAlignment="1" applyProtection="1">
      <alignment horizontal="center" vertical="center"/>
      <protection hidden="1"/>
    </xf>
    <xf numFmtId="0" fontId="61" fillId="3" borderId="1" xfId="0" applyFont="1" applyFill="1" applyBorder="1" applyAlignment="1" applyProtection="1">
      <alignment horizontal="center" vertical="center"/>
      <protection hidden="1"/>
    </xf>
    <xf numFmtId="0" fontId="61" fillId="3" borderId="19" xfId="0" applyFont="1" applyFill="1" applyBorder="1" applyAlignment="1" applyProtection="1">
      <alignment horizontal="center" vertical="center"/>
      <protection hidden="1"/>
    </xf>
    <xf numFmtId="4" fontId="63" fillId="0" borderId="86" xfId="0" applyNumberFormat="1" applyFont="1" applyBorder="1" applyAlignment="1" applyProtection="1">
      <alignment horizontal="left"/>
      <protection hidden="1"/>
    </xf>
    <xf numFmtId="0" fontId="111" fillId="0" borderId="0" xfId="0" applyFont="1" applyBorder="1" applyAlignment="1" applyProtection="1">
      <alignment horizontal="center" wrapText="1"/>
      <protection hidden="1"/>
    </xf>
    <xf numFmtId="0" fontId="63" fillId="0" borderId="0" xfId="0" applyFont="1" applyBorder="1" applyAlignment="1" applyProtection="1">
      <alignment horizontal="center" vertical="top" wrapText="1"/>
      <protection hidden="1"/>
    </xf>
    <xf numFmtId="0" fontId="100" fillId="0" borderId="0" xfId="0" applyFont="1" applyBorder="1" applyAlignment="1" applyProtection="1">
      <alignment horizontal="center" vertical="center" wrapText="1"/>
      <protection hidden="1"/>
    </xf>
    <xf numFmtId="0" fontId="63" fillId="6" borderId="24" xfId="0" applyFont="1" applyFill="1" applyBorder="1" applyAlignment="1" applyProtection="1">
      <alignment horizontal="left" vertical="top" wrapText="1"/>
      <protection hidden="1"/>
    </xf>
    <xf numFmtId="0" fontId="63" fillId="6" borderId="0" xfId="0" applyFont="1" applyFill="1" applyBorder="1" applyAlignment="1" applyProtection="1">
      <alignment horizontal="left" vertical="top" wrapText="1"/>
      <protection hidden="1"/>
    </xf>
    <xf numFmtId="0" fontId="63" fillId="6" borderId="25" xfId="0" applyFont="1" applyFill="1" applyBorder="1" applyAlignment="1" applyProtection="1">
      <alignment horizontal="left" vertical="top" wrapText="1"/>
      <protection hidden="1"/>
    </xf>
    <xf numFmtId="0" fontId="63" fillId="6" borderId="26" xfId="0" applyFont="1" applyFill="1" applyBorder="1" applyAlignment="1" applyProtection="1">
      <alignment horizontal="left" vertical="top" wrapText="1"/>
      <protection hidden="1"/>
    </xf>
    <xf numFmtId="0" fontId="63" fillId="6" borderId="37" xfId="0" applyFont="1" applyFill="1" applyBorder="1" applyAlignment="1" applyProtection="1">
      <alignment horizontal="left" vertical="top" wrapText="1"/>
      <protection hidden="1"/>
    </xf>
    <xf numFmtId="0" fontId="63" fillId="6" borderId="27" xfId="0" applyFont="1" applyFill="1" applyBorder="1" applyAlignment="1" applyProtection="1">
      <alignment horizontal="left" vertical="top" wrapText="1"/>
      <protection hidden="1"/>
    </xf>
    <xf numFmtId="0" fontId="27" fillId="6" borderId="0" xfId="0" applyFont="1" applyFill="1" applyBorder="1" applyAlignment="1" applyProtection="1">
      <alignment horizontal="left" vertical="top" wrapText="1"/>
      <protection hidden="1"/>
    </xf>
    <xf numFmtId="0" fontId="0" fillId="0" borderId="87" xfId="0" applyBorder="1" applyAlignment="1" applyProtection="1">
      <alignment horizontal="center"/>
      <protection hidden="1"/>
    </xf>
    <xf numFmtId="4" fontId="2" fillId="0" borderId="87" xfId="0" applyNumberFormat="1" applyFont="1" applyBorder="1" applyAlignment="1" applyProtection="1">
      <alignment horizontal="left" wrapText="1"/>
      <protection hidden="1"/>
    </xf>
    <xf numFmtId="0" fontId="63" fillId="0" borderId="85" xfId="0" applyFont="1" applyBorder="1" applyAlignment="1" applyProtection="1">
      <alignment horizontal="right" shrinkToFit="1"/>
      <protection hidden="1"/>
    </xf>
    <xf numFmtId="0" fontId="63" fillId="0" borderId="86" xfId="0" applyFont="1" applyBorder="1" applyAlignment="1" applyProtection="1">
      <alignment horizontal="right" shrinkToFit="1"/>
      <protection hidden="1"/>
    </xf>
    <xf numFmtId="0" fontId="79" fillId="0" borderId="0" xfId="0" applyFont="1" applyFill="1" applyBorder="1" applyAlignment="1" applyProtection="1">
      <alignment horizontal="left" vertical="center" textRotation="90"/>
      <protection hidden="1"/>
    </xf>
    <xf numFmtId="0" fontId="31" fillId="0" borderId="0" xfId="0" applyFont="1" applyFill="1" applyBorder="1" applyAlignment="1" applyProtection="1">
      <alignment horizontal="left" vertical="center" textRotation="90"/>
      <protection hidden="1"/>
    </xf>
    <xf numFmtId="0" fontId="79" fillId="0" borderId="39" xfId="0" applyFont="1" applyFill="1" applyBorder="1" applyAlignment="1" applyProtection="1">
      <alignment horizontal="right" vertical="center" textRotation="90"/>
      <protection hidden="1"/>
    </xf>
    <xf numFmtId="0" fontId="31" fillId="0" borderId="39" xfId="0" applyFont="1" applyFill="1" applyBorder="1" applyAlignment="1" applyProtection="1">
      <alignment horizontal="right" vertical="center" textRotation="90"/>
      <protection hidden="1"/>
    </xf>
    <xf numFmtId="0" fontId="64" fillId="6" borderId="0" xfId="0" applyFont="1" applyFill="1" applyBorder="1" applyAlignment="1" applyProtection="1">
      <alignment horizontal="left" vertical="top" wrapText="1"/>
      <protection hidden="1"/>
    </xf>
    <xf numFmtId="4" fontId="63" fillId="0" borderId="85" xfId="0" applyNumberFormat="1" applyFont="1" applyBorder="1" applyAlignment="1" applyProtection="1">
      <alignment horizontal="left"/>
      <protection hidden="1"/>
    </xf>
    <xf numFmtId="0" fontId="62" fillId="6" borderId="0" xfId="0" applyFont="1" applyFill="1" applyBorder="1" applyAlignment="1" applyProtection="1">
      <alignment horizontal="left" vertical="top" wrapText="1"/>
      <protection hidden="1"/>
    </xf>
    <xf numFmtId="0" fontId="0" fillId="17" borderId="0" xfId="0" applyFill="1" applyAlignment="1" applyProtection="1">
      <alignment horizontal="center" vertical="top"/>
      <protection hidden="1"/>
    </xf>
    <xf numFmtId="0" fontId="0" fillId="17" borderId="18" xfId="0" applyFill="1" applyBorder="1" applyAlignment="1" applyProtection="1">
      <alignment horizontal="center" vertical="top"/>
      <protection hidden="1"/>
    </xf>
    <xf numFmtId="0" fontId="57" fillId="6" borderId="0" xfId="0" applyFont="1" applyFill="1" applyBorder="1" applyAlignment="1" applyProtection="1">
      <alignment horizontal="left" vertical="top" wrapText="1"/>
      <protection hidden="1"/>
    </xf>
    <xf numFmtId="0" fontId="0" fillId="17" borderId="22" xfId="0" applyFill="1" applyBorder="1" applyAlignment="1" applyProtection="1">
      <alignment horizontal="center" vertical="top"/>
      <protection hidden="1"/>
    </xf>
    <xf numFmtId="0" fontId="0" fillId="17" borderId="36" xfId="0" applyFill="1" applyBorder="1" applyAlignment="1" applyProtection="1">
      <alignment horizontal="center" vertical="top"/>
      <protection hidden="1"/>
    </xf>
    <xf numFmtId="0" fontId="0" fillId="17" borderId="23" xfId="0" applyFill="1" applyBorder="1" applyAlignment="1" applyProtection="1">
      <alignment horizontal="center" vertical="top"/>
      <protection hidden="1"/>
    </xf>
    <xf numFmtId="0" fontId="0" fillId="17" borderId="24" xfId="0" applyFill="1" applyBorder="1" applyAlignment="1" applyProtection="1">
      <alignment horizontal="center" vertical="top"/>
      <protection hidden="1"/>
    </xf>
    <xf numFmtId="0" fontId="0" fillId="17" borderId="0" xfId="0" applyFill="1" applyBorder="1" applyAlignment="1" applyProtection="1">
      <alignment horizontal="center" vertical="top"/>
      <protection hidden="1"/>
    </xf>
    <xf numFmtId="0" fontId="0" fillId="17" borderId="25" xfId="0" applyFill="1" applyBorder="1" applyAlignment="1" applyProtection="1">
      <alignment horizontal="center" vertical="top"/>
      <protection hidden="1"/>
    </xf>
    <xf numFmtId="0" fontId="0" fillId="17" borderId="26" xfId="0" applyFill="1" applyBorder="1" applyAlignment="1" applyProtection="1">
      <alignment horizontal="center" vertical="top"/>
      <protection hidden="1"/>
    </xf>
    <xf numFmtId="0" fontId="0" fillId="17" borderId="37" xfId="0" applyFill="1" applyBorder="1" applyAlignment="1" applyProtection="1">
      <alignment horizontal="center" vertical="top"/>
      <protection hidden="1"/>
    </xf>
    <xf numFmtId="0" fontId="0" fillId="17" borderId="27" xfId="0" applyFill="1" applyBorder="1" applyAlignment="1" applyProtection="1">
      <alignment horizontal="center" vertical="top"/>
      <protection hidden="1"/>
    </xf>
    <xf numFmtId="0" fontId="79" fillId="23" borderId="37" xfId="0" applyFont="1" applyFill="1" applyBorder="1" applyAlignment="1" applyProtection="1">
      <alignment horizontal="left" vertical="center" textRotation="90"/>
      <protection hidden="1"/>
    </xf>
    <xf numFmtId="0" fontId="31" fillId="23" borderId="37" xfId="0" applyFont="1" applyFill="1" applyBorder="1" applyAlignment="1" applyProtection="1">
      <alignment horizontal="left" vertical="center" textRotation="90"/>
      <protection hidden="1"/>
    </xf>
    <xf numFmtId="0" fontId="60" fillId="6" borderId="0" xfId="0" applyFont="1" applyFill="1" applyBorder="1" applyAlignment="1" applyProtection="1">
      <alignment horizontal="left" vertical="top" wrapText="1"/>
      <protection hidden="1"/>
    </xf>
    <xf numFmtId="0" fontId="60" fillId="6" borderId="37" xfId="0" applyFont="1" applyFill="1" applyBorder="1" applyAlignment="1" applyProtection="1">
      <alignment horizontal="left" vertical="top" wrapText="1"/>
      <protection hidden="1"/>
    </xf>
    <xf numFmtId="0" fontId="63" fillId="6" borderId="22" xfId="0" applyFont="1" applyFill="1" applyBorder="1" applyAlignment="1" applyProtection="1">
      <alignment horizontal="left" vertical="top" wrapText="1"/>
      <protection hidden="1"/>
    </xf>
    <xf numFmtId="0" fontId="63" fillId="6" borderId="36" xfId="0" applyFont="1" applyFill="1" applyBorder="1" applyAlignment="1" applyProtection="1">
      <alignment horizontal="left" vertical="top" wrapText="1"/>
      <protection hidden="1"/>
    </xf>
    <xf numFmtId="0" fontId="63" fillId="6" borderId="23" xfId="0" applyFont="1" applyFill="1" applyBorder="1" applyAlignment="1" applyProtection="1">
      <alignment horizontal="left" vertical="top" wrapText="1"/>
      <protection hidden="1"/>
    </xf>
    <xf numFmtId="0" fontId="98" fillId="0" borderId="0" xfId="0" applyFont="1" applyBorder="1" applyAlignment="1" applyProtection="1">
      <alignment horizontal="center"/>
      <protection hidden="1"/>
    </xf>
    <xf numFmtId="0" fontId="100" fillId="0" borderId="48" xfId="0" applyFont="1" applyBorder="1" applyAlignment="1" applyProtection="1">
      <alignment horizontal="center" shrinkToFit="1"/>
      <protection hidden="1"/>
    </xf>
    <xf numFmtId="0" fontId="100" fillId="0" borderId="49" xfId="0" applyFont="1" applyBorder="1" applyAlignment="1" applyProtection="1">
      <alignment horizontal="center" shrinkToFit="1"/>
      <protection hidden="1"/>
    </xf>
    <xf numFmtId="0" fontId="100" fillId="0" borderId="50" xfId="0" applyFont="1" applyBorder="1" applyAlignment="1" applyProtection="1">
      <alignment horizontal="center" shrinkToFit="1"/>
      <protection hidden="1"/>
    </xf>
    <xf numFmtId="0" fontId="98" fillId="0" borderId="38" xfId="0" applyFont="1" applyBorder="1" applyAlignment="1" applyProtection="1">
      <alignment horizontal="center" shrinkToFit="1"/>
      <protection hidden="1"/>
    </xf>
    <xf numFmtId="0" fontId="98" fillId="0" borderId="51" xfId="0" applyFont="1" applyBorder="1" applyAlignment="1" applyProtection="1">
      <alignment horizontal="center" shrinkToFit="1"/>
      <protection hidden="1"/>
    </xf>
    <xf numFmtId="0" fontId="98" fillId="0" borderId="52" xfId="0" applyFont="1" applyBorder="1" applyAlignment="1" applyProtection="1">
      <alignment horizontal="center" shrinkToFit="1"/>
      <protection hidden="1"/>
    </xf>
    <xf numFmtId="0" fontId="100" fillId="0" borderId="53" xfId="0" applyFont="1" applyBorder="1" applyAlignment="1" applyProtection="1">
      <alignment horizontal="center" shrinkToFit="1"/>
      <protection hidden="1"/>
    </xf>
    <xf numFmtId="0" fontId="100" fillId="0" borderId="54" xfId="0" applyFont="1" applyBorder="1" applyAlignment="1" applyProtection="1">
      <alignment horizontal="center" shrinkToFit="1"/>
      <protection hidden="1"/>
    </xf>
    <xf numFmtId="0" fontId="98" fillId="0" borderId="55" xfId="0" applyFont="1" applyBorder="1" applyAlignment="1" applyProtection="1">
      <alignment horizontal="center" shrinkToFit="1"/>
      <protection hidden="1"/>
    </xf>
    <xf numFmtId="0" fontId="98" fillId="0" borderId="56" xfId="0" applyFont="1" applyBorder="1" applyAlignment="1" applyProtection="1">
      <alignment horizontal="center" shrinkToFit="1"/>
      <protection hidden="1"/>
    </xf>
    <xf numFmtId="0" fontId="98" fillId="0" borderId="57" xfId="0" applyFont="1" applyBorder="1" applyAlignment="1" applyProtection="1">
      <alignment horizontal="center" shrinkToFit="1"/>
      <protection hidden="1"/>
    </xf>
    <xf numFmtId="0" fontId="100" fillId="0" borderId="0" xfId="0" applyFont="1" applyBorder="1" applyAlignment="1" applyProtection="1">
      <alignment horizontal="center"/>
      <protection hidden="1"/>
    </xf>
    <xf numFmtId="0" fontId="100" fillId="0" borderId="40" xfId="0" applyFont="1" applyBorder="1" applyAlignment="1" applyProtection="1">
      <alignment horizontal="center"/>
      <protection hidden="1"/>
    </xf>
    <xf numFmtId="0" fontId="79" fillId="0" borderId="0" xfId="0" applyFont="1" applyFill="1" applyBorder="1" applyAlignment="1" applyProtection="1">
      <alignment horizontal="right" vertical="center" textRotation="90"/>
      <protection hidden="1"/>
    </xf>
    <xf numFmtId="0" fontId="31" fillId="0" borderId="0" xfId="0" applyFont="1" applyFill="1" applyBorder="1" applyAlignment="1" applyProtection="1">
      <alignment horizontal="right" vertical="center" textRotation="90"/>
      <protection hidden="1"/>
    </xf>
    <xf numFmtId="0" fontId="61" fillId="6" borderId="59" xfId="0" applyFont="1" applyFill="1" applyBorder="1" applyAlignment="1" applyProtection="1">
      <alignment horizontal="center" vertical="center" wrapText="1" shrinkToFit="1"/>
      <protection hidden="1"/>
    </xf>
    <xf numFmtId="0" fontId="56" fillId="6" borderId="59" xfId="0" applyFont="1" applyFill="1" applyBorder="1" applyAlignment="1" applyProtection="1">
      <alignment horizontal="center" vertical="center" shrinkToFit="1"/>
      <protection hidden="1"/>
    </xf>
    <xf numFmtId="0" fontId="56" fillId="6" borderId="39" xfId="0" applyFont="1" applyFill="1" applyBorder="1" applyAlignment="1" applyProtection="1">
      <alignment horizontal="center" vertical="center" shrinkToFit="1"/>
      <protection hidden="1"/>
    </xf>
    <xf numFmtId="0" fontId="56" fillId="6" borderId="0" xfId="0" applyFont="1" applyFill="1" applyBorder="1" applyAlignment="1" applyProtection="1">
      <alignment horizontal="center" vertical="center" shrinkToFit="1"/>
      <protection hidden="1"/>
    </xf>
    <xf numFmtId="0" fontId="56" fillId="6" borderId="58" xfId="0" applyFont="1" applyFill="1" applyBorder="1" applyAlignment="1" applyProtection="1">
      <alignment horizontal="center" vertical="center" shrinkToFit="1"/>
      <protection hidden="1"/>
    </xf>
    <xf numFmtId="4" fontId="60" fillId="0" borderId="85" xfId="0" applyNumberFormat="1" applyFont="1" applyBorder="1" applyAlignment="1" applyProtection="1">
      <alignment horizontal="left"/>
      <protection hidden="1"/>
    </xf>
    <xf numFmtId="0" fontId="60" fillId="0" borderId="86" xfId="0" applyFont="1" applyBorder="1" applyAlignment="1" applyProtection="1">
      <alignment horizontal="right" shrinkToFit="1"/>
      <protection hidden="1"/>
    </xf>
    <xf numFmtId="4" fontId="60" fillId="0" borderId="86" xfId="0" applyNumberFormat="1" applyFont="1" applyBorder="1" applyAlignment="1" applyProtection="1">
      <alignment horizontal="left"/>
      <protection hidden="1"/>
    </xf>
    <xf numFmtId="0" fontId="132" fillId="0" borderId="87" xfId="0" applyFont="1" applyBorder="1" applyAlignment="1" applyProtection="1">
      <alignment horizontal="center"/>
      <protection hidden="1"/>
    </xf>
    <xf numFmtId="4" fontId="132" fillId="0" borderId="87" xfId="0" applyNumberFormat="1" applyFont="1" applyBorder="1" applyAlignment="1" applyProtection="1">
      <alignment horizontal="left"/>
      <protection hidden="1"/>
    </xf>
    <xf numFmtId="0" fontId="60" fillId="0" borderId="85" xfId="0" applyFont="1" applyBorder="1" applyAlignment="1" applyProtection="1">
      <alignment horizontal="right" shrinkToFit="1"/>
      <protection hidden="1"/>
    </xf>
    <xf numFmtId="0" fontId="34" fillId="6" borderId="0" xfId="0" applyFont="1" applyFill="1" applyBorder="1" applyAlignment="1" applyProtection="1">
      <alignment horizontal="left" vertical="top" wrapText="1"/>
      <protection hidden="1"/>
    </xf>
    <xf numFmtId="0" fontId="34" fillId="6" borderId="61" xfId="0" applyFont="1" applyFill="1" applyBorder="1" applyAlignment="1" applyProtection="1">
      <alignment horizontal="left" vertical="top" wrapText="1"/>
      <protection hidden="1"/>
    </xf>
    <xf numFmtId="0" fontId="34" fillId="6" borderId="42" xfId="0" applyFont="1" applyFill="1" applyBorder="1" applyAlignment="1" applyProtection="1">
      <alignment horizontal="left" vertical="top" wrapText="1"/>
      <protection hidden="1"/>
    </xf>
    <xf numFmtId="0" fontId="34" fillId="6" borderId="62" xfId="0" applyFont="1" applyFill="1" applyBorder="1" applyAlignment="1" applyProtection="1">
      <alignment horizontal="left" vertical="top" wrapText="1"/>
      <protection hidden="1"/>
    </xf>
    <xf numFmtId="0" fontId="63" fillId="6" borderId="41" xfId="0" applyFont="1" applyFill="1" applyBorder="1" applyAlignment="1" applyProtection="1">
      <alignment horizontal="left" vertical="top" wrapText="1"/>
      <protection hidden="1"/>
    </xf>
    <xf numFmtId="0" fontId="63" fillId="6" borderId="63" xfId="0" applyFont="1" applyFill="1" applyBorder="1" applyAlignment="1" applyProtection="1">
      <alignment horizontal="left" vertical="top" wrapText="1"/>
      <protection hidden="1"/>
    </xf>
    <xf numFmtId="0" fontId="63" fillId="6" borderId="42" xfId="0" applyFont="1" applyFill="1" applyBorder="1" applyAlignment="1" applyProtection="1">
      <alignment horizontal="left" vertical="top" wrapText="1"/>
      <protection hidden="1"/>
    </xf>
    <xf numFmtId="0" fontId="63" fillId="6" borderId="62" xfId="0" applyFont="1" applyFill="1" applyBorder="1" applyAlignment="1" applyProtection="1">
      <alignment horizontal="left" vertical="top" wrapText="1"/>
      <protection hidden="1"/>
    </xf>
    <xf numFmtId="0" fontId="98" fillId="6" borderId="61" xfId="0" applyFont="1" applyFill="1" applyBorder="1" applyAlignment="1" applyProtection="1">
      <alignment horizontal="left" vertical="top" wrapText="1"/>
      <protection hidden="1"/>
    </xf>
    <xf numFmtId="0" fontId="0" fillId="6" borderId="0" xfId="0" applyFill="1" applyBorder="1" applyAlignment="1" applyProtection="1">
      <alignment horizontal="left" vertical="top" wrapText="1"/>
      <protection hidden="1"/>
    </xf>
    <xf numFmtId="0" fontId="79" fillId="23" borderId="0" xfId="0" applyFont="1" applyFill="1" applyBorder="1" applyAlignment="1" applyProtection="1">
      <alignment horizontal="right" vertical="center" textRotation="90"/>
      <protection hidden="1"/>
    </xf>
    <xf numFmtId="0" fontId="31" fillId="23" borderId="0" xfId="0" applyFont="1" applyFill="1" applyBorder="1" applyAlignment="1" applyProtection="1">
      <alignment horizontal="right" vertical="center" textRotation="90"/>
      <protection hidden="1"/>
    </xf>
    <xf numFmtId="0" fontId="31" fillId="23" borderId="37" xfId="0" applyFont="1" applyFill="1" applyBorder="1" applyAlignment="1" applyProtection="1">
      <alignment horizontal="right" vertical="center" textRotation="90"/>
      <protection hidden="1"/>
    </xf>
    <xf numFmtId="0" fontId="79" fillId="23" borderId="34" xfId="0" applyFont="1" applyFill="1" applyBorder="1" applyAlignment="1" applyProtection="1">
      <alignment horizontal="left" vertical="center" textRotation="90"/>
      <protection hidden="1"/>
    </xf>
    <xf numFmtId="0" fontId="31" fillId="23" borderId="34" xfId="0" applyFont="1" applyFill="1" applyBorder="1" applyAlignment="1" applyProtection="1">
      <alignment horizontal="left" vertical="center" textRotation="90"/>
      <protection hidden="1"/>
    </xf>
    <xf numFmtId="0" fontId="133" fillId="23" borderId="26" xfId="0" applyFont="1" applyFill="1" applyBorder="1" applyAlignment="1" applyProtection="1">
      <alignment horizontal="center" vertical="center" shrinkToFit="1"/>
      <protection hidden="1"/>
    </xf>
    <xf numFmtId="0" fontId="133" fillId="23" borderId="37" xfId="0" applyFont="1" applyFill="1" applyBorder="1" applyAlignment="1" applyProtection="1">
      <alignment horizontal="center" vertical="center" shrinkToFit="1"/>
      <protection hidden="1"/>
    </xf>
    <xf numFmtId="0" fontId="133" fillId="23" borderId="27" xfId="0" applyFont="1" applyFill="1" applyBorder="1" applyAlignment="1" applyProtection="1">
      <alignment horizontal="center" vertical="center" shrinkToFit="1"/>
      <protection hidden="1"/>
    </xf>
    <xf numFmtId="0" fontId="93" fillId="23" borderId="26" xfId="0" applyFont="1" applyFill="1" applyBorder="1" applyAlignment="1" applyProtection="1">
      <alignment horizontal="center" vertical="center" shrinkToFit="1"/>
      <protection hidden="1"/>
    </xf>
    <xf numFmtId="0" fontId="93" fillId="23" borderId="37" xfId="0" applyFont="1" applyFill="1" applyBorder="1" applyAlignment="1" applyProtection="1">
      <alignment horizontal="center" vertical="center" shrinkToFit="1"/>
      <protection hidden="1"/>
    </xf>
    <xf numFmtId="0" fontId="93" fillId="23" borderId="27" xfId="0" applyFont="1" applyFill="1" applyBorder="1" applyAlignment="1" applyProtection="1">
      <alignment horizontal="center" vertical="center" shrinkToFit="1"/>
      <protection hidden="1"/>
    </xf>
    <xf numFmtId="0" fontId="8" fillId="6" borderId="0" xfId="0" applyFont="1" applyFill="1" applyBorder="1" applyAlignment="1" applyProtection="1">
      <alignment horizontal="left" vertical="top" wrapText="1"/>
      <protection hidden="1"/>
    </xf>
    <xf numFmtId="0" fontId="58" fillId="6" borderId="0" xfId="0" applyFont="1" applyFill="1" applyBorder="1" applyAlignment="1" applyProtection="1">
      <alignment horizontal="left" vertical="top" wrapText="1"/>
      <protection hidden="1"/>
    </xf>
    <xf numFmtId="0" fontId="94" fillId="23" borderId="0" xfId="0" applyFont="1" applyFill="1" applyBorder="1" applyAlignment="1" applyProtection="1">
      <alignment horizontal="center" vertical="center" textRotation="255"/>
      <protection hidden="1"/>
    </xf>
    <xf numFmtId="0" fontId="55" fillId="6" borderId="0" xfId="0" applyFont="1" applyFill="1" applyBorder="1" applyAlignment="1" applyProtection="1">
      <alignment horizontal="left" vertical="top" wrapText="1"/>
      <protection hidden="1"/>
    </xf>
    <xf numFmtId="0" fontId="96" fillId="23" borderId="0" xfId="0" applyFont="1" applyFill="1" applyBorder="1" applyAlignment="1" applyProtection="1">
      <alignment horizontal="center" vertical="center" textRotation="90"/>
      <protection hidden="1"/>
    </xf>
    <xf numFmtId="0" fontId="95" fillId="23" borderId="0" xfId="0" applyFont="1" applyFill="1" applyBorder="1" applyAlignment="1" applyProtection="1">
      <alignment horizontal="center" vertical="center" textRotation="255"/>
      <protection hidden="1"/>
    </xf>
    <xf numFmtId="0" fontId="56" fillId="16" borderId="1" xfId="0" applyFont="1" applyFill="1" applyBorder="1" applyAlignment="1" applyProtection="1">
      <alignment horizontal="center"/>
      <protection hidden="1"/>
    </xf>
    <xf numFmtId="0" fontId="79" fillId="7" borderId="0" xfId="0" applyFont="1" applyFill="1" applyBorder="1" applyAlignment="1" applyProtection="1">
      <alignment horizontal="left" vertical="center" textRotation="90"/>
      <protection hidden="1"/>
    </xf>
    <xf numFmtId="0" fontId="31" fillId="7" borderId="0" xfId="0" applyFont="1" applyFill="1" applyBorder="1" applyAlignment="1" applyProtection="1">
      <alignment horizontal="left" vertical="center" textRotation="90"/>
      <protection hidden="1"/>
    </xf>
    <xf numFmtId="0" fontId="31" fillId="7" borderId="37" xfId="0" applyFont="1" applyFill="1" applyBorder="1" applyAlignment="1" applyProtection="1">
      <alignment horizontal="left" vertical="center" textRotation="90"/>
      <protection hidden="1"/>
    </xf>
    <xf numFmtId="0" fontId="98" fillId="0" borderId="38" xfId="0" applyFont="1" applyBorder="1" applyAlignment="1" applyProtection="1">
      <alignment horizontal="center"/>
      <protection hidden="1"/>
    </xf>
    <xf numFmtId="0" fontId="63" fillId="12" borderId="86" xfId="0" applyFont="1" applyFill="1" applyBorder="1" applyAlignment="1" applyProtection="1">
      <alignment horizontal="right" shrinkToFit="1"/>
      <protection hidden="1"/>
    </xf>
    <xf numFmtId="4" fontId="63" fillId="12" borderId="86" xfId="0" applyNumberFormat="1" applyFont="1" applyFill="1" applyBorder="1" applyAlignment="1" applyProtection="1">
      <alignment horizontal="left"/>
      <protection hidden="1"/>
    </xf>
    <xf numFmtId="0" fontId="56" fillId="12" borderId="9" xfId="0" applyFont="1" applyFill="1" applyBorder="1" applyAlignment="1" applyProtection="1">
      <alignment horizontal="center" vertical="center" shrinkToFit="1"/>
      <protection hidden="1"/>
    </xf>
    <xf numFmtId="0" fontId="56" fillId="12" borderId="8" xfId="0" applyFont="1" applyFill="1" applyBorder="1" applyAlignment="1" applyProtection="1">
      <alignment horizontal="center" vertical="center" shrinkToFit="1"/>
      <protection hidden="1"/>
    </xf>
    <xf numFmtId="4" fontId="63" fillId="12" borderId="85" xfId="0" applyNumberFormat="1" applyFont="1" applyFill="1" applyBorder="1" applyAlignment="1" applyProtection="1">
      <alignment horizontal="left"/>
      <protection hidden="1"/>
    </xf>
    <xf numFmtId="0" fontId="63" fillId="12" borderId="89" xfId="0" applyFont="1" applyFill="1" applyBorder="1" applyAlignment="1" applyProtection="1">
      <alignment horizontal="center" vertical="top" shrinkToFit="1"/>
      <protection hidden="1"/>
    </xf>
    <xf numFmtId="0" fontId="63" fillId="12" borderId="90" xfId="0" applyFont="1" applyFill="1" applyBorder="1" applyAlignment="1" applyProtection="1">
      <alignment horizontal="center" vertical="top" shrinkToFit="1"/>
      <protection hidden="1"/>
    </xf>
    <xf numFmtId="0" fontId="63" fillId="12" borderId="85" xfId="0" applyFont="1" applyFill="1" applyBorder="1" applyAlignment="1" applyProtection="1">
      <alignment horizontal="right" shrinkToFit="1"/>
      <protection hidden="1"/>
    </xf>
    <xf numFmtId="0" fontId="61" fillId="12" borderId="9" xfId="0" applyFont="1" applyFill="1" applyBorder="1" applyAlignment="1" applyProtection="1">
      <alignment horizontal="center" vertical="center" wrapText="1" shrinkToFit="1"/>
      <protection hidden="1"/>
    </xf>
    <xf numFmtId="0" fontId="61" fillId="12" borderId="8" xfId="0" applyFont="1" applyFill="1" applyBorder="1" applyAlignment="1" applyProtection="1">
      <alignment horizontal="center" vertical="center" wrapText="1" shrinkToFit="1"/>
      <protection hidden="1"/>
    </xf>
    <xf numFmtId="0" fontId="0" fillId="12" borderId="87" xfId="0" applyFill="1" applyBorder="1" applyAlignment="1" applyProtection="1">
      <alignment horizontal="center"/>
      <protection hidden="1"/>
    </xf>
    <xf numFmtId="4" fontId="62" fillId="12" borderId="87" xfId="0" applyNumberFormat="1" applyFont="1" applyFill="1" applyBorder="1" applyAlignment="1" applyProtection="1">
      <alignment horizontal="left"/>
      <protection hidden="1"/>
    </xf>
    <xf numFmtId="0" fontId="0" fillId="0" borderId="0" xfId="0" applyFill="1" applyBorder="1" applyAlignment="1" applyProtection="1">
      <alignment horizontal="center" vertical="center"/>
      <protection hidden="1"/>
    </xf>
    <xf numFmtId="0" fontId="46" fillId="0" borderId="0" xfId="0" applyFont="1" applyFill="1" applyBorder="1" applyAlignment="1" applyProtection="1">
      <alignment horizontal="center" vertical="center" wrapText="1"/>
      <protection hidden="1"/>
    </xf>
    <xf numFmtId="0" fontId="0" fillId="0" borderId="0" xfId="0" applyFill="1" applyBorder="1" applyAlignment="1" applyProtection="1">
      <alignment horizontal="center" vertical="center" wrapText="1"/>
      <protection locked="0" hidden="1"/>
    </xf>
    <xf numFmtId="0" fontId="63" fillId="0" borderId="0" xfId="0"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wrapText="1"/>
      <protection hidden="1"/>
    </xf>
    <xf numFmtId="0" fontId="63" fillId="4" borderId="8" xfId="0" applyFont="1" applyFill="1" applyBorder="1" applyAlignment="1" applyProtection="1">
      <alignment horizontal="center" vertical="center"/>
      <protection hidden="1"/>
    </xf>
    <xf numFmtId="2" fontId="55" fillId="0" borderId="8" xfId="0" applyNumberFormat="1" applyFont="1" applyFill="1" applyBorder="1" applyAlignment="1" applyProtection="1">
      <alignment horizontal="left" vertical="top" wrapText="1"/>
      <protection locked="0" hidden="1"/>
    </xf>
    <xf numFmtId="0" fontId="55" fillId="0" borderId="6" xfId="0" applyFont="1" applyFill="1" applyBorder="1" applyAlignment="1" applyProtection="1">
      <alignment horizontal="center" vertical="center" wrapText="1"/>
      <protection locked="0" hidden="1"/>
    </xf>
    <xf numFmtId="0" fontId="55" fillId="0" borderId="2" xfId="0" applyFont="1" applyFill="1" applyBorder="1" applyAlignment="1" applyProtection="1">
      <alignment horizontal="center" vertical="center" wrapText="1"/>
      <protection locked="0" hidden="1"/>
    </xf>
    <xf numFmtId="0" fontId="55" fillId="0" borderId="7" xfId="0" applyFont="1" applyFill="1" applyBorder="1" applyAlignment="1" applyProtection="1">
      <alignment horizontal="center" vertical="center" wrapText="1"/>
      <protection locked="0" hidden="1"/>
    </xf>
    <xf numFmtId="3" fontId="56" fillId="5" borderId="0" xfId="0" applyNumberFormat="1" applyFont="1" applyFill="1" applyBorder="1" applyAlignment="1" applyProtection="1">
      <alignment horizontal="center" vertical="center"/>
      <protection hidden="1"/>
    </xf>
    <xf numFmtId="0" fontId="56" fillId="5" borderId="0" xfId="0" applyFont="1" applyFill="1" applyBorder="1" applyAlignment="1" applyProtection="1">
      <alignment horizontal="center" vertical="center"/>
      <protection hidden="1"/>
    </xf>
    <xf numFmtId="2" fontId="63" fillId="4" borderId="8" xfId="0" applyNumberFormat="1" applyFont="1" applyFill="1" applyBorder="1" applyAlignment="1" applyProtection="1">
      <alignment horizontal="center" vertical="center"/>
      <protection hidden="1"/>
    </xf>
    <xf numFmtId="0" fontId="63" fillId="5" borderId="1" xfId="7" applyFont="1" applyFill="1" applyBorder="1" applyAlignment="1" applyProtection="1">
      <alignment horizontal="left"/>
      <protection hidden="1"/>
    </xf>
    <xf numFmtId="0" fontId="56" fillId="4" borderId="8" xfId="0" applyFont="1" applyFill="1" applyBorder="1" applyAlignment="1" applyProtection="1">
      <alignment horizontal="center" vertical="center"/>
      <protection hidden="1"/>
    </xf>
    <xf numFmtId="0" fontId="56" fillId="4" borderId="8" xfId="0" applyFont="1" applyFill="1" applyBorder="1" applyAlignment="1" applyProtection="1">
      <alignment horizontal="center" vertical="center" wrapText="1"/>
      <protection hidden="1"/>
    </xf>
    <xf numFmtId="3" fontId="56" fillId="4" borderId="8" xfId="0" applyNumberFormat="1" applyFont="1" applyFill="1" applyBorder="1" applyAlignment="1" applyProtection="1">
      <alignment horizontal="center" vertical="center"/>
      <protection hidden="1"/>
    </xf>
    <xf numFmtId="0" fontId="63" fillId="4" borderId="8" xfId="10" applyFont="1" applyFill="1" applyBorder="1" applyAlignment="1" applyProtection="1">
      <alignment horizontal="center" vertical="center" wrapText="1"/>
      <protection hidden="1"/>
    </xf>
    <xf numFmtId="0" fontId="63" fillId="5" borderId="6" xfId="7" applyFont="1" applyFill="1" applyBorder="1" applyAlignment="1" applyProtection="1">
      <alignment horizontal="left" vertical="center"/>
      <protection hidden="1"/>
    </xf>
    <xf numFmtId="0" fontId="63" fillId="5" borderId="7" xfId="7" applyFont="1" applyFill="1" applyBorder="1" applyAlignment="1" applyProtection="1">
      <alignment horizontal="left" vertical="center"/>
      <protection hidden="1"/>
    </xf>
    <xf numFmtId="9" fontId="63" fillId="5" borderId="8" xfId="7" applyNumberFormat="1" applyFont="1" applyFill="1" applyBorder="1" applyAlignment="1" applyProtection="1">
      <alignment horizontal="center" vertical="center"/>
      <protection hidden="1"/>
    </xf>
    <xf numFmtId="0" fontId="63" fillId="5" borderId="6" xfId="7" applyFont="1" applyFill="1" applyBorder="1" applyAlignment="1" applyProtection="1">
      <alignment horizontal="left" vertical="center"/>
      <protection locked="0"/>
    </xf>
    <xf numFmtId="0" fontId="63" fillId="5" borderId="7" xfId="7" applyFont="1" applyFill="1" applyBorder="1" applyAlignment="1" applyProtection="1">
      <alignment horizontal="left" vertical="center"/>
      <protection locked="0"/>
    </xf>
    <xf numFmtId="0" fontId="46" fillId="4" borderId="6" xfId="0" applyFont="1" applyFill="1" applyBorder="1" applyAlignment="1" applyProtection="1">
      <alignment horizontal="center" vertical="center" wrapText="1"/>
      <protection hidden="1"/>
    </xf>
    <xf numFmtId="0" fontId="46" fillId="4" borderId="7" xfId="0" applyFont="1" applyFill="1" applyBorder="1" applyAlignment="1" applyProtection="1">
      <alignment horizontal="center" vertical="center" wrapText="1"/>
      <protection hidden="1"/>
    </xf>
    <xf numFmtId="0" fontId="46" fillId="4" borderId="8" xfId="0" applyFont="1" applyFill="1" applyBorder="1" applyAlignment="1" applyProtection="1">
      <alignment horizontal="center" vertical="center" wrapText="1"/>
      <protection hidden="1"/>
    </xf>
    <xf numFmtId="0" fontId="55" fillId="5" borderId="0" xfId="7" applyFont="1" applyFill="1" applyBorder="1" applyAlignment="1" applyProtection="1">
      <alignment horizontal="left" vertical="center" wrapText="1"/>
      <protection hidden="1"/>
    </xf>
    <xf numFmtId="0" fontId="63" fillId="26" borderId="8" xfId="12" applyFont="1" applyBorder="1" applyAlignment="1" applyProtection="1">
      <alignment horizontal="left" vertical="center" wrapText="1"/>
      <protection locked="0"/>
    </xf>
    <xf numFmtId="0" fontId="46" fillId="4" borderId="35" xfId="0" applyFont="1" applyFill="1" applyBorder="1" applyAlignment="1" applyProtection="1">
      <alignment horizontal="center" vertical="center" wrapText="1"/>
      <protection hidden="1"/>
    </xf>
    <xf numFmtId="0" fontId="46" fillId="4" borderId="28" xfId="0" applyFont="1" applyFill="1" applyBorder="1" applyAlignment="1" applyProtection="1">
      <alignment horizontal="center" vertical="center" wrapText="1"/>
      <protection hidden="1"/>
    </xf>
    <xf numFmtId="0" fontId="51" fillId="4" borderId="28" xfId="0" applyFont="1" applyFill="1" applyBorder="1" applyAlignment="1" applyProtection="1">
      <alignment horizontal="center" vertical="center" wrapText="1"/>
      <protection hidden="1"/>
    </xf>
    <xf numFmtId="0" fontId="56" fillId="0" borderId="65" xfId="0" applyFont="1" applyBorder="1" applyAlignment="1" applyProtection="1">
      <alignment horizontal="center"/>
      <protection locked="0"/>
    </xf>
    <xf numFmtId="0" fontId="56" fillId="0" borderId="66" xfId="0" applyFont="1" applyBorder="1" applyAlignment="1" applyProtection="1">
      <alignment horizontal="center"/>
      <protection locked="0"/>
    </xf>
    <xf numFmtId="0" fontId="56" fillId="0" borderId="64" xfId="0" applyFont="1" applyBorder="1" applyAlignment="1" applyProtection="1">
      <alignment horizontal="center"/>
      <protection locked="0"/>
    </xf>
    <xf numFmtId="0" fontId="56" fillId="0" borderId="70" xfId="0" applyFont="1" applyBorder="1" applyAlignment="1" applyProtection="1">
      <alignment horizontal="center"/>
      <protection locked="0"/>
    </xf>
    <xf numFmtId="0" fontId="56" fillId="0" borderId="71" xfId="0" applyFont="1" applyBorder="1" applyAlignment="1" applyProtection="1">
      <alignment horizontal="center"/>
      <protection locked="0"/>
    </xf>
    <xf numFmtId="0" fontId="56" fillId="0" borderId="69" xfId="0" applyFont="1" applyBorder="1" applyAlignment="1" applyProtection="1">
      <alignment horizontal="center"/>
      <protection locked="0"/>
    </xf>
    <xf numFmtId="0" fontId="63" fillId="27" borderId="80" xfId="13" applyFont="1" applyBorder="1" applyAlignment="1" applyProtection="1">
      <alignment horizontal="right" shrinkToFit="1"/>
      <protection hidden="1"/>
    </xf>
    <xf numFmtId="0" fontId="63" fillId="27" borderId="81" xfId="13" applyFont="1" applyBorder="1" applyAlignment="1" applyProtection="1">
      <alignment horizontal="right" shrinkToFit="1"/>
      <protection hidden="1"/>
    </xf>
    <xf numFmtId="0" fontId="63" fillId="0" borderId="81" xfId="0" applyFont="1" applyBorder="1" applyAlignment="1" applyProtection="1">
      <alignment horizontal="center" shrinkToFit="1"/>
      <protection locked="0"/>
    </xf>
    <xf numFmtId="0" fontId="63" fillId="0" borderId="82" xfId="0" applyFont="1" applyBorder="1" applyAlignment="1" applyProtection="1">
      <alignment horizontal="center" shrinkToFit="1"/>
      <protection locked="0"/>
    </xf>
    <xf numFmtId="0" fontId="43" fillId="18" borderId="30" xfId="4" applyFont="1" applyFill="1" applyBorder="1" applyAlignment="1" applyProtection="1">
      <alignment horizontal="center" vertical="center" wrapText="1"/>
      <protection hidden="1"/>
    </xf>
    <xf numFmtId="0" fontId="100" fillId="0" borderId="67" xfId="0" applyFont="1" applyBorder="1" applyAlignment="1" applyProtection="1">
      <alignment horizontal="left"/>
      <protection locked="0"/>
    </xf>
    <xf numFmtId="0" fontId="100" fillId="0" borderId="13" xfId="0" applyFont="1" applyBorder="1" applyAlignment="1" applyProtection="1">
      <alignment horizontal="left"/>
      <protection locked="0"/>
    </xf>
    <xf numFmtId="0" fontId="100" fillId="0" borderId="68" xfId="0" applyFont="1" applyBorder="1" applyAlignment="1" applyProtection="1">
      <alignment horizontal="left"/>
      <protection locked="0"/>
    </xf>
    <xf numFmtId="0" fontId="30" fillId="18" borderId="30" xfId="4" applyFont="1" applyFill="1" applyBorder="1" applyAlignment="1" applyProtection="1">
      <alignment horizontal="center" vertical="center" wrapText="1"/>
      <protection hidden="1"/>
    </xf>
    <xf numFmtId="0" fontId="43" fillId="14" borderId="30" xfId="4" applyFont="1" applyFill="1" applyBorder="1" applyAlignment="1" applyProtection="1">
      <alignment horizontal="center" vertical="center" wrapText="1"/>
      <protection hidden="1"/>
    </xf>
    <xf numFmtId="0" fontId="46" fillId="19" borderId="30" xfId="4" applyFont="1" applyFill="1" applyBorder="1" applyAlignment="1" applyProtection="1">
      <alignment horizontal="center" vertical="center" wrapText="1"/>
      <protection hidden="1"/>
    </xf>
    <xf numFmtId="0" fontId="51" fillId="0" borderId="72" xfId="0" applyFont="1" applyBorder="1" applyAlignment="1" applyProtection="1">
      <alignment horizontal="center" vertical="center" wrapText="1" shrinkToFit="1"/>
      <protection locked="0"/>
    </xf>
    <xf numFmtId="0" fontId="51" fillId="0" borderId="73" xfId="0" applyFont="1" applyBorder="1" applyAlignment="1" applyProtection="1">
      <alignment horizontal="center" vertical="center" wrapText="1" shrinkToFit="1"/>
      <protection locked="0"/>
    </xf>
    <xf numFmtId="0" fontId="100" fillId="4" borderId="28" xfId="0" applyFont="1" applyFill="1" applyBorder="1" applyAlignment="1" applyProtection="1">
      <alignment horizontal="center"/>
      <protection hidden="1"/>
    </xf>
    <xf numFmtId="0" fontId="56" fillId="4" borderId="28" xfId="0" applyFont="1" applyFill="1" applyBorder="1" applyAlignment="1" applyProtection="1">
      <alignment horizontal="center"/>
      <protection hidden="1"/>
    </xf>
    <xf numFmtId="0" fontId="56" fillId="4" borderId="28" xfId="0" applyFont="1" applyFill="1" applyBorder="1" applyAlignment="1" applyProtection="1">
      <alignment horizontal="right"/>
      <protection hidden="1"/>
    </xf>
    <xf numFmtId="0" fontId="63" fillId="27" borderId="74" xfId="13" applyFont="1" applyBorder="1" applyAlignment="1" applyProtection="1">
      <alignment horizontal="right" shrinkToFit="1"/>
      <protection hidden="1"/>
    </xf>
    <xf numFmtId="0" fontId="63" fillId="27" borderId="75" xfId="13" applyFont="1" applyBorder="1" applyAlignment="1" applyProtection="1">
      <alignment horizontal="right" shrinkToFit="1"/>
      <protection hidden="1"/>
    </xf>
    <xf numFmtId="0" fontId="63" fillId="0" borderId="75" xfId="0" applyFont="1" applyBorder="1" applyAlignment="1" applyProtection="1">
      <alignment horizontal="center" shrinkToFit="1"/>
      <protection locked="0"/>
    </xf>
    <xf numFmtId="0" fontId="63" fillId="0" borderId="76" xfId="0" applyFont="1" applyBorder="1" applyAlignment="1" applyProtection="1">
      <alignment horizontal="center" shrinkToFit="1"/>
      <protection locked="0"/>
    </xf>
    <xf numFmtId="0" fontId="63" fillId="27" borderId="77" xfId="13" applyFont="1" applyBorder="1" applyAlignment="1" applyProtection="1">
      <alignment horizontal="right" shrinkToFit="1"/>
      <protection hidden="1"/>
    </xf>
    <xf numFmtId="0" fontId="63" fillId="27" borderId="78" xfId="13" applyFont="1" applyBorder="1" applyAlignment="1" applyProtection="1">
      <alignment horizontal="right" shrinkToFit="1"/>
      <protection hidden="1"/>
    </xf>
    <xf numFmtId="0" fontId="63" fillId="0" borderId="78" xfId="0" applyFont="1" applyBorder="1" applyAlignment="1" applyProtection="1">
      <alignment horizontal="center" shrinkToFit="1"/>
      <protection locked="0"/>
    </xf>
    <xf numFmtId="0" fontId="63" fillId="0" borderId="79" xfId="0" applyFont="1" applyBorder="1" applyAlignment="1" applyProtection="1">
      <alignment horizontal="center" shrinkToFit="1"/>
      <protection locked="0"/>
    </xf>
    <xf numFmtId="0" fontId="63" fillId="4" borderId="13" xfId="0" applyFont="1" applyFill="1" applyBorder="1" applyAlignment="1" applyProtection="1">
      <alignment horizontal="center" vertical="center"/>
      <protection hidden="1"/>
    </xf>
    <xf numFmtId="0" fontId="65" fillId="5" borderId="0" xfId="0" applyFont="1" applyFill="1" applyAlignment="1" applyProtection="1">
      <alignment horizontal="center"/>
      <protection hidden="1"/>
    </xf>
    <xf numFmtId="0" fontId="63" fillId="4" borderId="31" xfId="0" applyFont="1" applyFill="1" applyBorder="1" applyAlignment="1" applyProtection="1">
      <alignment horizontal="right"/>
      <protection hidden="1"/>
    </xf>
    <xf numFmtId="0" fontId="100" fillId="0" borderId="64" xfId="0" applyFont="1" applyBorder="1" applyAlignment="1" applyProtection="1">
      <alignment horizontal="left"/>
      <protection locked="0"/>
    </xf>
    <xf numFmtId="0" fontId="100" fillId="0" borderId="65" xfId="0" applyFont="1" applyBorder="1" applyAlignment="1" applyProtection="1">
      <alignment horizontal="left"/>
      <protection locked="0"/>
    </xf>
    <xf numFmtId="0" fontId="100" fillId="0" borderId="66" xfId="0" applyFont="1" applyBorder="1" applyAlignment="1" applyProtection="1">
      <alignment horizontal="left"/>
      <protection locked="0"/>
    </xf>
    <xf numFmtId="0" fontId="63" fillId="4" borderId="32" xfId="0" applyFont="1" applyFill="1" applyBorder="1" applyAlignment="1" applyProtection="1">
      <alignment horizontal="right"/>
      <protection hidden="1"/>
    </xf>
    <xf numFmtId="0" fontId="56" fillId="4" borderId="8" xfId="2" applyFont="1" applyFill="1" applyBorder="1" applyAlignment="1" applyProtection="1">
      <alignment horizontal="center" vertical="center" wrapText="1"/>
      <protection hidden="1"/>
    </xf>
    <xf numFmtId="0" fontId="56" fillId="4" borderId="8" xfId="2" applyFont="1" applyFill="1" applyBorder="1" applyAlignment="1" applyProtection="1">
      <alignment horizontal="center"/>
      <protection hidden="1"/>
    </xf>
    <xf numFmtId="0" fontId="56" fillId="2" borderId="8" xfId="2" applyFont="1" applyFill="1" applyBorder="1" applyAlignment="1" applyProtection="1">
      <alignment horizontal="center"/>
      <protection locked="0"/>
    </xf>
    <xf numFmtId="0" fontId="63" fillId="5" borderId="6" xfId="7" applyFont="1" applyFill="1" applyBorder="1" applyAlignment="1" applyProtection="1">
      <alignment horizontal="center"/>
      <protection hidden="1"/>
    </xf>
    <xf numFmtId="0" fontId="63" fillId="5" borderId="2" xfId="7" applyFont="1" applyFill="1" applyBorder="1" applyAlignment="1" applyProtection="1">
      <alignment horizontal="center"/>
      <protection hidden="1"/>
    </xf>
    <xf numFmtId="0" fontId="63" fillId="5" borderId="7" xfId="7" applyFont="1" applyFill="1" applyBorder="1" applyAlignment="1" applyProtection="1">
      <alignment horizontal="center"/>
      <protection hidden="1"/>
    </xf>
    <xf numFmtId="0" fontId="63" fillId="5" borderId="12" xfId="7" applyFont="1" applyFill="1" applyBorder="1" applyAlignment="1" applyProtection="1">
      <alignment horizontal="center"/>
      <protection hidden="1"/>
    </xf>
    <xf numFmtId="0" fontId="63" fillId="5" borderId="0" xfId="7" applyFont="1" applyFill="1" applyBorder="1" applyAlignment="1" applyProtection="1">
      <alignment horizontal="center"/>
      <protection hidden="1"/>
    </xf>
    <xf numFmtId="0" fontId="63" fillId="5" borderId="8" xfId="7" applyFont="1" applyFill="1" applyBorder="1" applyAlignment="1" applyProtection="1">
      <alignment horizontal="center" vertical="center" wrapText="1"/>
      <protection hidden="1"/>
    </xf>
    <xf numFmtId="0" fontId="63" fillId="5" borderId="8" xfId="7" applyFont="1" applyFill="1" applyBorder="1" applyAlignment="1" applyProtection="1">
      <alignment horizontal="center" vertical="center"/>
      <protection hidden="1"/>
    </xf>
    <xf numFmtId="9" fontId="63" fillId="5" borderId="8" xfId="7" applyNumberFormat="1" applyFont="1" applyFill="1" applyBorder="1" applyAlignment="1" applyProtection="1">
      <alignment horizontal="center"/>
      <protection hidden="1"/>
    </xf>
    <xf numFmtId="0" fontId="56" fillId="4" borderId="8" xfId="7" applyFont="1" applyFill="1" applyBorder="1" applyAlignment="1" applyProtection="1">
      <alignment horizontal="center" vertical="center"/>
      <protection hidden="1"/>
    </xf>
    <xf numFmtId="0" fontId="56" fillId="4" borderId="8" xfId="10" applyFont="1" applyFill="1" applyBorder="1" applyAlignment="1" applyProtection="1">
      <alignment horizontal="center"/>
      <protection hidden="1"/>
    </xf>
    <xf numFmtId="0" fontId="56" fillId="4" borderId="8" xfId="7" applyFont="1" applyFill="1" applyBorder="1" applyAlignment="1" applyProtection="1">
      <alignment horizontal="center"/>
      <protection locked="0"/>
    </xf>
    <xf numFmtId="49" fontId="56" fillId="4" borderId="8" xfId="2" applyNumberFormat="1" applyFont="1" applyFill="1" applyBorder="1" applyAlignment="1" applyProtection="1">
      <alignment horizontal="center" vertical="center" wrapText="1"/>
      <protection hidden="1"/>
    </xf>
    <xf numFmtId="0" fontId="63" fillId="5" borderId="1" xfId="7" applyFont="1" applyFill="1" applyBorder="1" applyAlignment="1" applyProtection="1">
      <alignment horizontal="left" vertical="center" wrapText="1"/>
      <protection hidden="1"/>
    </xf>
    <xf numFmtId="0" fontId="56" fillId="4" borderId="6" xfId="2" applyFont="1" applyFill="1" applyBorder="1" applyAlignment="1" applyProtection="1">
      <alignment horizontal="center"/>
      <protection hidden="1"/>
    </xf>
    <xf numFmtId="0" fontId="56" fillId="4" borderId="2" xfId="2" applyFont="1" applyFill="1" applyBorder="1" applyAlignment="1" applyProtection="1">
      <alignment horizontal="center"/>
      <protection hidden="1"/>
    </xf>
    <xf numFmtId="0" fontId="56" fillId="4" borderId="7" xfId="2" applyFont="1" applyFill="1" applyBorder="1" applyAlignment="1" applyProtection="1">
      <alignment horizontal="center"/>
      <protection hidden="1"/>
    </xf>
    <xf numFmtId="0" fontId="56" fillId="4" borderId="6" xfId="2" applyFont="1" applyFill="1" applyBorder="1" applyAlignment="1" applyProtection="1">
      <alignment horizontal="center" vertical="center"/>
      <protection hidden="1"/>
    </xf>
    <xf numFmtId="0" fontId="56" fillId="4" borderId="2" xfId="2" applyFont="1" applyFill="1" applyBorder="1" applyAlignment="1" applyProtection="1">
      <alignment horizontal="center" vertical="center"/>
      <protection hidden="1"/>
    </xf>
    <xf numFmtId="0" fontId="56" fillId="4" borderId="7" xfId="2" applyFont="1" applyFill="1" applyBorder="1" applyAlignment="1" applyProtection="1">
      <alignment horizontal="center" vertical="center"/>
      <protection hidden="1"/>
    </xf>
    <xf numFmtId="0" fontId="56" fillId="5" borderId="0" xfId="2" applyFont="1" applyFill="1" applyBorder="1" applyAlignment="1" applyProtection="1">
      <alignment horizontal="center" vertical="center" wrapText="1"/>
      <protection hidden="1"/>
    </xf>
    <xf numFmtId="0" fontId="63" fillId="4" borderId="8" xfId="2" applyFont="1" applyFill="1" applyBorder="1" applyAlignment="1" applyProtection="1">
      <alignment horizontal="center" vertical="center" wrapText="1"/>
      <protection hidden="1"/>
    </xf>
    <xf numFmtId="0" fontId="63" fillId="0" borderId="8" xfId="0" applyFont="1" applyBorder="1" applyAlignment="1" applyProtection="1">
      <alignment horizontal="left" vertical="center" wrapText="1"/>
      <protection locked="0"/>
    </xf>
    <xf numFmtId="0" fontId="63" fillId="0" borderId="6" xfId="0" applyFont="1" applyFill="1" applyBorder="1" applyAlignment="1" applyProtection="1">
      <alignment horizontal="left" vertical="center" wrapText="1"/>
      <protection locked="0"/>
    </xf>
    <xf numFmtId="0" fontId="63" fillId="0" borderId="2" xfId="0" applyFont="1" applyFill="1" applyBorder="1" applyAlignment="1" applyProtection="1">
      <alignment horizontal="left" vertical="center" wrapText="1"/>
      <protection locked="0"/>
    </xf>
    <xf numFmtId="0" fontId="63" fillId="0" borderId="7" xfId="0" applyFont="1" applyFill="1" applyBorder="1" applyAlignment="1" applyProtection="1">
      <alignment horizontal="left" vertical="center" wrapText="1"/>
      <protection locked="0"/>
    </xf>
    <xf numFmtId="0" fontId="67" fillId="0" borderId="67" xfId="0" applyFont="1" applyBorder="1" applyAlignment="1" applyProtection="1">
      <alignment horizontal="left"/>
      <protection locked="0"/>
    </xf>
    <xf numFmtId="0" fontId="67" fillId="0" borderId="13" xfId="0" applyFont="1" applyBorder="1" applyAlignment="1" applyProtection="1">
      <alignment horizontal="left"/>
      <protection locked="0"/>
    </xf>
    <xf numFmtId="0" fontId="67" fillId="0" borderId="68" xfId="0" applyFont="1" applyBorder="1" applyAlignment="1" applyProtection="1">
      <alignment horizontal="left"/>
      <protection locked="0"/>
    </xf>
    <xf numFmtId="0" fontId="100" fillId="0" borderId="69" xfId="0" applyFont="1" applyBorder="1" applyAlignment="1" applyProtection="1">
      <alignment horizontal="left"/>
      <protection locked="0"/>
    </xf>
    <xf numFmtId="0" fontId="100" fillId="0" borderId="70" xfId="0" applyFont="1" applyBorder="1" applyAlignment="1" applyProtection="1">
      <alignment horizontal="left"/>
      <protection locked="0"/>
    </xf>
    <xf numFmtId="0" fontId="100" fillId="0" borderId="71" xfId="0" applyFont="1" applyBorder="1" applyAlignment="1" applyProtection="1">
      <alignment horizontal="left"/>
      <protection locked="0"/>
    </xf>
    <xf numFmtId="0" fontId="63" fillId="5" borderId="0" xfId="7" applyFont="1" applyFill="1" applyBorder="1" applyAlignment="1" applyProtection="1">
      <alignment horizontal="left" vertical="center" wrapText="1"/>
      <protection hidden="1"/>
    </xf>
    <xf numFmtId="0" fontId="63" fillId="5" borderId="0" xfId="7" applyFont="1" applyFill="1" applyBorder="1" applyAlignment="1" applyProtection="1">
      <alignment horizontal="left" vertical="center"/>
      <protection hidden="1"/>
    </xf>
    <xf numFmtId="0" fontId="63" fillId="28" borderId="8" xfId="0" applyFont="1" applyFill="1" applyBorder="1" applyAlignment="1" applyProtection="1">
      <alignment horizontal="center"/>
      <protection hidden="1"/>
    </xf>
    <xf numFmtId="0" fontId="61" fillId="4" borderId="8" xfId="0" applyFont="1" applyFill="1" applyBorder="1" applyAlignment="1" applyProtection="1">
      <alignment horizontal="center" vertical="center" wrapText="1"/>
      <protection hidden="1"/>
    </xf>
    <xf numFmtId="0" fontId="63" fillId="26" borderId="8" xfId="12" applyFont="1" applyBorder="1" applyAlignment="1" applyProtection="1">
      <alignment horizontal="left" vertical="center"/>
      <protection hidden="1"/>
    </xf>
    <xf numFmtId="4" fontId="63" fillId="0" borderId="8" xfId="0" applyNumberFormat="1" applyFont="1" applyBorder="1" applyAlignment="1" applyProtection="1">
      <alignment horizontal="right" vertical="center"/>
      <protection locked="0"/>
    </xf>
    <xf numFmtId="0" fontId="63" fillId="4" borderId="8" xfId="0" applyFont="1" applyFill="1" applyBorder="1" applyAlignment="1" applyProtection="1">
      <alignment horizontal="center"/>
      <protection hidden="1"/>
    </xf>
    <xf numFmtId="0" fontId="63" fillId="7" borderId="0" xfId="10" applyFont="1" applyFill="1" applyAlignment="1" applyProtection="1">
      <alignment horizontal="left" vertical="center" wrapText="1"/>
      <protection hidden="1"/>
    </xf>
    <xf numFmtId="0" fontId="63" fillId="5" borderId="0" xfId="7" applyFont="1" applyFill="1" applyBorder="1" applyAlignment="1" applyProtection="1">
      <alignment horizontal="center" vertical="center" wrapText="1"/>
      <protection hidden="1"/>
    </xf>
    <xf numFmtId="0" fontId="63" fillId="5" borderId="0" xfId="7" applyFont="1" applyFill="1" applyBorder="1" applyAlignment="1" applyProtection="1">
      <alignment horizontal="left"/>
      <protection hidden="1"/>
    </xf>
    <xf numFmtId="0" fontId="63" fillId="5" borderId="0" xfId="7" applyFont="1" applyFill="1" applyBorder="1" applyAlignment="1" applyProtection="1">
      <alignment horizontal="center" wrapText="1"/>
      <protection hidden="1"/>
    </xf>
    <xf numFmtId="0" fontId="63" fillId="4" borderId="33" xfId="0" applyFont="1" applyFill="1" applyBorder="1" applyAlignment="1" applyProtection="1">
      <alignment horizontal="right"/>
      <protection hidden="1"/>
    </xf>
    <xf numFmtId="0" fontId="56" fillId="0" borderId="0" xfId="0" applyFont="1" applyFill="1" applyBorder="1" applyAlignment="1" applyProtection="1">
      <alignment horizontal="left"/>
      <protection hidden="1"/>
    </xf>
    <xf numFmtId="1" fontId="63" fillId="0" borderId="0" xfId="0" applyNumberFormat="1" applyFont="1" applyFill="1" applyBorder="1" applyAlignment="1" applyProtection="1">
      <alignment horizontal="center" vertical="center"/>
      <protection hidden="1"/>
    </xf>
    <xf numFmtId="10" fontId="63" fillId="0" borderId="0" xfId="0" applyNumberFormat="1" applyFont="1" applyFill="1" applyBorder="1" applyAlignment="1" applyProtection="1">
      <alignment horizontal="center" vertical="center"/>
      <protection hidden="1"/>
    </xf>
    <xf numFmtId="0" fontId="56" fillId="0" borderId="0" xfId="0" applyFont="1" applyFill="1" applyBorder="1" applyAlignment="1" applyProtection="1">
      <alignment horizontal="center" vertical="center"/>
      <protection hidden="1"/>
    </xf>
    <xf numFmtId="0" fontId="56" fillId="0" borderId="0" xfId="0" applyFont="1" applyFill="1" applyBorder="1" applyProtection="1">
      <protection hidden="1"/>
    </xf>
    <xf numFmtId="0" fontId="56" fillId="0" borderId="0" xfId="0" applyFont="1" applyFill="1" applyBorder="1" applyAlignment="1" applyProtection="1">
      <alignment horizontal="center" vertical="center" wrapText="1"/>
      <protection hidden="1"/>
    </xf>
    <xf numFmtId="49" fontId="56" fillId="0" borderId="0" xfId="0" applyNumberFormat="1" applyFont="1" applyFill="1" applyBorder="1" applyAlignment="1" applyProtection="1">
      <alignment horizontal="center" vertical="center" wrapText="1"/>
      <protection hidden="1"/>
    </xf>
    <xf numFmtId="0" fontId="56" fillId="0" borderId="0" xfId="0" applyFont="1" applyFill="1" applyBorder="1" applyAlignment="1" applyProtection="1">
      <alignment horizontal="left" vertical="top" wrapText="1"/>
      <protection hidden="1"/>
    </xf>
    <xf numFmtId="0" fontId="46" fillId="4" borderId="8" xfId="0" applyFont="1" applyFill="1" applyBorder="1" applyAlignment="1" applyProtection="1">
      <alignment horizontal="center"/>
      <protection hidden="1"/>
    </xf>
    <xf numFmtId="0" fontId="63" fillId="0" borderId="0" xfId="0" applyFont="1" applyFill="1" applyBorder="1" applyAlignment="1" applyProtection="1">
      <alignment horizontal="left" vertical="center"/>
      <protection hidden="1"/>
    </xf>
    <xf numFmtId="0" fontId="56" fillId="0" borderId="0" xfId="0" applyFont="1" applyFill="1" applyBorder="1" applyAlignment="1" applyProtection="1">
      <alignment horizontal="center"/>
      <protection hidden="1"/>
    </xf>
    <xf numFmtId="0" fontId="56" fillId="4" borderId="10" xfId="0" applyFont="1" applyFill="1" applyBorder="1" applyAlignment="1" applyProtection="1">
      <alignment horizontal="center" vertical="center"/>
      <protection hidden="1"/>
    </xf>
    <xf numFmtId="0" fontId="56" fillId="4" borderId="9" xfId="0" applyFont="1" applyFill="1" applyBorder="1" applyAlignment="1" applyProtection="1">
      <alignment horizontal="center" vertical="center"/>
      <protection hidden="1"/>
    </xf>
    <xf numFmtId="0" fontId="63" fillId="26" borderId="8" xfId="12" applyFont="1" applyBorder="1" applyAlignment="1" applyProtection="1">
      <alignment horizontal="center"/>
      <protection hidden="1"/>
    </xf>
    <xf numFmtId="0" fontId="56" fillId="4" borderId="6" xfId="0" applyFont="1" applyFill="1" applyBorder="1" applyAlignment="1" applyProtection="1">
      <alignment horizontal="center"/>
      <protection hidden="1"/>
    </xf>
    <xf numFmtId="0" fontId="56" fillId="4" borderId="7" xfId="0" applyFont="1" applyFill="1" applyBorder="1" applyAlignment="1" applyProtection="1">
      <alignment horizontal="center"/>
      <protection hidden="1"/>
    </xf>
    <xf numFmtId="0" fontId="56" fillId="4" borderId="8" xfId="0" applyFont="1" applyFill="1" applyBorder="1" applyAlignment="1" applyProtection="1">
      <alignment horizontal="center"/>
      <protection hidden="1"/>
    </xf>
    <xf numFmtId="0" fontId="63" fillId="0" borderId="6" xfId="0" applyFont="1" applyBorder="1" applyAlignment="1" applyProtection="1">
      <alignment horizontal="center" vertical="center"/>
      <protection locked="0"/>
    </xf>
    <xf numFmtId="0" fontId="63" fillId="0" borderId="7" xfId="0" applyFont="1" applyBorder="1" applyAlignment="1" applyProtection="1">
      <alignment horizontal="center" vertical="center"/>
      <protection locked="0"/>
    </xf>
    <xf numFmtId="0" fontId="56" fillId="4" borderId="3" xfId="0" applyFont="1" applyFill="1" applyBorder="1" applyAlignment="1" applyProtection="1">
      <alignment horizontal="center" vertical="center"/>
      <protection hidden="1"/>
    </xf>
    <xf numFmtId="0" fontId="56" fillId="4" borderId="11" xfId="0" applyFont="1" applyFill="1" applyBorder="1" applyAlignment="1" applyProtection="1">
      <alignment horizontal="center" vertical="center"/>
      <protection hidden="1"/>
    </xf>
    <xf numFmtId="0" fontId="56" fillId="4" borderId="4" xfId="0" applyFont="1" applyFill="1" applyBorder="1" applyAlignment="1" applyProtection="1">
      <alignment horizontal="center" vertical="center"/>
      <protection hidden="1"/>
    </xf>
    <xf numFmtId="0" fontId="56" fillId="4" borderId="5" xfId="0" applyFont="1" applyFill="1" applyBorder="1" applyAlignment="1" applyProtection="1">
      <alignment horizontal="center" vertical="center"/>
      <protection hidden="1"/>
    </xf>
    <xf numFmtId="0" fontId="56" fillId="4" borderId="1" xfId="0" applyFont="1" applyFill="1" applyBorder="1" applyAlignment="1" applyProtection="1">
      <alignment horizontal="center" vertical="center"/>
      <protection hidden="1"/>
    </xf>
    <xf numFmtId="0" fontId="56" fillId="4" borderId="19" xfId="0" applyFont="1" applyFill="1" applyBorder="1" applyAlignment="1" applyProtection="1">
      <alignment horizontal="center" vertical="center"/>
      <protection hidden="1"/>
    </xf>
    <xf numFmtId="0" fontId="56" fillId="4" borderId="8" xfId="12" applyFont="1" applyFill="1" applyBorder="1" applyAlignment="1" applyProtection="1">
      <alignment horizontal="center"/>
      <protection hidden="1"/>
    </xf>
    <xf numFmtId="0" fontId="56" fillId="4" borderId="43" xfId="0" applyFont="1" applyFill="1" applyBorder="1" applyAlignment="1" applyProtection="1">
      <alignment horizontal="center"/>
      <protection hidden="1"/>
    </xf>
    <xf numFmtId="0" fontId="56" fillId="4" borderId="46" xfId="0" applyFont="1" applyFill="1" applyBorder="1" applyAlignment="1" applyProtection="1">
      <alignment horizontal="center"/>
      <protection hidden="1"/>
    </xf>
    <xf numFmtId="0" fontId="56" fillId="4" borderId="47" xfId="0" applyFont="1" applyFill="1" applyBorder="1" applyAlignment="1" applyProtection="1">
      <alignment horizontal="center"/>
      <protection hidden="1"/>
    </xf>
    <xf numFmtId="0" fontId="63" fillId="0" borderId="0" xfId="0" applyFont="1" applyFill="1" applyBorder="1" applyAlignment="1" applyProtection="1">
      <alignment horizontal="left" vertical="center"/>
      <protection locked="0"/>
    </xf>
    <xf numFmtId="9" fontId="63" fillId="0" borderId="0" xfId="7" applyNumberFormat="1" applyFont="1" applyFill="1" applyBorder="1" applyAlignment="1" applyProtection="1">
      <alignment horizontal="center" vertical="center"/>
      <protection hidden="1"/>
    </xf>
    <xf numFmtId="0" fontId="119" fillId="4" borderId="28" xfId="0" applyFont="1" applyFill="1" applyBorder="1" applyAlignment="1" applyProtection="1">
      <alignment horizontal="center" vertical="center" wrapText="1"/>
      <protection hidden="1"/>
    </xf>
    <xf numFmtId="0" fontId="51" fillId="4" borderId="43" xfId="0" applyFont="1" applyFill="1" applyBorder="1" applyAlignment="1" applyProtection="1">
      <alignment horizontal="center" vertical="center" wrapText="1"/>
      <protection hidden="1"/>
    </xf>
    <xf numFmtId="0" fontId="61" fillId="4" borderId="28" xfId="0" applyFont="1" applyFill="1" applyBorder="1" applyAlignment="1" applyProtection="1">
      <alignment horizontal="center" vertical="center" wrapText="1"/>
      <protection hidden="1"/>
    </xf>
    <xf numFmtId="0" fontId="63" fillId="26" borderId="6" xfId="12" applyFont="1" applyBorder="1" applyAlignment="1" applyProtection="1">
      <alignment horizontal="left"/>
      <protection hidden="1"/>
    </xf>
    <xf numFmtId="0" fontId="63" fillId="26" borderId="7" xfId="12" applyFont="1" applyBorder="1" applyAlignment="1" applyProtection="1">
      <alignment horizontal="left"/>
      <protection hidden="1"/>
    </xf>
    <xf numFmtId="0" fontId="56" fillId="5" borderId="0" xfId="2" applyFont="1" applyFill="1" applyBorder="1" applyAlignment="1" applyProtection="1">
      <alignment horizontal="center"/>
      <protection hidden="1"/>
    </xf>
    <xf numFmtId="0" fontId="56" fillId="5" borderId="0" xfId="2" applyFont="1" applyFill="1" applyBorder="1" applyAlignment="1" applyProtection="1">
      <alignment horizontal="center" vertical="center"/>
      <protection hidden="1"/>
    </xf>
    <xf numFmtId="0" fontId="2" fillId="27" borderId="8" xfId="13" applyFont="1" applyBorder="1" applyAlignment="1" applyProtection="1">
      <alignment horizontal="center" vertical="center"/>
      <protection hidden="1"/>
    </xf>
    <xf numFmtId="0" fontId="63" fillId="0" borderId="8" xfId="1" applyNumberFormat="1" applyFont="1" applyFill="1" applyBorder="1" applyAlignment="1" applyProtection="1">
      <alignment horizontal="left" vertical="center" shrinkToFit="1"/>
      <protection locked="0"/>
    </xf>
    <xf numFmtId="0" fontId="63" fillId="0" borderId="8" xfId="0" applyFont="1" applyFill="1" applyBorder="1" applyAlignment="1" applyProtection="1">
      <alignment horizontal="left" vertical="center" shrinkToFit="1"/>
      <protection locked="0"/>
    </xf>
    <xf numFmtId="0" fontId="58" fillId="0" borderId="8" xfId="0" applyFont="1" applyFill="1" applyBorder="1" applyAlignment="1" applyProtection="1">
      <alignment horizontal="left" vertical="center" shrinkToFit="1"/>
      <protection locked="0"/>
    </xf>
    <xf numFmtId="4" fontId="63" fillId="0" borderId="8" xfId="1" applyNumberFormat="1" applyFont="1" applyFill="1" applyBorder="1" applyAlignment="1" applyProtection="1">
      <alignment horizontal="left" vertical="center" shrinkToFit="1"/>
      <protection locked="0"/>
    </xf>
    <xf numFmtId="0" fontId="100" fillId="0" borderId="6" xfId="0" applyFont="1" applyFill="1" applyBorder="1" applyAlignment="1" applyProtection="1">
      <alignment horizontal="center" vertical="center" shrinkToFit="1"/>
      <protection hidden="1"/>
    </xf>
    <xf numFmtId="0" fontId="100" fillId="0" borderId="2" xfId="0" applyFont="1" applyFill="1" applyBorder="1" applyAlignment="1" applyProtection="1">
      <alignment horizontal="center" vertical="center" shrinkToFit="1"/>
      <protection hidden="1"/>
    </xf>
    <xf numFmtId="0" fontId="100" fillId="0" borderId="7" xfId="0" applyFont="1" applyFill="1" applyBorder="1" applyAlignment="1" applyProtection="1">
      <alignment horizontal="center" vertical="center" shrinkToFit="1"/>
      <protection hidden="1"/>
    </xf>
    <xf numFmtId="0" fontId="56" fillId="0" borderId="0" xfId="0" applyFont="1" applyFill="1" applyBorder="1" applyAlignment="1" applyProtection="1">
      <alignment horizontal="left" vertical="center"/>
      <protection hidden="1"/>
    </xf>
    <xf numFmtId="0" fontId="60" fillId="0" borderId="8" xfId="0" applyFont="1" applyFill="1" applyBorder="1" applyAlignment="1" applyProtection="1">
      <alignment horizontal="left" vertical="center" shrinkToFit="1"/>
      <protection locked="0"/>
    </xf>
    <xf numFmtId="0" fontId="46" fillId="4" borderId="8" xfId="0" applyFont="1" applyFill="1" applyBorder="1" applyAlignment="1" applyProtection="1">
      <alignment horizontal="left" vertical="center" wrapText="1" shrinkToFit="1"/>
      <protection hidden="1"/>
    </xf>
    <xf numFmtId="0" fontId="56" fillId="4" borderId="8" xfId="0" applyFont="1" applyFill="1" applyBorder="1" applyAlignment="1" applyProtection="1">
      <alignment horizontal="left" vertical="center" wrapText="1" shrinkToFit="1"/>
      <protection hidden="1"/>
    </xf>
    <xf numFmtId="0" fontId="56" fillId="4" borderId="8" xfId="0" applyFont="1" applyFill="1" applyBorder="1" applyAlignment="1" applyProtection="1">
      <alignment horizontal="left" vertical="center"/>
      <protection hidden="1"/>
    </xf>
    <xf numFmtId="0" fontId="56" fillId="4" borderId="8" xfId="1" applyNumberFormat="1" applyFont="1" applyFill="1" applyBorder="1" applyAlignment="1" applyProtection="1">
      <alignment horizontal="left" vertical="center" shrinkToFit="1"/>
      <protection hidden="1"/>
    </xf>
    <xf numFmtId="9" fontId="46" fillId="4" borderId="8" xfId="1" applyFont="1" applyFill="1" applyBorder="1" applyAlignment="1" applyProtection="1">
      <alignment horizontal="left" vertical="center" wrapText="1"/>
      <protection hidden="1"/>
    </xf>
    <xf numFmtId="4" fontId="100" fillId="0" borderId="8" xfId="1" applyNumberFormat="1" applyFont="1" applyFill="1" applyBorder="1" applyAlignment="1" applyProtection="1">
      <alignment horizontal="center" vertical="center" shrinkToFit="1"/>
      <protection hidden="1"/>
    </xf>
    <xf numFmtId="0" fontId="63" fillId="5" borderId="0" xfId="7" applyFont="1" applyFill="1" applyAlignment="1" applyProtection="1">
      <alignment horizontal="left" vertical="center" wrapText="1"/>
      <protection hidden="1"/>
    </xf>
    <xf numFmtId="0" fontId="100" fillId="5" borderId="2" xfId="7" applyFont="1" applyFill="1" applyBorder="1" applyAlignment="1" applyProtection="1">
      <alignment horizontal="center"/>
      <protection hidden="1"/>
    </xf>
    <xf numFmtId="0" fontId="100" fillId="5" borderId="8" xfId="7" applyFont="1" applyFill="1" applyBorder="1" applyAlignment="1" applyProtection="1">
      <alignment horizontal="center"/>
      <protection hidden="1"/>
    </xf>
    <xf numFmtId="0" fontId="63" fillId="11" borderId="0" xfId="8" applyFont="1" applyAlignment="1" applyProtection="1">
      <alignment horizontal="left" vertical="center" wrapText="1"/>
      <protection hidden="1"/>
    </xf>
    <xf numFmtId="0" fontId="56" fillId="30" borderId="8" xfId="0" applyFont="1" applyFill="1" applyBorder="1" applyAlignment="1" applyProtection="1">
      <alignment horizontal="center" vertical="center"/>
      <protection hidden="1"/>
    </xf>
    <xf numFmtId="4" fontId="56" fillId="30" borderId="8" xfId="0" applyNumberFormat="1" applyFont="1" applyFill="1" applyBorder="1" applyAlignment="1" applyProtection="1">
      <alignment horizontal="right" vertical="center"/>
      <protection hidden="1"/>
    </xf>
    <xf numFmtId="0" fontId="1" fillId="0" borderId="8" xfId="2" applyFont="1" applyFill="1" applyBorder="1" applyAlignment="1" applyProtection="1">
      <alignment horizontal="center" vertical="center" wrapText="1"/>
      <protection locked="0"/>
    </xf>
    <xf numFmtId="0" fontId="0" fillId="0" borderId="8" xfId="0" applyBorder="1" applyAlignment="1" applyProtection="1">
      <alignment horizontal="center" vertical="center"/>
      <protection locked="0"/>
    </xf>
  </cellXfs>
  <cellStyles count="15">
    <cellStyle name="20% - Accent3" xfId="7" builtinId="38"/>
    <cellStyle name="20% - Accent4" xfId="8" builtinId="42"/>
    <cellStyle name="20% - Accent5" xfId="11" builtinId="46"/>
    <cellStyle name="40% - Accent2" xfId="6" builtinId="35"/>
    <cellStyle name="40% - Accent4" xfId="10" builtinId="43"/>
    <cellStyle name="40% - Accent5" xfId="12" builtinId="47"/>
    <cellStyle name="40% - Accent6" xfId="13" builtinId="51"/>
    <cellStyle name="60% - Accent3" xfId="14" builtinId="40"/>
    <cellStyle name="Hyperlink" xfId="4" builtinId="8"/>
    <cellStyle name="Normal" xfId="0" builtinId="0"/>
    <cellStyle name="Normal 2" xfId="2"/>
    <cellStyle name="Normal 2 2" xfId="9"/>
    <cellStyle name="Normal 2 3 2" xfId="3"/>
    <cellStyle name="Normal 4 2 2" xfId="5"/>
    <cellStyle name="Percent" xfId="1" builtinId="5"/>
  </cellStyles>
  <dxfs count="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rgb="FF9C0006"/>
      </font>
      <fill>
        <patternFill>
          <bgColor rgb="FFFFC7CE"/>
        </patternFill>
      </fill>
    </dxf>
    <dxf>
      <fill>
        <patternFill>
          <bgColor theme="4" tint="0.39994506668294322"/>
        </patternFill>
      </fill>
    </dxf>
  </dxfs>
  <tableStyles count="0" defaultTableStyle="TableStyleMedium2" defaultPivotStyle="PivotStyleLight16"/>
  <colors>
    <mruColors>
      <color rgb="FF0000FF"/>
      <color rgb="FFFF9900"/>
      <color rgb="FF00FF00"/>
      <color rgb="FFF937DD"/>
      <color rgb="FF660066"/>
      <color rgb="FF5F5F5F"/>
      <color rgb="FFFF6600"/>
      <color rgb="FF0033CC"/>
      <color rgb="FF9966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image" Target="../media/image24.jpeg"/></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38.xml.rels><?xml version="1.0" encoding="UTF-8" standalone="yes"?>
<Relationships xmlns="http://schemas.openxmlformats.org/package/2006/relationships"><Relationship Id="rId1" Type="http://schemas.openxmlformats.org/officeDocument/2006/relationships/image" Target="../media/image24.jpeg"/></Relationships>
</file>

<file path=xl/charts/_rels/chart49.xml.rels><?xml version="1.0" encoding="UTF-8" standalone="yes"?>
<Relationships xmlns="http://schemas.openxmlformats.org/package/2006/relationships"><Relationship Id="rId1" Type="http://schemas.openxmlformats.org/officeDocument/2006/relationships/image" Target="../media/image24.jpeg"/></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73.xml.rels><?xml version="1.0" encoding="UTF-8" standalone="yes"?>
<Relationships xmlns="http://schemas.openxmlformats.org/package/2006/relationships"><Relationship Id="rId1" Type="http://schemas.openxmlformats.org/officeDocument/2006/relationships/image" Target="../media/image24.jpeg"/></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 of Teachers based on Highest Educational</a:t>
            </a:r>
            <a:r>
              <a:rPr lang="en-US" b="1" baseline="0"/>
              <a:t> Attainment</a:t>
            </a:r>
            <a:endParaRPr lang="en-US" b="1"/>
          </a:p>
        </c:rich>
      </c:tx>
      <c:layout/>
      <c:overlay val="0"/>
      <c:spPr>
        <a:noFill/>
        <a:ln>
          <a:noFill/>
        </a:ln>
        <a:effectLst/>
      </c:spPr>
    </c:title>
    <c:autoTitleDeleted val="0"/>
    <c:plotArea>
      <c:layout/>
      <c:pieChart>
        <c:varyColors val="1"/>
        <c:ser>
          <c:idx val="0"/>
          <c:order val="0"/>
          <c:dPt>
            <c:idx val="0"/>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1-B223-4BB2-AF68-A865BA154E4B}"/>
              </c:ext>
            </c:extLst>
          </c:dPt>
          <c:dPt>
            <c:idx val="1"/>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3-B223-4BB2-AF68-A865BA154E4B}"/>
              </c:ext>
            </c:extLst>
          </c:dPt>
          <c:dPt>
            <c:idx val="2"/>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5-B223-4BB2-AF68-A865BA154E4B}"/>
              </c:ext>
            </c:extLst>
          </c:dPt>
          <c:dPt>
            <c:idx val="3"/>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B223-4BB2-AF68-A865BA154E4B}"/>
              </c:ext>
            </c:extLst>
          </c:dPt>
          <c:dPt>
            <c:idx val="4"/>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B223-4BB2-AF68-A865BA154E4B}"/>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Helper!$A$37:$A$41</c:f>
              <c:strCache>
                <c:ptCount val="5"/>
                <c:pt idx="0">
                  <c:v>Bachelor's Degree</c:v>
                </c:pt>
                <c:pt idx="1">
                  <c:v>Master's Degree (Units)</c:v>
                </c:pt>
                <c:pt idx="2">
                  <c:v>Master's Degree</c:v>
                </c:pt>
                <c:pt idx="3">
                  <c:v>Doctorate Degree (Units)</c:v>
                </c:pt>
                <c:pt idx="4">
                  <c:v>Doctorate Degree</c:v>
                </c:pt>
              </c:strCache>
            </c:strRef>
          </c:cat>
          <c:val>
            <c:numRef>
              <c:f>Helper!$B$37:$B$41</c:f>
              <c:numCache>
                <c:formatCode>General</c:formatCode>
                <c:ptCount val="5"/>
                <c:pt idx="0">
                  <c:v>20</c:v>
                </c:pt>
                <c:pt idx="1">
                  <c:v>34</c:v>
                </c:pt>
                <c:pt idx="2">
                  <c:v>1</c:v>
                </c:pt>
                <c:pt idx="3">
                  <c:v>2</c:v>
                </c:pt>
                <c:pt idx="4">
                  <c:v>0</c:v>
                </c:pt>
              </c:numCache>
            </c:numRef>
          </c:val>
          <c:extLst xmlns:c16r2="http://schemas.microsoft.com/office/drawing/2015/06/chart">
            <c:ext xmlns:c16="http://schemas.microsoft.com/office/drawing/2014/chart" uri="{C3380CC4-5D6E-409C-BE32-E72D297353CC}">
              <c16:uniqueId val="{0000000A-B223-4BB2-AF68-A865BA154E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Promotion Rate by</a:t>
            </a:r>
            <a:r>
              <a:rPr lang="en-US" b="1" baseline="0"/>
              <a:t> Grade (Current SY)</a:t>
            </a:r>
            <a:endParaRPr lang="en-US" b="1"/>
          </a:p>
        </c:rich>
      </c:tx>
      <c:layout/>
      <c:overlay val="0"/>
      <c:spPr>
        <a:noFill/>
        <a:ln>
          <a:noFill/>
        </a:ln>
        <a:effectLst/>
      </c:spPr>
    </c:title>
    <c:autoTitleDeleted val="0"/>
    <c:plotArea>
      <c:layout/>
      <c:barChart>
        <c:barDir val="col"/>
        <c:grouping val="clustered"/>
        <c:varyColors val="1"/>
        <c:ser>
          <c:idx val="0"/>
          <c:order val="0"/>
          <c:tx>
            <c:v>Data_Promotion</c:v>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8CBE-4F2B-97DA-1E26A7318E1A}"/>
              </c:ext>
            </c:extLst>
          </c:dPt>
          <c:cat>
            <c:strRef>
              <c:f>[0]!Level_Promotion</c:f>
              <c:strCache>
                <c:ptCount val="6"/>
                <c:pt idx="0">
                  <c:v>Grade 7</c:v>
                </c:pt>
                <c:pt idx="1">
                  <c:v>Grade 8</c:v>
                </c:pt>
                <c:pt idx="2">
                  <c:v>Grade 9</c:v>
                </c:pt>
                <c:pt idx="3">
                  <c:v>Grade 10</c:v>
                </c:pt>
                <c:pt idx="4">
                  <c:v>Grade 11</c:v>
                </c:pt>
                <c:pt idx="5">
                  <c:v>Grade 12</c:v>
                </c:pt>
              </c:strCache>
            </c:strRef>
          </c:cat>
          <c:val>
            <c:numRef>
              <c:f>[0]!Data_Promotion</c:f>
              <c:numCache>
                <c:formatCode>General</c:formatCode>
                <c:ptCount val="6"/>
                <c:pt idx="0">
                  <c:v>90.64500000000001</c:v>
                </c:pt>
                <c:pt idx="1">
                  <c:v>93.544999999999987</c:v>
                </c:pt>
                <c:pt idx="2">
                  <c:v>93.05</c:v>
                </c:pt>
                <c:pt idx="3">
                  <c:v>94.67</c:v>
                </c:pt>
                <c:pt idx="4">
                  <c:v>88.265000000000001</c:v>
                </c:pt>
                <c:pt idx="5">
                  <c:v>98.384999999999991</c:v>
                </c:pt>
              </c:numCache>
            </c:numRef>
          </c:val>
          <c:extLst xmlns:c16r2="http://schemas.microsoft.com/office/drawing/2015/06/chart">
            <c:ext xmlns:c16="http://schemas.microsoft.com/office/drawing/2014/chart" uri="{C3380CC4-5D6E-409C-BE32-E72D297353CC}">
              <c16:uniqueId val="{00000000-4AC3-4291-9750-85848AF01432}"/>
            </c:ext>
          </c:extLst>
        </c:ser>
        <c:dLbls>
          <c:showLegendKey val="0"/>
          <c:showVal val="0"/>
          <c:showCatName val="0"/>
          <c:showSerName val="0"/>
          <c:showPercent val="0"/>
          <c:showBubbleSize val="0"/>
        </c:dLbls>
        <c:gapWidth val="60"/>
        <c:overlap val="-27"/>
        <c:axId val="265465272"/>
        <c:axId val="265466448"/>
      </c:barChart>
      <c:catAx>
        <c:axId val="265465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5466448"/>
        <c:crosses val="autoZero"/>
        <c:auto val="1"/>
        <c:lblAlgn val="ctr"/>
        <c:lblOffset val="100"/>
        <c:noMultiLvlLbl val="0"/>
      </c:catAx>
      <c:valAx>
        <c:axId val="26546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5465272"/>
        <c:crosses val="autoZero"/>
        <c:crossBetween val="between"/>
      </c:valAx>
      <c:spPr>
        <a:noFill/>
        <a:ln>
          <a:noFill/>
        </a:ln>
        <a:effectLst/>
      </c:spPr>
    </c:plotArea>
    <c:plotVisOnly val="0"/>
    <c:dispBlanksAs val="gap"/>
    <c:showDLblsOverMax val="0"/>
  </c:chart>
  <c:spPr>
    <a:pattFill prst="ltDnDiag">
      <a:fgClr>
        <a:schemeClr val="accent2">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574960784880214E-2"/>
          <c:y val="4.6219213727470405E-2"/>
          <c:w val="0.91468353440818728"/>
          <c:h val="0.85858831236181998"/>
        </c:manualLayout>
      </c:layout>
      <c:barChart>
        <c:barDir val="col"/>
        <c:grouping val="clustered"/>
        <c:varyColors val="1"/>
        <c:ser>
          <c:idx val="0"/>
          <c:order val="0"/>
          <c:tx>
            <c:v>Data_TSR</c:v>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2C48-40CE-9F69-8ACFD8193A1C}"/>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Narrow" panose="020B0606020202030204" pitchFamily="34" charset="0"/>
                    <a:ea typeface="+mn-ea"/>
                    <a:cs typeface="+mn-cs"/>
                  </a:defRPr>
                </a:pPr>
                <a:endParaRPr lang="en-US"/>
              </a:p>
            </c:txPr>
            <c:dLblPos val="inBase"/>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[0]!Level_TSR</c:f>
              <c:strCache>
                <c:ptCount val="6"/>
                <c:pt idx="0">
                  <c:v>Grade 7</c:v>
                </c:pt>
                <c:pt idx="1">
                  <c:v>Grade 8</c:v>
                </c:pt>
                <c:pt idx="2">
                  <c:v>Grade 9</c:v>
                </c:pt>
                <c:pt idx="3">
                  <c:v>Grade 10</c:v>
                </c:pt>
                <c:pt idx="4">
                  <c:v>Grade 11</c:v>
                </c:pt>
                <c:pt idx="5">
                  <c:v>Grade 12</c:v>
                </c:pt>
              </c:strCache>
            </c:strRef>
          </c:cat>
          <c:val>
            <c:numRef>
              <c:f>[0]!Data_TSR</c:f>
              <c:numCache>
                <c:formatCode>General</c:formatCode>
                <c:ptCount val="6"/>
                <c:pt idx="0">
                  <c:v>40</c:v>
                </c:pt>
                <c:pt idx="1">
                  <c:v>31</c:v>
                </c:pt>
                <c:pt idx="2">
                  <c:v>22</c:v>
                </c:pt>
                <c:pt idx="3">
                  <c:v>17</c:v>
                </c:pt>
                <c:pt idx="4">
                  <c:v>35</c:v>
                </c:pt>
                <c:pt idx="5">
                  <c:v>20</c:v>
                </c:pt>
              </c:numCache>
            </c:numRef>
          </c:val>
          <c:extLst xmlns:c16r2="http://schemas.microsoft.com/office/drawing/2015/06/chart">
            <c:ext xmlns:c16="http://schemas.microsoft.com/office/drawing/2014/chart" uri="{C3380CC4-5D6E-409C-BE32-E72D297353CC}">
              <c16:uniqueId val="{00000000-AD05-436B-B372-2BBBCE78420F}"/>
            </c:ext>
          </c:extLst>
        </c:ser>
        <c:dLbls>
          <c:dLblPos val="inBase"/>
          <c:showLegendKey val="0"/>
          <c:showVal val="1"/>
          <c:showCatName val="0"/>
          <c:showSerName val="0"/>
          <c:showPercent val="0"/>
          <c:showBubbleSize val="0"/>
        </c:dLbls>
        <c:gapWidth val="50"/>
        <c:overlap val="-27"/>
        <c:axId val="265467232"/>
        <c:axId val="203986384"/>
      </c:barChart>
      <c:catAx>
        <c:axId val="26546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03986384"/>
        <c:crosses val="autoZero"/>
        <c:auto val="1"/>
        <c:lblAlgn val="ctr"/>
        <c:lblOffset val="100"/>
        <c:noMultiLvlLbl val="0"/>
      </c:catAx>
      <c:valAx>
        <c:axId val="203986384"/>
        <c:scaling>
          <c:orientation val="minMax"/>
          <c:max val="1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5467232"/>
        <c:crosses val="autoZero"/>
        <c:crossBetween val="between"/>
        <c:majorUnit val="10"/>
        <c:minorUnit val="5"/>
      </c:valAx>
      <c:spPr>
        <a:noFill/>
        <a:ln>
          <a:noFill/>
        </a:ln>
        <a:effectLst/>
      </c:spPr>
    </c:plotArea>
    <c:plotVisOnly val="0"/>
    <c:dispBlanksAs val="gap"/>
    <c:showDLblsOverMax val="0"/>
  </c:chart>
  <c:spPr>
    <a:pattFill prst="ltDnDiag">
      <a:fgClr>
        <a:schemeClr val="accent2">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711038769494063E-2"/>
          <c:y val="5.8000137008197658E-2"/>
          <c:w val="0.92405646430983168"/>
          <c:h val="0.86690766789212892"/>
        </c:manualLayout>
      </c:layout>
      <c:barChart>
        <c:barDir val="col"/>
        <c:grouping val="clustered"/>
        <c:varyColors val="1"/>
        <c:ser>
          <c:idx val="0"/>
          <c:order val="0"/>
          <c:tx>
            <c:v>Data_LCR</c:v>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F339-49EE-9187-C431CAA66C6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Narrow" panose="020B0606020202030204" pitchFamily="34" charset="0"/>
                    <a:ea typeface="+mn-ea"/>
                    <a:cs typeface="+mn-cs"/>
                  </a:defRPr>
                </a:pPr>
                <a:endParaRPr lang="en-US"/>
              </a:p>
            </c:txPr>
            <c:dLblPos val="inBase"/>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[0]!Level_LCR</c:f>
              <c:strCache>
                <c:ptCount val="6"/>
                <c:pt idx="0">
                  <c:v>Grade 7</c:v>
                </c:pt>
                <c:pt idx="1">
                  <c:v>Grade 8</c:v>
                </c:pt>
                <c:pt idx="2">
                  <c:v>Grade 9</c:v>
                </c:pt>
                <c:pt idx="3">
                  <c:v>Grade 10</c:v>
                </c:pt>
                <c:pt idx="4">
                  <c:v>Grade 11</c:v>
                </c:pt>
                <c:pt idx="5">
                  <c:v>Grade 12</c:v>
                </c:pt>
              </c:strCache>
            </c:strRef>
          </c:cat>
          <c:val>
            <c:numRef>
              <c:f>[0]!Data_LCR</c:f>
              <c:numCache>
                <c:formatCode>General</c:formatCode>
                <c:ptCount val="6"/>
                <c:pt idx="0">
                  <c:v>61</c:v>
                </c:pt>
                <c:pt idx="1">
                  <c:v>51</c:v>
                </c:pt>
                <c:pt idx="2">
                  <c:v>49</c:v>
                </c:pt>
                <c:pt idx="3">
                  <c:v>44</c:v>
                </c:pt>
                <c:pt idx="4">
                  <c:v>52</c:v>
                </c:pt>
                <c:pt idx="5">
                  <c:v>40</c:v>
                </c:pt>
              </c:numCache>
            </c:numRef>
          </c:val>
          <c:extLst xmlns:c16r2="http://schemas.microsoft.com/office/drawing/2015/06/chart">
            <c:ext xmlns:c16="http://schemas.microsoft.com/office/drawing/2014/chart" uri="{C3380CC4-5D6E-409C-BE32-E72D297353CC}">
              <c16:uniqueId val="{00000000-6F75-4B75-889A-6E9C9619FABA}"/>
            </c:ext>
          </c:extLst>
        </c:ser>
        <c:dLbls>
          <c:dLblPos val="inBase"/>
          <c:showLegendKey val="0"/>
          <c:showVal val="1"/>
          <c:showCatName val="0"/>
          <c:showSerName val="0"/>
          <c:showPercent val="0"/>
          <c:showBubbleSize val="0"/>
        </c:dLbls>
        <c:gapWidth val="60"/>
        <c:overlap val="-27"/>
        <c:axId val="266585224"/>
        <c:axId val="266578952"/>
      </c:barChart>
      <c:catAx>
        <c:axId val="266585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6578952"/>
        <c:crosses val="autoZero"/>
        <c:auto val="1"/>
        <c:lblAlgn val="ctr"/>
        <c:lblOffset val="100"/>
        <c:noMultiLvlLbl val="0"/>
      </c:catAx>
      <c:valAx>
        <c:axId val="266578952"/>
        <c:scaling>
          <c:orientation val="minMax"/>
          <c:max val="1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6585224"/>
        <c:crosses val="autoZero"/>
        <c:crossBetween val="between"/>
      </c:valAx>
      <c:spPr>
        <a:noFill/>
        <a:ln>
          <a:noFill/>
        </a:ln>
        <a:effectLst/>
      </c:spPr>
    </c:plotArea>
    <c:plotVisOnly val="0"/>
    <c:dispBlanksAs val="gap"/>
    <c:showDLblsOverMax val="0"/>
  </c:chart>
  <c:spPr>
    <a:pattFill prst="ltDnDiag">
      <a:fgClr>
        <a:schemeClr val="accent2">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107248518198877E-2"/>
          <c:y val="2.3119957439004243E-2"/>
          <c:w val="0.91468353440818728"/>
          <c:h val="0.85858831236181998"/>
        </c:manualLayout>
      </c:layout>
      <c:barChart>
        <c:barDir val="col"/>
        <c:grouping val="clustered"/>
        <c:varyColors val="1"/>
        <c:ser>
          <c:idx val="0"/>
          <c:order val="0"/>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[0]!Level_LM</c:f>
              <c:strCache>
                <c:ptCount val="6"/>
                <c:pt idx="0">
                  <c:v>Grade 7</c:v>
                </c:pt>
                <c:pt idx="1">
                  <c:v>Grade 8</c:v>
                </c:pt>
                <c:pt idx="2">
                  <c:v>Grade 9</c:v>
                </c:pt>
                <c:pt idx="3">
                  <c:v>Grade 10</c:v>
                </c:pt>
                <c:pt idx="4">
                  <c:v>Grade 11</c:v>
                </c:pt>
                <c:pt idx="5">
                  <c:v>Grade 12</c:v>
                </c:pt>
              </c:strCache>
            </c:strRef>
          </c:cat>
          <c:val>
            <c:numRef>
              <c:f>[0]!Data_LM</c:f>
              <c:numCache>
                <c:formatCode>0.00%</c:formatCode>
                <c:ptCount val="6"/>
                <c:pt idx="0">
                  <c:v>0.78571428571428559</c:v>
                </c:pt>
                <c:pt idx="1">
                  <c:v>0.48451730418943545</c:v>
                </c:pt>
                <c:pt idx="2">
                  <c:v>0.88708951866846608</c:v>
                </c:pt>
                <c:pt idx="3">
                  <c:v>0.60030165912518862</c:v>
                </c:pt>
                <c:pt idx="4">
                  <c:v>0.19645732689210949</c:v>
                </c:pt>
                <c:pt idx="5">
                  <c:v>0.13112491373360938</c:v>
                </c:pt>
              </c:numCache>
            </c:numRef>
          </c:val>
          <c:extLst xmlns:c16r2="http://schemas.microsoft.com/office/drawing/2015/06/chart">
            <c:ext xmlns:c16="http://schemas.microsoft.com/office/drawing/2014/chart" uri="{C3380CC4-5D6E-409C-BE32-E72D297353CC}">
              <c16:uniqueId val="{00000000-ABB4-4203-981D-0089C5F289C6}"/>
            </c:ext>
            <c:ext xmlns:c15="http://schemas.microsoft.com/office/drawing/2012/chart" uri="{02D57815-91ED-43cb-92C2-25804820EDAC}">
              <c15:filteredSeriesTitle>
                <c15:tx>
                  <c:v>Data_LM</c:v>
                </c15:tx>
              </c15:filteredSeriesTitle>
            </c:ext>
          </c:extLst>
        </c:ser>
        <c:dLbls>
          <c:dLblPos val="outEnd"/>
          <c:showLegendKey val="0"/>
          <c:showVal val="1"/>
          <c:showCatName val="0"/>
          <c:showSerName val="0"/>
          <c:showPercent val="0"/>
          <c:showBubbleSize val="0"/>
        </c:dLbls>
        <c:gapWidth val="50"/>
        <c:overlap val="-24"/>
        <c:axId val="266579344"/>
        <c:axId val="266582088"/>
      </c:barChart>
      <c:catAx>
        <c:axId val="26657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6582088"/>
        <c:crosses val="autoZero"/>
        <c:auto val="1"/>
        <c:lblAlgn val="ctr"/>
        <c:lblOffset val="100"/>
        <c:noMultiLvlLbl val="0"/>
      </c:catAx>
      <c:valAx>
        <c:axId val="266582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6579344"/>
        <c:crosses val="autoZero"/>
        <c:crossBetween val="between"/>
      </c:valAx>
      <c:spPr>
        <a:noFill/>
        <a:ln>
          <a:noFill/>
        </a:ln>
        <a:effectLst/>
      </c:spPr>
    </c:plotArea>
    <c:plotVisOnly val="0"/>
    <c:dispBlanksAs val="gap"/>
    <c:showDLblsOverMax val="0"/>
  </c:chart>
  <c:spPr>
    <a:pattFill prst="ltDnDiag">
      <a:fgClr>
        <a:schemeClr val="accent2">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arrow" panose="020B0606020202030204" pitchFamily="34" charset="0"/>
                <a:ea typeface="+mn-ea"/>
                <a:cs typeface="+mn-cs"/>
              </a:defRPr>
            </a:pPr>
            <a:r>
              <a:rPr lang="en-US" sz="1600" b="1">
                <a:latin typeface="Arial Narrow" panose="020B0606020202030204" pitchFamily="34" charset="0"/>
              </a:rPr>
              <a:t>Number of learners by health status (HFA), Current SY</a:t>
            </a:r>
          </a:p>
        </c:rich>
      </c:tx>
      <c:layout/>
      <c:overlay val="0"/>
      <c:spPr>
        <a:noFill/>
        <a:ln>
          <a:noFill/>
        </a:ln>
        <a:effectLst/>
      </c:spPr>
    </c:title>
    <c:autoTitleDeleted val="0"/>
    <c:plotArea>
      <c:layout/>
      <c:barChart>
        <c:barDir val="bar"/>
        <c:grouping val="clustered"/>
        <c:varyColors val="0"/>
        <c:ser>
          <c:idx val="0"/>
          <c:order val="0"/>
          <c:tx>
            <c:strRef>
              <c:f>Helper!$BC$8</c:f>
              <c:strCache>
                <c:ptCount val="1"/>
                <c:pt idx="0">
                  <c:v>Female</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Helper!$BA$9:$BA$12</c:f>
              <c:strCache>
                <c:ptCount val="4"/>
                <c:pt idx="0">
                  <c:v>Severely Stunted</c:v>
                </c:pt>
                <c:pt idx="1">
                  <c:v>Stunted</c:v>
                </c:pt>
                <c:pt idx="2">
                  <c:v>Normal</c:v>
                </c:pt>
                <c:pt idx="3">
                  <c:v>Tall</c:v>
                </c:pt>
              </c:strCache>
            </c:strRef>
          </c:cat>
          <c:val>
            <c:numRef>
              <c:f>Helper!$BC$9:$BC$12</c:f>
              <c:numCache>
                <c:formatCode>General</c:formatCode>
                <c:ptCount val="4"/>
                <c:pt idx="0">
                  <c:v>21</c:v>
                </c:pt>
                <c:pt idx="1">
                  <c:v>187</c:v>
                </c:pt>
                <c:pt idx="2">
                  <c:v>525</c:v>
                </c:pt>
                <c:pt idx="3">
                  <c:v>1</c:v>
                </c:pt>
              </c:numCache>
            </c:numRef>
          </c:val>
          <c:extLst xmlns:c16r2="http://schemas.microsoft.com/office/drawing/2015/06/chart">
            <c:ext xmlns:c16="http://schemas.microsoft.com/office/drawing/2014/chart" uri="{C3380CC4-5D6E-409C-BE32-E72D297353CC}">
              <c16:uniqueId val="{00000001-1D6F-4C02-BDEA-F88168AA802A}"/>
            </c:ext>
          </c:extLst>
        </c:ser>
        <c:ser>
          <c:idx val="1"/>
          <c:order val="1"/>
          <c:tx>
            <c:strRef>
              <c:f>Helper!$BB$8</c:f>
              <c:strCache>
                <c:ptCount val="1"/>
                <c:pt idx="0">
                  <c:v>Male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Helper!$BA$9:$BA$12</c:f>
              <c:strCache>
                <c:ptCount val="4"/>
                <c:pt idx="0">
                  <c:v>Severely Stunted</c:v>
                </c:pt>
                <c:pt idx="1">
                  <c:v>Stunted</c:v>
                </c:pt>
                <c:pt idx="2">
                  <c:v>Normal</c:v>
                </c:pt>
                <c:pt idx="3">
                  <c:v>Tall</c:v>
                </c:pt>
              </c:strCache>
            </c:strRef>
          </c:cat>
          <c:val>
            <c:numRef>
              <c:f>Helper!$BB$9:$BB$12</c:f>
              <c:numCache>
                <c:formatCode>General</c:formatCode>
                <c:ptCount val="4"/>
                <c:pt idx="0">
                  <c:v>27</c:v>
                </c:pt>
                <c:pt idx="1">
                  <c:v>127</c:v>
                </c:pt>
                <c:pt idx="2">
                  <c:v>616</c:v>
                </c:pt>
                <c:pt idx="3">
                  <c:v>1</c:v>
                </c:pt>
              </c:numCache>
            </c:numRef>
          </c:val>
          <c:extLst xmlns:c16r2="http://schemas.microsoft.com/office/drawing/2015/06/chart">
            <c:ext xmlns:c16="http://schemas.microsoft.com/office/drawing/2014/chart" uri="{C3380CC4-5D6E-409C-BE32-E72D297353CC}">
              <c16:uniqueId val="{00000000-1D6F-4C02-BDEA-F88168AA802A}"/>
            </c:ext>
          </c:extLst>
        </c:ser>
        <c:dLbls>
          <c:showLegendKey val="0"/>
          <c:showVal val="1"/>
          <c:showCatName val="0"/>
          <c:showSerName val="0"/>
          <c:showPercent val="0"/>
          <c:showBubbleSize val="0"/>
        </c:dLbls>
        <c:gapWidth val="30"/>
        <c:axId val="266589536"/>
        <c:axId val="266588752"/>
        <c:extLst xmlns:c16r2="http://schemas.microsoft.com/office/drawing/2015/06/chart">
          <c:ext xmlns:c15="http://schemas.microsoft.com/office/drawing/2012/chart" uri="{02D57815-91ED-43cb-92C2-25804820EDAC}">
            <c15:filteredBarSeries>
              <c15:ser>
                <c:idx val="2"/>
                <c:order val="2"/>
                <c:tx>
                  <c:strRef>
                    <c:extLst xmlns:c16r2="http://schemas.microsoft.com/office/drawing/2015/06/chart">
                      <c:ext uri="{02D57815-91ED-43cb-92C2-25804820EDAC}">
                        <c15:formulaRef>
                          <c15:sqref>Helper!$BD$8</c15:sqref>
                        </c15:formulaRef>
                      </c:ext>
                    </c:extLst>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6r2="http://schemas.microsoft.com/office/drawing/2015/06/chart">
                      <c:ext uri="{02D57815-91ED-43cb-92C2-25804820EDAC}">
                        <c15:formulaRef>
                          <c15:sqref>Helper!$BA$9:$BA$12</c15:sqref>
                        </c15:formulaRef>
                      </c:ext>
                    </c:extLst>
                    <c:strCache>
                      <c:ptCount val="4"/>
                      <c:pt idx="0">
                        <c:v>Severely Stunted</c:v>
                      </c:pt>
                      <c:pt idx="1">
                        <c:v>Stunted</c:v>
                      </c:pt>
                      <c:pt idx="2">
                        <c:v>Normal</c:v>
                      </c:pt>
                      <c:pt idx="3">
                        <c:v>Tall</c:v>
                      </c:pt>
                    </c:strCache>
                  </c:strRef>
                </c:cat>
                <c:val>
                  <c:numRef>
                    <c:extLst xmlns:c16r2="http://schemas.microsoft.com/office/drawing/2015/06/chart">
                      <c:ext uri="{02D57815-91ED-43cb-92C2-25804820EDAC}">
                        <c15:formulaRef>
                          <c15:sqref>Helper!$BD$9:$BD$12</c15:sqref>
                        </c15:formulaRef>
                      </c:ext>
                    </c:extLst>
                    <c:numCache>
                      <c:formatCode>General</c:formatCode>
                      <c:ptCount val="4"/>
                      <c:pt idx="0">
                        <c:v>48</c:v>
                      </c:pt>
                      <c:pt idx="1">
                        <c:v>314</c:v>
                      </c:pt>
                      <c:pt idx="2">
                        <c:v>1141</c:v>
                      </c:pt>
                      <c:pt idx="3">
                        <c:v>2</c:v>
                      </c:pt>
                    </c:numCache>
                  </c:numRef>
                </c:val>
                <c:extLst xmlns:c16r2="http://schemas.microsoft.com/office/drawing/2015/06/chart">
                  <c:ext xmlns:c16="http://schemas.microsoft.com/office/drawing/2014/chart" uri="{C3380CC4-5D6E-409C-BE32-E72D297353CC}">
                    <c16:uniqueId val="{00000002-1D6F-4C02-BDEA-F88168AA802A}"/>
                  </c:ext>
                </c:extLst>
              </c15:ser>
            </c15:filteredBarSeries>
          </c:ext>
        </c:extLst>
      </c:barChart>
      <c:catAx>
        <c:axId val="26658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6588752"/>
        <c:crosses val="autoZero"/>
        <c:auto val="1"/>
        <c:lblAlgn val="ctr"/>
        <c:lblOffset val="100"/>
        <c:noMultiLvlLbl val="0"/>
      </c:catAx>
      <c:valAx>
        <c:axId val="266588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6589536"/>
        <c:crosses val="autoZero"/>
        <c:crossBetween val="between"/>
      </c:valAx>
      <c:spPr>
        <a:noFill/>
        <a:ln>
          <a:noFill/>
        </a:ln>
        <a:effectLst/>
      </c:spPr>
    </c:plotArea>
    <c:legend>
      <c:legendPos val="r"/>
      <c:layout>
        <c:manualLayout>
          <c:xMode val="edge"/>
          <c:yMode val="edge"/>
          <c:x val="0.87090841163008759"/>
          <c:y val="0.47415385157392231"/>
          <c:w val="0.10974275531783971"/>
          <c:h val="0.1740858567175747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pattFill prst="ltDnDiag">
      <a:fgClr>
        <a:schemeClr val="accent6">
          <a:lumMod val="40000"/>
          <a:lumOff val="60000"/>
        </a:schemeClr>
      </a:fgClr>
      <a:bgClr>
        <a:schemeClr val="bg1">
          <a:lumMod val="95000"/>
        </a:schemeClr>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lineChart>
        <c:grouping val="stacked"/>
        <c:varyColors val="0"/>
        <c:ser>
          <c:idx val="0"/>
          <c:order val="0"/>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Helper!$A$3:$A$5</c:f>
              <c:strCache>
                <c:ptCount val="3"/>
                <c:pt idx="0">
                  <c:v>SY 2016-2017</c:v>
                </c:pt>
                <c:pt idx="1">
                  <c:v>SY 2017-2018</c:v>
                </c:pt>
                <c:pt idx="2">
                  <c:v>SY 2018-2019</c:v>
                </c:pt>
              </c:strCache>
            </c:strRef>
          </c:cat>
          <c:val>
            <c:numRef>
              <c:f>Helper!$D$3:$D$5</c:f>
              <c:numCache>
                <c:formatCode>General</c:formatCode>
                <c:ptCount val="3"/>
                <c:pt idx="0">
                  <c:v>1290</c:v>
                </c:pt>
                <c:pt idx="1">
                  <c:v>1418</c:v>
                </c:pt>
                <c:pt idx="2">
                  <c:v>1505</c:v>
                </c:pt>
              </c:numCache>
            </c:numRef>
          </c:val>
          <c:smooth val="0"/>
          <c:extLst xmlns:c16r2="http://schemas.microsoft.com/office/drawing/2015/06/chart">
            <c:ext xmlns:c16="http://schemas.microsoft.com/office/drawing/2014/chart" uri="{C3380CC4-5D6E-409C-BE32-E72D297353CC}">
              <c16:uniqueId val="{00000000-4E68-43F3-B7C9-0F7DF912A92B}"/>
            </c:ext>
          </c:extLst>
        </c:ser>
        <c:dLbls>
          <c:showLegendKey val="0"/>
          <c:showVal val="0"/>
          <c:showCatName val="0"/>
          <c:showSerName val="0"/>
          <c:showPercent val="0"/>
          <c:showBubbleSize val="0"/>
        </c:dLbls>
        <c:marker val="1"/>
        <c:smooth val="0"/>
        <c:axId val="266589144"/>
        <c:axId val="266584048"/>
      </c:lineChart>
      <c:catAx>
        <c:axId val="266589144"/>
        <c:scaling>
          <c:orientation val="minMax"/>
        </c:scaling>
        <c:delete val="1"/>
        <c:axPos val="b"/>
        <c:numFmt formatCode="General" sourceLinked="1"/>
        <c:majorTickMark val="none"/>
        <c:minorTickMark val="none"/>
        <c:tickLblPos val="nextTo"/>
        <c:crossAx val="266584048"/>
        <c:crosses val="autoZero"/>
        <c:auto val="1"/>
        <c:lblAlgn val="ctr"/>
        <c:lblOffset val="100"/>
        <c:noMultiLvlLbl val="0"/>
      </c:catAx>
      <c:valAx>
        <c:axId val="266584048"/>
        <c:scaling>
          <c:orientation val="minMax"/>
        </c:scaling>
        <c:delete val="1"/>
        <c:axPos val="l"/>
        <c:numFmt formatCode="General" sourceLinked="1"/>
        <c:majorTickMark val="none"/>
        <c:minorTickMark val="none"/>
        <c:tickLblPos val="nextTo"/>
        <c:crossAx val="266589144"/>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val>
            <c:numRef>
              <c:f>Helper!$B$78:$D$78</c:f>
              <c:numCache>
                <c:formatCode>0.00</c:formatCode>
                <c:ptCount val="3"/>
                <c:pt idx="0">
                  <c:v>97.92</c:v>
                </c:pt>
                <c:pt idx="1">
                  <c:v>98.55</c:v>
                </c:pt>
                <c:pt idx="2">
                  <c:v>93.09</c:v>
                </c:pt>
              </c:numCache>
            </c:numRef>
          </c:val>
          <c:extLst xmlns:c16r2="http://schemas.microsoft.com/office/drawing/2015/06/chart">
            <c:ext xmlns:c16="http://schemas.microsoft.com/office/drawing/2014/chart" uri="{C3380CC4-5D6E-409C-BE32-E72D297353CC}">
              <c16:uniqueId val="{00000000-87FD-482D-83DE-1BB93CDC20E7}"/>
            </c:ext>
            <c:ext xmlns:c15="http://schemas.microsoft.com/office/drawing/2012/chart" uri="{02D57815-91ED-43cb-92C2-25804820EDAC}">
              <c15:filteredCategoryTitle>
                <c15:cat>
                  <c:strRef>
                    <c:extLst xmlns:c16r2="http://schemas.microsoft.com/office/drawing/2015/06/chart" xmlns:c16="http://schemas.microsoft.com/office/drawing/2014/chart">
                      <c:ext uri="{02D57815-91ED-43cb-92C2-25804820EDAC}">
                        <c15:formulaRef>
                          <c15:sqref>Helper!$B$62:$D$62</c15:sqref>
                        </c15:formulaRef>
                      </c:ext>
                    </c:extLst>
                    <c:strCache>
                      <c:ptCount val="3"/>
                      <c:pt idx="0">
                        <c:v>2016-2017</c:v>
                      </c:pt>
                      <c:pt idx="1">
                        <c:v>2017-2018</c:v>
                      </c:pt>
                      <c:pt idx="2">
                        <c:v>2018-2019</c:v>
                      </c:pt>
                    </c:strCache>
                  </c:strRef>
                </c15:cat>
              </c15:filteredCategoryTitle>
            </c:ext>
          </c:extLst>
        </c:ser>
        <c:dLbls>
          <c:showLegendKey val="0"/>
          <c:showVal val="0"/>
          <c:showCatName val="0"/>
          <c:showSerName val="0"/>
          <c:showPercent val="0"/>
          <c:showBubbleSize val="0"/>
        </c:dLbls>
        <c:gapWidth val="219"/>
        <c:overlap val="-27"/>
        <c:axId val="266590320"/>
        <c:axId val="266584440"/>
      </c:barChart>
      <c:catAx>
        <c:axId val="26659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84440"/>
        <c:crosses val="autoZero"/>
        <c:auto val="1"/>
        <c:lblAlgn val="ctr"/>
        <c:lblOffset val="100"/>
        <c:noMultiLvlLbl val="0"/>
      </c:catAx>
      <c:valAx>
        <c:axId val="266584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90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Promotion Rate</a:t>
            </a:r>
            <a:r>
              <a:rPr lang="en-US" sz="1400" baseline="0"/>
              <a:t> per SY</a:t>
            </a:r>
            <a:endParaRPr lang="en-US" sz="1400"/>
          </a:p>
        </c:rich>
      </c:tx>
      <c:layout/>
      <c:overlay val="0"/>
      <c:spPr>
        <a:noFill/>
        <a:ln>
          <a:noFill/>
        </a:ln>
        <a:effectLst/>
      </c:spPr>
    </c:title>
    <c:autoTitleDeleted val="0"/>
    <c:plotArea>
      <c:layout>
        <c:manualLayout>
          <c:layoutTarget val="inner"/>
          <c:xMode val="edge"/>
          <c:yMode val="edge"/>
          <c:x val="3.2213612453409014E-2"/>
          <c:y val="0.16862462528374467"/>
          <c:w val="0.93557277509318193"/>
          <c:h val="0.83137537471625533"/>
        </c:manualLayout>
      </c:layout>
      <c:lineChart>
        <c:grouping val="standard"/>
        <c:varyColors val="0"/>
        <c:ser>
          <c:idx val="0"/>
          <c:order val="0"/>
          <c:spPr>
            <a:ln w="31750" cap="rnd">
              <a:solidFill>
                <a:schemeClr val="accent2"/>
              </a:solidFill>
              <a:round/>
            </a:ln>
            <a:effectLst/>
          </c:spPr>
          <c:marker>
            <c:symbol val="circle"/>
            <c:size val="12"/>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Helper!$B$78:$D$78</c:f>
              <c:numCache>
                <c:formatCode>0.00</c:formatCode>
                <c:ptCount val="3"/>
                <c:pt idx="0">
                  <c:v>97.92</c:v>
                </c:pt>
                <c:pt idx="1">
                  <c:v>98.55</c:v>
                </c:pt>
                <c:pt idx="2">
                  <c:v>93.09</c:v>
                </c:pt>
              </c:numCache>
            </c:numRef>
          </c:val>
          <c:smooth val="0"/>
          <c:extLst xmlns:c16r2="http://schemas.microsoft.com/office/drawing/2015/06/chart">
            <c:ext xmlns:c16="http://schemas.microsoft.com/office/drawing/2014/chart" uri="{C3380CC4-5D6E-409C-BE32-E72D297353CC}">
              <c16:uniqueId val="{00000000-01EE-4F86-966D-9374AC04A40D}"/>
            </c:ext>
          </c:extLst>
        </c:ser>
        <c:dLbls>
          <c:dLblPos val="t"/>
          <c:showLegendKey val="0"/>
          <c:showVal val="1"/>
          <c:showCatName val="0"/>
          <c:showSerName val="0"/>
          <c:showPercent val="0"/>
          <c:showBubbleSize val="0"/>
        </c:dLbls>
        <c:marker val="1"/>
        <c:smooth val="0"/>
        <c:axId val="266589928"/>
        <c:axId val="266579736"/>
      </c:lineChart>
      <c:catAx>
        <c:axId val="266589928"/>
        <c:scaling>
          <c:orientation val="minMax"/>
        </c:scaling>
        <c:delete val="1"/>
        <c:axPos val="b"/>
        <c:numFmt formatCode="General" sourceLinked="1"/>
        <c:majorTickMark val="none"/>
        <c:minorTickMark val="none"/>
        <c:tickLblPos val="nextTo"/>
        <c:crossAx val="266579736"/>
        <c:crosses val="autoZero"/>
        <c:auto val="1"/>
        <c:lblAlgn val="ctr"/>
        <c:lblOffset val="100"/>
        <c:noMultiLvlLbl val="0"/>
      </c:catAx>
      <c:valAx>
        <c:axId val="266579736"/>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2665899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PH" sz="1800" b="1"/>
              <a:t>Status</a:t>
            </a:r>
            <a:r>
              <a:rPr lang="en-PH" sz="1800" b="1" baseline="0"/>
              <a:t> of Annual Implementation Plan</a:t>
            </a:r>
            <a:endParaRPr lang="en-PH" sz="1800" b="1"/>
          </a:p>
        </c:rich>
      </c:tx>
      <c:layout/>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6DA8-42DB-9342-A28E265C2A8F}"/>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6DA8-42DB-9342-A28E265C2A8F}"/>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6DA8-42DB-9342-A28E265C2A8F}"/>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6DA8-42DB-9342-A28E265C2A8F}"/>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Helper!$D$151:$G$151</c:f>
              <c:strCache>
                <c:ptCount val="4"/>
                <c:pt idx="0">
                  <c:v>Completed</c:v>
                </c:pt>
                <c:pt idx="1">
                  <c:v>Ongoing</c:v>
                </c:pt>
                <c:pt idx="2">
                  <c:v>Proposed</c:v>
                </c:pt>
                <c:pt idx="3">
                  <c:v>Cancelled</c:v>
                </c:pt>
              </c:strCache>
            </c:strRef>
          </c:cat>
          <c:val>
            <c:numRef>
              <c:f>Helper!$D$167:$G$167</c:f>
              <c:numCache>
                <c:formatCode>General</c:formatCode>
                <c:ptCount val="4"/>
                <c:pt idx="0">
                  <c:v>2</c:v>
                </c:pt>
                <c:pt idx="1">
                  <c:v>10</c:v>
                </c:pt>
                <c:pt idx="2">
                  <c:v>1</c:v>
                </c:pt>
                <c:pt idx="3">
                  <c:v>1</c:v>
                </c:pt>
              </c:numCache>
            </c:numRef>
          </c:val>
          <c:extLst xmlns:c16r2="http://schemas.microsoft.com/office/drawing/2015/06/chart">
            <c:ext xmlns:c16="http://schemas.microsoft.com/office/drawing/2014/chart" uri="{C3380CC4-5D6E-409C-BE32-E72D297353CC}">
              <c16:uniqueId val="{00000008-6DA8-42DB-9342-A28E265C2A8F}"/>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PH" sz="1800"/>
              <a:t>Number</a:t>
            </a:r>
            <a:r>
              <a:rPr lang="en-PH" sz="1800" baseline="0"/>
              <a:t> of Partners by General Partner Type</a:t>
            </a:r>
            <a:endParaRPr lang="en-PH" sz="1800"/>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invertIfNegative val="0"/>
          <c:dPt>
            <c:idx val="0"/>
            <c:invertIfNegative val="0"/>
            <c:bubble3D val="0"/>
            <c:spPr>
              <a:solidFill>
                <a:schemeClr val="accent1"/>
              </a:solidFill>
              <a:ln>
                <a:noFill/>
              </a:ln>
              <a:effectLst/>
              <a:sp3d/>
            </c:spPr>
            <c:extLst xmlns:c16r2="http://schemas.microsoft.com/office/drawing/2015/06/chart">
              <c:ext xmlns:c16="http://schemas.microsoft.com/office/drawing/2014/chart" uri="{C3380CC4-5D6E-409C-BE32-E72D297353CC}">
                <c16:uniqueId val="{00000001-6C86-4412-9062-D1F5B8808E7D}"/>
              </c:ext>
            </c:extLst>
          </c:dPt>
          <c:dPt>
            <c:idx val="1"/>
            <c:invertIfNegative val="0"/>
            <c:bubble3D val="0"/>
            <c:spPr>
              <a:solidFill>
                <a:schemeClr val="accent2"/>
              </a:solidFill>
              <a:ln>
                <a:noFill/>
              </a:ln>
              <a:effectLst/>
              <a:sp3d/>
            </c:spPr>
            <c:extLst xmlns:c16r2="http://schemas.microsoft.com/office/drawing/2015/06/chart">
              <c:ext xmlns:c16="http://schemas.microsoft.com/office/drawing/2014/chart" uri="{C3380CC4-5D6E-409C-BE32-E72D297353CC}">
                <c16:uniqueId val="{00000003-6C86-4412-9062-D1F5B8808E7D}"/>
              </c:ext>
            </c:extLst>
          </c:dPt>
          <c:dPt>
            <c:idx val="2"/>
            <c:invertIfNegative val="0"/>
            <c:bubble3D val="0"/>
            <c:spPr>
              <a:solidFill>
                <a:schemeClr val="accent3"/>
              </a:solidFill>
              <a:ln>
                <a:noFill/>
              </a:ln>
              <a:effectLst/>
              <a:sp3d/>
            </c:spPr>
            <c:extLst xmlns:c16r2="http://schemas.microsoft.com/office/drawing/2015/06/chart">
              <c:ext xmlns:c16="http://schemas.microsoft.com/office/drawing/2014/chart" uri="{C3380CC4-5D6E-409C-BE32-E72D297353CC}">
                <c16:uniqueId val="{00000005-6C86-4412-9062-D1F5B8808E7D}"/>
              </c:ext>
            </c:extLst>
          </c:dPt>
          <c:dPt>
            <c:idx val="3"/>
            <c:invertIfNegative val="0"/>
            <c:bubble3D val="0"/>
            <c:spPr>
              <a:solidFill>
                <a:schemeClr val="accent4"/>
              </a:solidFill>
              <a:ln>
                <a:noFill/>
              </a:ln>
              <a:effectLst/>
              <a:sp3d/>
            </c:spPr>
            <c:extLst xmlns:c16r2="http://schemas.microsoft.com/office/drawing/2015/06/chart">
              <c:ext xmlns:c16="http://schemas.microsoft.com/office/drawing/2014/chart" uri="{C3380CC4-5D6E-409C-BE32-E72D297353CC}">
                <c16:uniqueId val="{00000007-6C86-4412-9062-D1F5B8808E7D}"/>
              </c:ext>
            </c:extLst>
          </c:dPt>
          <c:dPt>
            <c:idx val="4"/>
            <c:invertIfNegative val="0"/>
            <c:bubble3D val="0"/>
            <c:spPr>
              <a:solidFill>
                <a:schemeClr val="accent5"/>
              </a:solidFill>
              <a:ln>
                <a:noFill/>
              </a:ln>
              <a:effectLst/>
              <a:sp3d/>
            </c:spPr>
            <c:extLst xmlns:c16r2="http://schemas.microsoft.com/office/drawing/2015/06/chart">
              <c:ext xmlns:c16="http://schemas.microsoft.com/office/drawing/2014/chart" uri="{C3380CC4-5D6E-409C-BE32-E72D297353CC}">
                <c16:uniqueId val="{00000009-6C86-4412-9062-D1F5B8808E7D}"/>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Helper!$O$701:$O$705</c:f>
              <c:numCache>
                <c:formatCode>General</c:formatCode>
                <c:ptCount val="5"/>
                <c:pt idx="0">
                  <c:v>1</c:v>
                </c:pt>
                <c:pt idx="1">
                  <c:v>1</c:v>
                </c:pt>
                <c:pt idx="2">
                  <c:v>1</c:v>
                </c:pt>
                <c:pt idx="3">
                  <c:v>1</c:v>
                </c:pt>
                <c:pt idx="4">
                  <c:v>0</c:v>
                </c:pt>
              </c:numCache>
            </c:numRef>
          </c:val>
          <c:extLst xmlns:c16r2="http://schemas.microsoft.com/office/drawing/2015/06/chart">
            <c:ext xmlns:c16="http://schemas.microsoft.com/office/drawing/2014/chart" uri="{C3380CC4-5D6E-409C-BE32-E72D297353CC}">
              <c16:uniqueId val="{00000000-5D02-403F-9591-FB46C27673D7}"/>
            </c:ext>
            <c:ext xmlns:c15="http://schemas.microsoft.com/office/drawing/2012/chart" uri="{02D57815-91ED-43cb-92C2-25804820EDAC}">
              <c15:filteredCategoryTitle>
                <c15:cat>
                  <c:strRef>
                    <c:extLst>
                      <c:ext uri="{02D57815-91ED-43cb-92C2-25804820EDAC}">
                        <c15:formulaRef>
                          <c15:sqref>Helper!$N$701:$N$705</c15:sqref>
                        </c15:formulaRef>
                      </c:ext>
                    </c:extLst>
                    <c:strCache>
                      <c:ptCount val="4"/>
                      <c:pt idx="0">
                        <c:v>Private Sector</c:v>
                      </c:pt>
                      <c:pt idx="1">
                        <c:v>Public Sector</c:v>
                      </c:pt>
                      <c:pt idx="2">
                        <c:v>Civil Society Organizations</c:v>
                      </c:pt>
                      <c:pt idx="3">
                        <c:v>International</c:v>
                      </c:pt>
                    </c:strCache>
                  </c:strRef>
                </c15:cat>
              </c15:filteredCategoryTitle>
            </c:ext>
          </c:extLst>
        </c:ser>
        <c:dLbls>
          <c:showLegendKey val="0"/>
          <c:showVal val="0"/>
          <c:showCatName val="0"/>
          <c:showSerName val="0"/>
          <c:showPercent val="0"/>
          <c:showBubbleSize val="0"/>
        </c:dLbls>
        <c:gapWidth val="150"/>
        <c:shape val="box"/>
        <c:axId val="266585616"/>
        <c:axId val="266586792"/>
        <c:axId val="0"/>
      </c:bar3DChart>
      <c:catAx>
        <c:axId val="266585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86792"/>
        <c:crosses val="autoZero"/>
        <c:auto val="1"/>
        <c:lblAlgn val="ctr"/>
        <c:lblOffset val="100"/>
        <c:noMultiLvlLbl val="0"/>
      </c:catAx>
      <c:valAx>
        <c:axId val="266586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856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Narrow" panose="020B0606020202030204" pitchFamily="34" charset="0"/>
                <a:ea typeface="+mn-ea"/>
                <a:cs typeface="+mn-cs"/>
              </a:defRPr>
            </a:pPr>
            <a:r>
              <a:rPr lang="en-US" sz="2000" b="1">
                <a:latin typeface="Arial Narrow" panose="020B0606020202030204" pitchFamily="34" charset="0"/>
              </a:rPr>
              <a:t>Enrollment by Sex</a:t>
            </a:r>
          </a:p>
        </c:rich>
      </c:tx>
      <c:layout/>
      <c:overlay val="0"/>
      <c:spPr>
        <a:noFill/>
        <a:ln>
          <a:noFill/>
        </a:ln>
        <a:effectLst/>
      </c:spPr>
    </c:title>
    <c:autoTitleDeleted val="0"/>
    <c:plotArea>
      <c:layout/>
      <c:barChart>
        <c:barDir val="col"/>
        <c:grouping val="clustered"/>
        <c:varyColors val="0"/>
        <c:ser>
          <c:idx val="0"/>
          <c:order val="0"/>
          <c:tx>
            <c:strRef>
              <c:f>Helper!$B$2</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Helper!$A$3:$A$5</c:f>
              <c:strCache>
                <c:ptCount val="3"/>
                <c:pt idx="0">
                  <c:v>SY 2016-2017</c:v>
                </c:pt>
                <c:pt idx="1">
                  <c:v>SY 2017-2018</c:v>
                </c:pt>
                <c:pt idx="2">
                  <c:v>SY 2018-2019</c:v>
                </c:pt>
              </c:strCache>
            </c:strRef>
          </c:cat>
          <c:val>
            <c:numRef>
              <c:f>Helper!$B$3:$B$5</c:f>
              <c:numCache>
                <c:formatCode>General</c:formatCode>
                <c:ptCount val="3"/>
                <c:pt idx="0">
                  <c:v>671</c:v>
                </c:pt>
                <c:pt idx="1">
                  <c:v>741</c:v>
                </c:pt>
                <c:pt idx="2">
                  <c:v>772</c:v>
                </c:pt>
              </c:numCache>
            </c:numRef>
          </c:val>
          <c:extLst xmlns:c16r2="http://schemas.microsoft.com/office/drawing/2015/06/chart">
            <c:ext xmlns:c16="http://schemas.microsoft.com/office/drawing/2014/chart" uri="{C3380CC4-5D6E-409C-BE32-E72D297353CC}">
              <c16:uniqueId val="{00000000-4BF0-43D4-ABB7-9B196D5A355A}"/>
            </c:ext>
          </c:extLst>
        </c:ser>
        <c:ser>
          <c:idx val="1"/>
          <c:order val="1"/>
          <c:tx>
            <c:strRef>
              <c:f>Helper!$C$2</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Helper!$A$3:$A$5</c:f>
              <c:strCache>
                <c:ptCount val="3"/>
                <c:pt idx="0">
                  <c:v>SY 2016-2017</c:v>
                </c:pt>
                <c:pt idx="1">
                  <c:v>SY 2017-2018</c:v>
                </c:pt>
                <c:pt idx="2">
                  <c:v>SY 2018-2019</c:v>
                </c:pt>
              </c:strCache>
            </c:strRef>
          </c:cat>
          <c:val>
            <c:numRef>
              <c:f>Helper!$C$3:$C$5</c:f>
              <c:numCache>
                <c:formatCode>General</c:formatCode>
                <c:ptCount val="3"/>
                <c:pt idx="0">
                  <c:v>619</c:v>
                </c:pt>
                <c:pt idx="1">
                  <c:v>677</c:v>
                </c:pt>
                <c:pt idx="2">
                  <c:v>733</c:v>
                </c:pt>
              </c:numCache>
            </c:numRef>
          </c:val>
          <c:extLst xmlns:c16r2="http://schemas.microsoft.com/office/drawing/2015/06/chart">
            <c:ext xmlns:c16="http://schemas.microsoft.com/office/drawing/2014/chart" uri="{C3380CC4-5D6E-409C-BE32-E72D297353CC}">
              <c16:uniqueId val="{00000001-4BF0-43D4-ABB7-9B196D5A355A}"/>
            </c:ext>
          </c:extLst>
        </c:ser>
        <c:dLbls>
          <c:dLblPos val="ctr"/>
          <c:showLegendKey val="0"/>
          <c:showVal val="1"/>
          <c:showCatName val="0"/>
          <c:showSerName val="0"/>
          <c:showPercent val="0"/>
          <c:showBubbleSize val="0"/>
        </c:dLbls>
        <c:gapWidth val="80"/>
        <c:axId val="203987952"/>
        <c:axId val="203988344"/>
      </c:barChart>
      <c:catAx>
        <c:axId val="2039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03988344"/>
        <c:crosses val="autoZero"/>
        <c:auto val="1"/>
        <c:lblAlgn val="ctr"/>
        <c:lblOffset val="100"/>
        <c:noMultiLvlLbl val="0"/>
      </c:catAx>
      <c:valAx>
        <c:axId val="203988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0398795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pattFill prst="ltUpDiag">
      <a:fgClr>
        <a:schemeClr val="accent4">
          <a:lumMod val="40000"/>
          <a:lumOff val="6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Number of Partners by Specific Type</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v>Number of Partners by Specific Type</c:v>
          </c:tx>
          <c:invertIfNegative val="0"/>
          <c:dPt>
            <c:idx val="0"/>
            <c:invertIfNegative val="0"/>
            <c:bubble3D val="0"/>
            <c:spPr>
              <a:solidFill>
                <a:schemeClr val="accent1"/>
              </a:solidFill>
              <a:ln>
                <a:noFill/>
              </a:ln>
              <a:effectLst/>
              <a:sp3d/>
            </c:spPr>
            <c:extLst xmlns:c16r2="http://schemas.microsoft.com/office/drawing/2015/06/chart">
              <c:ext xmlns:c16="http://schemas.microsoft.com/office/drawing/2014/chart" uri="{C3380CC4-5D6E-409C-BE32-E72D297353CC}">
                <c16:uniqueId val="{00000001-83E5-4BEF-97DF-33E5763FBD52}"/>
              </c:ext>
            </c:extLst>
          </c:dPt>
          <c:cat>
            <c:strRef>
              <c:f>[0]!Level_SPT</c:f>
              <c:strCache>
                <c:ptCount val="3"/>
                <c:pt idx="0">
                  <c:v>Private Company</c:v>
                </c:pt>
                <c:pt idx="1">
                  <c:v>People's Organizations</c:v>
                </c:pt>
                <c:pt idx="2">
                  <c:v>Others</c:v>
                </c:pt>
              </c:strCache>
            </c:strRef>
          </c:cat>
          <c:val>
            <c:numRef>
              <c:f>[0]!Data_SPT</c:f>
              <c:numCache>
                <c:formatCode>General</c:formatCode>
                <c:ptCount val="3"/>
                <c:pt idx="0">
                  <c:v>1</c:v>
                </c:pt>
                <c:pt idx="1">
                  <c:v>1</c:v>
                </c:pt>
                <c:pt idx="2">
                  <c:v>1</c:v>
                </c:pt>
              </c:numCache>
            </c:numRef>
          </c:val>
          <c:extLst xmlns:c16r2="http://schemas.microsoft.com/office/drawing/2015/06/chart">
            <c:ext xmlns:c16="http://schemas.microsoft.com/office/drawing/2014/chart" uri="{C3380CC4-5D6E-409C-BE32-E72D297353CC}">
              <c16:uniqueId val="{00000000-E7FF-4DC3-807B-7D79D5AF41D5}"/>
            </c:ext>
          </c:extLst>
        </c:ser>
        <c:dLbls>
          <c:showLegendKey val="0"/>
          <c:showVal val="0"/>
          <c:showCatName val="0"/>
          <c:showSerName val="0"/>
          <c:showPercent val="0"/>
          <c:showBubbleSize val="0"/>
        </c:dLbls>
        <c:gapWidth val="150"/>
        <c:shape val="box"/>
        <c:axId val="266590712"/>
        <c:axId val="266586400"/>
        <c:axId val="0"/>
      </c:bar3DChart>
      <c:catAx>
        <c:axId val="266590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86400"/>
        <c:crosses val="autoZero"/>
        <c:auto val="1"/>
        <c:lblAlgn val="ctr"/>
        <c:lblOffset val="100"/>
        <c:noMultiLvlLbl val="0"/>
      </c:catAx>
      <c:valAx>
        <c:axId val="26658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907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v>Number of Support per Specific Contribution Type</c:v>
          </c:tx>
          <c:invertIfNegative val="0"/>
          <c:dPt>
            <c:idx val="0"/>
            <c:invertIfNegative val="0"/>
            <c:bubble3D val="0"/>
            <c:spPr>
              <a:solidFill>
                <a:schemeClr val="accent1"/>
              </a:solidFill>
              <a:ln>
                <a:noFill/>
              </a:ln>
              <a:effectLst/>
              <a:sp3d/>
            </c:spPr>
            <c:extLst xmlns:c16r2="http://schemas.microsoft.com/office/drawing/2015/06/chart">
              <c:ext xmlns:c16="http://schemas.microsoft.com/office/drawing/2014/chart" uri="{C3380CC4-5D6E-409C-BE32-E72D297353CC}">
                <c16:uniqueId val="{00000001-2C8E-466A-9191-69B8C09B5278}"/>
              </c:ext>
            </c:extLst>
          </c:dPt>
          <c:cat>
            <c:strRef>
              <c:f>[0]!Level_CT</c:f>
              <c:strCache>
                <c:ptCount val="8"/>
                <c:pt idx="0">
                  <c:v>Policy Support</c:v>
                </c:pt>
                <c:pt idx="1">
                  <c:v>Technical Assistance</c:v>
                </c:pt>
                <c:pt idx="2">
                  <c:v>Learner School Supplies Uniforms</c:v>
                </c:pt>
                <c:pt idx="3">
                  <c:v>Learner Wellness Health Nutrition</c:v>
                </c:pt>
                <c:pt idx="4">
                  <c:v>Technology</c:v>
                </c:pt>
                <c:pt idx="5">
                  <c:v>Use of Facilities</c:v>
                </c:pt>
                <c:pt idx="6">
                  <c:v>Volunteer Hours</c:v>
                </c:pt>
                <c:pt idx="7">
                  <c:v>Work Immersion</c:v>
                </c:pt>
              </c:strCache>
            </c:strRef>
          </c:cat>
          <c:val>
            <c:numRef>
              <c:f>[0]!Data_CT</c:f>
              <c:numCache>
                <c:formatCode>General</c:formatCode>
                <c:ptCount val="8"/>
                <c:pt idx="0">
                  <c:v>2</c:v>
                </c:pt>
                <c:pt idx="1">
                  <c:v>2</c:v>
                </c:pt>
                <c:pt idx="2">
                  <c:v>1</c:v>
                </c:pt>
                <c:pt idx="3">
                  <c:v>1</c:v>
                </c:pt>
                <c:pt idx="4">
                  <c:v>1</c:v>
                </c:pt>
                <c:pt idx="5">
                  <c:v>1</c:v>
                </c:pt>
                <c:pt idx="6">
                  <c:v>1</c:v>
                </c:pt>
                <c:pt idx="7">
                  <c:v>1</c:v>
                </c:pt>
              </c:numCache>
            </c:numRef>
          </c:val>
          <c:extLst xmlns:c16r2="http://schemas.microsoft.com/office/drawing/2015/06/chart">
            <c:ext xmlns:c16="http://schemas.microsoft.com/office/drawing/2014/chart" uri="{C3380CC4-5D6E-409C-BE32-E72D297353CC}">
              <c16:uniqueId val="{00000000-6DFD-4367-8564-E4BF93B8513C}"/>
            </c:ext>
          </c:extLst>
        </c:ser>
        <c:dLbls>
          <c:showLegendKey val="0"/>
          <c:showVal val="0"/>
          <c:showCatName val="0"/>
          <c:showSerName val="0"/>
          <c:showPercent val="0"/>
          <c:showBubbleSize val="0"/>
        </c:dLbls>
        <c:gapWidth val="150"/>
        <c:shape val="box"/>
        <c:axId val="266587576"/>
        <c:axId val="266580520"/>
        <c:axId val="0"/>
      </c:bar3DChart>
      <c:catAx>
        <c:axId val="266587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6580520"/>
        <c:crosses val="autoZero"/>
        <c:auto val="1"/>
        <c:lblAlgn val="ctr"/>
        <c:lblOffset val="100"/>
        <c:noMultiLvlLbl val="0"/>
      </c:catAx>
      <c:valAx>
        <c:axId val="2665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875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600" b="1" i="0" baseline="0">
                <a:effectLst/>
              </a:rPr>
              <a:t>Phil-IRI GST-English (Pre-Test)</a:t>
            </a:r>
            <a:endParaRPr lang="en-US" sz="1200" b="1">
              <a:effectLst/>
            </a:endParaRPr>
          </a:p>
        </c:rich>
      </c:tx>
      <c:layout/>
      <c:overlay val="0"/>
      <c:spPr>
        <a:noFill/>
        <a:ln>
          <a:noFill/>
        </a:ln>
        <a:effectLst/>
      </c:spPr>
    </c:title>
    <c:autoTitleDeleted val="0"/>
    <c:plotArea>
      <c:layout/>
      <c:barChart>
        <c:barDir val="col"/>
        <c:grouping val="stacked"/>
        <c:varyColors val="0"/>
        <c:ser>
          <c:idx val="0"/>
          <c:order val="0"/>
          <c:tx>
            <c:v>20-14</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[0]!Level_PHILIRI</c:f>
              <c:strCache>
                <c:ptCount val="6"/>
                <c:pt idx="0">
                  <c:v>Grade 7</c:v>
                </c:pt>
                <c:pt idx="1">
                  <c:v>Grade 8</c:v>
                </c:pt>
                <c:pt idx="2">
                  <c:v>Grade 9</c:v>
                </c:pt>
                <c:pt idx="3">
                  <c:v>Grade 10</c:v>
                </c:pt>
                <c:pt idx="4">
                  <c:v>Grade 11</c:v>
                </c:pt>
                <c:pt idx="5">
                  <c:v>Grade 12</c:v>
                </c:pt>
              </c:strCache>
            </c:strRef>
          </c:cat>
          <c:val>
            <c:numRef>
              <c:f>[0]!Data_PHILIRI</c:f>
              <c:numCache>
                <c:formatCode>0.00</c:formatCode>
                <c:ptCount val="6"/>
                <c:pt idx="0">
                  <c:v>17.582417582417584</c:v>
                </c:pt>
                <c:pt idx="1">
                  <c:v>38.032786885245898</c:v>
                </c:pt>
                <c:pt idx="2">
                  <c:v>34.412955465587039</c:v>
                </c:pt>
                <c:pt idx="3">
                  <c:v>47.058823529411761</c:v>
                </c:pt>
                <c:pt idx="4">
                  <c:v>50.24154589371981</c:v>
                </c:pt>
                <c:pt idx="5">
                  <c:v>26.086956521739129</c:v>
                </c:pt>
              </c:numCache>
            </c:numRef>
          </c:val>
          <c:extLst xmlns:c16r2="http://schemas.microsoft.com/office/drawing/2015/06/chart">
            <c:ext xmlns:c16="http://schemas.microsoft.com/office/drawing/2014/chart" uri="{C3380CC4-5D6E-409C-BE32-E72D297353CC}">
              <c16:uniqueId val="{00000000-905C-4CE2-A87C-E4E1CB7E28B3}"/>
            </c:ext>
          </c:extLst>
        </c:ser>
        <c:ser>
          <c:idx val="1"/>
          <c:order val="1"/>
          <c:tx>
            <c:v>13-8</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[0]!Level_PHILIRI</c:f>
              <c:strCache>
                <c:ptCount val="6"/>
                <c:pt idx="0">
                  <c:v>Grade 7</c:v>
                </c:pt>
                <c:pt idx="1">
                  <c:v>Grade 8</c:v>
                </c:pt>
                <c:pt idx="2">
                  <c:v>Grade 9</c:v>
                </c:pt>
                <c:pt idx="3">
                  <c:v>Grade 10</c:v>
                </c:pt>
                <c:pt idx="4">
                  <c:v>Grade 11</c:v>
                </c:pt>
                <c:pt idx="5">
                  <c:v>Grade 12</c:v>
                </c:pt>
              </c:strCache>
            </c:strRef>
          </c:cat>
          <c:val>
            <c:numRef>
              <c:f>[0]!Data_PHILIRI2</c:f>
              <c:numCache>
                <c:formatCode>0.00</c:formatCode>
                <c:ptCount val="6"/>
                <c:pt idx="0">
                  <c:v>74.72527472527473</c:v>
                </c:pt>
                <c:pt idx="1">
                  <c:v>60.327868852459019</c:v>
                </c:pt>
                <c:pt idx="2">
                  <c:v>61.53846153846154</c:v>
                </c:pt>
                <c:pt idx="3">
                  <c:v>47.511312217194565</c:v>
                </c:pt>
                <c:pt idx="4">
                  <c:v>25.120772946859905</c:v>
                </c:pt>
                <c:pt idx="5">
                  <c:v>40.993788819875775</c:v>
                </c:pt>
              </c:numCache>
            </c:numRef>
          </c:val>
          <c:extLst xmlns:c16r2="http://schemas.microsoft.com/office/drawing/2015/06/chart">
            <c:ext xmlns:c16="http://schemas.microsoft.com/office/drawing/2014/chart" uri="{C3380CC4-5D6E-409C-BE32-E72D297353CC}">
              <c16:uniqueId val="{00000001-905C-4CE2-A87C-E4E1CB7E28B3}"/>
            </c:ext>
          </c:extLst>
        </c:ser>
        <c:ser>
          <c:idx val="2"/>
          <c:order val="2"/>
          <c:tx>
            <c:v>7-0</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[0]!Level_PHILIRI</c:f>
              <c:strCache>
                <c:ptCount val="6"/>
                <c:pt idx="0">
                  <c:v>Grade 7</c:v>
                </c:pt>
                <c:pt idx="1">
                  <c:v>Grade 8</c:v>
                </c:pt>
                <c:pt idx="2">
                  <c:v>Grade 9</c:v>
                </c:pt>
                <c:pt idx="3">
                  <c:v>Grade 10</c:v>
                </c:pt>
                <c:pt idx="4">
                  <c:v>Grade 11</c:v>
                </c:pt>
                <c:pt idx="5">
                  <c:v>Grade 12</c:v>
                </c:pt>
              </c:strCache>
            </c:strRef>
          </c:cat>
          <c:val>
            <c:numRef>
              <c:f>[0]!Data_PHILIRI3</c:f>
              <c:numCache>
                <c:formatCode>0.00</c:formatCode>
                <c:ptCount val="6"/>
                <c:pt idx="0">
                  <c:v>7.6923076923076925</c:v>
                </c:pt>
                <c:pt idx="1">
                  <c:v>1.639344262295082</c:v>
                </c:pt>
                <c:pt idx="2">
                  <c:v>4.048582995951417</c:v>
                </c:pt>
                <c:pt idx="3">
                  <c:v>5.4298642533936654</c:v>
                </c:pt>
                <c:pt idx="4">
                  <c:v>24.637681159420293</c:v>
                </c:pt>
                <c:pt idx="5">
                  <c:v>32.919254658385093</c:v>
                </c:pt>
              </c:numCache>
            </c:numRef>
          </c:val>
          <c:extLst xmlns:c16r2="http://schemas.microsoft.com/office/drawing/2015/06/chart">
            <c:ext xmlns:c16="http://schemas.microsoft.com/office/drawing/2014/chart" uri="{C3380CC4-5D6E-409C-BE32-E72D297353CC}">
              <c16:uniqueId val="{00000002-905C-4CE2-A87C-E4E1CB7E28B3}"/>
            </c:ext>
          </c:extLst>
        </c:ser>
        <c:dLbls>
          <c:dLblPos val="ctr"/>
          <c:showLegendKey val="0"/>
          <c:showVal val="1"/>
          <c:showCatName val="0"/>
          <c:showSerName val="0"/>
          <c:showPercent val="0"/>
          <c:showBubbleSize val="0"/>
        </c:dLbls>
        <c:gapWidth val="150"/>
        <c:overlap val="100"/>
        <c:axId val="266581304"/>
        <c:axId val="266581696"/>
      </c:barChart>
      <c:catAx>
        <c:axId val="266581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81696"/>
        <c:crosses val="autoZero"/>
        <c:auto val="1"/>
        <c:lblAlgn val="ctr"/>
        <c:lblOffset val="100"/>
        <c:noMultiLvlLbl val="0"/>
      </c:catAx>
      <c:valAx>
        <c:axId val="26658169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81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600" b="1" i="0" baseline="0">
                <a:effectLst/>
              </a:rPr>
              <a:t>Phil-IRI GST-FILIPINO (Pre-Test)</a:t>
            </a:r>
            <a:endParaRPr lang="en-US" sz="1200" b="1">
              <a:effectLst/>
            </a:endParaRPr>
          </a:p>
        </c:rich>
      </c:tx>
      <c:layout/>
      <c:overlay val="0"/>
      <c:spPr>
        <a:noFill/>
        <a:ln>
          <a:noFill/>
        </a:ln>
        <a:effectLst/>
      </c:spPr>
    </c:title>
    <c:autoTitleDeleted val="0"/>
    <c:plotArea>
      <c:layout/>
      <c:barChart>
        <c:barDir val="col"/>
        <c:grouping val="stacked"/>
        <c:varyColors val="0"/>
        <c:ser>
          <c:idx val="0"/>
          <c:order val="0"/>
          <c:tx>
            <c:v>20-14</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[0]!Level_PHILIRIFIL</c:f>
              <c:strCache>
                <c:ptCount val="6"/>
                <c:pt idx="0">
                  <c:v>Grade 7</c:v>
                </c:pt>
                <c:pt idx="1">
                  <c:v>Grade 8</c:v>
                </c:pt>
                <c:pt idx="2">
                  <c:v>Grade 9</c:v>
                </c:pt>
                <c:pt idx="3">
                  <c:v>Grade 10</c:v>
                </c:pt>
                <c:pt idx="4">
                  <c:v>Grade 11</c:v>
                </c:pt>
                <c:pt idx="5">
                  <c:v>Grade 12</c:v>
                </c:pt>
              </c:strCache>
            </c:strRef>
          </c:cat>
          <c:val>
            <c:numRef>
              <c:f>[0]!Data_PHILIRIFIL</c:f>
              <c:numCache>
                <c:formatCode>0.00</c:formatCode>
                <c:ptCount val="6"/>
                <c:pt idx="0">
                  <c:v>30.219780219780219</c:v>
                </c:pt>
                <c:pt idx="1">
                  <c:v>23.278688524590162</c:v>
                </c:pt>
                <c:pt idx="2">
                  <c:v>35.222672064777328</c:v>
                </c:pt>
                <c:pt idx="3">
                  <c:v>42.081447963800905</c:v>
                </c:pt>
                <c:pt idx="4">
                  <c:v>30.434782608695656</c:v>
                </c:pt>
                <c:pt idx="5">
                  <c:v>77.018633540372676</c:v>
                </c:pt>
              </c:numCache>
            </c:numRef>
          </c:val>
          <c:extLst xmlns:c16r2="http://schemas.microsoft.com/office/drawing/2015/06/chart">
            <c:ext xmlns:c16="http://schemas.microsoft.com/office/drawing/2014/chart" uri="{C3380CC4-5D6E-409C-BE32-E72D297353CC}">
              <c16:uniqueId val="{00000000-88AF-4071-93DA-0F82B30D75F0}"/>
            </c:ext>
          </c:extLst>
        </c:ser>
        <c:ser>
          <c:idx val="1"/>
          <c:order val="1"/>
          <c:tx>
            <c:v>13-8</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[0]!Level_PHILIRIFIL</c:f>
              <c:strCache>
                <c:ptCount val="6"/>
                <c:pt idx="0">
                  <c:v>Grade 7</c:v>
                </c:pt>
                <c:pt idx="1">
                  <c:v>Grade 8</c:v>
                </c:pt>
                <c:pt idx="2">
                  <c:v>Grade 9</c:v>
                </c:pt>
                <c:pt idx="3">
                  <c:v>Grade 10</c:v>
                </c:pt>
                <c:pt idx="4">
                  <c:v>Grade 11</c:v>
                </c:pt>
                <c:pt idx="5">
                  <c:v>Grade 12</c:v>
                </c:pt>
              </c:strCache>
            </c:strRef>
          </c:cat>
          <c:val>
            <c:numRef>
              <c:f>[0]!Data_PHILIRIFIL2</c:f>
              <c:numCache>
                <c:formatCode>0.00</c:formatCode>
                <c:ptCount val="6"/>
                <c:pt idx="0">
                  <c:v>52.197802197802204</c:v>
                </c:pt>
                <c:pt idx="1">
                  <c:v>64.918032786885249</c:v>
                </c:pt>
                <c:pt idx="2">
                  <c:v>64.372469635627525</c:v>
                </c:pt>
                <c:pt idx="3">
                  <c:v>52.036199095022631</c:v>
                </c:pt>
                <c:pt idx="4">
                  <c:v>49.75845410628019</c:v>
                </c:pt>
                <c:pt idx="5">
                  <c:v>13.043478260869565</c:v>
                </c:pt>
              </c:numCache>
            </c:numRef>
          </c:val>
          <c:extLst xmlns:c16r2="http://schemas.microsoft.com/office/drawing/2015/06/chart">
            <c:ext xmlns:c16="http://schemas.microsoft.com/office/drawing/2014/chart" uri="{C3380CC4-5D6E-409C-BE32-E72D297353CC}">
              <c16:uniqueId val="{00000001-88AF-4071-93DA-0F82B30D75F0}"/>
            </c:ext>
          </c:extLst>
        </c:ser>
        <c:ser>
          <c:idx val="2"/>
          <c:order val="2"/>
          <c:tx>
            <c:v>7-0</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[0]!Level_PHILIRIFIL</c:f>
              <c:strCache>
                <c:ptCount val="6"/>
                <c:pt idx="0">
                  <c:v>Grade 7</c:v>
                </c:pt>
                <c:pt idx="1">
                  <c:v>Grade 8</c:v>
                </c:pt>
                <c:pt idx="2">
                  <c:v>Grade 9</c:v>
                </c:pt>
                <c:pt idx="3">
                  <c:v>Grade 10</c:v>
                </c:pt>
                <c:pt idx="4">
                  <c:v>Grade 11</c:v>
                </c:pt>
                <c:pt idx="5">
                  <c:v>Grade 12</c:v>
                </c:pt>
              </c:strCache>
            </c:strRef>
          </c:cat>
          <c:val>
            <c:numRef>
              <c:f>[0]!Data_PHILIRIFIL3</c:f>
              <c:numCache>
                <c:formatCode>0.00</c:formatCode>
                <c:ptCount val="6"/>
                <c:pt idx="0">
                  <c:v>17.582417582417584</c:v>
                </c:pt>
                <c:pt idx="1">
                  <c:v>11.803278688524591</c:v>
                </c:pt>
                <c:pt idx="2">
                  <c:v>0.40485829959514169</c:v>
                </c:pt>
                <c:pt idx="3">
                  <c:v>5.8823529411764701</c:v>
                </c:pt>
                <c:pt idx="4">
                  <c:v>19.806763285024154</c:v>
                </c:pt>
                <c:pt idx="5">
                  <c:v>9.9378881987577632</c:v>
                </c:pt>
              </c:numCache>
            </c:numRef>
          </c:val>
          <c:extLst xmlns:c16r2="http://schemas.microsoft.com/office/drawing/2015/06/chart">
            <c:ext xmlns:c16="http://schemas.microsoft.com/office/drawing/2014/chart" uri="{C3380CC4-5D6E-409C-BE32-E72D297353CC}">
              <c16:uniqueId val="{00000002-88AF-4071-93DA-0F82B30D75F0}"/>
            </c:ext>
          </c:extLst>
        </c:ser>
        <c:dLbls>
          <c:dLblPos val="ctr"/>
          <c:showLegendKey val="0"/>
          <c:showVal val="1"/>
          <c:showCatName val="0"/>
          <c:showSerName val="0"/>
          <c:showPercent val="0"/>
          <c:showBubbleSize val="0"/>
        </c:dLbls>
        <c:gapWidth val="150"/>
        <c:overlap val="100"/>
        <c:axId val="266593456"/>
        <c:axId val="266594240"/>
      </c:barChart>
      <c:catAx>
        <c:axId val="26659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94240"/>
        <c:crosses val="autoZero"/>
        <c:auto val="1"/>
        <c:lblAlgn val="ctr"/>
        <c:lblOffset val="100"/>
        <c:noMultiLvlLbl val="0"/>
      </c:catAx>
      <c:valAx>
        <c:axId val="26659424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93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PH">
                <a:latin typeface="Arial Narrow" panose="020B0606020202030204" pitchFamily="34" charset="0"/>
              </a:rPr>
              <a:t>Availability</a:t>
            </a:r>
            <a:r>
              <a:rPr lang="en-PH" baseline="0">
                <a:latin typeface="Arial Narrow" panose="020B0606020202030204" pitchFamily="34" charset="0"/>
              </a:rPr>
              <a:t> of Books by Subject</a:t>
            </a:r>
            <a:endParaRPr lang="en-PH">
              <a:latin typeface="Arial Narrow" panose="020B0606020202030204" pitchFamily="34" charset="0"/>
            </a:endParaRP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8219816272965887E-2"/>
          <c:y val="0.17171296296296298"/>
          <c:w val="0.87122462817147861"/>
          <c:h val="0.63844087197433652"/>
        </c:manualLayout>
      </c:layout>
      <c:bar3DChart>
        <c:barDir val="col"/>
        <c:grouping val="clustered"/>
        <c:varyColors val="0"/>
        <c:ser>
          <c:idx val="0"/>
          <c:order val="0"/>
          <c:spPr>
            <a:solidFill>
              <a:schemeClr val="accent1"/>
            </a:solidFill>
            <a:ln>
              <a:noFill/>
            </a:ln>
            <a:effectLst/>
            <a:sp3d/>
          </c:spPr>
          <c:invertIfNegative val="0"/>
          <c:val>
            <c:numRef>
              <c:f>Helper!$W$18:$W$28</c:f>
              <c:numCache>
                <c:formatCode>0.00</c:formatCode>
                <c:ptCount val="11"/>
                <c:pt idx="0">
                  <c:v>1.5554817275747508</c:v>
                </c:pt>
                <c:pt idx="1">
                  <c:v>0.83654485049833882</c:v>
                </c:pt>
                <c:pt idx="2">
                  <c:v>0.73621262458471759</c:v>
                </c:pt>
                <c:pt idx="3">
                  <c:v>0.66046511627906979</c:v>
                </c:pt>
                <c:pt idx="4">
                  <c:v>0.43920265780730899</c:v>
                </c:pt>
                <c:pt idx="5">
                  <c:v>0.43122923588039869</c:v>
                </c:pt>
                <c:pt idx="6">
                  <c:v>0.39136212624584715</c:v>
                </c:pt>
                <c:pt idx="7">
                  <c:v>1.6611295681063124E-2</c:v>
                </c:pt>
                <c:pt idx="8">
                  <c:v>0</c:v>
                </c:pt>
                <c:pt idx="9">
                  <c:v>#N/A</c:v>
                </c:pt>
              </c:numCache>
            </c:numRef>
          </c:val>
          <c:extLst xmlns:c16r2="http://schemas.microsoft.com/office/drawing/2015/06/chart">
            <c:ext xmlns:c16="http://schemas.microsoft.com/office/drawing/2014/chart" uri="{C3380CC4-5D6E-409C-BE32-E72D297353CC}">
              <c16:uniqueId val="{00000000-FE3A-4FE8-BE06-BE5D3ED77851}"/>
            </c:ext>
            <c:ext xmlns:c15="http://schemas.microsoft.com/office/drawing/2012/chart" uri="{02D57815-91ED-43cb-92C2-25804820EDAC}">
              <c15:filteredCategoryTitle>
                <c15:cat>
                  <c:strRef>
                    <c:extLst xmlns:c16="http://schemas.microsoft.com/office/drawing/2014/chart" xmlns:c16r2="http://schemas.microsoft.com/office/drawing/2015/06/chart">
                      <c:ext uri="{02D57815-91ED-43cb-92C2-25804820EDAC}">
                        <c15:formulaRef>
                          <c15:sqref>Helper!$V$18:$V$28</c15:sqref>
                        </c15:formulaRef>
                      </c:ext>
                    </c:extLst>
                    <c:strCache>
                      <c:ptCount val="10"/>
                      <c:pt idx="0">
                        <c:v>MAPEH</c:v>
                      </c:pt>
                      <c:pt idx="1">
                        <c:v>Filipino</c:v>
                      </c:pt>
                      <c:pt idx="2">
                        <c:v>Science</c:v>
                      </c:pt>
                      <c:pt idx="3">
                        <c:v>Math</c:v>
                      </c:pt>
                      <c:pt idx="4">
                        <c:v>English</c:v>
                      </c:pt>
                      <c:pt idx="5">
                        <c:v>EsP</c:v>
                      </c:pt>
                      <c:pt idx="6">
                        <c:v>AP</c:v>
                      </c:pt>
                      <c:pt idx="7">
                        <c:v>Reading</c:v>
                      </c:pt>
                      <c:pt idx="9">
                        <c:v>#N/A</c:v>
                      </c:pt>
                    </c:strCache>
                  </c:strRef>
                </c15:cat>
              </c15:filteredCategoryTitle>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Helper!$X$18:$X$28</c:f>
              <c:numCache>
                <c:formatCode>0.00</c:formatCode>
                <c:ptCount val="11"/>
                <c:pt idx="0">
                  <c:v>155.55000000000001</c:v>
                </c:pt>
                <c:pt idx="1">
                  <c:v>83.65</c:v>
                </c:pt>
                <c:pt idx="2">
                  <c:v>73.62</c:v>
                </c:pt>
                <c:pt idx="3">
                  <c:v>66.05</c:v>
                </c:pt>
                <c:pt idx="4">
                  <c:v>43.92</c:v>
                </c:pt>
                <c:pt idx="5">
                  <c:v>43.12</c:v>
                </c:pt>
                <c:pt idx="6">
                  <c:v>39.14</c:v>
                </c:pt>
                <c:pt idx="7">
                  <c:v>1.66</c:v>
                </c:pt>
                <c:pt idx="8">
                  <c:v>0</c:v>
                </c:pt>
                <c:pt idx="9">
                  <c:v>#N/A</c:v>
                </c:pt>
              </c:numCache>
            </c:numRef>
          </c:val>
          <c:extLst xmlns:c16r2="http://schemas.microsoft.com/office/drawing/2015/06/chart">
            <c:ext xmlns:c16="http://schemas.microsoft.com/office/drawing/2014/chart" uri="{C3380CC4-5D6E-409C-BE32-E72D297353CC}">
              <c16:uniqueId val="{00000001-FE3A-4FE8-BE06-BE5D3ED77851}"/>
            </c:ext>
            <c:ext xmlns:c15="http://schemas.microsoft.com/office/drawing/2012/chart" uri="{02D57815-91ED-43cb-92C2-25804820EDAC}">
              <c15:filteredCategoryTitle>
                <c15:cat>
                  <c:strRef>
                    <c:extLst xmlns:c16="http://schemas.microsoft.com/office/drawing/2014/chart" xmlns:c16r2="http://schemas.microsoft.com/office/drawing/2015/06/chart">
                      <c:ext uri="{02D57815-91ED-43cb-92C2-25804820EDAC}">
                        <c15:formulaRef>
                          <c15:sqref>Helper!$V$18:$V$28</c15:sqref>
                        </c15:formulaRef>
                      </c:ext>
                    </c:extLst>
                    <c:strCache>
                      <c:ptCount val="10"/>
                      <c:pt idx="0">
                        <c:v>MAPEH</c:v>
                      </c:pt>
                      <c:pt idx="1">
                        <c:v>Filipino</c:v>
                      </c:pt>
                      <c:pt idx="2">
                        <c:v>Science</c:v>
                      </c:pt>
                      <c:pt idx="3">
                        <c:v>Math</c:v>
                      </c:pt>
                      <c:pt idx="4">
                        <c:v>English</c:v>
                      </c:pt>
                      <c:pt idx="5">
                        <c:v>EsP</c:v>
                      </c:pt>
                      <c:pt idx="6">
                        <c:v>AP</c:v>
                      </c:pt>
                      <c:pt idx="7">
                        <c:v>Reading</c:v>
                      </c:pt>
                      <c:pt idx="9">
                        <c:v>#N/A</c:v>
                      </c:pt>
                    </c:strCache>
                  </c:strRef>
                </c15:cat>
              </c15:filteredCategoryTitle>
            </c:ext>
          </c:extLst>
        </c:ser>
        <c:dLbls>
          <c:showLegendKey val="0"/>
          <c:showVal val="0"/>
          <c:showCatName val="0"/>
          <c:showSerName val="0"/>
          <c:showPercent val="0"/>
          <c:showBubbleSize val="0"/>
        </c:dLbls>
        <c:gapWidth val="2"/>
        <c:gapDepth val="139"/>
        <c:shape val="box"/>
        <c:axId val="266594632"/>
        <c:axId val="266593848"/>
        <c:axId val="0"/>
      </c:bar3DChart>
      <c:catAx>
        <c:axId val="266594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6593848"/>
        <c:crosses val="autoZero"/>
        <c:auto val="1"/>
        <c:lblAlgn val="ctr"/>
        <c:lblOffset val="100"/>
        <c:noMultiLvlLbl val="0"/>
      </c:catAx>
      <c:valAx>
        <c:axId val="2665938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946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Enrollment by Sex</a:t>
            </a:r>
          </a:p>
        </c:rich>
      </c:tx>
      <c:overlay val="0"/>
      <c:spPr>
        <a:noFill/>
        <a:ln>
          <a:noFill/>
        </a:ln>
        <a:effectLst/>
      </c:spPr>
    </c:title>
    <c:autoTitleDeleted val="0"/>
    <c:plotArea>
      <c:layout/>
      <c:barChart>
        <c:barDir val="col"/>
        <c:grouping val="clustered"/>
        <c:varyColors val="0"/>
        <c:ser>
          <c:idx val="0"/>
          <c:order val="0"/>
          <c:tx>
            <c:strRef>
              <c:f>Helper!$B$2</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Helper!$A$3:$A$5</c:f>
              <c:strCache>
                <c:ptCount val="3"/>
                <c:pt idx="0">
                  <c:v>SY 2016-2017</c:v>
                </c:pt>
                <c:pt idx="1">
                  <c:v>SY 2017-2018</c:v>
                </c:pt>
                <c:pt idx="2">
                  <c:v>SY 2018-2019</c:v>
                </c:pt>
              </c:strCache>
            </c:strRef>
          </c:cat>
          <c:val>
            <c:numRef>
              <c:f>Helper!$B$3:$B$5</c:f>
              <c:numCache>
                <c:formatCode>General</c:formatCode>
                <c:ptCount val="3"/>
                <c:pt idx="0">
                  <c:v>671</c:v>
                </c:pt>
                <c:pt idx="1">
                  <c:v>741</c:v>
                </c:pt>
                <c:pt idx="2">
                  <c:v>772</c:v>
                </c:pt>
              </c:numCache>
            </c:numRef>
          </c:val>
          <c:extLst xmlns:c16r2="http://schemas.microsoft.com/office/drawing/2015/06/chart">
            <c:ext xmlns:c16="http://schemas.microsoft.com/office/drawing/2014/chart" uri="{C3380CC4-5D6E-409C-BE32-E72D297353CC}">
              <c16:uniqueId val="{00000000-4BF0-43D4-ABB7-9B196D5A355A}"/>
            </c:ext>
          </c:extLst>
        </c:ser>
        <c:ser>
          <c:idx val="1"/>
          <c:order val="1"/>
          <c:tx>
            <c:strRef>
              <c:f>Helper!$C$2</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Helper!$A$3:$A$5</c:f>
              <c:strCache>
                <c:ptCount val="3"/>
                <c:pt idx="0">
                  <c:v>SY 2016-2017</c:v>
                </c:pt>
                <c:pt idx="1">
                  <c:v>SY 2017-2018</c:v>
                </c:pt>
                <c:pt idx="2">
                  <c:v>SY 2018-2019</c:v>
                </c:pt>
              </c:strCache>
            </c:strRef>
          </c:cat>
          <c:val>
            <c:numRef>
              <c:f>Helper!$C$3:$C$5</c:f>
              <c:numCache>
                <c:formatCode>General</c:formatCode>
                <c:ptCount val="3"/>
                <c:pt idx="0">
                  <c:v>619</c:v>
                </c:pt>
                <c:pt idx="1">
                  <c:v>677</c:v>
                </c:pt>
                <c:pt idx="2">
                  <c:v>733</c:v>
                </c:pt>
              </c:numCache>
            </c:numRef>
          </c:val>
          <c:extLst xmlns:c16r2="http://schemas.microsoft.com/office/drawing/2015/06/chart">
            <c:ext xmlns:c16="http://schemas.microsoft.com/office/drawing/2014/chart" uri="{C3380CC4-5D6E-409C-BE32-E72D297353CC}">
              <c16:uniqueId val="{00000001-4BF0-43D4-ABB7-9B196D5A355A}"/>
            </c:ext>
          </c:extLst>
        </c:ser>
        <c:dLbls>
          <c:dLblPos val="ctr"/>
          <c:showLegendKey val="0"/>
          <c:showVal val="1"/>
          <c:showCatName val="0"/>
          <c:showSerName val="0"/>
          <c:showPercent val="0"/>
          <c:showBubbleSize val="0"/>
        </c:dLbls>
        <c:gapWidth val="80"/>
        <c:axId val="266591496"/>
        <c:axId val="266593064"/>
      </c:barChart>
      <c:catAx>
        <c:axId val="266591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6593064"/>
        <c:crosses val="autoZero"/>
        <c:auto val="1"/>
        <c:lblAlgn val="ctr"/>
        <c:lblOffset val="100"/>
        <c:noMultiLvlLbl val="0"/>
      </c:catAx>
      <c:valAx>
        <c:axId val="266593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591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ltUpDiag">
      <a:fgClr>
        <a:schemeClr val="accent4">
          <a:lumMod val="40000"/>
          <a:lumOff val="6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PH">
                <a:latin typeface="Arial Narrow" panose="020B0606020202030204" pitchFamily="34" charset="0"/>
              </a:rPr>
              <a:t>Availability</a:t>
            </a:r>
            <a:r>
              <a:rPr lang="en-PH" baseline="0">
                <a:latin typeface="Arial Narrow" panose="020B0606020202030204" pitchFamily="34" charset="0"/>
              </a:rPr>
              <a:t> of Books by Learning Area</a:t>
            </a:r>
            <a:endParaRPr lang="en-PH">
              <a:latin typeface="Arial Narrow" panose="020B0606020202030204" pitchFamily="34" charset="0"/>
            </a:endParaRP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8219816272965887E-2"/>
          <c:y val="0.17171296296296298"/>
          <c:w val="0.87122462817147861"/>
          <c:h val="0.63844087197433652"/>
        </c:manualLayout>
      </c:layout>
      <c:bar3DChart>
        <c:barDir val="col"/>
        <c:grouping val="clustered"/>
        <c:varyColors val="0"/>
        <c:ser>
          <c:idx val="0"/>
          <c:order val="0"/>
          <c:spPr>
            <a:solidFill>
              <a:schemeClr val="accent1"/>
            </a:solidFill>
            <a:ln>
              <a:noFill/>
            </a:ln>
            <a:effectLst/>
            <a:sp3d/>
          </c:spPr>
          <c:invertIfNegative val="0"/>
          <c:val>
            <c:numRef>
              <c:f>Helper!$W$18:$W$28</c:f>
              <c:numCache>
                <c:formatCode>0.00</c:formatCode>
                <c:ptCount val="11"/>
                <c:pt idx="0">
                  <c:v>1.5554817275747508</c:v>
                </c:pt>
                <c:pt idx="1">
                  <c:v>0.83654485049833882</c:v>
                </c:pt>
                <c:pt idx="2">
                  <c:v>0.73621262458471759</c:v>
                </c:pt>
                <c:pt idx="3">
                  <c:v>0.66046511627906979</c:v>
                </c:pt>
                <c:pt idx="4">
                  <c:v>0.43920265780730899</c:v>
                </c:pt>
                <c:pt idx="5">
                  <c:v>0.43122923588039869</c:v>
                </c:pt>
                <c:pt idx="6">
                  <c:v>0.39136212624584715</c:v>
                </c:pt>
                <c:pt idx="7">
                  <c:v>1.6611295681063124E-2</c:v>
                </c:pt>
                <c:pt idx="8">
                  <c:v>0</c:v>
                </c:pt>
                <c:pt idx="9">
                  <c:v>#N/A</c:v>
                </c:pt>
              </c:numCache>
            </c:numRef>
          </c:val>
          <c:extLst xmlns:c16r2="http://schemas.microsoft.com/office/drawing/2015/06/chart">
            <c:ext xmlns:c16="http://schemas.microsoft.com/office/drawing/2014/chart" uri="{C3380CC4-5D6E-409C-BE32-E72D297353CC}">
              <c16:uniqueId val="{00000000-0E68-4BEE-8C3E-C5D27BFD3AF9}"/>
            </c:ext>
            <c:ext xmlns:c15="http://schemas.microsoft.com/office/drawing/2012/chart" uri="{02D57815-91ED-43cb-92C2-25804820EDAC}">
              <c15:filteredCategoryTitle>
                <c15:cat>
                  <c:strRef>
                    <c:extLst xmlns:c16="http://schemas.microsoft.com/office/drawing/2014/chart" xmlns:c16r2="http://schemas.microsoft.com/office/drawing/2015/06/chart">
                      <c:ext uri="{02D57815-91ED-43cb-92C2-25804820EDAC}">
                        <c15:formulaRef>
                          <c15:sqref>Helper!$V$18:$V$28</c15:sqref>
                        </c15:formulaRef>
                      </c:ext>
                    </c:extLst>
                    <c:strCache>
                      <c:ptCount val="10"/>
                      <c:pt idx="0">
                        <c:v>MAPEH</c:v>
                      </c:pt>
                      <c:pt idx="1">
                        <c:v>Filipino</c:v>
                      </c:pt>
                      <c:pt idx="2">
                        <c:v>Science</c:v>
                      </c:pt>
                      <c:pt idx="3">
                        <c:v>Math</c:v>
                      </c:pt>
                      <c:pt idx="4">
                        <c:v>English</c:v>
                      </c:pt>
                      <c:pt idx="5">
                        <c:v>EsP</c:v>
                      </c:pt>
                      <c:pt idx="6">
                        <c:v>AP</c:v>
                      </c:pt>
                      <c:pt idx="7">
                        <c:v>Reading</c:v>
                      </c:pt>
                      <c:pt idx="9">
                        <c:v>#N/A</c:v>
                      </c:pt>
                    </c:strCache>
                  </c:strRef>
                </c15:cat>
              </c15:filteredCategoryTitle>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Helper!$X$18:$X$28</c:f>
              <c:numCache>
                <c:formatCode>0.00</c:formatCode>
                <c:ptCount val="11"/>
                <c:pt idx="0">
                  <c:v>155.55000000000001</c:v>
                </c:pt>
                <c:pt idx="1">
                  <c:v>83.65</c:v>
                </c:pt>
                <c:pt idx="2">
                  <c:v>73.62</c:v>
                </c:pt>
                <c:pt idx="3">
                  <c:v>66.05</c:v>
                </c:pt>
                <c:pt idx="4">
                  <c:v>43.92</c:v>
                </c:pt>
                <c:pt idx="5">
                  <c:v>43.12</c:v>
                </c:pt>
                <c:pt idx="6">
                  <c:v>39.14</c:v>
                </c:pt>
                <c:pt idx="7">
                  <c:v>1.66</c:v>
                </c:pt>
                <c:pt idx="8">
                  <c:v>0</c:v>
                </c:pt>
                <c:pt idx="9">
                  <c:v>#N/A</c:v>
                </c:pt>
              </c:numCache>
            </c:numRef>
          </c:val>
          <c:extLst xmlns:c16r2="http://schemas.microsoft.com/office/drawing/2015/06/chart">
            <c:ext xmlns:c16="http://schemas.microsoft.com/office/drawing/2014/chart" uri="{C3380CC4-5D6E-409C-BE32-E72D297353CC}">
              <c16:uniqueId val="{00000001-0E68-4BEE-8C3E-C5D27BFD3AF9}"/>
            </c:ext>
            <c:ext xmlns:c15="http://schemas.microsoft.com/office/drawing/2012/chart" uri="{02D57815-91ED-43cb-92C2-25804820EDAC}">
              <c15:filteredCategoryTitle>
                <c15:cat>
                  <c:strRef>
                    <c:extLst xmlns:c16="http://schemas.microsoft.com/office/drawing/2014/chart" xmlns:c16r2="http://schemas.microsoft.com/office/drawing/2015/06/chart">
                      <c:ext uri="{02D57815-91ED-43cb-92C2-25804820EDAC}">
                        <c15:formulaRef>
                          <c15:sqref>Helper!$V$18:$V$28</c15:sqref>
                        </c15:formulaRef>
                      </c:ext>
                    </c:extLst>
                    <c:strCache>
                      <c:ptCount val="10"/>
                      <c:pt idx="0">
                        <c:v>MAPEH</c:v>
                      </c:pt>
                      <c:pt idx="1">
                        <c:v>Filipino</c:v>
                      </c:pt>
                      <c:pt idx="2">
                        <c:v>Science</c:v>
                      </c:pt>
                      <c:pt idx="3">
                        <c:v>Math</c:v>
                      </c:pt>
                      <c:pt idx="4">
                        <c:v>English</c:v>
                      </c:pt>
                      <c:pt idx="5">
                        <c:v>EsP</c:v>
                      </c:pt>
                      <c:pt idx="6">
                        <c:v>AP</c:v>
                      </c:pt>
                      <c:pt idx="7">
                        <c:v>Reading</c:v>
                      </c:pt>
                      <c:pt idx="9">
                        <c:v>#N/A</c:v>
                      </c:pt>
                    </c:strCache>
                  </c:strRef>
                </c15:cat>
              </c15:filteredCategoryTitle>
            </c:ext>
          </c:extLst>
        </c:ser>
        <c:dLbls>
          <c:showLegendKey val="0"/>
          <c:showVal val="0"/>
          <c:showCatName val="0"/>
          <c:showSerName val="0"/>
          <c:showPercent val="0"/>
          <c:showBubbleSize val="0"/>
        </c:dLbls>
        <c:gapWidth val="2"/>
        <c:gapDepth val="139"/>
        <c:shape val="box"/>
        <c:axId val="267443240"/>
        <c:axId val="267442848"/>
        <c:axId val="0"/>
      </c:bar3DChart>
      <c:catAx>
        <c:axId val="267443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7442848"/>
        <c:crosses val="autoZero"/>
        <c:auto val="1"/>
        <c:lblAlgn val="ctr"/>
        <c:lblOffset val="100"/>
        <c:noMultiLvlLbl val="0"/>
      </c:catAx>
      <c:valAx>
        <c:axId val="2674428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432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cap="none" spc="0">
                <a:ln w="0"/>
                <a:solidFill>
                  <a:schemeClr val="tx1"/>
                </a:solidFill>
                <a:effectLst>
                  <a:outerShdw blurRad="38100" dist="19050" dir="2700000" algn="tl" rotWithShape="0">
                    <a:schemeClr val="dk1">
                      <a:alpha val="40000"/>
                    </a:schemeClr>
                  </a:outerShdw>
                </a:effectLst>
              </a:rPr>
              <a:t>Learner - Toilet Ratio</a:t>
            </a:r>
          </a:p>
        </c:rich>
      </c:tx>
      <c:overlay val="0"/>
      <c:spPr>
        <a:noFill/>
        <a:ln>
          <a:noFill/>
        </a:ln>
        <a:effectLst/>
      </c:spPr>
    </c:title>
    <c:autoTitleDeleted val="0"/>
    <c:plotArea>
      <c:layout>
        <c:manualLayout>
          <c:layoutTarget val="inner"/>
          <c:xMode val="edge"/>
          <c:yMode val="edge"/>
          <c:x val="0.12147747156605425"/>
          <c:y val="5.31641878098571E-2"/>
          <c:w val="0.82759660250801981"/>
          <c:h val="0.92914653784219003"/>
        </c:manualLayout>
      </c:layout>
      <c:barChart>
        <c:barDir val="col"/>
        <c:grouping val="clustered"/>
        <c:varyColors val="0"/>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Helper!$A$135:$C$135</c15:sqref>
                  </c15:fullRef>
                </c:ext>
              </c:extLst>
              <c:f>Helper!$B$135</c:f>
              <c:numCache>
                <c:formatCode>General</c:formatCode>
                <c:ptCount val="1"/>
                <c:pt idx="0">
                  <c:v>84</c:v>
                </c:pt>
              </c:numCache>
            </c:numRef>
          </c:val>
          <c:extLst xmlns:c16r2="http://schemas.microsoft.com/office/drawing/2015/06/chart">
            <c:ext xmlns:c16="http://schemas.microsoft.com/office/drawing/2014/chart" uri="{C3380CC4-5D6E-409C-BE32-E72D297353CC}">
              <c16:uniqueId val="{00000002-C10E-4C18-AD0C-0E63447F33F9}"/>
            </c:ext>
          </c:extLst>
        </c:ser>
        <c:dLbls>
          <c:dLblPos val="inBase"/>
          <c:showLegendKey val="0"/>
          <c:showVal val="1"/>
          <c:showCatName val="0"/>
          <c:showSerName val="0"/>
          <c:showPercent val="0"/>
          <c:showBubbleSize val="0"/>
        </c:dLbls>
        <c:gapWidth val="219"/>
        <c:overlap val="-27"/>
        <c:axId val="267439320"/>
        <c:axId val="267434616"/>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ullRef>
                          <c15:sqref>Helper!$A$134:$C$134</c15:sqref>
                        </c15:fullRef>
                        <c15:formulaRef>
                          <c15:sqref>Helper!$B$134</c15:sqref>
                        </c15:formulaRef>
                      </c:ext>
                    </c:extLst>
                    <c:numCache>
                      <c:formatCode>General</c:formatCode>
                      <c:ptCount val="1"/>
                      <c:pt idx="0">
                        <c:v>0</c:v>
                      </c:pt>
                    </c:numCache>
                  </c:numRef>
                </c:val>
                <c:extLst xmlns:c16r2="http://schemas.microsoft.com/office/drawing/2015/06/chart">
                  <c:ext xmlns:c16="http://schemas.microsoft.com/office/drawing/2014/chart" uri="{C3380CC4-5D6E-409C-BE32-E72D297353CC}">
                    <c16:uniqueId val="{00000001-C10E-4C18-AD0C-0E63447F33F9}"/>
                  </c:ext>
                </c:extLst>
              </c15:ser>
            </c15:filteredBarSeries>
          </c:ext>
        </c:extLst>
      </c:barChart>
      <c:catAx>
        <c:axId val="267439320"/>
        <c:scaling>
          <c:orientation val="minMax"/>
        </c:scaling>
        <c:delete val="1"/>
        <c:axPos val="b"/>
        <c:numFmt formatCode="General" sourceLinked="0"/>
        <c:majorTickMark val="none"/>
        <c:minorTickMark val="none"/>
        <c:tickLblPos val="nextTo"/>
        <c:crossAx val="267434616"/>
        <c:crosses val="autoZero"/>
        <c:auto val="1"/>
        <c:lblAlgn val="ctr"/>
        <c:lblOffset val="100"/>
        <c:noMultiLvlLbl val="0"/>
      </c:catAx>
      <c:valAx>
        <c:axId val="267434616"/>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39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Learner-Seat Ratio</a:t>
            </a:r>
          </a:p>
        </c:rich>
      </c:tx>
      <c:overlay val="0"/>
      <c:spPr>
        <a:noFill/>
        <a:ln>
          <a:noFill/>
        </a:ln>
        <a:effectLst/>
      </c:spPr>
    </c:title>
    <c:autoTitleDeleted val="0"/>
    <c:plotArea>
      <c:layout/>
      <c:barChart>
        <c:barDir val="col"/>
        <c:grouping val="clustered"/>
        <c:varyColors val="0"/>
        <c:ser>
          <c:idx val="2"/>
          <c:order val="2"/>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Helper!$A$131:$C$131</c15:sqref>
                  </c15:fullRef>
                </c:ext>
              </c:extLst>
              <c:f>Helper!$B$131</c:f>
              <c:numCache>
                <c:formatCode>General</c:formatCode>
                <c:ptCount val="1"/>
                <c:pt idx="0">
                  <c:v>1.01</c:v>
                </c:pt>
              </c:numCache>
            </c:numRef>
          </c:val>
          <c:extLst xmlns:c16r2="http://schemas.microsoft.com/office/drawing/2015/06/chart">
            <c:ext xmlns:c16="http://schemas.microsoft.com/office/drawing/2014/chart" uri="{C3380CC4-5D6E-409C-BE32-E72D297353CC}">
              <c16:uniqueId val="{00000000-0252-4803-8674-EA17BD4559AB}"/>
            </c:ext>
          </c:extLst>
        </c:ser>
        <c:dLbls>
          <c:showLegendKey val="0"/>
          <c:showVal val="0"/>
          <c:showCatName val="0"/>
          <c:showSerName val="0"/>
          <c:showPercent val="0"/>
          <c:showBubbleSize val="0"/>
        </c:dLbls>
        <c:gapWidth val="219"/>
        <c:overlap val="-27"/>
        <c:axId val="267440888"/>
        <c:axId val="267441280"/>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val>
                  <c:numRef>
                    <c:extLst>
                      <c:ext uri="{02D57815-91ED-43cb-92C2-25804820EDAC}">
                        <c15:fullRef>
                          <c15:sqref>Helper!$A$129:$C$129</c15:sqref>
                        </c15:fullRef>
                        <c15:formulaRef>
                          <c15:sqref>Helper!$B$129</c15:sqref>
                        </c15:formulaRef>
                      </c:ext>
                    </c:extLst>
                    <c:numCache>
                      <c:formatCode>General</c:formatCode>
                      <c:ptCount val="1"/>
                    </c:numCache>
                  </c:numRef>
                </c:val>
                <c:extLst xmlns:c16r2="http://schemas.microsoft.com/office/drawing/2015/06/chart">
                  <c:ext xmlns:c16="http://schemas.microsoft.com/office/drawing/2014/chart" uri="{C3380CC4-5D6E-409C-BE32-E72D297353CC}">
                    <c16:uniqueId val="{00000001-0252-4803-8674-EA17BD4559AB}"/>
                  </c:ext>
                </c:extLst>
              </c15:ser>
            </c15:filteredBarSeries>
            <c15:filteredBarSeries>
              <c15:ser>
                <c:idx val="1"/>
                <c:order val="1"/>
                <c:spPr>
                  <a:solidFill>
                    <a:schemeClr val="accent2"/>
                  </a:solidFill>
                  <a:ln>
                    <a:noFill/>
                  </a:ln>
                  <a:effectLst/>
                </c:spPr>
                <c:invertIfNegative val="0"/>
                <c:val>
                  <c:numRef>
                    <c:extLst>
                      <c:ext xmlns:c15="http://schemas.microsoft.com/office/drawing/2012/chart" uri="{02D57815-91ED-43cb-92C2-25804820EDAC}">
                        <c15:fullRef>
                          <c15:sqref>Helper!$A$130:$C$130</c15:sqref>
                        </c15:fullRef>
                        <c15:formulaRef>
                          <c15:sqref>Helper!$B$130</c15:sqref>
                        </c15:formulaRef>
                      </c:ext>
                    </c:extLst>
                    <c:numCache>
                      <c:formatCode>General</c:formatCode>
                      <c:ptCount val="1"/>
                      <c:pt idx="0">
                        <c:v>0</c:v>
                      </c:pt>
                    </c:numCache>
                  </c:numRef>
                </c:val>
                <c:extLst xmlns:c15="http://schemas.microsoft.com/office/drawing/2012/chart" xmlns:c16r2="http://schemas.microsoft.com/office/drawing/2015/06/chart">
                  <c:ext xmlns:c16="http://schemas.microsoft.com/office/drawing/2014/chart" uri="{C3380CC4-5D6E-409C-BE32-E72D297353CC}">
                    <c16:uniqueId val="{00000002-0252-4803-8674-EA17BD4559AB}"/>
                  </c:ext>
                </c:extLst>
              </c15:ser>
            </c15:filteredBarSeries>
          </c:ext>
        </c:extLst>
      </c:barChart>
      <c:catAx>
        <c:axId val="267440888"/>
        <c:scaling>
          <c:orientation val="minMax"/>
        </c:scaling>
        <c:delete val="1"/>
        <c:axPos val="b"/>
        <c:numFmt formatCode="General" sourceLinked="0"/>
        <c:majorTickMark val="none"/>
        <c:minorTickMark val="none"/>
        <c:tickLblPos val="nextTo"/>
        <c:crossAx val="267441280"/>
        <c:crosses val="autoZero"/>
        <c:auto val="1"/>
        <c:lblAlgn val="ctr"/>
        <c:lblOffset val="100"/>
        <c:noMultiLvlLbl val="0"/>
      </c:catAx>
      <c:valAx>
        <c:axId val="267441280"/>
        <c:scaling>
          <c:orientation val="minMax"/>
          <c:max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40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r>
              <a:rPr lang="en-US" sz="1200" b="1">
                <a:latin typeface="Arial Narrow" panose="020B0606020202030204" pitchFamily="34" charset="0"/>
              </a:rPr>
              <a:t>Sources of School Funding, Current </a:t>
            </a:r>
            <a:r>
              <a:rPr lang="en-US" sz="1200" b="1" i="0" baseline="0">
                <a:effectLst/>
              </a:rPr>
              <a:t>School Year</a:t>
            </a:r>
            <a:endParaRPr lang="en-US" sz="1100">
              <a:effectLst/>
            </a:endParaRPr>
          </a:p>
        </c:rich>
      </c:tx>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0AF5-49DD-8B77-60A599FABB13}"/>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0AF5-49DD-8B77-60A599FABB13}"/>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0AF5-49DD-8B77-60A599FABB13}"/>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0AF5-49DD-8B77-60A599FABB13}"/>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0AF5-49DD-8B77-60A599FABB13}"/>
              </c:ext>
            </c:extLst>
          </c:dPt>
          <c:dPt>
            <c:idx val="5"/>
            <c:bubble3D val="0"/>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B-0AF5-49DD-8B77-60A599FABB13}"/>
              </c:ext>
            </c:extLst>
          </c:dPt>
          <c:dLbls>
            <c:dLbl>
              <c:idx val="0"/>
              <c:layout>
                <c:manualLayout>
                  <c:x val="5.209709972628486E-2"/>
                  <c:y val="-2.199273480701355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1-0AF5-49DD-8B77-60A599FABB13}"/>
                </c:ext>
                <c:ext xmlns:c15="http://schemas.microsoft.com/office/drawing/2012/chart" uri="{CE6537A1-D6FC-4f65-9D91-7224C49458BB}"/>
              </c:extLst>
            </c:dLbl>
            <c:dLbl>
              <c:idx val="1"/>
              <c:layout>
                <c:manualLayout>
                  <c:x val="7.4587094611407556E-2"/>
                  <c:y val="2.4742386759730201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3-0AF5-49DD-8B77-60A599FABB13}"/>
                </c:ext>
                <c:ext xmlns:c15="http://schemas.microsoft.com/office/drawing/2012/chart" uri="{CE6537A1-D6FC-4f65-9D91-7224C49458BB}"/>
              </c:extLst>
            </c:dLbl>
            <c:dLbl>
              <c:idx val="3"/>
              <c:layout>
                <c:manualLayout>
                  <c:x val="-0.198797658215599"/>
                  <c:y val="1.0608776930256567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7-0AF5-49DD-8B77-60A599FABB13}"/>
                </c:ext>
                <c:ext xmlns:c15="http://schemas.microsoft.com/office/drawing/2012/chart" uri="{CE6537A1-D6FC-4f65-9D91-7224C49458BB}"/>
              </c:extLst>
            </c:dLbl>
            <c:dLbl>
              <c:idx val="4"/>
              <c:layout>
                <c:manualLayout>
                  <c:x val="-4.4355490889988664E-2"/>
                  <c:y val="-2.0689713886537706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9-0AF5-49DD-8B77-60A599FABB13}"/>
                </c:ext>
                <c:ext xmlns:c15="http://schemas.microsoft.com/office/drawing/2012/chart" uri="{CE6537A1-D6FC-4f65-9D91-7224C49458BB}"/>
              </c:extLst>
            </c:dLbl>
            <c:dLbl>
              <c:idx val="5"/>
              <c:layout>
                <c:manualLayout>
                  <c:x val="4.8639027896817635E-2"/>
                  <c:y val="-2.5669019243754976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B-0AF5-49DD-8B77-60A599FABB13}"/>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Helper!$A$47:$F$47</c:f>
              <c:strCache>
                <c:ptCount val="6"/>
                <c:pt idx="0">
                  <c:v>General Appropriations Act (School MOOE)</c:v>
                </c:pt>
                <c:pt idx="1">
                  <c:v>General Appropriations Act (Subsidy for Special Programs)</c:v>
                </c:pt>
                <c:pt idx="2">
                  <c:v>Local Government Unit funds</c:v>
                </c:pt>
                <c:pt idx="3">
                  <c:v>Canteen funds</c:v>
                </c:pt>
                <c:pt idx="4">
                  <c:v>Donations</c:v>
                </c:pt>
                <c:pt idx="5">
                  <c:v>Others</c:v>
                </c:pt>
              </c:strCache>
            </c:strRef>
          </c:cat>
          <c:val>
            <c:numRef>
              <c:f>Helper!$A$48:$F$48</c:f>
              <c:numCache>
                <c:formatCode>#,##0.00</c:formatCode>
                <c:ptCount val="6"/>
                <c:pt idx="0">
                  <c:v>104000</c:v>
                </c:pt>
                <c:pt idx="1">
                  <c:v>0</c:v>
                </c:pt>
                <c:pt idx="2">
                  <c:v>147000</c:v>
                </c:pt>
                <c:pt idx="3">
                  <c:v>10000</c:v>
                </c:pt>
                <c:pt idx="4">
                  <c:v>278713</c:v>
                </c:pt>
                <c:pt idx="5">
                  <c:v>106131</c:v>
                </c:pt>
              </c:numCache>
            </c:numRef>
          </c:val>
          <c:extLst xmlns:c16r2="http://schemas.microsoft.com/office/drawing/2015/06/chart">
            <c:ext xmlns:c16="http://schemas.microsoft.com/office/drawing/2014/chart" uri="{C3380CC4-5D6E-409C-BE32-E72D297353CC}">
              <c16:uniqueId val="{0000000C-0AF5-49DD-8B77-60A599FABB13}"/>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Narrow" panose="020B0606020202030204" pitchFamily="34" charset="0"/>
                <a:ea typeface="+mn-ea"/>
                <a:cs typeface="+mn-cs"/>
              </a:defRPr>
            </a:pPr>
            <a:r>
              <a:rPr lang="en-US" sz="1400" b="1">
                <a:latin typeface="Arial Narrow" panose="020B0606020202030204" pitchFamily="34" charset="0"/>
              </a:rPr>
              <a:t>Number of learners by health status (BMI), Current School</a:t>
            </a:r>
            <a:r>
              <a:rPr lang="en-US" sz="1400" b="1" baseline="0">
                <a:latin typeface="Arial Narrow" panose="020B0606020202030204" pitchFamily="34" charset="0"/>
              </a:rPr>
              <a:t> Year</a:t>
            </a:r>
            <a:endParaRPr lang="en-US" sz="1400" b="1">
              <a:latin typeface="Arial Narrow" panose="020B0606020202030204" pitchFamily="34" charset="0"/>
            </a:endParaRPr>
          </a:p>
        </c:rich>
      </c:tx>
      <c:layout/>
      <c:overlay val="0"/>
      <c:spPr>
        <a:noFill/>
        <a:ln>
          <a:noFill/>
        </a:ln>
        <a:effectLst/>
      </c:spPr>
    </c:title>
    <c:autoTitleDeleted val="0"/>
    <c:plotArea>
      <c:layout/>
      <c:barChart>
        <c:barDir val="bar"/>
        <c:grouping val="clustered"/>
        <c:varyColors val="0"/>
        <c:ser>
          <c:idx val="1"/>
          <c:order val="0"/>
          <c:tx>
            <c:strRef>
              <c:f>Helper!$C$8</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Helper!$A$9:$A$13</c:f>
              <c:strCache>
                <c:ptCount val="5"/>
                <c:pt idx="0">
                  <c:v>Severely Wasted</c:v>
                </c:pt>
                <c:pt idx="1">
                  <c:v>Wasted</c:v>
                </c:pt>
                <c:pt idx="2">
                  <c:v>Normal</c:v>
                </c:pt>
                <c:pt idx="3">
                  <c:v>Overweight</c:v>
                </c:pt>
                <c:pt idx="4">
                  <c:v>Obese</c:v>
                </c:pt>
              </c:strCache>
            </c:strRef>
          </c:cat>
          <c:val>
            <c:numRef>
              <c:f>Helper!$C$9:$C$13</c:f>
              <c:numCache>
                <c:formatCode>General</c:formatCode>
                <c:ptCount val="5"/>
                <c:pt idx="0">
                  <c:v>2</c:v>
                </c:pt>
                <c:pt idx="1">
                  <c:v>43</c:v>
                </c:pt>
                <c:pt idx="2">
                  <c:v>675</c:v>
                </c:pt>
                <c:pt idx="3">
                  <c:v>12</c:v>
                </c:pt>
                <c:pt idx="4">
                  <c:v>1</c:v>
                </c:pt>
              </c:numCache>
            </c:numRef>
          </c:val>
          <c:extLst xmlns:c16r2="http://schemas.microsoft.com/office/drawing/2015/06/chart">
            <c:ext xmlns:c16="http://schemas.microsoft.com/office/drawing/2014/chart" uri="{C3380CC4-5D6E-409C-BE32-E72D297353CC}">
              <c16:uniqueId val="{00000001-A7C3-4AC7-A1E7-3168ED4C6403}"/>
            </c:ext>
          </c:extLst>
        </c:ser>
        <c:ser>
          <c:idx val="0"/>
          <c:order val="1"/>
          <c:tx>
            <c:strRef>
              <c:f>Helper!$B$8</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Helper!$A$9:$A$13</c:f>
              <c:strCache>
                <c:ptCount val="5"/>
                <c:pt idx="0">
                  <c:v>Severely Wasted</c:v>
                </c:pt>
                <c:pt idx="1">
                  <c:v>Wasted</c:v>
                </c:pt>
                <c:pt idx="2">
                  <c:v>Normal</c:v>
                </c:pt>
                <c:pt idx="3">
                  <c:v>Overweight</c:v>
                </c:pt>
                <c:pt idx="4">
                  <c:v>Obese</c:v>
                </c:pt>
              </c:strCache>
            </c:strRef>
          </c:cat>
          <c:val>
            <c:numRef>
              <c:f>Helper!$B$9:$B$13</c:f>
              <c:numCache>
                <c:formatCode>General</c:formatCode>
                <c:ptCount val="5"/>
                <c:pt idx="0">
                  <c:v>17</c:v>
                </c:pt>
                <c:pt idx="1">
                  <c:v>83</c:v>
                </c:pt>
                <c:pt idx="2">
                  <c:v>658</c:v>
                </c:pt>
                <c:pt idx="3">
                  <c:v>13</c:v>
                </c:pt>
                <c:pt idx="4">
                  <c:v>1</c:v>
                </c:pt>
              </c:numCache>
            </c:numRef>
          </c:val>
          <c:extLst xmlns:c16r2="http://schemas.microsoft.com/office/drawing/2015/06/chart">
            <c:ext xmlns:c16="http://schemas.microsoft.com/office/drawing/2014/chart" uri="{C3380CC4-5D6E-409C-BE32-E72D297353CC}">
              <c16:uniqueId val="{00000000-A7C3-4AC7-A1E7-3168ED4C6403}"/>
            </c:ext>
          </c:extLst>
        </c:ser>
        <c:dLbls>
          <c:showLegendKey val="0"/>
          <c:showVal val="1"/>
          <c:showCatName val="0"/>
          <c:showSerName val="0"/>
          <c:showPercent val="0"/>
          <c:showBubbleSize val="0"/>
        </c:dLbls>
        <c:gapWidth val="30"/>
        <c:axId val="203988736"/>
        <c:axId val="203985208"/>
      </c:barChart>
      <c:catAx>
        <c:axId val="203988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03985208"/>
        <c:crosses val="autoZero"/>
        <c:auto val="1"/>
        <c:lblAlgn val="ctr"/>
        <c:lblOffset val="100"/>
        <c:noMultiLvlLbl val="0"/>
      </c:catAx>
      <c:valAx>
        <c:axId val="203985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03988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pattFill prst="ltDnDiag">
      <a:fgClr>
        <a:schemeClr val="accent6">
          <a:lumMod val="40000"/>
          <a:lumOff val="60000"/>
        </a:schemeClr>
      </a:fgClr>
      <a:bgClr>
        <a:schemeClr val="bg1">
          <a:lumMod val="95000"/>
        </a:schemeClr>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a:latin typeface="Arial Narrow" panose="020B0606020202030204" pitchFamily="34" charset="0"/>
              </a:rPr>
              <a:t>Learner-Teacher Ratio by Grade Level</a:t>
            </a:r>
          </a:p>
        </c:rich>
      </c:tx>
      <c:overlay val="0"/>
      <c:spPr>
        <a:noFill/>
        <a:ln>
          <a:noFill/>
        </a:ln>
        <a:effectLst/>
      </c:spPr>
    </c:title>
    <c:autoTitleDeleted val="0"/>
    <c:plotArea>
      <c:layout>
        <c:manualLayout>
          <c:layoutTarget val="inner"/>
          <c:xMode val="edge"/>
          <c:yMode val="edge"/>
          <c:x val="6.1574960784880214E-2"/>
          <c:y val="4.6219213727470405E-2"/>
          <c:w val="0.91468353440818728"/>
          <c:h val="0.85858831236181998"/>
        </c:manualLayout>
      </c:layout>
      <c:barChart>
        <c:barDir val="col"/>
        <c:grouping val="clustered"/>
        <c:varyColors val="1"/>
        <c:ser>
          <c:idx val="0"/>
          <c:order val="0"/>
          <c:tx>
            <c:v>Data_TSR</c:v>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2C48-40CE-9F69-8ACFD8193A1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[0]!Level_TSR</c:f>
              <c:strCache>
                <c:ptCount val="6"/>
                <c:pt idx="0">
                  <c:v>Grade 7</c:v>
                </c:pt>
                <c:pt idx="1">
                  <c:v>Grade 8</c:v>
                </c:pt>
                <c:pt idx="2">
                  <c:v>Grade 9</c:v>
                </c:pt>
                <c:pt idx="3">
                  <c:v>Grade 10</c:v>
                </c:pt>
                <c:pt idx="4">
                  <c:v>Grade 11</c:v>
                </c:pt>
                <c:pt idx="5">
                  <c:v>Grade 12</c:v>
                </c:pt>
              </c:strCache>
            </c:strRef>
          </c:cat>
          <c:val>
            <c:numRef>
              <c:f>[0]!Data_TSR</c:f>
              <c:numCache>
                <c:formatCode>General</c:formatCode>
                <c:ptCount val="6"/>
                <c:pt idx="0">
                  <c:v>40</c:v>
                </c:pt>
                <c:pt idx="1">
                  <c:v>31</c:v>
                </c:pt>
                <c:pt idx="2">
                  <c:v>22</c:v>
                </c:pt>
                <c:pt idx="3">
                  <c:v>17</c:v>
                </c:pt>
                <c:pt idx="4">
                  <c:v>35</c:v>
                </c:pt>
                <c:pt idx="5">
                  <c:v>20</c:v>
                </c:pt>
              </c:numCache>
            </c:numRef>
          </c:val>
          <c:extLst xmlns:c16r2="http://schemas.microsoft.com/office/drawing/2015/06/chart">
            <c:ext xmlns:c16="http://schemas.microsoft.com/office/drawing/2014/chart" uri="{C3380CC4-5D6E-409C-BE32-E72D297353CC}">
              <c16:uniqueId val="{00000000-AD05-436B-B372-2BBBCE78420F}"/>
            </c:ext>
          </c:extLst>
        </c:ser>
        <c:dLbls>
          <c:dLblPos val="inBase"/>
          <c:showLegendKey val="0"/>
          <c:showVal val="1"/>
          <c:showCatName val="0"/>
          <c:showSerName val="0"/>
          <c:showPercent val="0"/>
          <c:showBubbleSize val="0"/>
        </c:dLbls>
        <c:gapWidth val="50"/>
        <c:overlap val="-27"/>
        <c:axId val="267444416"/>
        <c:axId val="267439712"/>
      </c:barChart>
      <c:catAx>
        <c:axId val="26744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7439712"/>
        <c:crosses val="autoZero"/>
        <c:auto val="1"/>
        <c:lblAlgn val="ctr"/>
        <c:lblOffset val="100"/>
        <c:noMultiLvlLbl val="0"/>
      </c:catAx>
      <c:valAx>
        <c:axId val="267439712"/>
        <c:scaling>
          <c:orientation val="minMax"/>
          <c:max val="1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7444416"/>
        <c:crosses val="autoZero"/>
        <c:crossBetween val="between"/>
        <c:majorUnit val="10"/>
        <c:minorUnit val="5"/>
      </c:valAx>
      <c:spPr>
        <a:noFill/>
        <a:ln>
          <a:noFill/>
        </a:ln>
        <a:effectLst/>
      </c:spPr>
    </c:plotArea>
    <c:plotVisOnly val="0"/>
    <c:dispBlanksAs val="gap"/>
    <c:showDLblsOverMax val="0"/>
  </c:chart>
  <c:spPr>
    <a:pattFill prst="ltDnDiag">
      <a:fgClr>
        <a:schemeClr val="accent2">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sz="1200">
                <a:latin typeface="Arial Narrow" panose="020B0606020202030204" pitchFamily="34" charset="0"/>
              </a:rPr>
              <a:t>Number of Drop-outs by Cause</a:t>
            </a:r>
          </a:p>
        </c:rich>
      </c:tx>
      <c:overlay val="0"/>
      <c:spPr>
        <a:noFill/>
        <a:ln>
          <a:noFill/>
        </a:ln>
        <a:effectLst/>
      </c:spPr>
    </c:title>
    <c:autoTitleDeleted val="0"/>
    <c:plotArea>
      <c:layout/>
      <c:barChart>
        <c:barDir val="col"/>
        <c:grouping val="stacked"/>
        <c:varyColors val="0"/>
        <c:ser>
          <c:idx val="6"/>
          <c:order val="0"/>
          <c:tx>
            <c:strRef>
              <c:f>Helper!$B$51</c:f>
              <c:strCache>
                <c:ptCount val="1"/>
                <c:pt idx="0">
                  <c:v>Domestic- Related Factors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Narrow" panose="020B0606020202030204" pitchFamily="34" charset="0"/>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Helper!$B$52:$B$54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6EE-4E0F-AE5B-C3B3C6E7059A}"/>
            </c:ext>
          </c:extLst>
        </c:ser>
        <c:ser>
          <c:idx val="0"/>
          <c:order val="1"/>
          <c:tx>
            <c:strRef>
              <c:f>Helper!$C$51</c:f>
              <c:strCache>
                <c:ptCount val="1"/>
                <c:pt idx="0">
                  <c:v>Individual- Related Factors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Helper!$C$52:$C$54</c:f>
              <c:numCache>
                <c:formatCode>General</c:formatCode>
                <c:ptCount val="3"/>
                <c:pt idx="0">
                  <c:v>0</c:v>
                </c:pt>
                <c:pt idx="1">
                  <c:v>0</c:v>
                </c:pt>
                <c:pt idx="2">
                  <c:v>1</c:v>
                </c:pt>
              </c:numCache>
            </c:numRef>
          </c:val>
          <c:extLst xmlns:c16r2="http://schemas.microsoft.com/office/drawing/2015/06/chart">
            <c:ext xmlns:c16="http://schemas.microsoft.com/office/drawing/2014/chart" uri="{C3380CC4-5D6E-409C-BE32-E72D297353CC}">
              <c16:uniqueId val="{00000001-D6EE-4E0F-AE5B-C3B3C6E7059A}"/>
            </c:ext>
          </c:extLst>
        </c:ser>
        <c:ser>
          <c:idx val="1"/>
          <c:order val="2"/>
          <c:tx>
            <c:strRef>
              <c:f>Helper!$D$51</c:f>
              <c:strCache>
                <c:ptCount val="1"/>
                <c:pt idx="0">
                  <c:v>School- Related Factors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Helper!$D$52:$D$54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D6EE-4E0F-AE5B-C3B3C6E7059A}"/>
            </c:ext>
          </c:extLst>
        </c:ser>
        <c:ser>
          <c:idx val="2"/>
          <c:order val="3"/>
          <c:tx>
            <c:strRef>
              <c:f>Helper!$E$51</c:f>
              <c:strCache>
                <c:ptCount val="1"/>
                <c:pt idx="0">
                  <c:v>Geographic/ Environmental Factors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Helper!$E$52:$E$54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D6EE-4E0F-AE5B-C3B3C6E7059A}"/>
            </c:ext>
          </c:extLst>
        </c:ser>
        <c:ser>
          <c:idx val="3"/>
          <c:order val="4"/>
          <c:tx>
            <c:strRef>
              <c:f>Helper!$F$51</c:f>
              <c:strCache>
                <c:ptCount val="1"/>
                <c:pt idx="0">
                  <c:v>Financial- Related Factors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Helper!$F$52:$F$54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4-D6EE-4E0F-AE5B-C3B3C6E7059A}"/>
            </c:ext>
          </c:extLst>
        </c:ser>
        <c:ser>
          <c:idx val="4"/>
          <c:order val="5"/>
          <c:tx>
            <c:strRef>
              <c:f>Helper!$G$51</c:f>
              <c:strCache>
                <c:ptCount val="1"/>
                <c:pt idx="0">
                  <c:v>No Longer in School (NLS)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Helper!$G$52:$G$54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5-D6EE-4E0F-AE5B-C3B3C6E7059A}"/>
            </c:ext>
          </c:extLst>
        </c:ser>
        <c:dLbls>
          <c:showLegendKey val="0"/>
          <c:showVal val="1"/>
          <c:showCatName val="0"/>
          <c:showSerName val="0"/>
          <c:showPercent val="0"/>
          <c:showBubbleSize val="0"/>
        </c:dLbls>
        <c:gapWidth val="50"/>
        <c:overlap val="100"/>
        <c:axId val="267442456"/>
        <c:axId val="267445200"/>
        <c:extLst xmlns:c16r2="http://schemas.microsoft.com/office/drawing/2015/06/chart">
          <c:ext xmlns:c15="http://schemas.microsoft.com/office/drawing/2012/chart" uri="{02D57815-91ED-43cb-92C2-25804820EDAC}">
            <c15:filteredBarSeries>
              <c15:ser>
                <c:idx val="5"/>
                <c:order val="6"/>
                <c:tx>
                  <c:strRef>
                    <c:extLst xmlns:c16r2="http://schemas.microsoft.com/office/drawing/2015/06/chart">
                      <c:ext uri="{02D57815-91ED-43cb-92C2-25804820EDAC}">
                        <c15:formulaRef>
                          <c15:sqref>Helper!$H$51</c15:sqref>
                        </c15:formulaRef>
                      </c:ext>
                    </c:extLst>
                    <c:strCache>
                      <c:ptCount val="1"/>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6r2="http://schemas.microsoft.com/office/drawing/2015/06/chart">
                      <c:ext uri="{02D57815-91ED-43cb-92C2-25804820EDAC}">
                        <c15:formulaRef>
                          <c15:sqref>Helper!$A$52:$A$54</c15:sqref>
                        </c15:formulaRef>
                      </c:ext>
                    </c:extLst>
                    <c:strCache>
                      <c:ptCount val="3"/>
                      <c:pt idx="0">
                        <c:v>2016-2017</c:v>
                      </c:pt>
                      <c:pt idx="1">
                        <c:v>2017-2018</c:v>
                      </c:pt>
                      <c:pt idx="2">
                        <c:v>2018-2019</c:v>
                      </c:pt>
                    </c:strCache>
                  </c:strRef>
                </c:cat>
                <c:val>
                  <c:numRef>
                    <c:extLst xmlns:c16r2="http://schemas.microsoft.com/office/drawing/2015/06/chart">
                      <c:ext uri="{02D57815-91ED-43cb-92C2-25804820EDAC}">
                        <c15:formulaRef>
                          <c15:sqref>Helper!$H$52:$H$54</c15:sqref>
                        </c15:formulaRef>
                      </c:ext>
                    </c:extLst>
                    <c:numCache>
                      <c:formatCode>General</c:formatCode>
                      <c:ptCount val="3"/>
                    </c:numCache>
                  </c:numRef>
                </c:val>
                <c:extLst xmlns:c16r2="http://schemas.microsoft.com/office/drawing/2015/06/chart">
                  <c:ext xmlns:c16="http://schemas.microsoft.com/office/drawing/2014/chart" uri="{C3380CC4-5D6E-409C-BE32-E72D297353CC}">
                    <c16:uniqueId val="{00000006-D6EE-4E0F-AE5B-C3B3C6E7059A}"/>
                  </c:ext>
                </c:extLst>
              </c15:ser>
            </c15:filteredBarSeries>
          </c:ext>
        </c:extLst>
      </c:barChart>
      <c:catAx>
        <c:axId val="267442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7445200"/>
        <c:crosses val="autoZero"/>
        <c:auto val="1"/>
        <c:lblAlgn val="ctr"/>
        <c:lblOffset val="100"/>
        <c:noMultiLvlLbl val="0"/>
      </c:catAx>
      <c:valAx>
        <c:axId val="26744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42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a:latin typeface="Arial Narrow" panose="020B0606020202030204" pitchFamily="34" charset="0"/>
              </a:rPr>
              <a:t>Drop-out Rate</a:t>
            </a:r>
          </a:p>
        </c:rich>
      </c:tx>
      <c:overlay val="0"/>
      <c:spPr>
        <a:noFill/>
        <a:ln>
          <a:noFill/>
        </a:ln>
        <a:effectLst/>
      </c:spPr>
    </c:title>
    <c:autoTitleDeleted val="0"/>
    <c:plotArea>
      <c:layout/>
      <c:lineChart>
        <c:grouping val="standard"/>
        <c:varyColors val="0"/>
        <c:ser>
          <c:idx val="0"/>
          <c:order val="0"/>
          <c:tx>
            <c:strRef>
              <c:f>Helper!$I$56</c:f>
              <c:strCache>
                <c:ptCount val="1"/>
                <c:pt idx="0">
                  <c:v>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Helper!$H$57:$H$59</c:f>
              <c:strCache>
                <c:ptCount val="3"/>
                <c:pt idx="0">
                  <c:v>2016-2017</c:v>
                </c:pt>
                <c:pt idx="1">
                  <c:v>2017-2018</c:v>
                </c:pt>
                <c:pt idx="2">
                  <c:v>2018-2019</c:v>
                </c:pt>
              </c:strCache>
            </c:strRef>
          </c:cat>
          <c:val>
            <c:numRef>
              <c:f>Helper!$I$57:$I$59</c:f>
              <c:numCache>
                <c:formatCode>0.00%</c:formatCode>
                <c:ptCount val="3"/>
                <c:pt idx="0">
                  <c:v>0</c:v>
                </c:pt>
                <c:pt idx="1">
                  <c:v>0</c:v>
                </c:pt>
                <c:pt idx="2">
                  <c:v>1.2953367875647669E-3</c:v>
                </c:pt>
              </c:numCache>
            </c:numRef>
          </c:val>
          <c:smooth val="0"/>
          <c:extLst xmlns:c16r2="http://schemas.microsoft.com/office/drawing/2015/06/chart">
            <c:ext xmlns:c16="http://schemas.microsoft.com/office/drawing/2014/chart" uri="{C3380CC4-5D6E-409C-BE32-E72D297353CC}">
              <c16:uniqueId val="{00000000-EDBA-4141-BC70-809775A4146A}"/>
            </c:ext>
          </c:extLst>
        </c:ser>
        <c:ser>
          <c:idx val="1"/>
          <c:order val="1"/>
          <c:tx>
            <c:strRef>
              <c:f>Helper!$J$56</c:f>
              <c:strCache>
                <c:ptCount val="1"/>
                <c:pt idx="0">
                  <c:v>Female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Helper!$H$57:$H$59</c:f>
              <c:strCache>
                <c:ptCount val="3"/>
                <c:pt idx="0">
                  <c:v>2016-2017</c:v>
                </c:pt>
                <c:pt idx="1">
                  <c:v>2017-2018</c:v>
                </c:pt>
                <c:pt idx="2">
                  <c:v>2018-2019</c:v>
                </c:pt>
              </c:strCache>
            </c:strRef>
          </c:cat>
          <c:val>
            <c:numRef>
              <c:f>Helper!$J$57:$J$59</c:f>
              <c:numCache>
                <c:formatCode>0.00%</c:formatCode>
                <c:ptCount val="3"/>
                <c:pt idx="0">
                  <c:v>0</c:v>
                </c:pt>
                <c:pt idx="1">
                  <c:v>0</c:v>
                </c:pt>
                <c:pt idx="2">
                  <c:v>0</c:v>
                </c:pt>
              </c:numCache>
            </c:numRef>
          </c:val>
          <c:smooth val="0"/>
          <c:extLst xmlns:c16r2="http://schemas.microsoft.com/office/drawing/2015/06/chart">
            <c:ext xmlns:c16="http://schemas.microsoft.com/office/drawing/2014/chart" uri="{C3380CC4-5D6E-409C-BE32-E72D297353CC}">
              <c16:uniqueId val="{00000001-EDBA-4141-BC70-809775A4146A}"/>
            </c:ext>
          </c:extLst>
        </c:ser>
        <c:ser>
          <c:idx val="2"/>
          <c:order val="2"/>
          <c:tx>
            <c:strRef>
              <c:f>Helper!$K$56</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Helper!$H$57:$H$59</c:f>
              <c:strCache>
                <c:ptCount val="3"/>
                <c:pt idx="0">
                  <c:v>2016-2017</c:v>
                </c:pt>
                <c:pt idx="1">
                  <c:v>2017-2018</c:v>
                </c:pt>
                <c:pt idx="2">
                  <c:v>2018-2019</c:v>
                </c:pt>
              </c:strCache>
            </c:strRef>
          </c:cat>
          <c:val>
            <c:numRef>
              <c:f>Helper!$K$57:$K$59</c:f>
              <c:numCache>
                <c:formatCode>0.00%</c:formatCode>
                <c:ptCount val="3"/>
                <c:pt idx="0">
                  <c:v>0</c:v>
                </c:pt>
                <c:pt idx="1">
                  <c:v>0</c:v>
                </c:pt>
                <c:pt idx="2">
                  <c:v>6.6445182724252495E-4</c:v>
                </c:pt>
              </c:numCache>
            </c:numRef>
          </c:val>
          <c:smooth val="0"/>
          <c:extLst xmlns:c16r2="http://schemas.microsoft.com/office/drawing/2015/06/chart">
            <c:ext xmlns:c16="http://schemas.microsoft.com/office/drawing/2014/chart" uri="{C3380CC4-5D6E-409C-BE32-E72D297353CC}">
              <c16:uniqueId val="{00000002-EDBA-4141-BC70-809775A4146A}"/>
            </c:ext>
          </c:extLst>
        </c:ser>
        <c:dLbls>
          <c:dLblPos val="t"/>
          <c:showLegendKey val="0"/>
          <c:showVal val="1"/>
          <c:showCatName val="0"/>
          <c:showSerName val="0"/>
          <c:showPercent val="0"/>
          <c:showBubbleSize val="0"/>
        </c:dLbls>
        <c:marker val="1"/>
        <c:smooth val="0"/>
        <c:axId val="267434224"/>
        <c:axId val="267440496"/>
      </c:lineChart>
      <c:catAx>
        <c:axId val="26743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40496"/>
        <c:crosses val="autoZero"/>
        <c:auto val="1"/>
        <c:lblAlgn val="ctr"/>
        <c:lblOffset val="100"/>
        <c:noMultiLvlLbl val="0"/>
      </c:catAx>
      <c:valAx>
        <c:axId val="2674404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743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sz="900">
                <a:latin typeface="Arial Narrow" panose="020B0606020202030204" pitchFamily="34" charset="0"/>
              </a:rPr>
              <a:t>Promotion Rate by Grade (Current School Year)</a:t>
            </a:r>
          </a:p>
        </c:rich>
      </c:tx>
      <c:overlay val="0"/>
      <c:spPr>
        <a:noFill/>
        <a:ln>
          <a:noFill/>
        </a:ln>
        <a:effectLst/>
      </c:spPr>
    </c:title>
    <c:autoTitleDeleted val="0"/>
    <c:plotArea>
      <c:layout/>
      <c:barChart>
        <c:barDir val="col"/>
        <c:grouping val="clustered"/>
        <c:varyColors val="1"/>
        <c:ser>
          <c:idx val="0"/>
          <c:order val="0"/>
          <c:tx>
            <c:v>Data_Promotion</c:v>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8CBE-4F2B-97DA-1E26A7318E1A}"/>
              </c:ext>
            </c:extLst>
          </c:dPt>
          <c:cat>
            <c:strRef>
              <c:f>[0]!Level_Promotion</c:f>
              <c:strCache>
                <c:ptCount val="6"/>
                <c:pt idx="0">
                  <c:v>Grade 7</c:v>
                </c:pt>
                <c:pt idx="1">
                  <c:v>Grade 8</c:v>
                </c:pt>
                <c:pt idx="2">
                  <c:v>Grade 9</c:v>
                </c:pt>
                <c:pt idx="3">
                  <c:v>Grade 10</c:v>
                </c:pt>
                <c:pt idx="4">
                  <c:v>Grade 11</c:v>
                </c:pt>
                <c:pt idx="5">
                  <c:v>Grade 12</c:v>
                </c:pt>
              </c:strCache>
            </c:strRef>
          </c:cat>
          <c:val>
            <c:numRef>
              <c:f>[0]!Data_Promotion</c:f>
              <c:numCache>
                <c:formatCode>General</c:formatCode>
                <c:ptCount val="6"/>
                <c:pt idx="0">
                  <c:v>90.64500000000001</c:v>
                </c:pt>
                <c:pt idx="1">
                  <c:v>93.544999999999987</c:v>
                </c:pt>
                <c:pt idx="2">
                  <c:v>93.05</c:v>
                </c:pt>
                <c:pt idx="3">
                  <c:v>94.67</c:v>
                </c:pt>
                <c:pt idx="4">
                  <c:v>88.265000000000001</c:v>
                </c:pt>
                <c:pt idx="5">
                  <c:v>98.384999999999991</c:v>
                </c:pt>
              </c:numCache>
            </c:numRef>
          </c:val>
          <c:extLst xmlns:c16r2="http://schemas.microsoft.com/office/drawing/2015/06/chart">
            <c:ext xmlns:c16="http://schemas.microsoft.com/office/drawing/2014/chart" uri="{C3380CC4-5D6E-409C-BE32-E72D297353CC}">
              <c16:uniqueId val="{00000000-4AC3-4291-9750-85848AF01432}"/>
            </c:ext>
          </c:extLst>
        </c:ser>
        <c:dLbls>
          <c:showLegendKey val="0"/>
          <c:showVal val="0"/>
          <c:showCatName val="0"/>
          <c:showSerName val="0"/>
          <c:showPercent val="0"/>
          <c:showBubbleSize val="0"/>
        </c:dLbls>
        <c:gapWidth val="60"/>
        <c:overlap val="-27"/>
        <c:axId val="267444024"/>
        <c:axId val="267435400"/>
      </c:barChart>
      <c:catAx>
        <c:axId val="267444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7435400"/>
        <c:crosses val="autoZero"/>
        <c:auto val="1"/>
        <c:lblAlgn val="ctr"/>
        <c:lblOffset val="100"/>
        <c:noMultiLvlLbl val="0"/>
      </c:catAx>
      <c:valAx>
        <c:axId val="267435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7444024"/>
        <c:crosses val="autoZero"/>
        <c:crossBetween val="between"/>
      </c:valAx>
      <c:spPr>
        <a:noFill/>
        <a:ln>
          <a:noFill/>
        </a:ln>
        <a:effectLst/>
      </c:spPr>
    </c:plotArea>
    <c:plotVisOnly val="0"/>
    <c:dispBlanksAs val="gap"/>
    <c:showDLblsOverMax val="0"/>
  </c:chart>
  <c:spPr>
    <a:pattFill prst="ltDnDiag">
      <a:fgClr>
        <a:schemeClr val="accent2">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Narrow" panose="020B0606020202030204" pitchFamily="34" charset="0"/>
                <a:ea typeface="+mn-ea"/>
                <a:cs typeface="+mn-cs"/>
              </a:defRPr>
            </a:pPr>
            <a:r>
              <a:rPr lang="en-PH" sz="1200">
                <a:latin typeface="Arial Narrow" panose="020B0606020202030204" pitchFamily="34" charset="0"/>
              </a:rPr>
              <a:t>NAT</a:t>
            </a:r>
            <a:r>
              <a:rPr lang="en-PH" sz="1200" baseline="0">
                <a:latin typeface="Arial Narrow" panose="020B0606020202030204" pitchFamily="34" charset="0"/>
              </a:rPr>
              <a:t> Results by Learning Area</a:t>
            </a:r>
            <a:endParaRPr lang="en-PH" sz="1200">
              <a:latin typeface="Arial Narrow" panose="020B0606020202030204" pitchFamily="34" charset="0"/>
            </a:endParaRPr>
          </a:p>
        </c:rich>
      </c:tx>
      <c:layout>
        <c:manualLayout>
          <c:xMode val="edge"/>
          <c:yMode val="edge"/>
          <c:x val="0.28311758325957709"/>
          <c:y val="1.0095067875336466E-2"/>
        </c:manualLayout>
      </c:layout>
      <c:overlay val="0"/>
      <c:spPr>
        <a:noFill/>
        <a:ln>
          <a:noFill/>
        </a:ln>
        <a:effectLst/>
      </c:spPr>
    </c:title>
    <c:autoTitleDeleted val="0"/>
    <c:plotArea>
      <c:layout/>
      <c:barChart>
        <c:barDir val="col"/>
        <c:grouping val="clustered"/>
        <c:varyColors val="0"/>
        <c:ser>
          <c:idx val="0"/>
          <c:order val="0"/>
          <c:tx>
            <c:strRef>
              <c:f>Helper!$B$80</c:f>
              <c:strCache>
                <c:ptCount val="1"/>
                <c:pt idx="0">
                  <c:v>2016-2017</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Helper!$A$81:$A$85</c:f>
              <c:strCache>
                <c:ptCount val="5"/>
                <c:pt idx="0">
                  <c:v>English</c:v>
                </c:pt>
                <c:pt idx="1">
                  <c:v>Filipino</c:v>
                </c:pt>
                <c:pt idx="2">
                  <c:v>Math</c:v>
                </c:pt>
                <c:pt idx="3">
                  <c:v>Science </c:v>
                </c:pt>
                <c:pt idx="4">
                  <c:v>HEKASI</c:v>
                </c:pt>
              </c:strCache>
            </c:strRef>
          </c:cat>
          <c:val>
            <c:numRef>
              <c:f>Helper!$B$81:$B$85</c:f>
              <c:numCache>
                <c:formatCode>0.00</c:formatCode>
                <c:ptCount val="5"/>
                <c:pt idx="0">
                  <c:v>0</c:v>
                </c:pt>
                <c:pt idx="1">
                  <c:v>0</c:v>
                </c:pt>
                <c:pt idx="2">
                  <c:v>0</c:v>
                </c:pt>
                <c:pt idx="3">
                  <c:v>0</c:v>
                </c:pt>
                <c:pt idx="4">
                  <c:v>0</c:v>
                </c:pt>
              </c:numCache>
            </c:numRef>
          </c:val>
          <c:extLst xmlns:c16r2="http://schemas.microsoft.com/office/drawing/2015/06/chart">
            <c:ext xmlns:c16="http://schemas.microsoft.com/office/drawing/2014/chart" uri="{C3380CC4-5D6E-409C-BE32-E72D297353CC}">
              <c16:uniqueId val="{00000000-4605-4F41-8889-CF765ED1E040}"/>
            </c:ext>
          </c:extLst>
        </c:ser>
        <c:ser>
          <c:idx val="1"/>
          <c:order val="1"/>
          <c:tx>
            <c:strRef>
              <c:f>Helper!$C$80</c:f>
              <c:strCache>
                <c:ptCount val="1"/>
                <c:pt idx="0">
                  <c:v>2017-2018</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Helper!$A$81:$A$85</c:f>
              <c:strCache>
                <c:ptCount val="5"/>
                <c:pt idx="0">
                  <c:v>English</c:v>
                </c:pt>
                <c:pt idx="1">
                  <c:v>Filipino</c:v>
                </c:pt>
                <c:pt idx="2">
                  <c:v>Math</c:v>
                </c:pt>
                <c:pt idx="3">
                  <c:v>Science </c:v>
                </c:pt>
                <c:pt idx="4">
                  <c:v>HEKASI</c:v>
                </c:pt>
              </c:strCache>
            </c:strRef>
          </c:cat>
          <c:val>
            <c:numRef>
              <c:f>Helper!$C$81:$C$85</c:f>
              <c:numCache>
                <c:formatCode>0.00</c:formatCode>
                <c:ptCount val="5"/>
                <c:pt idx="0">
                  <c:v>47.73</c:v>
                </c:pt>
                <c:pt idx="1">
                  <c:v>54.65</c:v>
                </c:pt>
                <c:pt idx="2">
                  <c:v>34.58</c:v>
                </c:pt>
                <c:pt idx="3">
                  <c:v>28.86</c:v>
                </c:pt>
                <c:pt idx="4">
                  <c:v>39.299999999999997</c:v>
                </c:pt>
              </c:numCache>
            </c:numRef>
          </c:val>
          <c:extLst xmlns:c16r2="http://schemas.microsoft.com/office/drawing/2015/06/chart">
            <c:ext xmlns:c16="http://schemas.microsoft.com/office/drawing/2014/chart" uri="{C3380CC4-5D6E-409C-BE32-E72D297353CC}">
              <c16:uniqueId val="{00000001-4605-4F41-8889-CF765ED1E040}"/>
            </c:ext>
          </c:extLst>
        </c:ser>
        <c:ser>
          <c:idx val="2"/>
          <c:order val="2"/>
          <c:tx>
            <c:strRef>
              <c:f>Helper!$D$80</c:f>
              <c:strCache>
                <c:ptCount val="1"/>
                <c:pt idx="0">
                  <c:v>2018-2019</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Helper!$A$81:$A$85</c:f>
              <c:strCache>
                <c:ptCount val="5"/>
                <c:pt idx="0">
                  <c:v>English</c:v>
                </c:pt>
                <c:pt idx="1">
                  <c:v>Filipino</c:v>
                </c:pt>
                <c:pt idx="2">
                  <c:v>Math</c:v>
                </c:pt>
                <c:pt idx="3">
                  <c:v>Science </c:v>
                </c:pt>
                <c:pt idx="4">
                  <c:v>HEKASI</c:v>
                </c:pt>
              </c:strCache>
            </c:strRef>
          </c:cat>
          <c:val>
            <c:numRef>
              <c:f>Helper!$D$81:$D$85</c:f>
              <c:numCache>
                <c:formatCode>0.00</c:formatCode>
                <c:ptCount val="5"/>
                <c:pt idx="0">
                  <c:v>0</c:v>
                </c:pt>
                <c:pt idx="1">
                  <c:v>0</c:v>
                </c:pt>
                <c:pt idx="2">
                  <c:v>0</c:v>
                </c:pt>
                <c:pt idx="3">
                  <c:v>0</c:v>
                </c:pt>
                <c:pt idx="4">
                  <c:v>0</c:v>
                </c:pt>
              </c:numCache>
            </c:numRef>
          </c:val>
          <c:extLst xmlns:c16r2="http://schemas.microsoft.com/office/drawing/2015/06/chart">
            <c:ext xmlns:c16="http://schemas.microsoft.com/office/drawing/2014/chart" uri="{C3380CC4-5D6E-409C-BE32-E72D297353CC}">
              <c16:uniqueId val="{00000002-4605-4F41-8889-CF765ED1E040}"/>
            </c:ext>
          </c:extLst>
        </c:ser>
        <c:dLbls>
          <c:showLegendKey val="0"/>
          <c:showVal val="0"/>
          <c:showCatName val="0"/>
          <c:showSerName val="0"/>
          <c:showPercent val="0"/>
          <c:showBubbleSize val="0"/>
        </c:dLbls>
        <c:gapWidth val="50"/>
        <c:overlap val="-27"/>
        <c:axId val="267444808"/>
        <c:axId val="267436184"/>
      </c:barChart>
      <c:catAx>
        <c:axId val="267444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7436184"/>
        <c:crosses val="autoZero"/>
        <c:auto val="1"/>
        <c:lblAlgn val="ctr"/>
        <c:lblOffset val="100"/>
        <c:noMultiLvlLbl val="0"/>
      </c:catAx>
      <c:valAx>
        <c:axId val="267436184"/>
        <c:scaling>
          <c:orientation val="minMax"/>
          <c:max val="90"/>
          <c:min val="0"/>
        </c:scaling>
        <c:delete val="1"/>
        <c:axPos val="l"/>
        <c:numFmt formatCode="0.00" sourceLinked="1"/>
        <c:majorTickMark val="none"/>
        <c:minorTickMark val="none"/>
        <c:tickLblPos val="nextTo"/>
        <c:crossAx val="267444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arrow" panose="020B0606020202030204" pitchFamily="34" charset="0"/>
                <a:ea typeface="+mn-ea"/>
                <a:cs typeface="+mn-cs"/>
              </a:defRPr>
            </a:pPr>
            <a:r>
              <a:rPr lang="en-US" sz="1000" b="1">
                <a:latin typeface="Arial Narrow" panose="020B0606020202030204" pitchFamily="34" charset="0"/>
              </a:rPr>
              <a:t>Number of learners by health status (BMI), Current School Year</a:t>
            </a:r>
          </a:p>
        </c:rich>
      </c:tx>
      <c:overlay val="0"/>
      <c:spPr>
        <a:noFill/>
        <a:ln>
          <a:noFill/>
        </a:ln>
        <a:effectLst/>
      </c:spPr>
    </c:title>
    <c:autoTitleDeleted val="0"/>
    <c:plotArea>
      <c:layout/>
      <c:barChart>
        <c:barDir val="bar"/>
        <c:grouping val="clustered"/>
        <c:varyColors val="0"/>
        <c:ser>
          <c:idx val="1"/>
          <c:order val="0"/>
          <c:tx>
            <c:strRef>
              <c:f>Helper!$C$8</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Helper!$A$9:$A$13</c:f>
              <c:strCache>
                <c:ptCount val="5"/>
                <c:pt idx="0">
                  <c:v>Severely Wasted</c:v>
                </c:pt>
                <c:pt idx="1">
                  <c:v>Wasted</c:v>
                </c:pt>
                <c:pt idx="2">
                  <c:v>Normal</c:v>
                </c:pt>
                <c:pt idx="3">
                  <c:v>Overweight</c:v>
                </c:pt>
                <c:pt idx="4">
                  <c:v>Obese</c:v>
                </c:pt>
              </c:strCache>
            </c:strRef>
          </c:cat>
          <c:val>
            <c:numRef>
              <c:f>Helper!$C$9:$C$13</c:f>
              <c:numCache>
                <c:formatCode>General</c:formatCode>
                <c:ptCount val="5"/>
                <c:pt idx="0">
                  <c:v>2</c:v>
                </c:pt>
                <c:pt idx="1">
                  <c:v>43</c:v>
                </c:pt>
                <c:pt idx="2">
                  <c:v>675</c:v>
                </c:pt>
                <c:pt idx="3">
                  <c:v>12</c:v>
                </c:pt>
                <c:pt idx="4">
                  <c:v>1</c:v>
                </c:pt>
              </c:numCache>
            </c:numRef>
          </c:val>
          <c:extLst xmlns:c16r2="http://schemas.microsoft.com/office/drawing/2015/06/chart">
            <c:ext xmlns:c16="http://schemas.microsoft.com/office/drawing/2014/chart" uri="{C3380CC4-5D6E-409C-BE32-E72D297353CC}">
              <c16:uniqueId val="{00000001-A7C3-4AC7-A1E7-3168ED4C6403}"/>
            </c:ext>
          </c:extLst>
        </c:ser>
        <c:ser>
          <c:idx val="0"/>
          <c:order val="1"/>
          <c:tx>
            <c:strRef>
              <c:f>Helper!$B$8</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Helper!$A$9:$A$13</c:f>
              <c:strCache>
                <c:ptCount val="5"/>
                <c:pt idx="0">
                  <c:v>Severely Wasted</c:v>
                </c:pt>
                <c:pt idx="1">
                  <c:v>Wasted</c:v>
                </c:pt>
                <c:pt idx="2">
                  <c:v>Normal</c:v>
                </c:pt>
                <c:pt idx="3">
                  <c:v>Overweight</c:v>
                </c:pt>
                <c:pt idx="4">
                  <c:v>Obese</c:v>
                </c:pt>
              </c:strCache>
            </c:strRef>
          </c:cat>
          <c:val>
            <c:numRef>
              <c:f>Helper!$B$9:$B$13</c:f>
              <c:numCache>
                <c:formatCode>General</c:formatCode>
                <c:ptCount val="5"/>
                <c:pt idx="0">
                  <c:v>17</c:v>
                </c:pt>
                <c:pt idx="1">
                  <c:v>83</c:v>
                </c:pt>
                <c:pt idx="2">
                  <c:v>658</c:v>
                </c:pt>
                <c:pt idx="3">
                  <c:v>13</c:v>
                </c:pt>
                <c:pt idx="4">
                  <c:v>1</c:v>
                </c:pt>
              </c:numCache>
            </c:numRef>
          </c:val>
          <c:extLst xmlns:c16r2="http://schemas.microsoft.com/office/drawing/2015/06/chart">
            <c:ext xmlns:c16="http://schemas.microsoft.com/office/drawing/2014/chart" uri="{C3380CC4-5D6E-409C-BE32-E72D297353CC}">
              <c16:uniqueId val="{00000000-A7C3-4AC7-A1E7-3168ED4C6403}"/>
            </c:ext>
          </c:extLst>
        </c:ser>
        <c:dLbls>
          <c:showLegendKey val="0"/>
          <c:showVal val="1"/>
          <c:showCatName val="0"/>
          <c:showSerName val="0"/>
          <c:showPercent val="0"/>
          <c:showBubbleSize val="0"/>
        </c:dLbls>
        <c:gapWidth val="30"/>
        <c:axId val="267436968"/>
        <c:axId val="267445592"/>
      </c:barChart>
      <c:catAx>
        <c:axId val="267436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7445592"/>
        <c:crosses val="autoZero"/>
        <c:auto val="1"/>
        <c:lblAlgn val="ctr"/>
        <c:lblOffset val="100"/>
        <c:noMultiLvlLbl val="0"/>
      </c:catAx>
      <c:valAx>
        <c:axId val="267445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36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pattFill prst="ltDnDiag">
      <a:fgClr>
        <a:schemeClr val="accent6">
          <a:lumMod val="40000"/>
          <a:lumOff val="60000"/>
        </a:schemeClr>
      </a:fgClr>
      <a:bgClr>
        <a:schemeClr val="bg1">
          <a:lumMod val="95000"/>
        </a:schemeClr>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r>
              <a:rPr lang="en-US" sz="900" b="1">
                <a:latin typeface="Arial Narrow" panose="020B0606020202030204" pitchFamily="34" charset="0"/>
              </a:rPr>
              <a:t>Number of learners by health status (HFA), Current </a:t>
            </a:r>
            <a:r>
              <a:rPr lang="en-US" sz="1000" b="1" i="0" baseline="0">
                <a:effectLst/>
              </a:rPr>
              <a:t>School Year</a:t>
            </a:r>
            <a:endParaRPr lang="en-US" sz="600">
              <a:effectLst/>
            </a:endParaRPr>
          </a:p>
        </c:rich>
      </c:tx>
      <c:overlay val="0"/>
      <c:spPr>
        <a:noFill/>
        <a:ln>
          <a:noFill/>
        </a:ln>
        <a:effectLst/>
      </c:spPr>
    </c:title>
    <c:autoTitleDeleted val="0"/>
    <c:plotArea>
      <c:layout/>
      <c:barChart>
        <c:barDir val="bar"/>
        <c:grouping val="clustered"/>
        <c:varyColors val="0"/>
        <c:ser>
          <c:idx val="0"/>
          <c:order val="0"/>
          <c:tx>
            <c:strRef>
              <c:f>Helper!$BC$8</c:f>
              <c:strCache>
                <c:ptCount val="1"/>
                <c:pt idx="0">
                  <c:v>Female</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Helper!$BA$9:$BA$12</c:f>
              <c:strCache>
                <c:ptCount val="4"/>
                <c:pt idx="0">
                  <c:v>Severely Stunted</c:v>
                </c:pt>
                <c:pt idx="1">
                  <c:v>Stunted</c:v>
                </c:pt>
                <c:pt idx="2">
                  <c:v>Normal</c:v>
                </c:pt>
                <c:pt idx="3">
                  <c:v>Tall</c:v>
                </c:pt>
              </c:strCache>
            </c:strRef>
          </c:cat>
          <c:val>
            <c:numRef>
              <c:f>Helper!$BC$9:$BC$12</c:f>
              <c:numCache>
                <c:formatCode>General</c:formatCode>
                <c:ptCount val="4"/>
                <c:pt idx="0">
                  <c:v>21</c:v>
                </c:pt>
                <c:pt idx="1">
                  <c:v>187</c:v>
                </c:pt>
                <c:pt idx="2">
                  <c:v>525</c:v>
                </c:pt>
                <c:pt idx="3">
                  <c:v>1</c:v>
                </c:pt>
              </c:numCache>
            </c:numRef>
          </c:val>
          <c:extLst xmlns:c16r2="http://schemas.microsoft.com/office/drawing/2015/06/chart">
            <c:ext xmlns:c16="http://schemas.microsoft.com/office/drawing/2014/chart" uri="{C3380CC4-5D6E-409C-BE32-E72D297353CC}">
              <c16:uniqueId val="{00000001-1D6F-4C02-BDEA-F88168AA802A}"/>
            </c:ext>
          </c:extLst>
        </c:ser>
        <c:ser>
          <c:idx val="1"/>
          <c:order val="1"/>
          <c:tx>
            <c:strRef>
              <c:f>Helper!$BB$8</c:f>
              <c:strCache>
                <c:ptCount val="1"/>
                <c:pt idx="0">
                  <c:v>Male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Helper!$BA$9:$BA$12</c:f>
              <c:strCache>
                <c:ptCount val="4"/>
                <c:pt idx="0">
                  <c:v>Severely Stunted</c:v>
                </c:pt>
                <c:pt idx="1">
                  <c:v>Stunted</c:v>
                </c:pt>
                <c:pt idx="2">
                  <c:v>Normal</c:v>
                </c:pt>
                <c:pt idx="3">
                  <c:v>Tall</c:v>
                </c:pt>
              </c:strCache>
            </c:strRef>
          </c:cat>
          <c:val>
            <c:numRef>
              <c:f>Helper!$BB$9:$BB$12</c:f>
              <c:numCache>
                <c:formatCode>General</c:formatCode>
                <c:ptCount val="4"/>
                <c:pt idx="0">
                  <c:v>27</c:v>
                </c:pt>
                <c:pt idx="1">
                  <c:v>127</c:v>
                </c:pt>
                <c:pt idx="2">
                  <c:v>616</c:v>
                </c:pt>
                <c:pt idx="3">
                  <c:v>1</c:v>
                </c:pt>
              </c:numCache>
            </c:numRef>
          </c:val>
          <c:extLst xmlns:c16r2="http://schemas.microsoft.com/office/drawing/2015/06/chart">
            <c:ext xmlns:c16="http://schemas.microsoft.com/office/drawing/2014/chart" uri="{C3380CC4-5D6E-409C-BE32-E72D297353CC}">
              <c16:uniqueId val="{00000000-1D6F-4C02-BDEA-F88168AA802A}"/>
            </c:ext>
          </c:extLst>
        </c:ser>
        <c:dLbls>
          <c:showLegendKey val="0"/>
          <c:showVal val="1"/>
          <c:showCatName val="0"/>
          <c:showSerName val="0"/>
          <c:showPercent val="0"/>
          <c:showBubbleSize val="0"/>
        </c:dLbls>
        <c:gapWidth val="30"/>
        <c:axId val="267433832"/>
        <c:axId val="267438144"/>
        <c:extLst xmlns:c16r2="http://schemas.microsoft.com/office/drawing/2015/06/chart">
          <c:ext xmlns:c15="http://schemas.microsoft.com/office/drawing/2012/chart" uri="{02D57815-91ED-43cb-92C2-25804820EDAC}">
            <c15:filteredBarSeries>
              <c15:ser>
                <c:idx val="2"/>
                <c:order val="2"/>
                <c:tx>
                  <c:strRef>
                    <c:extLst xmlns:c16r2="http://schemas.microsoft.com/office/drawing/2015/06/chart">
                      <c:ext uri="{02D57815-91ED-43cb-92C2-25804820EDAC}">
                        <c15:formulaRef>
                          <c15:sqref>Helper!$BD$8</c15:sqref>
                        </c15:formulaRef>
                      </c:ext>
                    </c:extLst>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6r2="http://schemas.microsoft.com/office/drawing/2015/06/chart">
                      <c:ext uri="{02D57815-91ED-43cb-92C2-25804820EDAC}">
                        <c15:formulaRef>
                          <c15:sqref>Helper!$BA$9:$BA$12</c15:sqref>
                        </c15:formulaRef>
                      </c:ext>
                    </c:extLst>
                    <c:strCache>
                      <c:ptCount val="4"/>
                      <c:pt idx="0">
                        <c:v>Severely Stunted</c:v>
                      </c:pt>
                      <c:pt idx="1">
                        <c:v>Stunted</c:v>
                      </c:pt>
                      <c:pt idx="2">
                        <c:v>Normal</c:v>
                      </c:pt>
                      <c:pt idx="3">
                        <c:v>Tall</c:v>
                      </c:pt>
                    </c:strCache>
                  </c:strRef>
                </c:cat>
                <c:val>
                  <c:numRef>
                    <c:extLst xmlns:c16r2="http://schemas.microsoft.com/office/drawing/2015/06/chart">
                      <c:ext uri="{02D57815-91ED-43cb-92C2-25804820EDAC}">
                        <c15:formulaRef>
                          <c15:sqref>Helper!$BD$9:$BD$12</c15:sqref>
                        </c15:formulaRef>
                      </c:ext>
                    </c:extLst>
                    <c:numCache>
                      <c:formatCode>General</c:formatCode>
                      <c:ptCount val="4"/>
                      <c:pt idx="0">
                        <c:v>48</c:v>
                      </c:pt>
                      <c:pt idx="1">
                        <c:v>314</c:v>
                      </c:pt>
                      <c:pt idx="2">
                        <c:v>1141</c:v>
                      </c:pt>
                      <c:pt idx="3">
                        <c:v>2</c:v>
                      </c:pt>
                    </c:numCache>
                  </c:numRef>
                </c:val>
                <c:extLst xmlns:c16r2="http://schemas.microsoft.com/office/drawing/2015/06/chart">
                  <c:ext xmlns:c16="http://schemas.microsoft.com/office/drawing/2014/chart" uri="{C3380CC4-5D6E-409C-BE32-E72D297353CC}">
                    <c16:uniqueId val="{00000002-1D6F-4C02-BDEA-F88168AA802A}"/>
                  </c:ext>
                </c:extLst>
              </c15:ser>
            </c15:filteredBarSeries>
          </c:ext>
        </c:extLst>
      </c:barChart>
      <c:catAx>
        <c:axId val="267433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7438144"/>
        <c:crosses val="autoZero"/>
        <c:auto val="1"/>
        <c:lblAlgn val="ctr"/>
        <c:lblOffset val="100"/>
        <c:noMultiLvlLbl val="0"/>
      </c:catAx>
      <c:valAx>
        <c:axId val="267438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3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pattFill prst="ltDnDiag">
      <a:fgClr>
        <a:schemeClr val="accent6">
          <a:lumMod val="40000"/>
          <a:lumOff val="60000"/>
        </a:schemeClr>
      </a:fgClr>
      <a:bgClr>
        <a:schemeClr val="bg1">
          <a:lumMod val="95000"/>
        </a:schemeClr>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Learner-Classroom Ratio</a:t>
            </a:r>
          </a:p>
        </c:rich>
      </c:tx>
      <c:overlay val="0"/>
      <c:spPr>
        <a:noFill/>
        <a:ln>
          <a:noFill/>
        </a:ln>
        <a:effectLst/>
      </c:spPr>
    </c:title>
    <c:autoTitleDeleted val="0"/>
    <c:plotArea>
      <c:layout>
        <c:manualLayout>
          <c:layoutTarget val="inner"/>
          <c:xMode val="edge"/>
          <c:yMode val="edge"/>
          <c:x val="4.7711038769494063E-2"/>
          <c:y val="5.8000137008197658E-2"/>
          <c:w val="0.92405646430983168"/>
          <c:h val="0.86690766789212892"/>
        </c:manualLayout>
      </c:layout>
      <c:barChart>
        <c:barDir val="col"/>
        <c:grouping val="clustered"/>
        <c:varyColors val="1"/>
        <c:ser>
          <c:idx val="0"/>
          <c:order val="0"/>
          <c:tx>
            <c:v>Data_LCR</c:v>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F339-49EE-9187-C431CAA66C6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[0]!Level_LCR</c:f>
              <c:strCache>
                <c:ptCount val="6"/>
                <c:pt idx="0">
                  <c:v>Grade 7</c:v>
                </c:pt>
                <c:pt idx="1">
                  <c:v>Grade 8</c:v>
                </c:pt>
                <c:pt idx="2">
                  <c:v>Grade 9</c:v>
                </c:pt>
                <c:pt idx="3">
                  <c:v>Grade 10</c:v>
                </c:pt>
                <c:pt idx="4">
                  <c:v>Grade 11</c:v>
                </c:pt>
                <c:pt idx="5">
                  <c:v>Grade 12</c:v>
                </c:pt>
              </c:strCache>
            </c:strRef>
          </c:cat>
          <c:val>
            <c:numRef>
              <c:f>[0]!Data_LCR</c:f>
              <c:numCache>
                <c:formatCode>General</c:formatCode>
                <c:ptCount val="6"/>
                <c:pt idx="0">
                  <c:v>61</c:v>
                </c:pt>
                <c:pt idx="1">
                  <c:v>51</c:v>
                </c:pt>
                <c:pt idx="2">
                  <c:v>49</c:v>
                </c:pt>
                <c:pt idx="3">
                  <c:v>44</c:v>
                </c:pt>
                <c:pt idx="4">
                  <c:v>52</c:v>
                </c:pt>
                <c:pt idx="5">
                  <c:v>40</c:v>
                </c:pt>
              </c:numCache>
            </c:numRef>
          </c:val>
          <c:extLst xmlns:c16r2="http://schemas.microsoft.com/office/drawing/2015/06/chart">
            <c:ext xmlns:c16="http://schemas.microsoft.com/office/drawing/2014/chart" uri="{C3380CC4-5D6E-409C-BE32-E72D297353CC}">
              <c16:uniqueId val="{00000000-6F75-4B75-889A-6E9C9619FABA}"/>
            </c:ext>
          </c:extLst>
        </c:ser>
        <c:dLbls>
          <c:dLblPos val="inBase"/>
          <c:showLegendKey val="0"/>
          <c:showVal val="1"/>
          <c:showCatName val="0"/>
          <c:showSerName val="0"/>
          <c:showPercent val="0"/>
          <c:showBubbleSize val="0"/>
        </c:dLbls>
        <c:gapWidth val="60"/>
        <c:overlap val="-27"/>
        <c:axId val="267447160"/>
        <c:axId val="267447552"/>
      </c:barChart>
      <c:catAx>
        <c:axId val="267447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8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7447552"/>
        <c:crosses val="autoZero"/>
        <c:auto val="1"/>
        <c:lblAlgn val="ctr"/>
        <c:lblOffset val="100"/>
        <c:noMultiLvlLbl val="0"/>
      </c:catAx>
      <c:valAx>
        <c:axId val="267447552"/>
        <c:scaling>
          <c:orientation val="minMax"/>
          <c:max val="1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47160"/>
        <c:crosses val="autoZero"/>
        <c:crossBetween val="between"/>
      </c:valAx>
      <c:spPr>
        <a:noFill/>
        <a:ln>
          <a:noFill/>
        </a:ln>
        <a:effectLst/>
      </c:spPr>
    </c:plotArea>
    <c:plotVisOnly val="0"/>
    <c:dispBlanksAs val="gap"/>
    <c:showDLblsOverMax val="0"/>
  </c:chart>
  <c:spPr>
    <a:pattFill prst="ltDnDiag">
      <a:fgClr>
        <a:schemeClr val="accent2">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 of Teachers based on Highest Educational</a:t>
            </a:r>
            <a:r>
              <a:rPr lang="en-US" b="1" baseline="0"/>
              <a:t> Attainment</a:t>
            </a:r>
            <a:endParaRPr lang="en-US" b="1"/>
          </a:p>
        </c:rich>
      </c:tx>
      <c:overlay val="0"/>
      <c:spPr>
        <a:noFill/>
        <a:ln>
          <a:noFill/>
        </a:ln>
        <a:effectLst/>
      </c:spPr>
    </c:title>
    <c:autoTitleDeleted val="0"/>
    <c:plotArea>
      <c:layout/>
      <c:pieChart>
        <c:varyColors val="1"/>
        <c:ser>
          <c:idx val="0"/>
          <c:order val="0"/>
          <c:dPt>
            <c:idx val="0"/>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1-AC32-416A-902D-708AE1F6864A}"/>
              </c:ext>
            </c:extLst>
          </c:dPt>
          <c:dPt>
            <c:idx val="1"/>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3-AC32-416A-902D-708AE1F6864A}"/>
              </c:ext>
            </c:extLst>
          </c:dPt>
          <c:dPt>
            <c:idx val="2"/>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5-AC32-416A-902D-708AE1F6864A}"/>
              </c:ext>
            </c:extLst>
          </c:dPt>
          <c:dPt>
            <c:idx val="3"/>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AC32-416A-902D-708AE1F6864A}"/>
              </c:ext>
            </c:extLst>
          </c:dPt>
          <c:dPt>
            <c:idx val="4"/>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AC32-416A-902D-708AE1F6864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Helper!$A$37:$A$41</c:f>
              <c:strCache>
                <c:ptCount val="5"/>
                <c:pt idx="0">
                  <c:v>Bachelor's Degree</c:v>
                </c:pt>
                <c:pt idx="1">
                  <c:v>Master's Degree (Units)</c:v>
                </c:pt>
                <c:pt idx="2">
                  <c:v>Master's Degree</c:v>
                </c:pt>
                <c:pt idx="3">
                  <c:v>Doctorate Degree (Units)</c:v>
                </c:pt>
                <c:pt idx="4">
                  <c:v>Doctorate Degree</c:v>
                </c:pt>
              </c:strCache>
            </c:strRef>
          </c:cat>
          <c:val>
            <c:numRef>
              <c:f>Helper!$B$37:$B$41</c:f>
              <c:numCache>
                <c:formatCode>General</c:formatCode>
                <c:ptCount val="5"/>
                <c:pt idx="0">
                  <c:v>20</c:v>
                </c:pt>
                <c:pt idx="1">
                  <c:v>34</c:v>
                </c:pt>
                <c:pt idx="2">
                  <c:v>1</c:v>
                </c:pt>
                <c:pt idx="3">
                  <c:v>2</c:v>
                </c:pt>
                <c:pt idx="4">
                  <c:v>0</c:v>
                </c:pt>
              </c:numCache>
            </c:numRef>
          </c:val>
          <c:extLst xmlns:c16r2="http://schemas.microsoft.com/office/drawing/2015/06/chart">
            <c:ext xmlns:c16="http://schemas.microsoft.com/office/drawing/2014/chart" uri="{C3380CC4-5D6E-409C-BE32-E72D297353CC}">
              <c16:uniqueId val="{0000000A-AC32-416A-902D-708AE1F6864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lineChart>
        <c:grouping val="stacked"/>
        <c:varyColors val="0"/>
        <c:ser>
          <c:idx val="0"/>
          <c:order val="0"/>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Helper!$A$3:$A$5</c:f>
              <c:strCache>
                <c:ptCount val="3"/>
                <c:pt idx="0">
                  <c:v>SY 2016-2017</c:v>
                </c:pt>
                <c:pt idx="1">
                  <c:v>SY 2017-2018</c:v>
                </c:pt>
                <c:pt idx="2">
                  <c:v>SY 2018-2019</c:v>
                </c:pt>
              </c:strCache>
            </c:strRef>
          </c:cat>
          <c:val>
            <c:numRef>
              <c:f>Helper!$D$3:$D$5</c:f>
              <c:numCache>
                <c:formatCode>General</c:formatCode>
                <c:ptCount val="3"/>
                <c:pt idx="0">
                  <c:v>1290</c:v>
                </c:pt>
                <c:pt idx="1">
                  <c:v>1418</c:v>
                </c:pt>
                <c:pt idx="2">
                  <c:v>1505</c:v>
                </c:pt>
              </c:numCache>
            </c:numRef>
          </c:val>
          <c:smooth val="0"/>
          <c:extLst xmlns:c16r2="http://schemas.microsoft.com/office/drawing/2015/06/chart">
            <c:ext xmlns:c16="http://schemas.microsoft.com/office/drawing/2014/chart" uri="{C3380CC4-5D6E-409C-BE32-E72D297353CC}">
              <c16:uniqueId val="{00000000-F08F-45EA-8E3B-6E2051210BCD}"/>
            </c:ext>
          </c:extLst>
        </c:ser>
        <c:dLbls>
          <c:showLegendKey val="0"/>
          <c:showVal val="0"/>
          <c:showCatName val="0"/>
          <c:showSerName val="0"/>
          <c:showPercent val="0"/>
          <c:showBubbleSize val="0"/>
        </c:dLbls>
        <c:marker val="1"/>
        <c:smooth val="0"/>
        <c:axId val="267448728"/>
        <c:axId val="267446376"/>
      </c:lineChart>
      <c:catAx>
        <c:axId val="267448728"/>
        <c:scaling>
          <c:orientation val="minMax"/>
        </c:scaling>
        <c:delete val="1"/>
        <c:axPos val="b"/>
        <c:numFmt formatCode="General" sourceLinked="1"/>
        <c:majorTickMark val="none"/>
        <c:minorTickMark val="none"/>
        <c:tickLblPos val="nextTo"/>
        <c:crossAx val="267446376"/>
        <c:crosses val="autoZero"/>
        <c:auto val="1"/>
        <c:lblAlgn val="ctr"/>
        <c:lblOffset val="100"/>
        <c:noMultiLvlLbl val="0"/>
      </c:catAx>
      <c:valAx>
        <c:axId val="267446376"/>
        <c:scaling>
          <c:orientation val="minMax"/>
        </c:scaling>
        <c:delete val="1"/>
        <c:axPos val="l"/>
        <c:numFmt formatCode="General" sourceLinked="1"/>
        <c:majorTickMark val="none"/>
        <c:minorTickMark val="none"/>
        <c:tickLblPos val="nextTo"/>
        <c:crossAx val="267448728"/>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rgbClr val="0000FF"/>
                </a:solidFill>
                <a:latin typeface="Arial Narrow" panose="020B0606020202030204" pitchFamily="34" charset="0"/>
                <a:ea typeface="+mn-ea"/>
                <a:cs typeface="+mn-cs"/>
              </a:defRPr>
            </a:pPr>
            <a:r>
              <a:rPr lang="en-US" sz="1800" b="1">
                <a:solidFill>
                  <a:srgbClr val="0000FF"/>
                </a:solidFill>
                <a:latin typeface="Arial Narrow" panose="020B0606020202030204" pitchFamily="34" charset="0"/>
              </a:rPr>
              <a:t>Sources of School Funding, Current School</a:t>
            </a:r>
            <a:r>
              <a:rPr lang="en-US" sz="1800" b="1" baseline="0">
                <a:solidFill>
                  <a:srgbClr val="0000FF"/>
                </a:solidFill>
                <a:latin typeface="Arial Narrow" panose="020B0606020202030204" pitchFamily="34" charset="0"/>
              </a:rPr>
              <a:t> Year</a:t>
            </a:r>
            <a:endParaRPr lang="en-US" sz="1800" b="1">
              <a:solidFill>
                <a:srgbClr val="0000FF"/>
              </a:solidFill>
              <a:latin typeface="Arial Narrow" panose="020B0606020202030204" pitchFamily="34" charset="0"/>
            </a:endParaRPr>
          </a:p>
        </c:rich>
      </c:tx>
      <c:layout>
        <c:manualLayout>
          <c:xMode val="edge"/>
          <c:yMode val="edge"/>
          <c:x val="0.11770960352331408"/>
          <c:y val="8.5359520409438918E-3"/>
        </c:manualLayout>
      </c:layout>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0AF5-49DD-8B77-60A599FABB13}"/>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0AF5-49DD-8B77-60A599FABB13}"/>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0AF5-49DD-8B77-60A599FABB13}"/>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0AF5-49DD-8B77-60A599FABB13}"/>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0AF5-49DD-8B77-60A599FABB13}"/>
              </c:ext>
            </c:extLst>
          </c:dPt>
          <c:dPt>
            <c:idx val="5"/>
            <c:bubble3D val="0"/>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B-0AF5-49DD-8B77-60A599FABB13}"/>
              </c:ext>
            </c:extLst>
          </c:dPt>
          <c:dLbls>
            <c:dLbl>
              <c:idx val="0"/>
              <c:layout>
                <c:manualLayout>
                  <c:x val="5.209709972628486E-2"/>
                  <c:y val="-2.199273480701355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1-0AF5-49DD-8B77-60A599FABB13}"/>
                </c:ext>
                <c:ext xmlns:c15="http://schemas.microsoft.com/office/drawing/2012/chart" uri="{CE6537A1-D6FC-4f65-9D91-7224C49458BB}">
                  <c15:layout/>
                </c:ext>
              </c:extLst>
            </c:dLbl>
            <c:dLbl>
              <c:idx val="1"/>
              <c:layout>
                <c:manualLayout>
                  <c:x val="7.4587094611407556E-2"/>
                  <c:y val="2.4742386759730201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3-0AF5-49DD-8B77-60A599FABB13}"/>
                </c:ext>
                <c:ext xmlns:c15="http://schemas.microsoft.com/office/drawing/2012/chart" uri="{CE6537A1-D6FC-4f65-9D91-7224C49458BB}">
                  <c15:layout/>
                </c:ext>
              </c:extLst>
            </c:dLbl>
            <c:dLbl>
              <c:idx val="3"/>
              <c:layout>
                <c:manualLayout>
                  <c:x val="-0.198797658215599"/>
                  <c:y val="1.0608776930256567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7-0AF5-49DD-8B77-60A599FABB13}"/>
                </c:ext>
                <c:ext xmlns:c15="http://schemas.microsoft.com/office/drawing/2012/chart" uri="{CE6537A1-D6FC-4f65-9D91-7224C49458BB}">
                  <c15:layout/>
                </c:ext>
              </c:extLst>
            </c:dLbl>
            <c:dLbl>
              <c:idx val="4"/>
              <c:layout>
                <c:manualLayout>
                  <c:x val="-4.4355490889988664E-2"/>
                  <c:y val="-2.0689713886537706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9-0AF5-49DD-8B77-60A599FABB13}"/>
                </c:ext>
                <c:ext xmlns:c15="http://schemas.microsoft.com/office/drawing/2012/chart" uri="{CE6537A1-D6FC-4f65-9D91-7224C49458BB}">
                  <c15:layout/>
                </c:ext>
              </c:extLst>
            </c:dLbl>
            <c:dLbl>
              <c:idx val="5"/>
              <c:layout>
                <c:manualLayout>
                  <c:x val="4.8639027896817635E-2"/>
                  <c:y val="-2.5669019243754976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B-0AF5-49DD-8B77-60A599FABB13}"/>
                </c:ext>
                <c:ext xmlns:c15="http://schemas.microsoft.com/office/drawing/2012/chart" uri="{CE6537A1-D6FC-4f65-9D91-7224C49458BB}">
                  <c15:layout/>
                </c:ext>
              </c:extLst>
            </c:dLbl>
            <c:spPr>
              <a:noFill/>
              <a:ln>
                <a:noFill/>
              </a:ln>
              <a:effectLst>
                <a:glow rad="127000">
                  <a:schemeClr val="tx1"/>
                </a:glo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Arial Narrow" panose="020B0606020202030204" pitchFamily="34" charset="0"/>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Helper!$A$47:$F$47</c:f>
              <c:strCache>
                <c:ptCount val="6"/>
                <c:pt idx="0">
                  <c:v>General Appropriations Act (School MOOE)</c:v>
                </c:pt>
                <c:pt idx="1">
                  <c:v>General Appropriations Act (Subsidy for Special Programs)</c:v>
                </c:pt>
                <c:pt idx="2">
                  <c:v>Local Government Unit funds</c:v>
                </c:pt>
                <c:pt idx="3">
                  <c:v>Canteen funds</c:v>
                </c:pt>
                <c:pt idx="4">
                  <c:v>Donations</c:v>
                </c:pt>
                <c:pt idx="5">
                  <c:v>Others</c:v>
                </c:pt>
              </c:strCache>
            </c:strRef>
          </c:cat>
          <c:val>
            <c:numRef>
              <c:f>Helper!$A$48:$F$48</c:f>
              <c:numCache>
                <c:formatCode>#,##0.00</c:formatCode>
                <c:ptCount val="6"/>
                <c:pt idx="0">
                  <c:v>104000</c:v>
                </c:pt>
                <c:pt idx="1">
                  <c:v>0</c:v>
                </c:pt>
                <c:pt idx="2">
                  <c:v>147000</c:v>
                </c:pt>
                <c:pt idx="3">
                  <c:v>10000</c:v>
                </c:pt>
                <c:pt idx="4">
                  <c:v>278713</c:v>
                </c:pt>
                <c:pt idx="5">
                  <c:v>106131</c:v>
                </c:pt>
              </c:numCache>
            </c:numRef>
          </c:val>
          <c:extLst xmlns:c16r2="http://schemas.microsoft.com/office/drawing/2015/06/chart">
            <c:ext xmlns:c16="http://schemas.microsoft.com/office/drawing/2014/chart" uri="{C3380CC4-5D6E-409C-BE32-E72D297353CC}">
              <c16:uniqueId val="{0000000C-0AF5-49DD-8B77-60A599FABB13}"/>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val>
            <c:numRef>
              <c:f>Helper!$B$78:$D$78</c:f>
              <c:numCache>
                <c:formatCode>0.00</c:formatCode>
                <c:ptCount val="3"/>
                <c:pt idx="0">
                  <c:v>97.92</c:v>
                </c:pt>
                <c:pt idx="1">
                  <c:v>98.55</c:v>
                </c:pt>
                <c:pt idx="2">
                  <c:v>93.09</c:v>
                </c:pt>
              </c:numCache>
            </c:numRef>
          </c:val>
          <c:extLst xmlns:c16r2="http://schemas.microsoft.com/office/drawing/2015/06/chart">
            <c:ext xmlns:c16="http://schemas.microsoft.com/office/drawing/2014/chart" uri="{C3380CC4-5D6E-409C-BE32-E72D297353CC}">
              <c16:uniqueId val="{00000000-3E75-4B37-95AE-CAFD4C601BB6}"/>
            </c:ext>
            <c:ext xmlns:c15="http://schemas.microsoft.com/office/drawing/2012/chart" uri="{02D57815-91ED-43cb-92C2-25804820EDAC}">
              <c15:filteredCategoryTitle>
                <c15:cat>
                  <c:strRef>
                    <c:extLst xmlns:c16r2="http://schemas.microsoft.com/office/drawing/2015/06/chart" xmlns:c16="http://schemas.microsoft.com/office/drawing/2014/chart">
                      <c:ext uri="{02D57815-91ED-43cb-92C2-25804820EDAC}">
                        <c15:formulaRef>
                          <c15:sqref>Helper!$B$62:$D$62</c15:sqref>
                        </c15:formulaRef>
                      </c:ext>
                    </c:extLst>
                    <c:strCache>
                      <c:ptCount val="3"/>
                      <c:pt idx="0">
                        <c:v>2016-2017</c:v>
                      </c:pt>
                      <c:pt idx="1">
                        <c:v>2017-2018</c:v>
                      </c:pt>
                      <c:pt idx="2">
                        <c:v>2018-2019</c:v>
                      </c:pt>
                    </c:strCache>
                  </c:strRef>
                </c15:cat>
              </c15:filteredCategoryTitle>
            </c:ext>
          </c:extLst>
        </c:ser>
        <c:dLbls>
          <c:showLegendKey val="0"/>
          <c:showVal val="0"/>
          <c:showCatName val="0"/>
          <c:showSerName val="0"/>
          <c:showPercent val="0"/>
          <c:showBubbleSize val="0"/>
        </c:dLbls>
        <c:gapWidth val="219"/>
        <c:overlap val="-27"/>
        <c:axId val="267449120"/>
        <c:axId val="267445984"/>
      </c:barChart>
      <c:catAx>
        <c:axId val="26744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45984"/>
        <c:crosses val="autoZero"/>
        <c:auto val="1"/>
        <c:lblAlgn val="ctr"/>
        <c:lblOffset val="100"/>
        <c:noMultiLvlLbl val="0"/>
      </c:catAx>
      <c:valAx>
        <c:axId val="267445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449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000"/>
              <a:t>Promotion Rate</a:t>
            </a:r>
            <a:r>
              <a:rPr lang="en-US" sz="1000" baseline="0"/>
              <a:t> per School Year</a:t>
            </a:r>
            <a:endParaRPr lang="en-US" sz="1000"/>
          </a:p>
        </c:rich>
      </c:tx>
      <c:overlay val="0"/>
      <c:spPr>
        <a:noFill/>
        <a:ln>
          <a:noFill/>
        </a:ln>
        <a:effectLst/>
      </c:spPr>
    </c:title>
    <c:autoTitleDeleted val="0"/>
    <c:plotArea>
      <c:layout>
        <c:manualLayout>
          <c:layoutTarget val="inner"/>
          <c:xMode val="edge"/>
          <c:yMode val="edge"/>
          <c:x val="3.2213612453409014E-2"/>
          <c:y val="0.16862462528374467"/>
          <c:w val="0.93557277509318193"/>
          <c:h val="0.83137537471625533"/>
        </c:manualLayout>
      </c:layout>
      <c:lineChart>
        <c:grouping val="standard"/>
        <c:varyColors val="0"/>
        <c:ser>
          <c:idx val="0"/>
          <c:order val="0"/>
          <c:spPr>
            <a:ln w="28575" cap="rnd">
              <a:solidFill>
                <a:schemeClr val="accent2"/>
              </a:solidFill>
              <a:round/>
              <a:headEnd w="med" len="med"/>
            </a:ln>
            <a:effectLst/>
          </c:spPr>
          <c:marker>
            <c:symbol val="circle"/>
            <c:size val="8"/>
            <c:spPr>
              <a:solidFill>
                <a:schemeClr val="accent2"/>
              </a:solidFill>
              <a:ln w="6350" cmpd="dbl">
                <a:solidFill>
                  <a:schemeClr val="accent2"/>
                </a:solidFill>
                <a:headEnd w="sm" len="sm"/>
                <a:tailEnd w="sm" len="sm"/>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Helper!$B$78:$D$78</c:f>
              <c:numCache>
                <c:formatCode>0.00</c:formatCode>
                <c:ptCount val="3"/>
                <c:pt idx="0">
                  <c:v>97.92</c:v>
                </c:pt>
                <c:pt idx="1">
                  <c:v>98.55</c:v>
                </c:pt>
                <c:pt idx="2">
                  <c:v>93.09</c:v>
                </c:pt>
              </c:numCache>
            </c:numRef>
          </c:val>
          <c:smooth val="0"/>
          <c:extLst xmlns:c16r2="http://schemas.microsoft.com/office/drawing/2015/06/chart">
            <c:ext xmlns:c16="http://schemas.microsoft.com/office/drawing/2014/chart" uri="{C3380CC4-5D6E-409C-BE32-E72D297353CC}">
              <c16:uniqueId val="{00000000-DD08-427B-9E22-5AC00B17D9A3}"/>
            </c:ext>
          </c:extLst>
        </c:ser>
        <c:dLbls>
          <c:dLblPos val="t"/>
          <c:showLegendKey val="0"/>
          <c:showVal val="1"/>
          <c:showCatName val="0"/>
          <c:showSerName val="0"/>
          <c:showPercent val="0"/>
          <c:showBubbleSize val="0"/>
        </c:dLbls>
        <c:marker val="1"/>
        <c:smooth val="0"/>
        <c:axId val="269324472"/>
        <c:axId val="269315848"/>
      </c:lineChart>
      <c:catAx>
        <c:axId val="269324472"/>
        <c:scaling>
          <c:orientation val="minMax"/>
        </c:scaling>
        <c:delete val="1"/>
        <c:axPos val="b"/>
        <c:numFmt formatCode="General" sourceLinked="1"/>
        <c:majorTickMark val="none"/>
        <c:minorTickMark val="none"/>
        <c:tickLblPos val="nextTo"/>
        <c:crossAx val="269315848"/>
        <c:crosses val="autoZero"/>
        <c:auto val="1"/>
        <c:lblAlgn val="ctr"/>
        <c:lblOffset val="100"/>
        <c:noMultiLvlLbl val="0"/>
      </c:catAx>
      <c:valAx>
        <c:axId val="269315848"/>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2693244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PH" sz="1200"/>
              <a:t>Number</a:t>
            </a:r>
            <a:r>
              <a:rPr lang="en-PH" sz="1200" baseline="0"/>
              <a:t> of Partners by General Partner Type</a:t>
            </a:r>
            <a:endParaRPr lang="en-PH" sz="1200"/>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invertIfNegative val="0"/>
          <c:dPt>
            <c:idx val="0"/>
            <c:invertIfNegative val="0"/>
            <c:bubble3D val="0"/>
            <c:spPr>
              <a:solidFill>
                <a:schemeClr val="accent1"/>
              </a:solidFill>
              <a:ln>
                <a:noFill/>
              </a:ln>
              <a:effectLst/>
              <a:sp3d/>
            </c:spPr>
            <c:extLst xmlns:c16r2="http://schemas.microsoft.com/office/drawing/2015/06/chart">
              <c:ext xmlns:c16="http://schemas.microsoft.com/office/drawing/2014/chart" uri="{C3380CC4-5D6E-409C-BE32-E72D297353CC}">
                <c16:uniqueId val="{00000001-6C86-4412-9062-D1F5B8808E7D}"/>
              </c:ext>
            </c:extLst>
          </c:dPt>
          <c:dPt>
            <c:idx val="1"/>
            <c:invertIfNegative val="0"/>
            <c:bubble3D val="0"/>
            <c:spPr>
              <a:solidFill>
                <a:schemeClr val="accent2"/>
              </a:solidFill>
              <a:ln>
                <a:noFill/>
              </a:ln>
              <a:effectLst/>
              <a:sp3d/>
            </c:spPr>
            <c:extLst xmlns:c16r2="http://schemas.microsoft.com/office/drawing/2015/06/chart">
              <c:ext xmlns:c16="http://schemas.microsoft.com/office/drawing/2014/chart" uri="{C3380CC4-5D6E-409C-BE32-E72D297353CC}">
                <c16:uniqueId val="{00000003-6C86-4412-9062-D1F5B8808E7D}"/>
              </c:ext>
            </c:extLst>
          </c:dPt>
          <c:dPt>
            <c:idx val="2"/>
            <c:invertIfNegative val="0"/>
            <c:bubble3D val="0"/>
            <c:spPr>
              <a:solidFill>
                <a:schemeClr val="accent3"/>
              </a:solidFill>
              <a:ln>
                <a:noFill/>
              </a:ln>
              <a:effectLst/>
              <a:sp3d/>
            </c:spPr>
            <c:extLst xmlns:c16r2="http://schemas.microsoft.com/office/drawing/2015/06/chart">
              <c:ext xmlns:c16="http://schemas.microsoft.com/office/drawing/2014/chart" uri="{C3380CC4-5D6E-409C-BE32-E72D297353CC}">
                <c16:uniqueId val="{00000005-6C86-4412-9062-D1F5B8808E7D}"/>
              </c:ext>
            </c:extLst>
          </c:dPt>
          <c:dPt>
            <c:idx val="3"/>
            <c:invertIfNegative val="0"/>
            <c:bubble3D val="0"/>
            <c:spPr>
              <a:solidFill>
                <a:schemeClr val="accent4"/>
              </a:solidFill>
              <a:ln>
                <a:noFill/>
              </a:ln>
              <a:effectLst/>
              <a:sp3d/>
            </c:spPr>
            <c:extLst xmlns:c16r2="http://schemas.microsoft.com/office/drawing/2015/06/chart">
              <c:ext xmlns:c16="http://schemas.microsoft.com/office/drawing/2014/chart" uri="{C3380CC4-5D6E-409C-BE32-E72D297353CC}">
                <c16:uniqueId val="{00000007-6C86-4412-9062-D1F5B8808E7D}"/>
              </c:ext>
            </c:extLst>
          </c:dPt>
          <c:dPt>
            <c:idx val="4"/>
            <c:invertIfNegative val="0"/>
            <c:bubble3D val="0"/>
            <c:spPr>
              <a:solidFill>
                <a:schemeClr val="accent5"/>
              </a:solidFill>
              <a:ln>
                <a:noFill/>
              </a:ln>
              <a:effectLst/>
              <a:sp3d/>
            </c:spPr>
            <c:extLst xmlns:c16r2="http://schemas.microsoft.com/office/drawing/2015/06/chart">
              <c:ext xmlns:c16="http://schemas.microsoft.com/office/drawing/2014/chart" uri="{C3380CC4-5D6E-409C-BE32-E72D297353CC}">
                <c16:uniqueId val="{00000009-6C86-4412-9062-D1F5B8808E7D}"/>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Helper!$O$701:$O$705</c:f>
              <c:numCache>
                <c:formatCode>General</c:formatCode>
                <c:ptCount val="5"/>
                <c:pt idx="0">
                  <c:v>1</c:v>
                </c:pt>
                <c:pt idx="1">
                  <c:v>1</c:v>
                </c:pt>
                <c:pt idx="2">
                  <c:v>1</c:v>
                </c:pt>
                <c:pt idx="3">
                  <c:v>1</c:v>
                </c:pt>
                <c:pt idx="4">
                  <c:v>0</c:v>
                </c:pt>
              </c:numCache>
            </c:numRef>
          </c:val>
          <c:extLst xmlns:c16r2="http://schemas.microsoft.com/office/drawing/2015/06/chart">
            <c:ext xmlns:c16="http://schemas.microsoft.com/office/drawing/2014/chart" uri="{C3380CC4-5D6E-409C-BE32-E72D297353CC}">
              <c16:uniqueId val="{00000000-5D02-403F-9591-FB46C27673D7}"/>
            </c:ext>
            <c:ext xmlns:c15="http://schemas.microsoft.com/office/drawing/2012/chart" uri="{02D57815-91ED-43cb-92C2-25804820EDAC}">
              <c15:filteredCategoryTitle>
                <c15:cat>
                  <c:strRef>
                    <c:extLst>
                      <c:ext uri="{02D57815-91ED-43cb-92C2-25804820EDAC}">
                        <c15:formulaRef>
                          <c15:sqref>Helper!$N$701:$N$705</c15:sqref>
                        </c15:formulaRef>
                      </c:ext>
                    </c:extLst>
                    <c:strCache>
                      <c:ptCount val="4"/>
                      <c:pt idx="0">
                        <c:v>Private Sector</c:v>
                      </c:pt>
                      <c:pt idx="1">
                        <c:v>Public Sector</c:v>
                      </c:pt>
                      <c:pt idx="2">
                        <c:v>Civil Society Organizations</c:v>
                      </c:pt>
                      <c:pt idx="3">
                        <c:v>International</c:v>
                      </c:pt>
                    </c:strCache>
                  </c:strRef>
                </c15:cat>
              </c15:filteredCategoryTitle>
            </c:ext>
          </c:extLst>
        </c:ser>
        <c:dLbls>
          <c:showLegendKey val="0"/>
          <c:showVal val="0"/>
          <c:showCatName val="0"/>
          <c:showSerName val="0"/>
          <c:showPercent val="0"/>
          <c:showBubbleSize val="0"/>
        </c:dLbls>
        <c:gapWidth val="150"/>
        <c:shape val="box"/>
        <c:axId val="269316240"/>
        <c:axId val="269323296"/>
        <c:axId val="0"/>
      </c:bar3DChart>
      <c:catAx>
        <c:axId val="269316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69323296"/>
        <c:crosses val="autoZero"/>
        <c:auto val="1"/>
        <c:lblAlgn val="ctr"/>
        <c:lblOffset val="100"/>
        <c:noMultiLvlLbl val="0"/>
      </c:catAx>
      <c:valAx>
        <c:axId val="26932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3162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a:t>Number of Partners by Specific Type</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v>Number of Partners by Specific Type</c:v>
          </c:tx>
          <c:invertIfNegative val="0"/>
          <c:dPt>
            <c:idx val="0"/>
            <c:invertIfNegative val="0"/>
            <c:bubble3D val="0"/>
            <c:spPr>
              <a:solidFill>
                <a:schemeClr val="accent1"/>
              </a:solidFill>
              <a:ln>
                <a:noFill/>
              </a:ln>
              <a:effectLst/>
              <a:sp3d/>
            </c:spPr>
            <c:extLst xmlns:c16r2="http://schemas.microsoft.com/office/drawing/2015/06/chart">
              <c:ext xmlns:c16="http://schemas.microsoft.com/office/drawing/2014/chart" uri="{C3380CC4-5D6E-409C-BE32-E72D297353CC}">
                <c16:uniqueId val="{00000001-83E5-4BEF-97DF-33E5763FBD52}"/>
              </c:ext>
            </c:extLst>
          </c:dPt>
          <c:cat>
            <c:strRef>
              <c:f>[0]!Level_SPT</c:f>
              <c:strCache>
                <c:ptCount val="3"/>
                <c:pt idx="0">
                  <c:v>Private Company</c:v>
                </c:pt>
                <c:pt idx="1">
                  <c:v>People's Organizations</c:v>
                </c:pt>
                <c:pt idx="2">
                  <c:v>Others</c:v>
                </c:pt>
              </c:strCache>
            </c:strRef>
          </c:cat>
          <c:val>
            <c:numRef>
              <c:f>[0]!Data_SPT</c:f>
              <c:numCache>
                <c:formatCode>General</c:formatCode>
                <c:ptCount val="3"/>
                <c:pt idx="0">
                  <c:v>1</c:v>
                </c:pt>
                <c:pt idx="1">
                  <c:v>1</c:v>
                </c:pt>
                <c:pt idx="2">
                  <c:v>1</c:v>
                </c:pt>
              </c:numCache>
            </c:numRef>
          </c:val>
          <c:extLst xmlns:c16r2="http://schemas.microsoft.com/office/drawing/2015/06/chart">
            <c:ext xmlns:c16="http://schemas.microsoft.com/office/drawing/2014/chart" uri="{C3380CC4-5D6E-409C-BE32-E72D297353CC}">
              <c16:uniqueId val="{00000000-E7FF-4DC3-807B-7D79D5AF41D5}"/>
            </c:ext>
          </c:extLst>
        </c:ser>
        <c:dLbls>
          <c:showLegendKey val="0"/>
          <c:showVal val="0"/>
          <c:showCatName val="0"/>
          <c:showSerName val="0"/>
          <c:showPercent val="0"/>
          <c:showBubbleSize val="0"/>
        </c:dLbls>
        <c:gapWidth val="150"/>
        <c:shape val="box"/>
        <c:axId val="269318200"/>
        <c:axId val="269316632"/>
        <c:axId val="0"/>
      </c:bar3DChart>
      <c:catAx>
        <c:axId val="269318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69316632"/>
        <c:crosses val="autoZero"/>
        <c:auto val="1"/>
        <c:lblAlgn val="ctr"/>
        <c:lblOffset val="100"/>
        <c:noMultiLvlLbl val="0"/>
      </c:catAx>
      <c:valAx>
        <c:axId val="269316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693182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a:t>Number of Support per Specific Contribution Type</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v>Number of Support per Specific Contribution Type</c:v>
          </c:tx>
          <c:invertIfNegative val="0"/>
          <c:dPt>
            <c:idx val="0"/>
            <c:invertIfNegative val="0"/>
            <c:bubble3D val="0"/>
            <c:spPr>
              <a:solidFill>
                <a:schemeClr val="accent1"/>
              </a:solidFill>
              <a:ln>
                <a:noFill/>
              </a:ln>
              <a:effectLst/>
              <a:sp3d/>
            </c:spPr>
            <c:extLst xmlns:c16r2="http://schemas.microsoft.com/office/drawing/2015/06/chart">
              <c:ext xmlns:c16="http://schemas.microsoft.com/office/drawing/2014/chart" uri="{C3380CC4-5D6E-409C-BE32-E72D297353CC}">
                <c16:uniqueId val="{00000001-2C8E-466A-9191-69B8C09B5278}"/>
              </c:ext>
            </c:extLst>
          </c:dPt>
          <c:cat>
            <c:strRef>
              <c:f>[0]!Level_CT</c:f>
              <c:strCache>
                <c:ptCount val="8"/>
                <c:pt idx="0">
                  <c:v>Policy Support</c:v>
                </c:pt>
                <c:pt idx="1">
                  <c:v>Technical Assistance</c:v>
                </c:pt>
                <c:pt idx="2">
                  <c:v>Learner School Supplies Uniforms</c:v>
                </c:pt>
                <c:pt idx="3">
                  <c:v>Learner Wellness Health Nutrition</c:v>
                </c:pt>
                <c:pt idx="4">
                  <c:v>Technology</c:v>
                </c:pt>
                <c:pt idx="5">
                  <c:v>Use of Facilities</c:v>
                </c:pt>
                <c:pt idx="6">
                  <c:v>Volunteer Hours</c:v>
                </c:pt>
                <c:pt idx="7">
                  <c:v>Work Immersion</c:v>
                </c:pt>
              </c:strCache>
            </c:strRef>
          </c:cat>
          <c:val>
            <c:numRef>
              <c:f>[0]!Data_CT</c:f>
              <c:numCache>
                <c:formatCode>General</c:formatCode>
                <c:ptCount val="8"/>
                <c:pt idx="0">
                  <c:v>2</c:v>
                </c:pt>
                <c:pt idx="1">
                  <c:v>2</c:v>
                </c:pt>
                <c:pt idx="2">
                  <c:v>1</c:v>
                </c:pt>
                <c:pt idx="3">
                  <c:v>1</c:v>
                </c:pt>
                <c:pt idx="4">
                  <c:v>1</c:v>
                </c:pt>
                <c:pt idx="5">
                  <c:v>1</c:v>
                </c:pt>
                <c:pt idx="6">
                  <c:v>1</c:v>
                </c:pt>
                <c:pt idx="7">
                  <c:v>1</c:v>
                </c:pt>
              </c:numCache>
            </c:numRef>
          </c:val>
          <c:extLst xmlns:c16r2="http://schemas.microsoft.com/office/drawing/2015/06/chart">
            <c:ext xmlns:c16="http://schemas.microsoft.com/office/drawing/2014/chart" uri="{C3380CC4-5D6E-409C-BE32-E72D297353CC}">
              <c16:uniqueId val="{00000000-6DFD-4367-8564-E4BF93B8513C}"/>
            </c:ext>
          </c:extLst>
        </c:ser>
        <c:dLbls>
          <c:showLegendKey val="0"/>
          <c:showVal val="0"/>
          <c:showCatName val="0"/>
          <c:showSerName val="0"/>
          <c:showPercent val="0"/>
          <c:showBubbleSize val="0"/>
        </c:dLbls>
        <c:gapWidth val="150"/>
        <c:shape val="box"/>
        <c:axId val="269317808"/>
        <c:axId val="269319376"/>
        <c:axId val="0"/>
      </c:bar3DChart>
      <c:catAx>
        <c:axId val="269317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9319376"/>
        <c:crosses val="autoZero"/>
        <c:auto val="1"/>
        <c:lblAlgn val="ctr"/>
        <c:lblOffset val="100"/>
        <c:noMultiLvlLbl val="0"/>
      </c:catAx>
      <c:valAx>
        <c:axId val="2693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693178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PH" sz="1000" b="1" i="0" baseline="0">
                <a:effectLst/>
              </a:rPr>
              <a:t>Phil-IRI GST-English (Pre-Test)</a:t>
            </a:r>
            <a:endParaRPr lang="en-US" sz="1000" b="1">
              <a:effectLst/>
            </a:endParaRPr>
          </a:p>
        </c:rich>
      </c:tx>
      <c:overlay val="0"/>
      <c:spPr>
        <a:noFill/>
        <a:ln>
          <a:noFill/>
        </a:ln>
        <a:effectLst/>
      </c:spPr>
    </c:title>
    <c:autoTitleDeleted val="0"/>
    <c:plotArea>
      <c:layout/>
      <c:barChart>
        <c:barDir val="col"/>
        <c:grouping val="stacked"/>
        <c:varyColors val="0"/>
        <c:ser>
          <c:idx val="0"/>
          <c:order val="0"/>
          <c:tx>
            <c:v>20-14</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c:f>
              <c:strCache>
                <c:ptCount val="6"/>
                <c:pt idx="0">
                  <c:v>Grade 7</c:v>
                </c:pt>
                <c:pt idx="1">
                  <c:v>Grade 8</c:v>
                </c:pt>
                <c:pt idx="2">
                  <c:v>Grade 9</c:v>
                </c:pt>
                <c:pt idx="3">
                  <c:v>Grade 10</c:v>
                </c:pt>
                <c:pt idx="4">
                  <c:v>Grade 11</c:v>
                </c:pt>
                <c:pt idx="5">
                  <c:v>Grade 12</c:v>
                </c:pt>
              </c:strCache>
            </c:strRef>
          </c:cat>
          <c:val>
            <c:numRef>
              <c:f>[0]!Data_PHILIRI</c:f>
              <c:numCache>
                <c:formatCode>0.00</c:formatCode>
                <c:ptCount val="6"/>
                <c:pt idx="0">
                  <c:v>17.582417582417584</c:v>
                </c:pt>
                <c:pt idx="1">
                  <c:v>38.032786885245898</c:v>
                </c:pt>
                <c:pt idx="2">
                  <c:v>34.412955465587039</c:v>
                </c:pt>
                <c:pt idx="3">
                  <c:v>47.058823529411761</c:v>
                </c:pt>
                <c:pt idx="4">
                  <c:v>50.24154589371981</c:v>
                </c:pt>
                <c:pt idx="5">
                  <c:v>26.086956521739129</c:v>
                </c:pt>
              </c:numCache>
            </c:numRef>
          </c:val>
          <c:extLst xmlns:c16r2="http://schemas.microsoft.com/office/drawing/2015/06/chart">
            <c:ext xmlns:c16="http://schemas.microsoft.com/office/drawing/2014/chart" uri="{C3380CC4-5D6E-409C-BE32-E72D297353CC}">
              <c16:uniqueId val="{00000000-A356-4AB5-9F00-EE186C7B0F67}"/>
            </c:ext>
          </c:extLst>
        </c:ser>
        <c:ser>
          <c:idx val="1"/>
          <c:order val="1"/>
          <c:tx>
            <c:v>13-8</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c:f>
              <c:strCache>
                <c:ptCount val="6"/>
                <c:pt idx="0">
                  <c:v>Grade 7</c:v>
                </c:pt>
                <c:pt idx="1">
                  <c:v>Grade 8</c:v>
                </c:pt>
                <c:pt idx="2">
                  <c:v>Grade 9</c:v>
                </c:pt>
                <c:pt idx="3">
                  <c:v>Grade 10</c:v>
                </c:pt>
                <c:pt idx="4">
                  <c:v>Grade 11</c:v>
                </c:pt>
                <c:pt idx="5">
                  <c:v>Grade 12</c:v>
                </c:pt>
              </c:strCache>
            </c:strRef>
          </c:cat>
          <c:val>
            <c:numRef>
              <c:f>[0]!Data_PHILIRI2</c:f>
              <c:numCache>
                <c:formatCode>0.00</c:formatCode>
                <c:ptCount val="6"/>
                <c:pt idx="0">
                  <c:v>74.72527472527473</c:v>
                </c:pt>
                <c:pt idx="1">
                  <c:v>60.327868852459019</c:v>
                </c:pt>
                <c:pt idx="2">
                  <c:v>61.53846153846154</c:v>
                </c:pt>
                <c:pt idx="3">
                  <c:v>47.511312217194565</c:v>
                </c:pt>
                <c:pt idx="4">
                  <c:v>25.120772946859905</c:v>
                </c:pt>
                <c:pt idx="5">
                  <c:v>40.993788819875775</c:v>
                </c:pt>
              </c:numCache>
            </c:numRef>
          </c:val>
          <c:extLst xmlns:c16r2="http://schemas.microsoft.com/office/drawing/2015/06/chart">
            <c:ext xmlns:c16="http://schemas.microsoft.com/office/drawing/2014/chart" uri="{C3380CC4-5D6E-409C-BE32-E72D297353CC}">
              <c16:uniqueId val="{00000001-A356-4AB5-9F00-EE186C7B0F67}"/>
            </c:ext>
          </c:extLst>
        </c:ser>
        <c:ser>
          <c:idx val="2"/>
          <c:order val="2"/>
          <c:tx>
            <c:v>7-0</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c:f>
              <c:strCache>
                <c:ptCount val="6"/>
                <c:pt idx="0">
                  <c:v>Grade 7</c:v>
                </c:pt>
                <c:pt idx="1">
                  <c:v>Grade 8</c:v>
                </c:pt>
                <c:pt idx="2">
                  <c:v>Grade 9</c:v>
                </c:pt>
                <c:pt idx="3">
                  <c:v>Grade 10</c:v>
                </c:pt>
                <c:pt idx="4">
                  <c:v>Grade 11</c:v>
                </c:pt>
                <c:pt idx="5">
                  <c:v>Grade 12</c:v>
                </c:pt>
              </c:strCache>
            </c:strRef>
          </c:cat>
          <c:val>
            <c:numRef>
              <c:f>[0]!Data_PHILIRI3</c:f>
              <c:numCache>
                <c:formatCode>0.00</c:formatCode>
                <c:ptCount val="6"/>
                <c:pt idx="0">
                  <c:v>7.6923076923076925</c:v>
                </c:pt>
                <c:pt idx="1">
                  <c:v>1.639344262295082</c:v>
                </c:pt>
                <c:pt idx="2">
                  <c:v>4.048582995951417</c:v>
                </c:pt>
                <c:pt idx="3">
                  <c:v>5.4298642533936654</c:v>
                </c:pt>
                <c:pt idx="4">
                  <c:v>24.637681159420293</c:v>
                </c:pt>
                <c:pt idx="5">
                  <c:v>32.919254658385093</c:v>
                </c:pt>
              </c:numCache>
            </c:numRef>
          </c:val>
          <c:extLst xmlns:c16r2="http://schemas.microsoft.com/office/drawing/2015/06/chart">
            <c:ext xmlns:c16="http://schemas.microsoft.com/office/drawing/2014/chart" uri="{C3380CC4-5D6E-409C-BE32-E72D297353CC}">
              <c16:uniqueId val="{00000002-A356-4AB5-9F00-EE186C7B0F67}"/>
            </c:ext>
          </c:extLst>
        </c:ser>
        <c:dLbls>
          <c:dLblPos val="ctr"/>
          <c:showLegendKey val="0"/>
          <c:showVal val="1"/>
          <c:showCatName val="0"/>
          <c:showSerName val="0"/>
          <c:showPercent val="0"/>
          <c:showBubbleSize val="0"/>
        </c:dLbls>
        <c:gapWidth val="150"/>
        <c:overlap val="100"/>
        <c:axId val="269317024"/>
        <c:axId val="269326432"/>
      </c:barChart>
      <c:catAx>
        <c:axId val="26931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326432"/>
        <c:crosses val="autoZero"/>
        <c:auto val="1"/>
        <c:lblAlgn val="ctr"/>
        <c:lblOffset val="100"/>
        <c:noMultiLvlLbl val="0"/>
      </c:catAx>
      <c:valAx>
        <c:axId val="26932643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317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PH" sz="1000" b="1" i="0" baseline="0">
                <a:effectLst/>
              </a:rPr>
              <a:t>Phil-IRI GST-FILIPINO (Pre-Test)</a:t>
            </a:r>
            <a:endParaRPr lang="en-US" sz="1000" b="1">
              <a:effectLst/>
            </a:endParaRPr>
          </a:p>
        </c:rich>
      </c:tx>
      <c:overlay val="0"/>
      <c:spPr>
        <a:noFill/>
        <a:ln>
          <a:noFill/>
        </a:ln>
        <a:effectLst/>
      </c:spPr>
    </c:title>
    <c:autoTitleDeleted val="0"/>
    <c:plotArea>
      <c:layout/>
      <c:barChart>
        <c:barDir val="col"/>
        <c:grouping val="stacked"/>
        <c:varyColors val="0"/>
        <c:ser>
          <c:idx val="0"/>
          <c:order val="0"/>
          <c:tx>
            <c:v>20-14</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[0]!Level_PHILIRIFIL</c:f>
              <c:strCache>
                <c:ptCount val="6"/>
                <c:pt idx="0">
                  <c:v>Grade 7</c:v>
                </c:pt>
                <c:pt idx="1">
                  <c:v>Grade 8</c:v>
                </c:pt>
                <c:pt idx="2">
                  <c:v>Grade 9</c:v>
                </c:pt>
                <c:pt idx="3">
                  <c:v>Grade 10</c:v>
                </c:pt>
                <c:pt idx="4">
                  <c:v>Grade 11</c:v>
                </c:pt>
                <c:pt idx="5">
                  <c:v>Grade 12</c:v>
                </c:pt>
              </c:strCache>
            </c:strRef>
          </c:cat>
          <c:val>
            <c:numRef>
              <c:f>[0]!Data_PHILIRIFIL</c:f>
              <c:numCache>
                <c:formatCode>0.00</c:formatCode>
                <c:ptCount val="6"/>
                <c:pt idx="0">
                  <c:v>30.219780219780219</c:v>
                </c:pt>
                <c:pt idx="1">
                  <c:v>23.278688524590162</c:v>
                </c:pt>
                <c:pt idx="2">
                  <c:v>35.222672064777328</c:v>
                </c:pt>
                <c:pt idx="3">
                  <c:v>42.081447963800905</c:v>
                </c:pt>
                <c:pt idx="4">
                  <c:v>30.434782608695656</c:v>
                </c:pt>
                <c:pt idx="5">
                  <c:v>77.018633540372676</c:v>
                </c:pt>
              </c:numCache>
            </c:numRef>
          </c:val>
          <c:extLst xmlns:c16r2="http://schemas.microsoft.com/office/drawing/2015/06/chart">
            <c:ext xmlns:c16="http://schemas.microsoft.com/office/drawing/2014/chart" uri="{C3380CC4-5D6E-409C-BE32-E72D297353CC}">
              <c16:uniqueId val="{00000000-8904-4450-A8F7-523CC3EDDBB5}"/>
            </c:ext>
          </c:extLst>
        </c:ser>
        <c:ser>
          <c:idx val="1"/>
          <c:order val="1"/>
          <c:tx>
            <c:v>13-8</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[0]!Level_PHILIRIFIL</c:f>
              <c:strCache>
                <c:ptCount val="6"/>
                <c:pt idx="0">
                  <c:v>Grade 7</c:v>
                </c:pt>
                <c:pt idx="1">
                  <c:v>Grade 8</c:v>
                </c:pt>
                <c:pt idx="2">
                  <c:v>Grade 9</c:v>
                </c:pt>
                <c:pt idx="3">
                  <c:v>Grade 10</c:v>
                </c:pt>
                <c:pt idx="4">
                  <c:v>Grade 11</c:v>
                </c:pt>
                <c:pt idx="5">
                  <c:v>Grade 12</c:v>
                </c:pt>
              </c:strCache>
            </c:strRef>
          </c:cat>
          <c:val>
            <c:numRef>
              <c:f>[0]!Data_PHILIRIFIL2</c:f>
              <c:numCache>
                <c:formatCode>0.00</c:formatCode>
                <c:ptCount val="6"/>
                <c:pt idx="0">
                  <c:v>52.197802197802204</c:v>
                </c:pt>
                <c:pt idx="1">
                  <c:v>64.918032786885249</c:v>
                </c:pt>
                <c:pt idx="2">
                  <c:v>64.372469635627525</c:v>
                </c:pt>
                <c:pt idx="3">
                  <c:v>52.036199095022631</c:v>
                </c:pt>
                <c:pt idx="4">
                  <c:v>49.75845410628019</c:v>
                </c:pt>
                <c:pt idx="5">
                  <c:v>13.043478260869565</c:v>
                </c:pt>
              </c:numCache>
            </c:numRef>
          </c:val>
          <c:extLst xmlns:c16r2="http://schemas.microsoft.com/office/drawing/2015/06/chart">
            <c:ext xmlns:c16="http://schemas.microsoft.com/office/drawing/2014/chart" uri="{C3380CC4-5D6E-409C-BE32-E72D297353CC}">
              <c16:uniqueId val="{00000001-8904-4450-A8F7-523CC3EDDBB5}"/>
            </c:ext>
          </c:extLst>
        </c:ser>
        <c:ser>
          <c:idx val="2"/>
          <c:order val="2"/>
          <c:tx>
            <c:v>7-0</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[0]!Level_PHILIRIFIL</c:f>
              <c:strCache>
                <c:ptCount val="6"/>
                <c:pt idx="0">
                  <c:v>Grade 7</c:v>
                </c:pt>
                <c:pt idx="1">
                  <c:v>Grade 8</c:v>
                </c:pt>
                <c:pt idx="2">
                  <c:v>Grade 9</c:v>
                </c:pt>
                <c:pt idx="3">
                  <c:v>Grade 10</c:v>
                </c:pt>
                <c:pt idx="4">
                  <c:v>Grade 11</c:v>
                </c:pt>
                <c:pt idx="5">
                  <c:v>Grade 12</c:v>
                </c:pt>
              </c:strCache>
            </c:strRef>
          </c:cat>
          <c:val>
            <c:numRef>
              <c:f>[0]!Data_PHILIRIFIL3</c:f>
              <c:numCache>
                <c:formatCode>0.00</c:formatCode>
                <c:ptCount val="6"/>
                <c:pt idx="0">
                  <c:v>17.582417582417584</c:v>
                </c:pt>
                <c:pt idx="1">
                  <c:v>11.803278688524591</c:v>
                </c:pt>
                <c:pt idx="2">
                  <c:v>0.40485829959514169</c:v>
                </c:pt>
                <c:pt idx="3">
                  <c:v>5.8823529411764701</c:v>
                </c:pt>
                <c:pt idx="4">
                  <c:v>19.806763285024154</c:v>
                </c:pt>
                <c:pt idx="5">
                  <c:v>9.9378881987577632</c:v>
                </c:pt>
              </c:numCache>
            </c:numRef>
          </c:val>
          <c:extLst xmlns:c16r2="http://schemas.microsoft.com/office/drawing/2015/06/chart">
            <c:ext xmlns:c16="http://schemas.microsoft.com/office/drawing/2014/chart" uri="{C3380CC4-5D6E-409C-BE32-E72D297353CC}">
              <c16:uniqueId val="{00000002-8904-4450-A8F7-523CC3EDDBB5}"/>
            </c:ext>
          </c:extLst>
        </c:ser>
        <c:dLbls>
          <c:dLblPos val="ctr"/>
          <c:showLegendKey val="0"/>
          <c:showVal val="1"/>
          <c:showCatName val="0"/>
          <c:showSerName val="0"/>
          <c:showPercent val="0"/>
          <c:showBubbleSize val="0"/>
        </c:dLbls>
        <c:gapWidth val="150"/>
        <c:overlap val="100"/>
        <c:axId val="269314280"/>
        <c:axId val="269315064"/>
      </c:barChart>
      <c:catAx>
        <c:axId val="2693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315064"/>
        <c:crosses val="autoZero"/>
        <c:auto val="1"/>
        <c:lblAlgn val="ctr"/>
        <c:lblOffset val="100"/>
        <c:noMultiLvlLbl val="0"/>
      </c:catAx>
      <c:valAx>
        <c:axId val="26931506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3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PH" sz="1100" b="1"/>
              <a:t>Status</a:t>
            </a:r>
            <a:r>
              <a:rPr lang="en-PH" sz="1100" b="1" baseline="0"/>
              <a:t> of Annual Implementation Plan</a:t>
            </a:r>
            <a:endParaRPr lang="en-PH" sz="1100" b="1"/>
          </a:p>
        </c:rich>
      </c:tx>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6DA8-42DB-9342-A28E265C2A8F}"/>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6DA8-42DB-9342-A28E265C2A8F}"/>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6DA8-42DB-9342-A28E265C2A8F}"/>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6DA8-42DB-9342-A28E265C2A8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Helper!$D$151:$G$151</c:f>
              <c:strCache>
                <c:ptCount val="4"/>
                <c:pt idx="0">
                  <c:v>Completed</c:v>
                </c:pt>
                <c:pt idx="1">
                  <c:v>Ongoing</c:v>
                </c:pt>
                <c:pt idx="2">
                  <c:v>Proposed</c:v>
                </c:pt>
                <c:pt idx="3">
                  <c:v>Cancelled</c:v>
                </c:pt>
              </c:strCache>
            </c:strRef>
          </c:cat>
          <c:val>
            <c:numRef>
              <c:f>Helper!$D$167:$G$167</c:f>
              <c:numCache>
                <c:formatCode>General</c:formatCode>
                <c:ptCount val="4"/>
                <c:pt idx="0">
                  <c:v>2</c:v>
                </c:pt>
                <c:pt idx="1">
                  <c:v>10</c:v>
                </c:pt>
                <c:pt idx="2">
                  <c:v>1</c:v>
                </c:pt>
                <c:pt idx="3">
                  <c:v>1</c:v>
                </c:pt>
              </c:numCache>
            </c:numRef>
          </c:val>
          <c:extLst xmlns:c16r2="http://schemas.microsoft.com/office/drawing/2015/06/chart">
            <c:ext xmlns:c16="http://schemas.microsoft.com/office/drawing/2014/chart" uri="{C3380CC4-5D6E-409C-BE32-E72D297353CC}">
              <c16:uniqueId val="{00000008-6DA8-42DB-9342-A28E265C2A8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107248518198877E-2"/>
          <c:y val="2.3119957439004243E-2"/>
          <c:w val="0.91468353440818728"/>
          <c:h val="0.85858831236181998"/>
        </c:manualLayout>
      </c:layout>
      <c:barChart>
        <c:barDir val="col"/>
        <c:grouping val="clustered"/>
        <c:varyColors val="1"/>
        <c:ser>
          <c:idx val="0"/>
          <c:order val="0"/>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[0]!Level_LM</c:f>
              <c:strCache>
                <c:ptCount val="6"/>
                <c:pt idx="0">
                  <c:v>Grade 7</c:v>
                </c:pt>
                <c:pt idx="1">
                  <c:v>Grade 8</c:v>
                </c:pt>
                <c:pt idx="2">
                  <c:v>Grade 9</c:v>
                </c:pt>
                <c:pt idx="3">
                  <c:v>Grade 10</c:v>
                </c:pt>
                <c:pt idx="4">
                  <c:v>Grade 11</c:v>
                </c:pt>
                <c:pt idx="5">
                  <c:v>Grade 12</c:v>
                </c:pt>
              </c:strCache>
            </c:strRef>
          </c:cat>
          <c:val>
            <c:numRef>
              <c:f>[0]!Data_LM</c:f>
              <c:numCache>
                <c:formatCode>0.00%</c:formatCode>
                <c:ptCount val="6"/>
                <c:pt idx="0">
                  <c:v>0.78571428571428559</c:v>
                </c:pt>
                <c:pt idx="1">
                  <c:v>0.48451730418943545</c:v>
                </c:pt>
                <c:pt idx="2">
                  <c:v>0.88708951866846608</c:v>
                </c:pt>
                <c:pt idx="3">
                  <c:v>0.60030165912518862</c:v>
                </c:pt>
                <c:pt idx="4">
                  <c:v>0.19645732689210949</c:v>
                </c:pt>
                <c:pt idx="5">
                  <c:v>0.13112491373360938</c:v>
                </c:pt>
              </c:numCache>
            </c:numRef>
          </c:val>
          <c:extLst xmlns:c16r2="http://schemas.microsoft.com/office/drawing/2015/06/chart">
            <c:ext xmlns:c16="http://schemas.microsoft.com/office/drawing/2014/chart" uri="{C3380CC4-5D6E-409C-BE32-E72D297353CC}">
              <c16:uniqueId val="{00000000-ABB4-4203-981D-0089C5F289C6}"/>
            </c:ext>
            <c:ext xmlns:c15="http://schemas.microsoft.com/office/drawing/2012/chart" uri="{02D57815-91ED-43cb-92C2-25804820EDAC}">
              <c15:filteredSeriesTitle>
                <c15:tx>
                  <c:v>Data_LM</c:v>
                </c15:tx>
              </c15:filteredSeriesTitle>
            </c:ext>
          </c:extLst>
        </c:ser>
        <c:dLbls>
          <c:dLblPos val="outEnd"/>
          <c:showLegendKey val="0"/>
          <c:showVal val="1"/>
          <c:showCatName val="0"/>
          <c:showSerName val="0"/>
          <c:showPercent val="0"/>
          <c:showBubbleSize val="0"/>
        </c:dLbls>
        <c:gapWidth val="50"/>
        <c:overlap val="-24"/>
        <c:axId val="269317416"/>
        <c:axId val="269319768"/>
      </c:barChart>
      <c:catAx>
        <c:axId val="269317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9319768"/>
        <c:crosses val="autoZero"/>
        <c:auto val="1"/>
        <c:lblAlgn val="ctr"/>
        <c:lblOffset val="100"/>
        <c:noMultiLvlLbl val="0"/>
      </c:catAx>
      <c:valAx>
        <c:axId val="269319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9317416"/>
        <c:crosses val="autoZero"/>
        <c:crossBetween val="between"/>
      </c:valAx>
      <c:spPr>
        <a:noFill/>
        <a:ln>
          <a:noFill/>
        </a:ln>
        <a:effectLst/>
      </c:spPr>
    </c:plotArea>
    <c:plotVisOnly val="0"/>
    <c:dispBlanksAs val="gap"/>
    <c:showDLblsOverMax val="0"/>
  </c:chart>
  <c:spPr>
    <a:pattFill prst="ltDnDiag">
      <a:fgClr>
        <a:schemeClr val="accent2">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 of Teachers based on Highest Educational</a:t>
            </a:r>
            <a:r>
              <a:rPr lang="en-US" b="1" baseline="0"/>
              <a:t> Attainment</a:t>
            </a:r>
            <a:endParaRPr lang="en-US" b="1"/>
          </a:p>
        </c:rich>
      </c:tx>
      <c:overlay val="0"/>
      <c:spPr>
        <a:noFill/>
        <a:ln>
          <a:noFill/>
        </a:ln>
        <a:effectLst/>
      </c:spPr>
    </c:title>
    <c:autoTitleDeleted val="0"/>
    <c:plotArea>
      <c:layout/>
      <c:pieChart>
        <c:varyColors val="1"/>
        <c:ser>
          <c:idx val="0"/>
          <c:order val="0"/>
          <c:dPt>
            <c:idx val="0"/>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1-15D0-4574-A7AE-D9DBC6739335}"/>
              </c:ext>
            </c:extLst>
          </c:dPt>
          <c:dPt>
            <c:idx val="1"/>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3-15D0-4574-A7AE-D9DBC6739335}"/>
              </c:ext>
            </c:extLst>
          </c:dPt>
          <c:dPt>
            <c:idx val="2"/>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5-15D0-4574-A7AE-D9DBC6739335}"/>
              </c:ext>
            </c:extLst>
          </c:dPt>
          <c:dPt>
            <c:idx val="3"/>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15D0-4574-A7AE-D9DBC6739335}"/>
              </c:ext>
            </c:extLst>
          </c:dPt>
          <c:dPt>
            <c:idx val="4"/>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5D0-4574-A7AE-D9DBC673933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Helper!$A$37:$A$41</c:f>
              <c:strCache>
                <c:ptCount val="5"/>
                <c:pt idx="0">
                  <c:v>Bachelor's Degree</c:v>
                </c:pt>
                <c:pt idx="1">
                  <c:v>Master's Degree (Units)</c:v>
                </c:pt>
                <c:pt idx="2">
                  <c:v>Master's Degree</c:v>
                </c:pt>
                <c:pt idx="3">
                  <c:v>Doctorate Degree (Units)</c:v>
                </c:pt>
                <c:pt idx="4">
                  <c:v>Doctorate Degree</c:v>
                </c:pt>
              </c:strCache>
            </c:strRef>
          </c:cat>
          <c:val>
            <c:numRef>
              <c:f>Helper!$B$37:$B$41</c:f>
              <c:numCache>
                <c:formatCode>General</c:formatCode>
                <c:ptCount val="5"/>
                <c:pt idx="0">
                  <c:v>20</c:v>
                </c:pt>
                <c:pt idx="1">
                  <c:v>34</c:v>
                </c:pt>
                <c:pt idx="2">
                  <c:v>1</c:v>
                </c:pt>
                <c:pt idx="3">
                  <c:v>2</c:v>
                </c:pt>
                <c:pt idx="4">
                  <c:v>0</c:v>
                </c:pt>
              </c:numCache>
            </c:numRef>
          </c:val>
          <c:extLst xmlns:c16r2="http://schemas.microsoft.com/office/drawing/2015/06/chart">
            <c:ext xmlns:c16="http://schemas.microsoft.com/office/drawing/2014/chart" uri="{C3380CC4-5D6E-409C-BE32-E72D297353CC}">
              <c16:uniqueId val="{0000000A-15D0-4574-A7AE-D9DBC673933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6"/>
          <c:order val="0"/>
          <c:tx>
            <c:strRef>
              <c:f>Helper!$B$51</c:f>
              <c:strCache>
                <c:ptCount val="1"/>
                <c:pt idx="0">
                  <c:v>Domestic- Related Factors</c:v>
                </c:pt>
              </c:strCache>
              <c:extLst xmlns:c15="http://schemas.microsoft.com/office/drawing/2012/chart" xmlns:c16r2="http://schemas.microsoft.com/office/drawing/2015/06/chart"/>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Narrow" panose="020B0606020202030204" pitchFamily="34" charset="0"/>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extLst xmlns:c15="http://schemas.microsoft.com/office/drawing/2012/chart" xmlns:c16r2="http://schemas.microsoft.com/office/drawing/2015/06/chart"/>
            </c:strRef>
          </c:cat>
          <c:val>
            <c:numRef>
              <c:f>Helper!$B$52:$B$54</c:f>
              <c:numCache>
                <c:formatCode>General</c:formatCode>
                <c:ptCount val="3"/>
                <c:pt idx="0">
                  <c:v>0</c:v>
                </c:pt>
                <c:pt idx="1">
                  <c:v>0</c:v>
                </c:pt>
                <c:pt idx="2">
                  <c:v>0</c:v>
                </c:pt>
              </c:numCache>
              <c:extLst xmlns:c15="http://schemas.microsoft.com/office/drawing/2012/chart" xmlns:c16r2="http://schemas.microsoft.com/office/drawing/2015/06/chart"/>
            </c:numRef>
          </c:val>
          <c:extLst xmlns:c15="http://schemas.microsoft.com/office/drawing/2012/chart" xmlns:c16r2="http://schemas.microsoft.com/office/drawing/2015/06/chart">
            <c:ext xmlns:c16="http://schemas.microsoft.com/office/drawing/2014/chart" uri="{C3380CC4-5D6E-409C-BE32-E72D297353CC}">
              <c16:uniqueId val="{00000000-D6EE-4E0F-AE5B-C3B3C6E7059A}"/>
            </c:ext>
          </c:extLst>
        </c:ser>
        <c:ser>
          <c:idx val="0"/>
          <c:order val="1"/>
          <c:tx>
            <c:strRef>
              <c:f>Helper!$C$51</c:f>
              <c:strCache>
                <c:ptCount val="1"/>
                <c:pt idx="0">
                  <c:v>Individual- Related Factors</c:v>
                </c:pt>
              </c:strCache>
              <c:extLst xmlns:c15="http://schemas.microsoft.com/office/drawing/2012/chart" xmlns:c16r2="http://schemas.microsoft.com/office/drawing/2015/06/chart"/>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5="http://schemas.microsoft.com/office/drawing/2012/char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extLst xmlns:c15="http://schemas.microsoft.com/office/drawing/2012/chart" xmlns:c16r2="http://schemas.microsoft.com/office/drawing/2015/06/chart"/>
            </c:strRef>
          </c:cat>
          <c:val>
            <c:numRef>
              <c:f>Helper!$C$52:$C$54</c:f>
              <c:numCache>
                <c:formatCode>General</c:formatCode>
                <c:ptCount val="3"/>
                <c:pt idx="0">
                  <c:v>0</c:v>
                </c:pt>
                <c:pt idx="1">
                  <c:v>0</c:v>
                </c:pt>
                <c:pt idx="2">
                  <c:v>1</c:v>
                </c:pt>
              </c:numCache>
              <c:extLst xmlns:c15="http://schemas.microsoft.com/office/drawing/2012/chart" xmlns:c16r2="http://schemas.microsoft.com/office/drawing/2015/06/chart"/>
            </c:numRef>
          </c:val>
          <c:extLst xmlns:c15="http://schemas.microsoft.com/office/drawing/2012/chart" xmlns:c16r2="http://schemas.microsoft.com/office/drawing/2015/06/chart">
            <c:ext xmlns:c16="http://schemas.microsoft.com/office/drawing/2014/chart" uri="{C3380CC4-5D6E-409C-BE32-E72D297353CC}">
              <c16:uniqueId val="{00000001-D6EE-4E0F-AE5B-C3B3C6E7059A}"/>
            </c:ext>
          </c:extLst>
        </c:ser>
        <c:ser>
          <c:idx val="1"/>
          <c:order val="2"/>
          <c:tx>
            <c:strRef>
              <c:f>Helper!$D$51</c:f>
              <c:strCache>
                <c:ptCount val="1"/>
                <c:pt idx="0">
                  <c:v>School- Related Factors</c:v>
                </c:pt>
              </c:strCache>
              <c:extLst xmlns:c15="http://schemas.microsoft.com/office/drawing/2012/chart" xmlns:c16r2="http://schemas.microsoft.com/office/drawing/2015/06/chart"/>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5="http://schemas.microsoft.com/office/drawing/2012/char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extLst xmlns:c15="http://schemas.microsoft.com/office/drawing/2012/chart" xmlns:c16r2="http://schemas.microsoft.com/office/drawing/2015/06/chart"/>
            </c:strRef>
          </c:cat>
          <c:val>
            <c:numRef>
              <c:f>Helper!$D$52:$D$54</c:f>
              <c:numCache>
                <c:formatCode>General</c:formatCode>
                <c:ptCount val="3"/>
                <c:pt idx="0">
                  <c:v>0</c:v>
                </c:pt>
                <c:pt idx="1">
                  <c:v>0</c:v>
                </c:pt>
                <c:pt idx="2">
                  <c:v>0</c:v>
                </c:pt>
              </c:numCache>
              <c:extLst xmlns:c15="http://schemas.microsoft.com/office/drawing/2012/chart" xmlns:c16r2="http://schemas.microsoft.com/office/drawing/2015/06/chart"/>
            </c:numRef>
          </c:val>
          <c:extLst xmlns:c15="http://schemas.microsoft.com/office/drawing/2012/chart" xmlns:c16r2="http://schemas.microsoft.com/office/drawing/2015/06/chart">
            <c:ext xmlns:c16="http://schemas.microsoft.com/office/drawing/2014/chart" uri="{C3380CC4-5D6E-409C-BE32-E72D297353CC}">
              <c16:uniqueId val="{00000002-D6EE-4E0F-AE5B-C3B3C6E7059A}"/>
            </c:ext>
          </c:extLst>
        </c:ser>
        <c:ser>
          <c:idx val="2"/>
          <c:order val="3"/>
          <c:tx>
            <c:strRef>
              <c:f>Helper!$E$51</c:f>
              <c:strCache>
                <c:ptCount val="1"/>
                <c:pt idx="0">
                  <c:v>Geographic/ Environmental Factors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Helper!$E$52:$E$54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D6EE-4E0F-AE5B-C3B3C6E7059A}"/>
            </c:ext>
          </c:extLst>
        </c:ser>
        <c:ser>
          <c:idx val="3"/>
          <c:order val="4"/>
          <c:tx>
            <c:strRef>
              <c:f>Helper!$F$51</c:f>
              <c:strCache>
                <c:ptCount val="1"/>
                <c:pt idx="0">
                  <c:v>Financial- Related Factors</c:v>
                </c:pt>
              </c:strCache>
              <c:extLst xmlns:c15="http://schemas.microsoft.com/office/drawing/2012/chart" xmlns:c16r2="http://schemas.microsoft.com/office/drawing/2015/06/chart"/>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5="http://schemas.microsoft.com/office/drawing/2012/char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extLst xmlns:c15="http://schemas.microsoft.com/office/drawing/2012/chart" xmlns:c16r2="http://schemas.microsoft.com/office/drawing/2015/06/chart"/>
            </c:strRef>
          </c:cat>
          <c:val>
            <c:numRef>
              <c:f>Helper!$F$52:$F$54</c:f>
              <c:numCache>
                <c:formatCode>General</c:formatCode>
                <c:ptCount val="3"/>
                <c:pt idx="0">
                  <c:v>0</c:v>
                </c:pt>
                <c:pt idx="1">
                  <c:v>0</c:v>
                </c:pt>
                <c:pt idx="2">
                  <c:v>0</c:v>
                </c:pt>
              </c:numCache>
              <c:extLst xmlns:c15="http://schemas.microsoft.com/office/drawing/2012/chart" xmlns:c16r2="http://schemas.microsoft.com/office/drawing/2015/06/chart"/>
            </c:numRef>
          </c:val>
          <c:extLst xmlns:c15="http://schemas.microsoft.com/office/drawing/2012/chart" xmlns:c16r2="http://schemas.microsoft.com/office/drawing/2015/06/chart">
            <c:ext xmlns:c16="http://schemas.microsoft.com/office/drawing/2014/chart" uri="{C3380CC4-5D6E-409C-BE32-E72D297353CC}">
              <c16:uniqueId val="{00000004-D6EE-4E0F-AE5B-C3B3C6E7059A}"/>
            </c:ext>
          </c:extLst>
        </c:ser>
        <c:ser>
          <c:idx val="4"/>
          <c:order val="5"/>
          <c:tx>
            <c:strRef>
              <c:f>Helper!$G$51</c:f>
              <c:strCache>
                <c:ptCount val="1"/>
                <c:pt idx="0">
                  <c:v>No Longer in School (NLS)</c:v>
                </c:pt>
              </c:strCache>
              <c:extLst xmlns:c15="http://schemas.microsoft.com/office/drawing/2012/chart" xmlns:c16r2="http://schemas.microsoft.com/office/drawing/2015/06/chart"/>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5="http://schemas.microsoft.com/office/drawing/2012/char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extLst xmlns:c15="http://schemas.microsoft.com/office/drawing/2012/chart" xmlns:c16r2="http://schemas.microsoft.com/office/drawing/2015/06/chart"/>
            </c:strRef>
          </c:cat>
          <c:val>
            <c:numRef>
              <c:f>Helper!$G$52:$G$54</c:f>
              <c:numCache>
                <c:formatCode>General</c:formatCode>
                <c:ptCount val="3"/>
                <c:pt idx="0">
                  <c:v>0</c:v>
                </c:pt>
                <c:pt idx="1">
                  <c:v>0</c:v>
                </c:pt>
                <c:pt idx="2">
                  <c:v>0</c:v>
                </c:pt>
              </c:numCache>
              <c:extLst xmlns:c15="http://schemas.microsoft.com/office/drawing/2012/chart" xmlns:c16r2="http://schemas.microsoft.com/office/drawing/2015/06/chart"/>
            </c:numRef>
          </c:val>
          <c:extLst xmlns:c15="http://schemas.microsoft.com/office/drawing/2012/chart" xmlns:c16r2="http://schemas.microsoft.com/office/drawing/2015/06/chart">
            <c:ext xmlns:c16="http://schemas.microsoft.com/office/drawing/2014/chart" uri="{C3380CC4-5D6E-409C-BE32-E72D297353CC}">
              <c16:uniqueId val="{00000005-D6EE-4E0F-AE5B-C3B3C6E7059A}"/>
            </c:ext>
          </c:extLst>
        </c:ser>
        <c:dLbls>
          <c:showLegendKey val="0"/>
          <c:showVal val="1"/>
          <c:showCatName val="0"/>
          <c:showSerName val="0"/>
          <c:showPercent val="0"/>
          <c:showBubbleSize val="0"/>
        </c:dLbls>
        <c:gapWidth val="50"/>
        <c:overlap val="100"/>
        <c:axId val="265469192"/>
        <c:axId val="265467624"/>
        <c:extLst xmlns:c16r2="http://schemas.microsoft.com/office/drawing/2015/06/chart">
          <c:ext xmlns:c15="http://schemas.microsoft.com/office/drawing/2012/chart" uri="{02D57815-91ED-43cb-92C2-25804820EDAC}">
            <c15:filteredBarSeries>
              <c15:ser>
                <c:idx val="5"/>
                <c:order val="6"/>
                <c:tx>
                  <c:strRef>
                    <c:extLst xmlns:c16r2="http://schemas.microsoft.com/office/drawing/2015/06/chart">
                      <c:ext uri="{02D57815-91ED-43cb-92C2-25804820EDAC}">
                        <c15:formulaRef>
                          <c15:sqref>Helper!$H$51</c15:sqref>
                        </c15:formulaRef>
                      </c:ext>
                    </c:extLst>
                    <c:strCache>
                      <c:ptCount val="1"/>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6r2="http://schemas.microsoft.com/office/drawing/2015/06/chart">
                      <c:ext uri="{02D57815-91ED-43cb-92C2-25804820EDAC}">
                        <c15:formulaRef>
                          <c15:sqref>Helper!$A$52:$A$54</c15:sqref>
                        </c15:formulaRef>
                      </c:ext>
                    </c:extLst>
                    <c:strCache>
                      <c:ptCount val="3"/>
                      <c:pt idx="0">
                        <c:v>2016-2017</c:v>
                      </c:pt>
                      <c:pt idx="1">
                        <c:v>2017-2018</c:v>
                      </c:pt>
                      <c:pt idx="2">
                        <c:v>2018-2019</c:v>
                      </c:pt>
                    </c:strCache>
                  </c:strRef>
                </c:cat>
                <c:val>
                  <c:numRef>
                    <c:extLst xmlns:c16r2="http://schemas.microsoft.com/office/drawing/2015/06/chart">
                      <c:ext uri="{02D57815-91ED-43cb-92C2-25804820EDAC}">
                        <c15:formulaRef>
                          <c15:sqref>Helper!$H$52:$H$54</c15:sqref>
                        </c15:formulaRef>
                      </c:ext>
                    </c:extLst>
                    <c:numCache>
                      <c:formatCode>General</c:formatCode>
                      <c:ptCount val="3"/>
                    </c:numCache>
                  </c:numRef>
                </c:val>
                <c:extLst xmlns:c16r2="http://schemas.microsoft.com/office/drawing/2015/06/chart">
                  <c:ext xmlns:c16="http://schemas.microsoft.com/office/drawing/2014/chart" uri="{C3380CC4-5D6E-409C-BE32-E72D297353CC}">
                    <c16:uniqueId val="{00000006-D6EE-4E0F-AE5B-C3B3C6E7059A}"/>
                  </c:ext>
                </c:extLst>
              </c15:ser>
            </c15:filteredBarSeries>
          </c:ext>
        </c:extLst>
      </c:barChart>
      <c:catAx>
        <c:axId val="265469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5467624"/>
        <c:crosses val="autoZero"/>
        <c:auto val="1"/>
        <c:lblAlgn val="ctr"/>
        <c:lblOffset val="100"/>
        <c:noMultiLvlLbl val="0"/>
      </c:catAx>
      <c:valAx>
        <c:axId val="265467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5469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Enrollment by Sex</a:t>
            </a:r>
          </a:p>
        </c:rich>
      </c:tx>
      <c:overlay val="0"/>
      <c:spPr>
        <a:noFill/>
        <a:ln>
          <a:noFill/>
        </a:ln>
        <a:effectLst/>
      </c:spPr>
    </c:title>
    <c:autoTitleDeleted val="0"/>
    <c:plotArea>
      <c:layout/>
      <c:barChart>
        <c:barDir val="col"/>
        <c:grouping val="clustered"/>
        <c:varyColors val="0"/>
        <c:ser>
          <c:idx val="0"/>
          <c:order val="0"/>
          <c:tx>
            <c:strRef>
              <c:f>Helper!$B$2</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Helper!$A$3:$A$5</c:f>
              <c:strCache>
                <c:ptCount val="3"/>
                <c:pt idx="0">
                  <c:v>SY 2016-2017</c:v>
                </c:pt>
                <c:pt idx="1">
                  <c:v>SY 2017-2018</c:v>
                </c:pt>
                <c:pt idx="2">
                  <c:v>SY 2018-2019</c:v>
                </c:pt>
              </c:strCache>
            </c:strRef>
          </c:cat>
          <c:val>
            <c:numRef>
              <c:f>Helper!$B$3:$B$5</c:f>
              <c:numCache>
                <c:formatCode>General</c:formatCode>
                <c:ptCount val="3"/>
                <c:pt idx="0">
                  <c:v>671</c:v>
                </c:pt>
                <c:pt idx="1">
                  <c:v>741</c:v>
                </c:pt>
                <c:pt idx="2">
                  <c:v>772</c:v>
                </c:pt>
              </c:numCache>
            </c:numRef>
          </c:val>
          <c:extLst xmlns:c16r2="http://schemas.microsoft.com/office/drawing/2015/06/chart">
            <c:ext xmlns:c16="http://schemas.microsoft.com/office/drawing/2014/chart" uri="{C3380CC4-5D6E-409C-BE32-E72D297353CC}">
              <c16:uniqueId val="{00000000-4BF0-43D4-ABB7-9B196D5A355A}"/>
            </c:ext>
          </c:extLst>
        </c:ser>
        <c:ser>
          <c:idx val="1"/>
          <c:order val="1"/>
          <c:tx>
            <c:strRef>
              <c:f>Helper!$C$2</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Helper!$A$3:$A$5</c:f>
              <c:strCache>
                <c:ptCount val="3"/>
                <c:pt idx="0">
                  <c:v>SY 2016-2017</c:v>
                </c:pt>
                <c:pt idx="1">
                  <c:v>SY 2017-2018</c:v>
                </c:pt>
                <c:pt idx="2">
                  <c:v>SY 2018-2019</c:v>
                </c:pt>
              </c:strCache>
            </c:strRef>
          </c:cat>
          <c:val>
            <c:numRef>
              <c:f>Helper!$C$3:$C$5</c:f>
              <c:numCache>
                <c:formatCode>General</c:formatCode>
                <c:ptCount val="3"/>
                <c:pt idx="0">
                  <c:v>619</c:v>
                </c:pt>
                <c:pt idx="1">
                  <c:v>677</c:v>
                </c:pt>
                <c:pt idx="2">
                  <c:v>733</c:v>
                </c:pt>
              </c:numCache>
            </c:numRef>
          </c:val>
          <c:extLst xmlns:c16r2="http://schemas.microsoft.com/office/drawing/2015/06/chart">
            <c:ext xmlns:c16="http://schemas.microsoft.com/office/drawing/2014/chart" uri="{C3380CC4-5D6E-409C-BE32-E72D297353CC}">
              <c16:uniqueId val="{00000001-4BF0-43D4-ABB7-9B196D5A355A}"/>
            </c:ext>
          </c:extLst>
        </c:ser>
        <c:dLbls>
          <c:dLblPos val="ctr"/>
          <c:showLegendKey val="0"/>
          <c:showVal val="1"/>
          <c:showCatName val="0"/>
          <c:showSerName val="0"/>
          <c:showPercent val="0"/>
          <c:showBubbleSize val="0"/>
        </c:dLbls>
        <c:gapWidth val="80"/>
        <c:axId val="269320944"/>
        <c:axId val="269321336"/>
      </c:barChart>
      <c:catAx>
        <c:axId val="26932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9321336"/>
        <c:crosses val="autoZero"/>
        <c:auto val="1"/>
        <c:lblAlgn val="ctr"/>
        <c:lblOffset val="100"/>
        <c:noMultiLvlLbl val="0"/>
      </c:catAx>
      <c:valAx>
        <c:axId val="269321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320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ltUpDiag">
      <a:fgClr>
        <a:schemeClr val="accent4">
          <a:lumMod val="40000"/>
          <a:lumOff val="6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arrow" panose="020B0606020202030204" pitchFamily="34" charset="0"/>
                <a:ea typeface="+mn-ea"/>
                <a:cs typeface="+mn-cs"/>
              </a:defRPr>
            </a:pPr>
            <a:r>
              <a:rPr lang="en-US" sz="1100" b="1">
                <a:latin typeface="Arial Narrow" panose="020B0606020202030204" pitchFamily="34" charset="0"/>
              </a:rPr>
              <a:t>Number of learners by health status (BMI), Current School Year</a:t>
            </a:r>
          </a:p>
        </c:rich>
      </c:tx>
      <c:overlay val="0"/>
      <c:spPr>
        <a:noFill/>
        <a:ln>
          <a:noFill/>
        </a:ln>
        <a:effectLst/>
      </c:spPr>
    </c:title>
    <c:autoTitleDeleted val="0"/>
    <c:plotArea>
      <c:layout/>
      <c:barChart>
        <c:barDir val="bar"/>
        <c:grouping val="clustered"/>
        <c:varyColors val="0"/>
        <c:ser>
          <c:idx val="1"/>
          <c:order val="0"/>
          <c:tx>
            <c:strRef>
              <c:f>Helper!$C$8</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Helper!$A$9:$A$13</c:f>
              <c:strCache>
                <c:ptCount val="5"/>
                <c:pt idx="0">
                  <c:v>Severely Wasted</c:v>
                </c:pt>
                <c:pt idx="1">
                  <c:v>Wasted</c:v>
                </c:pt>
                <c:pt idx="2">
                  <c:v>Normal</c:v>
                </c:pt>
                <c:pt idx="3">
                  <c:v>Overweight</c:v>
                </c:pt>
                <c:pt idx="4">
                  <c:v>Obese</c:v>
                </c:pt>
              </c:strCache>
            </c:strRef>
          </c:cat>
          <c:val>
            <c:numRef>
              <c:f>Helper!$C$9:$C$13</c:f>
              <c:numCache>
                <c:formatCode>General</c:formatCode>
                <c:ptCount val="5"/>
                <c:pt idx="0">
                  <c:v>2</c:v>
                </c:pt>
                <c:pt idx="1">
                  <c:v>43</c:v>
                </c:pt>
                <c:pt idx="2">
                  <c:v>675</c:v>
                </c:pt>
                <c:pt idx="3">
                  <c:v>12</c:v>
                </c:pt>
                <c:pt idx="4">
                  <c:v>1</c:v>
                </c:pt>
              </c:numCache>
            </c:numRef>
          </c:val>
          <c:extLst xmlns:c16r2="http://schemas.microsoft.com/office/drawing/2015/06/chart">
            <c:ext xmlns:c16="http://schemas.microsoft.com/office/drawing/2014/chart" uri="{C3380CC4-5D6E-409C-BE32-E72D297353CC}">
              <c16:uniqueId val="{00000001-A7C3-4AC7-A1E7-3168ED4C6403}"/>
            </c:ext>
          </c:extLst>
        </c:ser>
        <c:ser>
          <c:idx val="0"/>
          <c:order val="1"/>
          <c:tx>
            <c:strRef>
              <c:f>Helper!$B$8</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Helper!$A$9:$A$13</c:f>
              <c:strCache>
                <c:ptCount val="5"/>
                <c:pt idx="0">
                  <c:v>Severely Wasted</c:v>
                </c:pt>
                <c:pt idx="1">
                  <c:v>Wasted</c:v>
                </c:pt>
                <c:pt idx="2">
                  <c:v>Normal</c:v>
                </c:pt>
                <c:pt idx="3">
                  <c:v>Overweight</c:v>
                </c:pt>
                <c:pt idx="4">
                  <c:v>Obese</c:v>
                </c:pt>
              </c:strCache>
            </c:strRef>
          </c:cat>
          <c:val>
            <c:numRef>
              <c:f>Helper!$B$9:$B$13</c:f>
              <c:numCache>
                <c:formatCode>General</c:formatCode>
                <c:ptCount val="5"/>
                <c:pt idx="0">
                  <c:v>17</c:v>
                </c:pt>
                <c:pt idx="1">
                  <c:v>83</c:v>
                </c:pt>
                <c:pt idx="2">
                  <c:v>658</c:v>
                </c:pt>
                <c:pt idx="3">
                  <c:v>13</c:v>
                </c:pt>
                <c:pt idx="4">
                  <c:v>1</c:v>
                </c:pt>
              </c:numCache>
            </c:numRef>
          </c:val>
          <c:extLst xmlns:c16r2="http://schemas.microsoft.com/office/drawing/2015/06/chart">
            <c:ext xmlns:c16="http://schemas.microsoft.com/office/drawing/2014/chart" uri="{C3380CC4-5D6E-409C-BE32-E72D297353CC}">
              <c16:uniqueId val="{00000000-A7C3-4AC7-A1E7-3168ED4C6403}"/>
            </c:ext>
          </c:extLst>
        </c:ser>
        <c:dLbls>
          <c:showLegendKey val="0"/>
          <c:showVal val="1"/>
          <c:showCatName val="0"/>
          <c:showSerName val="0"/>
          <c:showPercent val="0"/>
          <c:showBubbleSize val="0"/>
        </c:dLbls>
        <c:gapWidth val="30"/>
        <c:axId val="269321728"/>
        <c:axId val="269326040"/>
      </c:barChart>
      <c:catAx>
        <c:axId val="269321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9326040"/>
        <c:crosses val="autoZero"/>
        <c:auto val="1"/>
        <c:lblAlgn val="ctr"/>
        <c:lblOffset val="100"/>
        <c:noMultiLvlLbl val="0"/>
      </c:catAx>
      <c:valAx>
        <c:axId val="269326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32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pattFill prst="ltDnDiag">
      <a:fgClr>
        <a:schemeClr val="accent6">
          <a:lumMod val="40000"/>
          <a:lumOff val="60000"/>
        </a:schemeClr>
      </a:fgClr>
      <a:bgClr>
        <a:schemeClr val="bg1">
          <a:lumMod val="95000"/>
        </a:schemeClr>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arrow" panose="020B0606020202030204" pitchFamily="34" charset="0"/>
                <a:ea typeface="+mn-ea"/>
                <a:cs typeface="+mn-cs"/>
              </a:defRPr>
            </a:pPr>
            <a:r>
              <a:rPr lang="en-US" sz="1050" b="1">
                <a:latin typeface="Arial Narrow" panose="020B0606020202030204" pitchFamily="34" charset="0"/>
              </a:rPr>
              <a:t>Number of learners by health status (HFA), Current School Year</a:t>
            </a:r>
          </a:p>
        </c:rich>
      </c:tx>
      <c:overlay val="0"/>
      <c:spPr>
        <a:noFill/>
        <a:ln>
          <a:noFill/>
        </a:ln>
        <a:effectLst/>
      </c:spPr>
    </c:title>
    <c:autoTitleDeleted val="0"/>
    <c:plotArea>
      <c:layout/>
      <c:barChart>
        <c:barDir val="bar"/>
        <c:grouping val="clustered"/>
        <c:varyColors val="0"/>
        <c:ser>
          <c:idx val="0"/>
          <c:order val="0"/>
          <c:tx>
            <c:strRef>
              <c:f>Helper!$BC$8</c:f>
              <c:strCache>
                <c:ptCount val="1"/>
                <c:pt idx="0">
                  <c:v>Female</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Helper!$BA$9:$BA$12</c:f>
              <c:strCache>
                <c:ptCount val="4"/>
                <c:pt idx="0">
                  <c:v>Severely Stunted</c:v>
                </c:pt>
                <c:pt idx="1">
                  <c:v>Stunted</c:v>
                </c:pt>
                <c:pt idx="2">
                  <c:v>Normal</c:v>
                </c:pt>
                <c:pt idx="3">
                  <c:v>Tall</c:v>
                </c:pt>
              </c:strCache>
            </c:strRef>
          </c:cat>
          <c:val>
            <c:numRef>
              <c:f>Helper!$BC$9:$BC$12</c:f>
              <c:numCache>
                <c:formatCode>General</c:formatCode>
                <c:ptCount val="4"/>
                <c:pt idx="0">
                  <c:v>21</c:v>
                </c:pt>
                <c:pt idx="1">
                  <c:v>187</c:v>
                </c:pt>
                <c:pt idx="2">
                  <c:v>525</c:v>
                </c:pt>
                <c:pt idx="3">
                  <c:v>1</c:v>
                </c:pt>
              </c:numCache>
            </c:numRef>
          </c:val>
          <c:extLst xmlns:c16r2="http://schemas.microsoft.com/office/drawing/2015/06/chart">
            <c:ext xmlns:c16="http://schemas.microsoft.com/office/drawing/2014/chart" uri="{C3380CC4-5D6E-409C-BE32-E72D297353CC}">
              <c16:uniqueId val="{00000001-1D6F-4C02-BDEA-F88168AA802A}"/>
            </c:ext>
          </c:extLst>
        </c:ser>
        <c:ser>
          <c:idx val="1"/>
          <c:order val="1"/>
          <c:tx>
            <c:strRef>
              <c:f>Helper!$BB$8</c:f>
              <c:strCache>
                <c:ptCount val="1"/>
                <c:pt idx="0">
                  <c:v>Male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Helper!$BA$9:$BA$12</c:f>
              <c:strCache>
                <c:ptCount val="4"/>
                <c:pt idx="0">
                  <c:v>Severely Stunted</c:v>
                </c:pt>
                <c:pt idx="1">
                  <c:v>Stunted</c:v>
                </c:pt>
                <c:pt idx="2">
                  <c:v>Normal</c:v>
                </c:pt>
                <c:pt idx="3">
                  <c:v>Tall</c:v>
                </c:pt>
              </c:strCache>
            </c:strRef>
          </c:cat>
          <c:val>
            <c:numRef>
              <c:f>Helper!$BB$9:$BB$12</c:f>
              <c:numCache>
                <c:formatCode>General</c:formatCode>
                <c:ptCount val="4"/>
                <c:pt idx="0">
                  <c:v>27</c:v>
                </c:pt>
                <c:pt idx="1">
                  <c:v>127</c:v>
                </c:pt>
                <c:pt idx="2">
                  <c:v>616</c:v>
                </c:pt>
                <c:pt idx="3">
                  <c:v>1</c:v>
                </c:pt>
              </c:numCache>
            </c:numRef>
          </c:val>
          <c:extLst xmlns:c16r2="http://schemas.microsoft.com/office/drawing/2015/06/chart">
            <c:ext xmlns:c16="http://schemas.microsoft.com/office/drawing/2014/chart" uri="{C3380CC4-5D6E-409C-BE32-E72D297353CC}">
              <c16:uniqueId val="{00000000-1D6F-4C02-BDEA-F88168AA802A}"/>
            </c:ext>
          </c:extLst>
        </c:ser>
        <c:dLbls>
          <c:showLegendKey val="0"/>
          <c:showVal val="1"/>
          <c:showCatName val="0"/>
          <c:showSerName val="0"/>
          <c:showPercent val="0"/>
          <c:showBubbleSize val="0"/>
        </c:dLbls>
        <c:gapWidth val="30"/>
        <c:axId val="269322904"/>
        <c:axId val="269323688"/>
        <c:extLst xmlns:c16r2="http://schemas.microsoft.com/office/drawing/2015/06/chart">
          <c:ext xmlns:c15="http://schemas.microsoft.com/office/drawing/2012/chart" uri="{02D57815-91ED-43cb-92C2-25804820EDAC}">
            <c15:filteredBarSeries>
              <c15:ser>
                <c:idx val="2"/>
                <c:order val="2"/>
                <c:tx>
                  <c:strRef>
                    <c:extLst xmlns:c16r2="http://schemas.microsoft.com/office/drawing/2015/06/chart">
                      <c:ext uri="{02D57815-91ED-43cb-92C2-25804820EDAC}">
                        <c15:formulaRef>
                          <c15:sqref>Helper!$BD$8</c15:sqref>
                        </c15:formulaRef>
                      </c:ext>
                    </c:extLst>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6r2="http://schemas.microsoft.com/office/drawing/2015/06/chart">
                      <c:ext uri="{02D57815-91ED-43cb-92C2-25804820EDAC}">
                        <c15:formulaRef>
                          <c15:sqref>Helper!$BA$9:$BA$12</c15:sqref>
                        </c15:formulaRef>
                      </c:ext>
                    </c:extLst>
                    <c:strCache>
                      <c:ptCount val="4"/>
                      <c:pt idx="0">
                        <c:v>Severely Stunted</c:v>
                      </c:pt>
                      <c:pt idx="1">
                        <c:v>Stunted</c:v>
                      </c:pt>
                      <c:pt idx="2">
                        <c:v>Normal</c:v>
                      </c:pt>
                      <c:pt idx="3">
                        <c:v>Tall</c:v>
                      </c:pt>
                    </c:strCache>
                  </c:strRef>
                </c:cat>
                <c:val>
                  <c:numRef>
                    <c:extLst xmlns:c16r2="http://schemas.microsoft.com/office/drawing/2015/06/chart">
                      <c:ext uri="{02D57815-91ED-43cb-92C2-25804820EDAC}">
                        <c15:formulaRef>
                          <c15:sqref>Helper!$BD$9:$BD$12</c15:sqref>
                        </c15:formulaRef>
                      </c:ext>
                    </c:extLst>
                    <c:numCache>
                      <c:formatCode>General</c:formatCode>
                      <c:ptCount val="4"/>
                      <c:pt idx="0">
                        <c:v>48</c:v>
                      </c:pt>
                      <c:pt idx="1">
                        <c:v>314</c:v>
                      </c:pt>
                      <c:pt idx="2">
                        <c:v>1141</c:v>
                      </c:pt>
                      <c:pt idx="3">
                        <c:v>2</c:v>
                      </c:pt>
                    </c:numCache>
                  </c:numRef>
                </c:val>
                <c:extLst xmlns:c16r2="http://schemas.microsoft.com/office/drawing/2015/06/chart">
                  <c:ext xmlns:c16="http://schemas.microsoft.com/office/drawing/2014/chart" uri="{C3380CC4-5D6E-409C-BE32-E72D297353CC}">
                    <c16:uniqueId val="{00000002-1D6F-4C02-BDEA-F88168AA802A}"/>
                  </c:ext>
                </c:extLst>
              </c15:ser>
            </c15:filteredBarSeries>
          </c:ext>
        </c:extLst>
      </c:barChart>
      <c:catAx>
        <c:axId val="269322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9323688"/>
        <c:crosses val="autoZero"/>
        <c:auto val="1"/>
        <c:lblAlgn val="ctr"/>
        <c:lblOffset val="100"/>
        <c:noMultiLvlLbl val="0"/>
      </c:catAx>
      <c:valAx>
        <c:axId val="269323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32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pattFill prst="ltDnDiag">
      <a:fgClr>
        <a:schemeClr val="accent6">
          <a:lumMod val="40000"/>
          <a:lumOff val="60000"/>
        </a:schemeClr>
      </a:fgClr>
      <a:bgClr>
        <a:schemeClr val="bg1">
          <a:lumMod val="95000"/>
        </a:schemeClr>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PH">
                <a:latin typeface="Arial Narrow" panose="020B0606020202030204" pitchFamily="34" charset="0"/>
              </a:rPr>
              <a:t>Availability</a:t>
            </a:r>
            <a:r>
              <a:rPr lang="en-PH" baseline="0">
                <a:latin typeface="Arial Narrow" panose="020B0606020202030204" pitchFamily="34" charset="0"/>
              </a:rPr>
              <a:t> of Books by Learning Area</a:t>
            </a:r>
            <a:endParaRPr lang="en-PH">
              <a:latin typeface="Arial Narrow" panose="020B0606020202030204" pitchFamily="34" charset="0"/>
            </a:endParaRP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8219816272965887E-2"/>
          <c:y val="0.17171296296296298"/>
          <c:w val="0.87122462817147861"/>
          <c:h val="0.63844087197433652"/>
        </c:manualLayout>
      </c:layout>
      <c:bar3DChart>
        <c:barDir val="col"/>
        <c:grouping val="clustered"/>
        <c:varyColors val="0"/>
        <c:ser>
          <c:idx val="0"/>
          <c:order val="0"/>
          <c:spPr>
            <a:solidFill>
              <a:schemeClr val="accent1"/>
            </a:solidFill>
            <a:ln>
              <a:noFill/>
            </a:ln>
            <a:effectLst/>
            <a:sp3d/>
          </c:spPr>
          <c:invertIfNegative val="0"/>
          <c:val>
            <c:numRef>
              <c:f>Helper!$W$18:$W$28</c:f>
              <c:numCache>
                <c:formatCode>0.00</c:formatCode>
                <c:ptCount val="11"/>
                <c:pt idx="0">
                  <c:v>1.5554817275747508</c:v>
                </c:pt>
                <c:pt idx="1">
                  <c:v>0.83654485049833882</c:v>
                </c:pt>
                <c:pt idx="2">
                  <c:v>0.73621262458471759</c:v>
                </c:pt>
                <c:pt idx="3">
                  <c:v>0.66046511627906979</c:v>
                </c:pt>
                <c:pt idx="4">
                  <c:v>0.43920265780730899</c:v>
                </c:pt>
                <c:pt idx="5">
                  <c:v>0.43122923588039869</c:v>
                </c:pt>
                <c:pt idx="6">
                  <c:v>0.39136212624584715</c:v>
                </c:pt>
                <c:pt idx="7">
                  <c:v>1.6611295681063124E-2</c:v>
                </c:pt>
                <c:pt idx="8">
                  <c:v>0</c:v>
                </c:pt>
                <c:pt idx="9">
                  <c:v>#N/A</c:v>
                </c:pt>
              </c:numCache>
            </c:numRef>
          </c:val>
          <c:extLst xmlns:c16r2="http://schemas.microsoft.com/office/drawing/2015/06/chart">
            <c:ext xmlns:c16="http://schemas.microsoft.com/office/drawing/2014/chart" uri="{C3380CC4-5D6E-409C-BE32-E72D297353CC}">
              <c16:uniqueId val="{00000000-0E68-4BEE-8C3E-C5D27BFD3AF9}"/>
            </c:ext>
            <c:ext xmlns:c15="http://schemas.microsoft.com/office/drawing/2012/chart" uri="{02D57815-91ED-43cb-92C2-25804820EDAC}">
              <c15:filteredCategoryTitle>
                <c15:cat>
                  <c:strRef>
                    <c:extLst xmlns:c16="http://schemas.microsoft.com/office/drawing/2014/chart" xmlns:c16r2="http://schemas.microsoft.com/office/drawing/2015/06/chart">
                      <c:ext uri="{02D57815-91ED-43cb-92C2-25804820EDAC}">
                        <c15:formulaRef>
                          <c15:sqref>Helper!$V$18:$V$28</c15:sqref>
                        </c15:formulaRef>
                      </c:ext>
                    </c:extLst>
                    <c:strCache>
                      <c:ptCount val="10"/>
                      <c:pt idx="0">
                        <c:v>MAPEH</c:v>
                      </c:pt>
                      <c:pt idx="1">
                        <c:v>Filipino</c:v>
                      </c:pt>
                      <c:pt idx="2">
                        <c:v>Science</c:v>
                      </c:pt>
                      <c:pt idx="3">
                        <c:v>Math</c:v>
                      </c:pt>
                      <c:pt idx="4">
                        <c:v>English</c:v>
                      </c:pt>
                      <c:pt idx="5">
                        <c:v>EsP</c:v>
                      </c:pt>
                      <c:pt idx="6">
                        <c:v>AP</c:v>
                      </c:pt>
                      <c:pt idx="7">
                        <c:v>Reading</c:v>
                      </c:pt>
                      <c:pt idx="9">
                        <c:v>#N/A</c:v>
                      </c:pt>
                    </c:strCache>
                  </c:strRef>
                </c15:cat>
              </c15:filteredCategoryTitle>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Helper!$X$18:$X$28</c:f>
              <c:numCache>
                <c:formatCode>0.00</c:formatCode>
                <c:ptCount val="11"/>
                <c:pt idx="0">
                  <c:v>155.55000000000001</c:v>
                </c:pt>
                <c:pt idx="1">
                  <c:v>83.65</c:v>
                </c:pt>
                <c:pt idx="2">
                  <c:v>73.62</c:v>
                </c:pt>
                <c:pt idx="3">
                  <c:v>66.05</c:v>
                </c:pt>
                <c:pt idx="4">
                  <c:v>43.92</c:v>
                </c:pt>
                <c:pt idx="5">
                  <c:v>43.12</c:v>
                </c:pt>
                <c:pt idx="6">
                  <c:v>39.14</c:v>
                </c:pt>
                <c:pt idx="7">
                  <c:v>1.66</c:v>
                </c:pt>
                <c:pt idx="8">
                  <c:v>0</c:v>
                </c:pt>
                <c:pt idx="9">
                  <c:v>#N/A</c:v>
                </c:pt>
              </c:numCache>
            </c:numRef>
          </c:val>
          <c:extLst xmlns:c16r2="http://schemas.microsoft.com/office/drawing/2015/06/chart">
            <c:ext xmlns:c16="http://schemas.microsoft.com/office/drawing/2014/chart" uri="{C3380CC4-5D6E-409C-BE32-E72D297353CC}">
              <c16:uniqueId val="{00000001-0E68-4BEE-8C3E-C5D27BFD3AF9}"/>
            </c:ext>
            <c:ext xmlns:c15="http://schemas.microsoft.com/office/drawing/2012/chart" uri="{02D57815-91ED-43cb-92C2-25804820EDAC}">
              <c15:filteredCategoryTitle>
                <c15:cat>
                  <c:strRef>
                    <c:extLst xmlns:c16="http://schemas.microsoft.com/office/drawing/2014/chart" xmlns:c16r2="http://schemas.microsoft.com/office/drawing/2015/06/chart">
                      <c:ext uri="{02D57815-91ED-43cb-92C2-25804820EDAC}">
                        <c15:formulaRef>
                          <c15:sqref>Helper!$V$18:$V$28</c15:sqref>
                        </c15:formulaRef>
                      </c:ext>
                    </c:extLst>
                    <c:strCache>
                      <c:ptCount val="10"/>
                      <c:pt idx="0">
                        <c:v>MAPEH</c:v>
                      </c:pt>
                      <c:pt idx="1">
                        <c:v>Filipino</c:v>
                      </c:pt>
                      <c:pt idx="2">
                        <c:v>Science</c:v>
                      </c:pt>
                      <c:pt idx="3">
                        <c:v>Math</c:v>
                      </c:pt>
                      <c:pt idx="4">
                        <c:v>English</c:v>
                      </c:pt>
                      <c:pt idx="5">
                        <c:v>EsP</c:v>
                      </c:pt>
                      <c:pt idx="6">
                        <c:v>AP</c:v>
                      </c:pt>
                      <c:pt idx="7">
                        <c:v>Reading</c:v>
                      </c:pt>
                      <c:pt idx="9">
                        <c:v>#N/A</c:v>
                      </c:pt>
                    </c:strCache>
                  </c:strRef>
                </c15:cat>
              </c15:filteredCategoryTitle>
            </c:ext>
          </c:extLst>
        </c:ser>
        <c:dLbls>
          <c:showLegendKey val="0"/>
          <c:showVal val="0"/>
          <c:showCatName val="0"/>
          <c:showSerName val="0"/>
          <c:showPercent val="0"/>
          <c:showBubbleSize val="0"/>
        </c:dLbls>
        <c:gapWidth val="2"/>
        <c:gapDepth val="139"/>
        <c:shape val="box"/>
        <c:axId val="269326824"/>
        <c:axId val="269327216"/>
        <c:axId val="0"/>
      </c:bar3DChart>
      <c:catAx>
        <c:axId val="269326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9327216"/>
        <c:crosses val="autoZero"/>
        <c:auto val="1"/>
        <c:lblAlgn val="ctr"/>
        <c:lblOffset val="100"/>
        <c:noMultiLvlLbl val="0"/>
      </c:catAx>
      <c:valAx>
        <c:axId val="269327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93268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rial Narrow" panose="020B0606020202030204" pitchFamily="34" charset="0"/>
                <a:ea typeface="+mn-ea"/>
                <a:cs typeface="+mn-cs"/>
              </a:defRPr>
            </a:pPr>
            <a:r>
              <a:rPr lang="en-US" sz="1400" b="1">
                <a:latin typeface="Arial Narrow" panose="020B0606020202030204" pitchFamily="34" charset="0"/>
              </a:rPr>
              <a:t>Sources of School Funding, Current School Year</a:t>
            </a:r>
          </a:p>
        </c:rich>
      </c:tx>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0AF5-49DD-8B77-60A599FABB13}"/>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0AF5-49DD-8B77-60A599FABB13}"/>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0AF5-49DD-8B77-60A599FABB13}"/>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0AF5-49DD-8B77-60A599FABB13}"/>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0AF5-49DD-8B77-60A599FABB13}"/>
              </c:ext>
            </c:extLst>
          </c:dPt>
          <c:dPt>
            <c:idx val="5"/>
            <c:bubble3D val="0"/>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B-0AF5-49DD-8B77-60A599FABB13}"/>
              </c:ext>
            </c:extLst>
          </c:dPt>
          <c:dLbls>
            <c:dLbl>
              <c:idx val="0"/>
              <c:layout>
                <c:manualLayout>
                  <c:x val="5.209709972628486E-2"/>
                  <c:y val="-2.199273480701355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1-0AF5-49DD-8B77-60A599FABB13}"/>
                </c:ext>
                <c:ext xmlns:c15="http://schemas.microsoft.com/office/drawing/2012/chart" uri="{CE6537A1-D6FC-4f65-9D91-7224C49458BB}"/>
              </c:extLst>
            </c:dLbl>
            <c:dLbl>
              <c:idx val="1"/>
              <c:layout>
                <c:manualLayout>
                  <c:x val="7.4587094611407556E-2"/>
                  <c:y val="2.4742386759730201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3-0AF5-49DD-8B77-60A599FABB13}"/>
                </c:ext>
                <c:ext xmlns:c15="http://schemas.microsoft.com/office/drawing/2012/chart" uri="{CE6537A1-D6FC-4f65-9D91-7224C49458BB}"/>
              </c:extLst>
            </c:dLbl>
            <c:dLbl>
              <c:idx val="3"/>
              <c:layout>
                <c:manualLayout>
                  <c:x val="-0.198797658215599"/>
                  <c:y val="1.0608776930256567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7-0AF5-49DD-8B77-60A599FABB13}"/>
                </c:ext>
                <c:ext xmlns:c15="http://schemas.microsoft.com/office/drawing/2012/chart" uri="{CE6537A1-D6FC-4f65-9D91-7224C49458BB}"/>
              </c:extLst>
            </c:dLbl>
            <c:dLbl>
              <c:idx val="4"/>
              <c:layout>
                <c:manualLayout>
                  <c:x val="-4.4355490889988664E-2"/>
                  <c:y val="-2.0689713886537706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9-0AF5-49DD-8B77-60A599FABB13}"/>
                </c:ext>
                <c:ext xmlns:c15="http://schemas.microsoft.com/office/drawing/2012/chart" uri="{CE6537A1-D6FC-4f65-9D91-7224C49458BB}"/>
              </c:extLst>
            </c:dLbl>
            <c:dLbl>
              <c:idx val="5"/>
              <c:layout>
                <c:manualLayout>
                  <c:x val="4.8639027896817635E-2"/>
                  <c:y val="-2.5669019243754976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B-0AF5-49DD-8B77-60A599FABB13}"/>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Helper!$A$47:$F$47</c:f>
              <c:strCache>
                <c:ptCount val="6"/>
                <c:pt idx="0">
                  <c:v>General Appropriations Act (School MOOE)</c:v>
                </c:pt>
                <c:pt idx="1">
                  <c:v>General Appropriations Act (Subsidy for Special Programs)</c:v>
                </c:pt>
                <c:pt idx="2">
                  <c:v>Local Government Unit funds</c:v>
                </c:pt>
                <c:pt idx="3">
                  <c:v>Canteen funds</c:v>
                </c:pt>
                <c:pt idx="4">
                  <c:v>Donations</c:v>
                </c:pt>
                <c:pt idx="5">
                  <c:v>Others</c:v>
                </c:pt>
              </c:strCache>
            </c:strRef>
          </c:cat>
          <c:val>
            <c:numRef>
              <c:f>Helper!$A$48:$F$48</c:f>
              <c:numCache>
                <c:formatCode>#,##0.00</c:formatCode>
                <c:ptCount val="6"/>
                <c:pt idx="0">
                  <c:v>104000</c:v>
                </c:pt>
                <c:pt idx="1">
                  <c:v>0</c:v>
                </c:pt>
                <c:pt idx="2">
                  <c:v>147000</c:v>
                </c:pt>
                <c:pt idx="3">
                  <c:v>10000</c:v>
                </c:pt>
                <c:pt idx="4">
                  <c:v>278713</c:v>
                </c:pt>
                <c:pt idx="5">
                  <c:v>106131</c:v>
                </c:pt>
              </c:numCache>
            </c:numRef>
          </c:val>
          <c:extLst xmlns:c16r2="http://schemas.microsoft.com/office/drawing/2015/06/chart">
            <c:ext xmlns:c16="http://schemas.microsoft.com/office/drawing/2014/chart" uri="{C3380CC4-5D6E-409C-BE32-E72D297353CC}">
              <c16:uniqueId val="{0000000C-0AF5-49DD-8B77-60A599FABB13}"/>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sz="1200">
                <a:latin typeface="Arial Narrow" panose="020B0606020202030204" pitchFamily="34" charset="0"/>
              </a:rPr>
              <a:t>Number of Drop-outs by Cause</a:t>
            </a:r>
          </a:p>
        </c:rich>
      </c:tx>
      <c:overlay val="0"/>
      <c:spPr>
        <a:noFill/>
        <a:ln>
          <a:noFill/>
        </a:ln>
        <a:effectLst/>
      </c:spPr>
    </c:title>
    <c:autoTitleDeleted val="0"/>
    <c:plotArea>
      <c:layout/>
      <c:barChart>
        <c:barDir val="col"/>
        <c:grouping val="stacked"/>
        <c:varyColors val="0"/>
        <c:ser>
          <c:idx val="6"/>
          <c:order val="0"/>
          <c:tx>
            <c:strRef>
              <c:f>Helper!$B$51</c:f>
              <c:strCache>
                <c:ptCount val="1"/>
                <c:pt idx="0">
                  <c:v>Domestic- Related Factors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Narrow" panose="020B0606020202030204" pitchFamily="34" charset="0"/>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Helper!$B$52:$B$54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6EE-4E0F-AE5B-C3B3C6E7059A}"/>
            </c:ext>
          </c:extLst>
        </c:ser>
        <c:ser>
          <c:idx val="0"/>
          <c:order val="1"/>
          <c:tx>
            <c:strRef>
              <c:f>Helper!$C$51</c:f>
              <c:strCache>
                <c:ptCount val="1"/>
                <c:pt idx="0">
                  <c:v>Individual- Related Factors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Helper!$C$52:$C$54</c:f>
              <c:numCache>
                <c:formatCode>General</c:formatCode>
                <c:ptCount val="3"/>
                <c:pt idx="0">
                  <c:v>0</c:v>
                </c:pt>
                <c:pt idx="1">
                  <c:v>0</c:v>
                </c:pt>
                <c:pt idx="2">
                  <c:v>1</c:v>
                </c:pt>
              </c:numCache>
            </c:numRef>
          </c:val>
          <c:extLst xmlns:c16r2="http://schemas.microsoft.com/office/drawing/2015/06/chart">
            <c:ext xmlns:c16="http://schemas.microsoft.com/office/drawing/2014/chart" uri="{C3380CC4-5D6E-409C-BE32-E72D297353CC}">
              <c16:uniqueId val="{00000001-D6EE-4E0F-AE5B-C3B3C6E7059A}"/>
            </c:ext>
          </c:extLst>
        </c:ser>
        <c:ser>
          <c:idx val="1"/>
          <c:order val="2"/>
          <c:tx>
            <c:strRef>
              <c:f>Helper!$D$51</c:f>
              <c:strCache>
                <c:ptCount val="1"/>
                <c:pt idx="0">
                  <c:v>School- Related Factors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Helper!$D$52:$D$54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D6EE-4E0F-AE5B-C3B3C6E7059A}"/>
            </c:ext>
          </c:extLst>
        </c:ser>
        <c:ser>
          <c:idx val="2"/>
          <c:order val="3"/>
          <c:tx>
            <c:strRef>
              <c:f>Helper!$E$51</c:f>
              <c:strCache>
                <c:ptCount val="1"/>
                <c:pt idx="0">
                  <c:v>Geographic/ Environmental Factors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Helper!$E$52:$E$54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D6EE-4E0F-AE5B-C3B3C6E7059A}"/>
            </c:ext>
          </c:extLst>
        </c:ser>
        <c:ser>
          <c:idx val="3"/>
          <c:order val="4"/>
          <c:tx>
            <c:strRef>
              <c:f>Helper!$F$51</c:f>
              <c:strCache>
                <c:ptCount val="1"/>
                <c:pt idx="0">
                  <c:v>Financial- Related Factors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Helper!$F$52:$F$54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4-D6EE-4E0F-AE5B-C3B3C6E7059A}"/>
            </c:ext>
          </c:extLst>
        </c:ser>
        <c:ser>
          <c:idx val="4"/>
          <c:order val="5"/>
          <c:tx>
            <c:strRef>
              <c:f>Helper!$G$51</c:f>
              <c:strCache>
                <c:ptCount val="1"/>
                <c:pt idx="0">
                  <c:v>No Longer in School (NLS)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Helper!$G$52:$G$54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5-D6EE-4E0F-AE5B-C3B3C6E7059A}"/>
            </c:ext>
          </c:extLst>
        </c:ser>
        <c:dLbls>
          <c:showLegendKey val="0"/>
          <c:showVal val="1"/>
          <c:showCatName val="0"/>
          <c:showSerName val="0"/>
          <c:showPercent val="0"/>
          <c:showBubbleSize val="0"/>
        </c:dLbls>
        <c:gapWidth val="50"/>
        <c:overlap val="100"/>
        <c:axId val="269329176"/>
        <c:axId val="269328000"/>
        <c:extLst xmlns:c16r2="http://schemas.microsoft.com/office/drawing/2015/06/chart">
          <c:ext xmlns:c15="http://schemas.microsoft.com/office/drawing/2012/chart" uri="{02D57815-91ED-43cb-92C2-25804820EDAC}">
            <c15:filteredBarSeries>
              <c15:ser>
                <c:idx val="5"/>
                <c:order val="6"/>
                <c:tx>
                  <c:strRef>
                    <c:extLst xmlns:c16r2="http://schemas.microsoft.com/office/drawing/2015/06/chart">
                      <c:ext uri="{02D57815-91ED-43cb-92C2-25804820EDAC}">
                        <c15:formulaRef>
                          <c15:sqref>Helper!$H$51</c15:sqref>
                        </c15:formulaRef>
                      </c:ext>
                    </c:extLst>
                    <c:strCache>
                      <c:ptCount val="1"/>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6r2="http://schemas.microsoft.com/office/drawing/2015/06/chart">
                      <c:ext uri="{02D57815-91ED-43cb-92C2-25804820EDAC}">
                        <c15:formulaRef>
                          <c15:sqref>Helper!$A$52:$A$54</c15:sqref>
                        </c15:formulaRef>
                      </c:ext>
                    </c:extLst>
                    <c:strCache>
                      <c:ptCount val="3"/>
                      <c:pt idx="0">
                        <c:v>2016-2017</c:v>
                      </c:pt>
                      <c:pt idx="1">
                        <c:v>2017-2018</c:v>
                      </c:pt>
                      <c:pt idx="2">
                        <c:v>2018-2019</c:v>
                      </c:pt>
                    </c:strCache>
                  </c:strRef>
                </c:cat>
                <c:val>
                  <c:numRef>
                    <c:extLst xmlns:c16r2="http://schemas.microsoft.com/office/drawing/2015/06/chart">
                      <c:ext uri="{02D57815-91ED-43cb-92C2-25804820EDAC}">
                        <c15:formulaRef>
                          <c15:sqref>Helper!$H$52:$H$54</c15:sqref>
                        </c15:formulaRef>
                      </c:ext>
                    </c:extLst>
                    <c:numCache>
                      <c:formatCode>General</c:formatCode>
                      <c:ptCount val="3"/>
                    </c:numCache>
                  </c:numRef>
                </c:val>
                <c:extLst xmlns:c16r2="http://schemas.microsoft.com/office/drawing/2015/06/chart">
                  <c:ext xmlns:c16="http://schemas.microsoft.com/office/drawing/2014/chart" uri="{C3380CC4-5D6E-409C-BE32-E72D297353CC}">
                    <c16:uniqueId val="{00000006-D6EE-4E0F-AE5B-C3B3C6E7059A}"/>
                  </c:ext>
                </c:extLst>
              </c15:ser>
            </c15:filteredBarSeries>
          </c:ext>
        </c:extLst>
      </c:barChart>
      <c:catAx>
        <c:axId val="26932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9328000"/>
        <c:crosses val="autoZero"/>
        <c:auto val="1"/>
        <c:lblAlgn val="ctr"/>
        <c:lblOffset val="100"/>
        <c:noMultiLvlLbl val="0"/>
      </c:catAx>
      <c:valAx>
        <c:axId val="26932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329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Drop-out Rate</a:t>
            </a:r>
          </a:p>
        </c:rich>
      </c:tx>
      <c:overlay val="0"/>
      <c:spPr>
        <a:noFill/>
        <a:ln>
          <a:noFill/>
        </a:ln>
        <a:effectLst/>
      </c:spPr>
    </c:title>
    <c:autoTitleDeleted val="0"/>
    <c:plotArea>
      <c:layout/>
      <c:lineChart>
        <c:grouping val="standard"/>
        <c:varyColors val="0"/>
        <c:ser>
          <c:idx val="0"/>
          <c:order val="0"/>
          <c:tx>
            <c:strRef>
              <c:f>Helper!$I$56</c:f>
              <c:strCache>
                <c:ptCount val="1"/>
                <c:pt idx="0">
                  <c:v>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Helper!$H$57:$H$59</c:f>
              <c:strCache>
                <c:ptCount val="3"/>
                <c:pt idx="0">
                  <c:v>2016-2017</c:v>
                </c:pt>
                <c:pt idx="1">
                  <c:v>2017-2018</c:v>
                </c:pt>
                <c:pt idx="2">
                  <c:v>2018-2019</c:v>
                </c:pt>
              </c:strCache>
            </c:strRef>
          </c:cat>
          <c:val>
            <c:numRef>
              <c:f>Helper!$I$57:$I$59</c:f>
              <c:numCache>
                <c:formatCode>0.00%</c:formatCode>
                <c:ptCount val="3"/>
                <c:pt idx="0">
                  <c:v>0</c:v>
                </c:pt>
                <c:pt idx="1">
                  <c:v>0</c:v>
                </c:pt>
                <c:pt idx="2">
                  <c:v>1.2953367875647669E-3</c:v>
                </c:pt>
              </c:numCache>
            </c:numRef>
          </c:val>
          <c:smooth val="0"/>
          <c:extLst xmlns:c16r2="http://schemas.microsoft.com/office/drawing/2015/06/chart">
            <c:ext xmlns:c16="http://schemas.microsoft.com/office/drawing/2014/chart" uri="{C3380CC4-5D6E-409C-BE32-E72D297353CC}">
              <c16:uniqueId val="{00000000-EDBA-4141-BC70-809775A4146A}"/>
            </c:ext>
          </c:extLst>
        </c:ser>
        <c:ser>
          <c:idx val="1"/>
          <c:order val="1"/>
          <c:tx>
            <c:strRef>
              <c:f>Helper!$J$56</c:f>
              <c:strCache>
                <c:ptCount val="1"/>
                <c:pt idx="0">
                  <c:v>Female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Helper!$H$57:$H$59</c:f>
              <c:strCache>
                <c:ptCount val="3"/>
                <c:pt idx="0">
                  <c:v>2016-2017</c:v>
                </c:pt>
                <c:pt idx="1">
                  <c:v>2017-2018</c:v>
                </c:pt>
                <c:pt idx="2">
                  <c:v>2018-2019</c:v>
                </c:pt>
              </c:strCache>
            </c:strRef>
          </c:cat>
          <c:val>
            <c:numRef>
              <c:f>Helper!$J$57:$J$59</c:f>
              <c:numCache>
                <c:formatCode>0.00%</c:formatCode>
                <c:ptCount val="3"/>
                <c:pt idx="0">
                  <c:v>0</c:v>
                </c:pt>
                <c:pt idx="1">
                  <c:v>0</c:v>
                </c:pt>
                <c:pt idx="2">
                  <c:v>0</c:v>
                </c:pt>
              </c:numCache>
            </c:numRef>
          </c:val>
          <c:smooth val="0"/>
          <c:extLst xmlns:c16r2="http://schemas.microsoft.com/office/drawing/2015/06/chart">
            <c:ext xmlns:c16="http://schemas.microsoft.com/office/drawing/2014/chart" uri="{C3380CC4-5D6E-409C-BE32-E72D297353CC}">
              <c16:uniqueId val="{00000001-EDBA-4141-BC70-809775A4146A}"/>
            </c:ext>
          </c:extLst>
        </c:ser>
        <c:ser>
          <c:idx val="2"/>
          <c:order val="2"/>
          <c:tx>
            <c:strRef>
              <c:f>Helper!$K$56</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Helper!$H$57:$H$59</c:f>
              <c:strCache>
                <c:ptCount val="3"/>
                <c:pt idx="0">
                  <c:v>2016-2017</c:v>
                </c:pt>
                <c:pt idx="1">
                  <c:v>2017-2018</c:v>
                </c:pt>
                <c:pt idx="2">
                  <c:v>2018-2019</c:v>
                </c:pt>
              </c:strCache>
            </c:strRef>
          </c:cat>
          <c:val>
            <c:numRef>
              <c:f>Helper!$K$57:$K$59</c:f>
              <c:numCache>
                <c:formatCode>0.00%</c:formatCode>
                <c:ptCount val="3"/>
                <c:pt idx="0">
                  <c:v>0</c:v>
                </c:pt>
                <c:pt idx="1">
                  <c:v>0</c:v>
                </c:pt>
                <c:pt idx="2">
                  <c:v>6.6445182724252495E-4</c:v>
                </c:pt>
              </c:numCache>
            </c:numRef>
          </c:val>
          <c:smooth val="0"/>
          <c:extLst xmlns:c16r2="http://schemas.microsoft.com/office/drawing/2015/06/chart">
            <c:ext xmlns:c16="http://schemas.microsoft.com/office/drawing/2014/chart" uri="{C3380CC4-5D6E-409C-BE32-E72D297353CC}">
              <c16:uniqueId val="{00000002-EDBA-4141-BC70-809775A4146A}"/>
            </c:ext>
          </c:extLst>
        </c:ser>
        <c:dLbls>
          <c:dLblPos val="t"/>
          <c:showLegendKey val="0"/>
          <c:showVal val="1"/>
          <c:showCatName val="0"/>
          <c:showSerName val="0"/>
          <c:showPercent val="0"/>
          <c:showBubbleSize val="0"/>
        </c:dLbls>
        <c:marker val="1"/>
        <c:smooth val="0"/>
        <c:axId val="269328392"/>
        <c:axId val="270420048"/>
      </c:lineChart>
      <c:catAx>
        <c:axId val="269328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0420048"/>
        <c:crosses val="autoZero"/>
        <c:auto val="1"/>
        <c:lblAlgn val="ctr"/>
        <c:lblOffset val="100"/>
        <c:noMultiLvlLbl val="0"/>
      </c:catAx>
      <c:valAx>
        <c:axId val="270420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9328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Narrow" panose="020B0606020202030204" pitchFamily="34" charset="0"/>
                <a:ea typeface="+mn-ea"/>
                <a:cs typeface="+mn-cs"/>
              </a:defRPr>
            </a:pPr>
            <a:r>
              <a:rPr lang="en-PH" sz="1200">
                <a:latin typeface="Arial Narrow" panose="020B0606020202030204" pitchFamily="34" charset="0"/>
              </a:rPr>
              <a:t>NAT</a:t>
            </a:r>
            <a:r>
              <a:rPr lang="en-PH" sz="1200" baseline="0">
                <a:latin typeface="Arial Narrow" panose="020B0606020202030204" pitchFamily="34" charset="0"/>
              </a:rPr>
              <a:t> Results by Learning Area</a:t>
            </a:r>
            <a:endParaRPr lang="en-PH" sz="1200">
              <a:latin typeface="Arial Narrow" panose="020B0606020202030204" pitchFamily="34" charset="0"/>
            </a:endParaRPr>
          </a:p>
        </c:rich>
      </c:tx>
      <c:layout>
        <c:manualLayout>
          <c:xMode val="edge"/>
          <c:yMode val="edge"/>
          <c:x val="0.28311758325957709"/>
          <c:y val="1.0095067875336466E-2"/>
        </c:manualLayout>
      </c:layout>
      <c:overlay val="0"/>
      <c:spPr>
        <a:noFill/>
        <a:ln>
          <a:noFill/>
        </a:ln>
        <a:effectLst/>
      </c:spPr>
    </c:title>
    <c:autoTitleDeleted val="0"/>
    <c:plotArea>
      <c:layout/>
      <c:barChart>
        <c:barDir val="col"/>
        <c:grouping val="clustered"/>
        <c:varyColors val="0"/>
        <c:ser>
          <c:idx val="0"/>
          <c:order val="0"/>
          <c:tx>
            <c:strRef>
              <c:f>Helper!$B$80</c:f>
              <c:strCache>
                <c:ptCount val="1"/>
                <c:pt idx="0">
                  <c:v>2016-2017</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Helper!$A$81:$A$85</c:f>
              <c:strCache>
                <c:ptCount val="5"/>
                <c:pt idx="0">
                  <c:v>English</c:v>
                </c:pt>
                <c:pt idx="1">
                  <c:v>Filipino</c:v>
                </c:pt>
                <c:pt idx="2">
                  <c:v>Math</c:v>
                </c:pt>
                <c:pt idx="3">
                  <c:v>Science </c:v>
                </c:pt>
                <c:pt idx="4">
                  <c:v>HEKASI</c:v>
                </c:pt>
              </c:strCache>
            </c:strRef>
          </c:cat>
          <c:val>
            <c:numRef>
              <c:f>Helper!$B$81:$B$85</c:f>
              <c:numCache>
                <c:formatCode>0.00</c:formatCode>
                <c:ptCount val="5"/>
                <c:pt idx="0">
                  <c:v>0</c:v>
                </c:pt>
                <c:pt idx="1">
                  <c:v>0</c:v>
                </c:pt>
                <c:pt idx="2">
                  <c:v>0</c:v>
                </c:pt>
                <c:pt idx="3">
                  <c:v>0</c:v>
                </c:pt>
                <c:pt idx="4">
                  <c:v>0</c:v>
                </c:pt>
              </c:numCache>
            </c:numRef>
          </c:val>
          <c:extLst xmlns:c16r2="http://schemas.microsoft.com/office/drawing/2015/06/chart">
            <c:ext xmlns:c16="http://schemas.microsoft.com/office/drawing/2014/chart" uri="{C3380CC4-5D6E-409C-BE32-E72D297353CC}">
              <c16:uniqueId val="{00000000-4605-4F41-8889-CF765ED1E040}"/>
            </c:ext>
          </c:extLst>
        </c:ser>
        <c:ser>
          <c:idx val="1"/>
          <c:order val="1"/>
          <c:tx>
            <c:strRef>
              <c:f>Helper!$C$80</c:f>
              <c:strCache>
                <c:ptCount val="1"/>
                <c:pt idx="0">
                  <c:v>2017-2018</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Helper!$A$81:$A$85</c:f>
              <c:strCache>
                <c:ptCount val="5"/>
                <c:pt idx="0">
                  <c:v>English</c:v>
                </c:pt>
                <c:pt idx="1">
                  <c:v>Filipino</c:v>
                </c:pt>
                <c:pt idx="2">
                  <c:v>Math</c:v>
                </c:pt>
                <c:pt idx="3">
                  <c:v>Science </c:v>
                </c:pt>
                <c:pt idx="4">
                  <c:v>HEKASI</c:v>
                </c:pt>
              </c:strCache>
            </c:strRef>
          </c:cat>
          <c:val>
            <c:numRef>
              <c:f>Helper!$C$81:$C$85</c:f>
              <c:numCache>
                <c:formatCode>0.00</c:formatCode>
                <c:ptCount val="5"/>
                <c:pt idx="0">
                  <c:v>47.73</c:v>
                </c:pt>
                <c:pt idx="1">
                  <c:v>54.65</c:v>
                </c:pt>
                <c:pt idx="2">
                  <c:v>34.58</c:v>
                </c:pt>
                <c:pt idx="3">
                  <c:v>28.86</c:v>
                </c:pt>
                <c:pt idx="4">
                  <c:v>39.299999999999997</c:v>
                </c:pt>
              </c:numCache>
            </c:numRef>
          </c:val>
          <c:extLst xmlns:c16r2="http://schemas.microsoft.com/office/drawing/2015/06/chart">
            <c:ext xmlns:c16="http://schemas.microsoft.com/office/drawing/2014/chart" uri="{C3380CC4-5D6E-409C-BE32-E72D297353CC}">
              <c16:uniqueId val="{00000001-4605-4F41-8889-CF765ED1E040}"/>
            </c:ext>
          </c:extLst>
        </c:ser>
        <c:ser>
          <c:idx val="2"/>
          <c:order val="2"/>
          <c:tx>
            <c:strRef>
              <c:f>Helper!$D$80</c:f>
              <c:strCache>
                <c:ptCount val="1"/>
                <c:pt idx="0">
                  <c:v>2018-2019</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Helper!$A$81:$A$85</c:f>
              <c:strCache>
                <c:ptCount val="5"/>
                <c:pt idx="0">
                  <c:v>English</c:v>
                </c:pt>
                <c:pt idx="1">
                  <c:v>Filipino</c:v>
                </c:pt>
                <c:pt idx="2">
                  <c:v>Math</c:v>
                </c:pt>
                <c:pt idx="3">
                  <c:v>Science </c:v>
                </c:pt>
                <c:pt idx="4">
                  <c:v>HEKASI</c:v>
                </c:pt>
              </c:strCache>
            </c:strRef>
          </c:cat>
          <c:val>
            <c:numRef>
              <c:f>Helper!$D$81:$D$85</c:f>
              <c:numCache>
                <c:formatCode>0.00</c:formatCode>
                <c:ptCount val="5"/>
                <c:pt idx="0">
                  <c:v>0</c:v>
                </c:pt>
                <c:pt idx="1">
                  <c:v>0</c:v>
                </c:pt>
                <c:pt idx="2">
                  <c:v>0</c:v>
                </c:pt>
                <c:pt idx="3">
                  <c:v>0</c:v>
                </c:pt>
                <c:pt idx="4">
                  <c:v>0</c:v>
                </c:pt>
              </c:numCache>
            </c:numRef>
          </c:val>
          <c:extLst xmlns:c16r2="http://schemas.microsoft.com/office/drawing/2015/06/chart">
            <c:ext xmlns:c16="http://schemas.microsoft.com/office/drawing/2014/chart" uri="{C3380CC4-5D6E-409C-BE32-E72D297353CC}">
              <c16:uniqueId val="{00000002-4605-4F41-8889-CF765ED1E040}"/>
            </c:ext>
          </c:extLst>
        </c:ser>
        <c:dLbls>
          <c:showLegendKey val="0"/>
          <c:showVal val="0"/>
          <c:showCatName val="0"/>
          <c:showSerName val="0"/>
          <c:showPercent val="0"/>
          <c:showBubbleSize val="0"/>
        </c:dLbls>
        <c:gapWidth val="50"/>
        <c:overlap val="-27"/>
        <c:axId val="270423576"/>
        <c:axId val="270422008"/>
      </c:barChart>
      <c:catAx>
        <c:axId val="270423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0422008"/>
        <c:crosses val="autoZero"/>
        <c:auto val="1"/>
        <c:lblAlgn val="ctr"/>
        <c:lblOffset val="100"/>
        <c:noMultiLvlLbl val="0"/>
      </c:catAx>
      <c:valAx>
        <c:axId val="270422008"/>
        <c:scaling>
          <c:orientation val="minMax"/>
          <c:max val="90"/>
          <c:min val="0"/>
        </c:scaling>
        <c:delete val="1"/>
        <c:axPos val="l"/>
        <c:numFmt formatCode="0.00" sourceLinked="1"/>
        <c:majorTickMark val="none"/>
        <c:minorTickMark val="none"/>
        <c:tickLblPos val="nextTo"/>
        <c:crossAx val="270423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Narrow" panose="020B0606020202030204" pitchFamily="34" charset="0"/>
                <a:ea typeface="+mn-ea"/>
                <a:cs typeface="+mn-cs"/>
              </a:defRPr>
            </a:pPr>
            <a:r>
              <a:rPr lang="en-US" b="1">
                <a:latin typeface="Arial Narrow" panose="020B0606020202030204" pitchFamily="34" charset="0"/>
              </a:rPr>
              <a:t>Learner-Teacher Ratio by Grade Level</a:t>
            </a:r>
          </a:p>
        </c:rich>
      </c:tx>
      <c:overlay val="0"/>
      <c:spPr>
        <a:noFill/>
        <a:ln>
          <a:noFill/>
        </a:ln>
        <a:effectLst/>
      </c:spPr>
    </c:title>
    <c:autoTitleDeleted val="0"/>
    <c:plotArea>
      <c:layout>
        <c:manualLayout>
          <c:layoutTarget val="inner"/>
          <c:xMode val="edge"/>
          <c:yMode val="edge"/>
          <c:x val="6.1574960784880214E-2"/>
          <c:y val="4.6219213727470405E-2"/>
          <c:w val="0.91468353440818728"/>
          <c:h val="0.85858831236181998"/>
        </c:manualLayout>
      </c:layout>
      <c:barChart>
        <c:barDir val="col"/>
        <c:grouping val="clustered"/>
        <c:varyColors val="1"/>
        <c:ser>
          <c:idx val="0"/>
          <c:order val="0"/>
          <c:tx>
            <c:v>Data_TSR</c:v>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2C48-40CE-9F69-8ACFD8193A1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[0]!Level_TSR</c:f>
              <c:strCache>
                <c:ptCount val="6"/>
                <c:pt idx="0">
                  <c:v>Grade 7</c:v>
                </c:pt>
                <c:pt idx="1">
                  <c:v>Grade 8</c:v>
                </c:pt>
                <c:pt idx="2">
                  <c:v>Grade 9</c:v>
                </c:pt>
                <c:pt idx="3">
                  <c:v>Grade 10</c:v>
                </c:pt>
                <c:pt idx="4">
                  <c:v>Grade 11</c:v>
                </c:pt>
                <c:pt idx="5">
                  <c:v>Grade 12</c:v>
                </c:pt>
              </c:strCache>
            </c:strRef>
          </c:cat>
          <c:val>
            <c:numRef>
              <c:f>[0]!Data_TSR</c:f>
              <c:numCache>
                <c:formatCode>General</c:formatCode>
                <c:ptCount val="6"/>
                <c:pt idx="0">
                  <c:v>40</c:v>
                </c:pt>
                <c:pt idx="1">
                  <c:v>31</c:v>
                </c:pt>
                <c:pt idx="2">
                  <c:v>22</c:v>
                </c:pt>
                <c:pt idx="3">
                  <c:v>17</c:v>
                </c:pt>
                <c:pt idx="4">
                  <c:v>35</c:v>
                </c:pt>
                <c:pt idx="5">
                  <c:v>20</c:v>
                </c:pt>
              </c:numCache>
            </c:numRef>
          </c:val>
          <c:extLst xmlns:c16r2="http://schemas.microsoft.com/office/drawing/2015/06/chart">
            <c:ext xmlns:c16="http://schemas.microsoft.com/office/drawing/2014/chart" uri="{C3380CC4-5D6E-409C-BE32-E72D297353CC}">
              <c16:uniqueId val="{00000000-AD05-436B-B372-2BBBCE78420F}"/>
            </c:ext>
          </c:extLst>
        </c:ser>
        <c:dLbls>
          <c:dLblPos val="inBase"/>
          <c:showLegendKey val="0"/>
          <c:showVal val="1"/>
          <c:showCatName val="0"/>
          <c:showSerName val="0"/>
          <c:showPercent val="0"/>
          <c:showBubbleSize val="0"/>
        </c:dLbls>
        <c:gapWidth val="50"/>
        <c:overlap val="-27"/>
        <c:axId val="270418088"/>
        <c:axId val="270426320"/>
      </c:barChart>
      <c:catAx>
        <c:axId val="270418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0426320"/>
        <c:crosses val="autoZero"/>
        <c:auto val="1"/>
        <c:lblAlgn val="ctr"/>
        <c:lblOffset val="100"/>
        <c:noMultiLvlLbl val="0"/>
      </c:catAx>
      <c:valAx>
        <c:axId val="270426320"/>
        <c:scaling>
          <c:orientation val="minMax"/>
          <c:max val="1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18088"/>
        <c:crosses val="autoZero"/>
        <c:crossBetween val="between"/>
        <c:majorUnit val="10"/>
        <c:minorUnit val="5"/>
      </c:valAx>
      <c:spPr>
        <a:noFill/>
        <a:ln>
          <a:noFill/>
        </a:ln>
        <a:effectLst/>
      </c:spPr>
    </c:plotArea>
    <c:plotVisOnly val="0"/>
    <c:dispBlanksAs val="gap"/>
    <c:showDLblsOverMax val="0"/>
  </c:chart>
  <c:spPr>
    <a:pattFill prst="ltDnDiag">
      <a:fgClr>
        <a:schemeClr val="accent2">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Learner-Classroom</a:t>
            </a:r>
            <a:r>
              <a:rPr lang="en-US" b="0" cap="none" spc="0" baseline="0">
                <a:ln w="0"/>
                <a:solidFill>
                  <a:schemeClr val="tx1"/>
                </a:solidFill>
                <a:effectLst>
                  <a:outerShdw blurRad="38100" dist="19050" dir="2700000" algn="tl" rotWithShape="0">
                    <a:schemeClr val="dk1">
                      <a:alpha val="40000"/>
                    </a:schemeClr>
                  </a:outerShdw>
                </a:effectLst>
              </a:rPr>
              <a:t> Ratio by Grade Level</a:t>
            </a:r>
            <a:endParaRPr lang="en-US"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itle>
    <c:autoTitleDeleted val="0"/>
    <c:plotArea>
      <c:layout>
        <c:manualLayout>
          <c:layoutTarget val="inner"/>
          <c:xMode val="edge"/>
          <c:yMode val="edge"/>
          <c:x val="4.7711038769494063E-2"/>
          <c:y val="5.8000137008197658E-2"/>
          <c:w val="0.92405646430983168"/>
          <c:h val="0.86690766789212892"/>
        </c:manualLayout>
      </c:layout>
      <c:barChart>
        <c:barDir val="col"/>
        <c:grouping val="clustered"/>
        <c:varyColors val="1"/>
        <c:ser>
          <c:idx val="0"/>
          <c:order val="0"/>
          <c:tx>
            <c:v>Data_LCR</c:v>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F339-49EE-9187-C431CAA66C6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[0]!Level_LCR</c:f>
              <c:strCache>
                <c:ptCount val="6"/>
                <c:pt idx="0">
                  <c:v>Grade 7</c:v>
                </c:pt>
                <c:pt idx="1">
                  <c:v>Grade 8</c:v>
                </c:pt>
                <c:pt idx="2">
                  <c:v>Grade 9</c:v>
                </c:pt>
                <c:pt idx="3">
                  <c:v>Grade 10</c:v>
                </c:pt>
                <c:pt idx="4">
                  <c:v>Grade 11</c:v>
                </c:pt>
                <c:pt idx="5">
                  <c:v>Grade 12</c:v>
                </c:pt>
              </c:strCache>
            </c:strRef>
          </c:cat>
          <c:val>
            <c:numRef>
              <c:f>[0]!Data_LCR</c:f>
              <c:numCache>
                <c:formatCode>General</c:formatCode>
                <c:ptCount val="6"/>
                <c:pt idx="0">
                  <c:v>61</c:v>
                </c:pt>
                <c:pt idx="1">
                  <c:v>51</c:v>
                </c:pt>
                <c:pt idx="2">
                  <c:v>49</c:v>
                </c:pt>
                <c:pt idx="3">
                  <c:v>44</c:v>
                </c:pt>
                <c:pt idx="4">
                  <c:v>52</c:v>
                </c:pt>
                <c:pt idx="5">
                  <c:v>40</c:v>
                </c:pt>
              </c:numCache>
            </c:numRef>
          </c:val>
          <c:extLst xmlns:c16r2="http://schemas.microsoft.com/office/drawing/2015/06/chart">
            <c:ext xmlns:c16="http://schemas.microsoft.com/office/drawing/2014/chart" uri="{C3380CC4-5D6E-409C-BE32-E72D297353CC}">
              <c16:uniqueId val="{00000000-6F75-4B75-889A-6E9C9619FABA}"/>
            </c:ext>
          </c:extLst>
        </c:ser>
        <c:dLbls>
          <c:dLblPos val="inBase"/>
          <c:showLegendKey val="0"/>
          <c:showVal val="1"/>
          <c:showCatName val="0"/>
          <c:showSerName val="0"/>
          <c:showPercent val="0"/>
          <c:showBubbleSize val="0"/>
        </c:dLbls>
        <c:gapWidth val="60"/>
        <c:overlap val="-27"/>
        <c:axId val="270421224"/>
        <c:axId val="270420440"/>
      </c:barChart>
      <c:catAx>
        <c:axId val="270421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8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0420440"/>
        <c:crosses val="autoZero"/>
        <c:auto val="1"/>
        <c:lblAlgn val="ctr"/>
        <c:lblOffset val="100"/>
        <c:noMultiLvlLbl val="0"/>
      </c:catAx>
      <c:valAx>
        <c:axId val="270420440"/>
        <c:scaling>
          <c:orientation val="minMax"/>
          <c:max val="1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21224"/>
        <c:crosses val="autoZero"/>
        <c:crossBetween val="between"/>
      </c:valAx>
      <c:spPr>
        <a:noFill/>
        <a:ln>
          <a:noFill/>
        </a:ln>
        <a:effectLst/>
      </c:spPr>
    </c:plotArea>
    <c:plotVisOnly val="0"/>
    <c:dispBlanksAs val="gap"/>
    <c:showDLblsOverMax val="0"/>
  </c:chart>
  <c:spPr>
    <a:pattFill prst="ltDnDiag">
      <a:fgClr>
        <a:schemeClr val="accent2">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Helper!$I$56</c:f>
              <c:strCache>
                <c:ptCount val="1"/>
                <c:pt idx="0">
                  <c:v>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Helper!$H$57:$H$59</c:f>
              <c:strCache>
                <c:ptCount val="3"/>
                <c:pt idx="0">
                  <c:v>2016-2017</c:v>
                </c:pt>
                <c:pt idx="1">
                  <c:v>2017-2018</c:v>
                </c:pt>
                <c:pt idx="2">
                  <c:v>2018-2019</c:v>
                </c:pt>
              </c:strCache>
            </c:strRef>
          </c:cat>
          <c:val>
            <c:numRef>
              <c:f>Helper!$I$57:$I$59</c:f>
              <c:numCache>
                <c:formatCode>0.00%</c:formatCode>
                <c:ptCount val="3"/>
                <c:pt idx="0">
                  <c:v>0</c:v>
                </c:pt>
                <c:pt idx="1">
                  <c:v>0</c:v>
                </c:pt>
                <c:pt idx="2">
                  <c:v>1.2953367875647669E-3</c:v>
                </c:pt>
              </c:numCache>
            </c:numRef>
          </c:val>
          <c:smooth val="0"/>
          <c:extLst xmlns:c16r2="http://schemas.microsoft.com/office/drawing/2015/06/chart">
            <c:ext xmlns:c16="http://schemas.microsoft.com/office/drawing/2014/chart" uri="{C3380CC4-5D6E-409C-BE32-E72D297353CC}">
              <c16:uniqueId val="{00000000-EDBA-4141-BC70-809775A4146A}"/>
            </c:ext>
          </c:extLst>
        </c:ser>
        <c:ser>
          <c:idx val="1"/>
          <c:order val="1"/>
          <c:tx>
            <c:strRef>
              <c:f>Helper!$J$56</c:f>
              <c:strCache>
                <c:ptCount val="1"/>
                <c:pt idx="0">
                  <c:v>Female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Helper!$H$57:$H$59</c:f>
              <c:strCache>
                <c:ptCount val="3"/>
                <c:pt idx="0">
                  <c:v>2016-2017</c:v>
                </c:pt>
                <c:pt idx="1">
                  <c:v>2017-2018</c:v>
                </c:pt>
                <c:pt idx="2">
                  <c:v>2018-2019</c:v>
                </c:pt>
              </c:strCache>
            </c:strRef>
          </c:cat>
          <c:val>
            <c:numRef>
              <c:f>Helper!$J$57:$J$59</c:f>
              <c:numCache>
                <c:formatCode>0.00%</c:formatCode>
                <c:ptCount val="3"/>
                <c:pt idx="0">
                  <c:v>0</c:v>
                </c:pt>
                <c:pt idx="1">
                  <c:v>0</c:v>
                </c:pt>
                <c:pt idx="2">
                  <c:v>0</c:v>
                </c:pt>
              </c:numCache>
            </c:numRef>
          </c:val>
          <c:smooth val="0"/>
          <c:extLst xmlns:c16r2="http://schemas.microsoft.com/office/drawing/2015/06/chart">
            <c:ext xmlns:c16="http://schemas.microsoft.com/office/drawing/2014/chart" uri="{C3380CC4-5D6E-409C-BE32-E72D297353CC}">
              <c16:uniqueId val="{00000001-EDBA-4141-BC70-809775A4146A}"/>
            </c:ext>
          </c:extLst>
        </c:ser>
        <c:ser>
          <c:idx val="2"/>
          <c:order val="2"/>
          <c:tx>
            <c:strRef>
              <c:f>Helper!$K$56</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Helper!$H$57:$H$59</c:f>
              <c:strCache>
                <c:ptCount val="3"/>
                <c:pt idx="0">
                  <c:v>2016-2017</c:v>
                </c:pt>
                <c:pt idx="1">
                  <c:v>2017-2018</c:v>
                </c:pt>
                <c:pt idx="2">
                  <c:v>2018-2019</c:v>
                </c:pt>
              </c:strCache>
            </c:strRef>
          </c:cat>
          <c:val>
            <c:numRef>
              <c:f>Helper!$K$57:$K$59</c:f>
              <c:numCache>
                <c:formatCode>0.00%</c:formatCode>
                <c:ptCount val="3"/>
                <c:pt idx="0">
                  <c:v>0</c:v>
                </c:pt>
                <c:pt idx="1">
                  <c:v>0</c:v>
                </c:pt>
                <c:pt idx="2">
                  <c:v>6.6445182724252495E-4</c:v>
                </c:pt>
              </c:numCache>
            </c:numRef>
          </c:val>
          <c:smooth val="0"/>
          <c:extLst xmlns:c16r2="http://schemas.microsoft.com/office/drawing/2015/06/chart">
            <c:ext xmlns:c16="http://schemas.microsoft.com/office/drawing/2014/chart" uri="{C3380CC4-5D6E-409C-BE32-E72D297353CC}">
              <c16:uniqueId val="{00000002-EDBA-4141-BC70-809775A4146A}"/>
            </c:ext>
          </c:extLst>
        </c:ser>
        <c:dLbls>
          <c:dLblPos val="t"/>
          <c:showLegendKey val="0"/>
          <c:showVal val="1"/>
          <c:showCatName val="0"/>
          <c:showSerName val="0"/>
          <c:showPercent val="0"/>
          <c:showBubbleSize val="0"/>
        </c:dLbls>
        <c:marker val="1"/>
        <c:smooth val="0"/>
        <c:axId val="265466056"/>
        <c:axId val="265468016"/>
      </c:lineChart>
      <c:catAx>
        <c:axId val="265466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5468016"/>
        <c:crosses val="autoZero"/>
        <c:auto val="1"/>
        <c:lblAlgn val="ctr"/>
        <c:lblOffset val="100"/>
        <c:noMultiLvlLbl val="0"/>
      </c:catAx>
      <c:valAx>
        <c:axId val="265468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5466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cap="none" spc="0">
                <a:ln w="0"/>
                <a:solidFill>
                  <a:schemeClr val="tx1"/>
                </a:solidFill>
                <a:effectLst>
                  <a:outerShdw blurRad="38100" dist="19050" dir="2700000" algn="tl" rotWithShape="0">
                    <a:schemeClr val="dk1">
                      <a:alpha val="40000"/>
                    </a:schemeClr>
                  </a:outerShdw>
                </a:effectLst>
              </a:rPr>
              <a:t>Learner-Toilet Ratio</a:t>
            </a:r>
          </a:p>
        </c:rich>
      </c:tx>
      <c:overlay val="0"/>
      <c:spPr>
        <a:noFill/>
        <a:ln>
          <a:noFill/>
        </a:ln>
        <a:effectLst/>
      </c:spPr>
    </c:title>
    <c:autoTitleDeleted val="0"/>
    <c:plotArea>
      <c:layout>
        <c:manualLayout>
          <c:layoutTarget val="inner"/>
          <c:xMode val="edge"/>
          <c:yMode val="edge"/>
          <c:x val="0.12147747156605425"/>
          <c:y val="5.31641878098571E-2"/>
          <c:w val="0.82759660250801981"/>
          <c:h val="0.92914653784219003"/>
        </c:manualLayout>
      </c:layout>
      <c:barChart>
        <c:barDir val="col"/>
        <c:grouping val="clustered"/>
        <c:varyColors val="0"/>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Helper!$A$135:$C$135</c15:sqref>
                  </c15:fullRef>
                </c:ext>
              </c:extLst>
              <c:f>Helper!$B$135</c:f>
              <c:numCache>
                <c:formatCode>General</c:formatCode>
                <c:ptCount val="1"/>
                <c:pt idx="0">
                  <c:v>84</c:v>
                </c:pt>
              </c:numCache>
            </c:numRef>
          </c:val>
          <c:extLst xmlns:c16r2="http://schemas.microsoft.com/office/drawing/2015/06/chart">
            <c:ext xmlns:c16="http://schemas.microsoft.com/office/drawing/2014/chart" uri="{C3380CC4-5D6E-409C-BE32-E72D297353CC}">
              <c16:uniqueId val="{00000002-C10E-4C18-AD0C-0E63447F33F9}"/>
            </c:ext>
          </c:extLst>
        </c:ser>
        <c:dLbls>
          <c:dLblPos val="inBase"/>
          <c:showLegendKey val="0"/>
          <c:showVal val="1"/>
          <c:showCatName val="0"/>
          <c:showSerName val="0"/>
          <c:showPercent val="0"/>
          <c:showBubbleSize val="0"/>
        </c:dLbls>
        <c:gapWidth val="219"/>
        <c:overlap val="-27"/>
        <c:axId val="270418480"/>
        <c:axId val="270421616"/>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ullRef>
                          <c15:sqref>Helper!$A$134:$C$134</c15:sqref>
                        </c15:fullRef>
                        <c15:formulaRef>
                          <c15:sqref>Helper!$B$134</c15:sqref>
                        </c15:formulaRef>
                      </c:ext>
                    </c:extLst>
                    <c:numCache>
                      <c:formatCode>General</c:formatCode>
                      <c:ptCount val="1"/>
                      <c:pt idx="0">
                        <c:v>0</c:v>
                      </c:pt>
                    </c:numCache>
                  </c:numRef>
                </c:val>
                <c:extLst xmlns:c16r2="http://schemas.microsoft.com/office/drawing/2015/06/chart">
                  <c:ext xmlns:c16="http://schemas.microsoft.com/office/drawing/2014/chart" uri="{C3380CC4-5D6E-409C-BE32-E72D297353CC}">
                    <c16:uniqueId val="{00000001-C10E-4C18-AD0C-0E63447F33F9}"/>
                  </c:ext>
                </c:extLst>
              </c15:ser>
            </c15:filteredBarSeries>
          </c:ext>
        </c:extLst>
      </c:barChart>
      <c:catAx>
        <c:axId val="270418480"/>
        <c:scaling>
          <c:orientation val="minMax"/>
        </c:scaling>
        <c:delete val="1"/>
        <c:axPos val="b"/>
        <c:numFmt formatCode="General" sourceLinked="0"/>
        <c:majorTickMark val="none"/>
        <c:minorTickMark val="none"/>
        <c:tickLblPos val="nextTo"/>
        <c:crossAx val="270421616"/>
        <c:crosses val="autoZero"/>
        <c:auto val="1"/>
        <c:lblAlgn val="ctr"/>
        <c:lblOffset val="100"/>
        <c:noMultiLvlLbl val="0"/>
      </c:catAx>
      <c:valAx>
        <c:axId val="270421616"/>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18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Learner-Seat Ratio</a:t>
            </a:r>
          </a:p>
        </c:rich>
      </c:tx>
      <c:overlay val="0"/>
      <c:spPr>
        <a:noFill/>
        <a:ln>
          <a:noFill/>
        </a:ln>
        <a:effectLst/>
      </c:spPr>
    </c:title>
    <c:autoTitleDeleted val="0"/>
    <c:plotArea>
      <c:layout/>
      <c:barChart>
        <c:barDir val="col"/>
        <c:grouping val="clustered"/>
        <c:varyColors val="0"/>
        <c:ser>
          <c:idx val="2"/>
          <c:order val="2"/>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Helper!$A$131:$C$131</c15:sqref>
                  </c15:fullRef>
                </c:ext>
              </c:extLst>
              <c:f>Helper!$B$131</c:f>
              <c:numCache>
                <c:formatCode>General</c:formatCode>
                <c:ptCount val="1"/>
                <c:pt idx="0">
                  <c:v>1.01</c:v>
                </c:pt>
              </c:numCache>
            </c:numRef>
          </c:val>
          <c:extLst xmlns:c16r2="http://schemas.microsoft.com/office/drawing/2015/06/chart">
            <c:ext xmlns:c16="http://schemas.microsoft.com/office/drawing/2014/chart" uri="{C3380CC4-5D6E-409C-BE32-E72D297353CC}">
              <c16:uniqueId val="{00000000-0252-4803-8674-EA17BD4559AB}"/>
            </c:ext>
          </c:extLst>
        </c:ser>
        <c:dLbls>
          <c:showLegendKey val="0"/>
          <c:showVal val="0"/>
          <c:showCatName val="0"/>
          <c:showSerName val="0"/>
          <c:showPercent val="0"/>
          <c:showBubbleSize val="0"/>
        </c:dLbls>
        <c:gapWidth val="219"/>
        <c:overlap val="-27"/>
        <c:axId val="270422400"/>
        <c:axId val="270424360"/>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val>
                  <c:numRef>
                    <c:extLst>
                      <c:ext uri="{02D57815-91ED-43cb-92C2-25804820EDAC}">
                        <c15:fullRef>
                          <c15:sqref>Helper!$A$129:$C$129</c15:sqref>
                        </c15:fullRef>
                        <c15:formulaRef>
                          <c15:sqref>Helper!$B$129</c15:sqref>
                        </c15:formulaRef>
                      </c:ext>
                    </c:extLst>
                    <c:numCache>
                      <c:formatCode>General</c:formatCode>
                      <c:ptCount val="1"/>
                    </c:numCache>
                  </c:numRef>
                </c:val>
                <c:extLst xmlns:c16r2="http://schemas.microsoft.com/office/drawing/2015/06/chart">
                  <c:ext xmlns:c16="http://schemas.microsoft.com/office/drawing/2014/chart" uri="{C3380CC4-5D6E-409C-BE32-E72D297353CC}">
                    <c16:uniqueId val="{00000001-0252-4803-8674-EA17BD4559AB}"/>
                  </c:ext>
                </c:extLst>
              </c15:ser>
            </c15:filteredBarSeries>
            <c15:filteredBarSeries>
              <c15:ser>
                <c:idx val="1"/>
                <c:order val="1"/>
                <c:spPr>
                  <a:solidFill>
                    <a:schemeClr val="accent2"/>
                  </a:solidFill>
                  <a:ln>
                    <a:noFill/>
                  </a:ln>
                  <a:effectLst/>
                </c:spPr>
                <c:invertIfNegative val="0"/>
                <c:val>
                  <c:numRef>
                    <c:extLst>
                      <c:ext xmlns:c15="http://schemas.microsoft.com/office/drawing/2012/chart" uri="{02D57815-91ED-43cb-92C2-25804820EDAC}">
                        <c15:fullRef>
                          <c15:sqref>Helper!$A$130:$C$130</c15:sqref>
                        </c15:fullRef>
                        <c15:formulaRef>
                          <c15:sqref>Helper!$B$130</c15:sqref>
                        </c15:formulaRef>
                      </c:ext>
                    </c:extLst>
                    <c:numCache>
                      <c:formatCode>General</c:formatCode>
                      <c:ptCount val="1"/>
                      <c:pt idx="0">
                        <c:v>0</c:v>
                      </c:pt>
                    </c:numCache>
                  </c:numRef>
                </c:val>
                <c:extLst xmlns:c15="http://schemas.microsoft.com/office/drawing/2012/chart" xmlns:c16r2="http://schemas.microsoft.com/office/drawing/2015/06/chart">
                  <c:ext xmlns:c16="http://schemas.microsoft.com/office/drawing/2014/chart" uri="{C3380CC4-5D6E-409C-BE32-E72D297353CC}">
                    <c16:uniqueId val="{00000002-0252-4803-8674-EA17BD4559AB}"/>
                  </c:ext>
                </c:extLst>
              </c15:ser>
            </c15:filteredBarSeries>
          </c:ext>
        </c:extLst>
      </c:barChart>
      <c:catAx>
        <c:axId val="270422400"/>
        <c:scaling>
          <c:orientation val="minMax"/>
        </c:scaling>
        <c:delete val="1"/>
        <c:axPos val="b"/>
        <c:numFmt formatCode="General" sourceLinked="0"/>
        <c:majorTickMark val="none"/>
        <c:minorTickMark val="none"/>
        <c:tickLblPos val="nextTo"/>
        <c:crossAx val="270424360"/>
        <c:crosses val="autoZero"/>
        <c:auto val="1"/>
        <c:lblAlgn val="ctr"/>
        <c:lblOffset val="100"/>
        <c:noMultiLvlLbl val="0"/>
      </c:catAx>
      <c:valAx>
        <c:axId val="270424360"/>
        <c:scaling>
          <c:orientation val="minMax"/>
          <c:max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22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lineChart>
        <c:grouping val="stacked"/>
        <c:varyColors val="0"/>
        <c:ser>
          <c:idx val="0"/>
          <c:order val="0"/>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Helper!$A$3:$A$5</c:f>
              <c:strCache>
                <c:ptCount val="3"/>
                <c:pt idx="0">
                  <c:v>SY 2016-2017</c:v>
                </c:pt>
                <c:pt idx="1">
                  <c:v>SY 2017-2018</c:v>
                </c:pt>
                <c:pt idx="2">
                  <c:v>SY 2018-2019</c:v>
                </c:pt>
              </c:strCache>
            </c:strRef>
          </c:cat>
          <c:val>
            <c:numRef>
              <c:f>Helper!$D$3:$D$5</c:f>
              <c:numCache>
                <c:formatCode>General</c:formatCode>
                <c:ptCount val="3"/>
                <c:pt idx="0">
                  <c:v>1290</c:v>
                </c:pt>
                <c:pt idx="1">
                  <c:v>1418</c:v>
                </c:pt>
                <c:pt idx="2">
                  <c:v>1505</c:v>
                </c:pt>
              </c:numCache>
            </c:numRef>
          </c:val>
          <c:smooth val="0"/>
          <c:extLst xmlns:c16r2="http://schemas.microsoft.com/office/drawing/2015/06/chart">
            <c:ext xmlns:c16="http://schemas.microsoft.com/office/drawing/2014/chart" uri="{C3380CC4-5D6E-409C-BE32-E72D297353CC}">
              <c16:uniqueId val="{00000000-5729-409E-8FB0-9C8B67E6AB7F}"/>
            </c:ext>
          </c:extLst>
        </c:ser>
        <c:dLbls>
          <c:showLegendKey val="0"/>
          <c:showVal val="0"/>
          <c:showCatName val="0"/>
          <c:showSerName val="0"/>
          <c:showPercent val="0"/>
          <c:showBubbleSize val="0"/>
        </c:dLbls>
        <c:marker val="1"/>
        <c:smooth val="0"/>
        <c:axId val="270425144"/>
        <c:axId val="270427888"/>
      </c:lineChart>
      <c:catAx>
        <c:axId val="270425144"/>
        <c:scaling>
          <c:orientation val="minMax"/>
        </c:scaling>
        <c:delete val="1"/>
        <c:axPos val="b"/>
        <c:numFmt formatCode="General" sourceLinked="1"/>
        <c:majorTickMark val="none"/>
        <c:minorTickMark val="none"/>
        <c:tickLblPos val="nextTo"/>
        <c:crossAx val="270427888"/>
        <c:crosses val="autoZero"/>
        <c:auto val="1"/>
        <c:lblAlgn val="ctr"/>
        <c:lblOffset val="100"/>
        <c:noMultiLvlLbl val="0"/>
      </c:catAx>
      <c:valAx>
        <c:axId val="270427888"/>
        <c:scaling>
          <c:orientation val="minMax"/>
        </c:scaling>
        <c:delete val="1"/>
        <c:axPos val="l"/>
        <c:numFmt formatCode="General" sourceLinked="1"/>
        <c:majorTickMark val="none"/>
        <c:minorTickMark val="none"/>
        <c:tickLblPos val="nextTo"/>
        <c:crossAx val="270425144"/>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sz="900">
                <a:latin typeface="Arial Narrow" panose="020B0606020202030204" pitchFamily="34" charset="0"/>
              </a:rPr>
              <a:t>Promotion Rate by Grade (Current School Year)</a:t>
            </a:r>
          </a:p>
        </c:rich>
      </c:tx>
      <c:overlay val="0"/>
      <c:spPr>
        <a:noFill/>
        <a:ln>
          <a:noFill/>
        </a:ln>
        <a:effectLst/>
      </c:spPr>
    </c:title>
    <c:autoTitleDeleted val="0"/>
    <c:plotArea>
      <c:layout/>
      <c:barChart>
        <c:barDir val="col"/>
        <c:grouping val="clustered"/>
        <c:varyColors val="1"/>
        <c:ser>
          <c:idx val="0"/>
          <c:order val="0"/>
          <c:tx>
            <c:v>Data_Promotion</c:v>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8CBE-4F2B-97DA-1E26A7318E1A}"/>
              </c:ext>
            </c:extLst>
          </c:dPt>
          <c:cat>
            <c:strRef>
              <c:f>[0]!Level_Promotion</c:f>
              <c:strCache>
                <c:ptCount val="6"/>
                <c:pt idx="0">
                  <c:v>Grade 7</c:v>
                </c:pt>
                <c:pt idx="1">
                  <c:v>Grade 8</c:v>
                </c:pt>
                <c:pt idx="2">
                  <c:v>Grade 9</c:v>
                </c:pt>
                <c:pt idx="3">
                  <c:v>Grade 10</c:v>
                </c:pt>
                <c:pt idx="4">
                  <c:v>Grade 11</c:v>
                </c:pt>
                <c:pt idx="5">
                  <c:v>Grade 12</c:v>
                </c:pt>
              </c:strCache>
            </c:strRef>
          </c:cat>
          <c:val>
            <c:numRef>
              <c:f>[0]!Data_Promotion</c:f>
              <c:numCache>
                <c:formatCode>General</c:formatCode>
                <c:ptCount val="6"/>
                <c:pt idx="0">
                  <c:v>90.64500000000001</c:v>
                </c:pt>
                <c:pt idx="1">
                  <c:v>93.544999999999987</c:v>
                </c:pt>
                <c:pt idx="2">
                  <c:v>93.05</c:v>
                </c:pt>
                <c:pt idx="3">
                  <c:v>94.67</c:v>
                </c:pt>
                <c:pt idx="4">
                  <c:v>88.265000000000001</c:v>
                </c:pt>
                <c:pt idx="5">
                  <c:v>98.384999999999991</c:v>
                </c:pt>
              </c:numCache>
            </c:numRef>
          </c:val>
          <c:extLst xmlns:c16r2="http://schemas.microsoft.com/office/drawing/2015/06/chart">
            <c:ext xmlns:c16="http://schemas.microsoft.com/office/drawing/2014/chart" uri="{C3380CC4-5D6E-409C-BE32-E72D297353CC}">
              <c16:uniqueId val="{00000000-4AC3-4291-9750-85848AF01432}"/>
            </c:ext>
          </c:extLst>
        </c:ser>
        <c:dLbls>
          <c:showLegendKey val="0"/>
          <c:showVal val="0"/>
          <c:showCatName val="0"/>
          <c:showSerName val="0"/>
          <c:showPercent val="0"/>
          <c:showBubbleSize val="0"/>
        </c:dLbls>
        <c:gapWidth val="60"/>
        <c:overlap val="-27"/>
        <c:axId val="270426712"/>
        <c:axId val="270428280"/>
      </c:barChart>
      <c:catAx>
        <c:axId val="270426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0428280"/>
        <c:crosses val="autoZero"/>
        <c:auto val="1"/>
        <c:lblAlgn val="ctr"/>
        <c:lblOffset val="100"/>
        <c:noMultiLvlLbl val="0"/>
      </c:catAx>
      <c:valAx>
        <c:axId val="270428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0426712"/>
        <c:crosses val="autoZero"/>
        <c:crossBetween val="between"/>
      </c:valAx>
      <c:spPr>
        <a:noFill/>
        <a:ln>
          <a:noFill/>
        </a:ln>
        <a:effectLst/>
      </c:spPr>
    </c:plotArea>
    <c:plotVisOnly val="0"/>
    <c:dispBlanksAs val="gap"/>
    <c:showDLblsOverMax val="0"/>
  </c:chart>
  <c:spPr>
    <a:pattFill prst="ltDnDiag">
      <a:fgClr>
        <a:schemeClr val="accent2">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val>
            <c:numRef>
              <c:f>Helper!$B$78:$D$78</c:f>
              <c:numCache>
                <c:formatCode>0.00</c:formatCode>
                <c:ptCount val="3"/>
                <c:pt idx="0">
                  <c:v>97.92</c:v>
                </c:pt>
                <c:pt idx="1">
                  <c:v>98.55</c:v>
                </c:pt>
                <c:pt idx="2">
                  <c:v>93.09</c:v>
                </c:pt>
              </c:numCache>
            </c:numRef>
          </c:val>
          <c:extLst xmlns:c16r2="http://schemas.microsoft.com/office/drawing/2015/06/chart">
            <c:ext xmlns:c16="http://schemas.microsoft.com/office/drawing/2014/chart" uri="{C3380CC4-5D6E-409C-BE32-E72D297353CC}">
              <c16:uniqueId val="{00000000-385B-4BF0-AD8E-C53BA8D532F7}"/>
            </c:ext>
            <c:ext xmlns:c15="http://schemas.microsoft.com/office/drawing/2012/chart" uri="{02D57815-91ED-43cb-92C2-25804820EDAC}">
              <c15:filteredCategoryTitle>
                <c15:cat>
                  <c:strRef>
                    <c:extLst xmlns:c16r2="http://schemas.microsoft.com/office/drawing/2015/06/chart" xmlns:c16="http://schemas.microsoft.com/office/drawing/2014/chart">
                      <c:ext uri="{02D57815-91ED-43cb-92C2-25804820EDAC}">
                        <c15:formulaRef>
                          <c15:sqref>Helper!$B$62:$D$62</c15:sqref>
                        </c15:formulaRef>
                      </c:ext>
                    </c:extLst>
                    <c:strCache>
                      <c:ptCount val="3"/>
                      <c:pt idx="0">
                        <c:v>2016-2017</c:v>
                      </c:pt>
                      <c:pt idx="1">
                        <c:v>2017-2018</c:v>
                      </c:pt>
                      <c:pt idx="2">
                        <c:v>2018-2019</c:v>
                      </c:pt>
                    </c:strCache>
                  </c:strRef>
                </c15:cat>
              </c15:filteredCategoryTitle>
            </c:ext>
          </c:extLst>
        </c:ser>
        <c:dLbls>
          <c:showLegendKey val="0"/>
          <c:showVal val="0"/>
          <c:showCatName val="0"/>
          <c:showSerName val="0"/>
          <c:showPercent val="0"/>
          <c:showBubbleSize val="0"/>
        </c:dLbls>
        <c:gapWidth val="219"/>
        <c:overlap val="-27"/>
        <c:axId val="270416128"/>
        <c:axId val="270419656"/>
      </c:barChart>
      <c:catAx>
        <c:axId val="27041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19656"/>
        <c:crosses val="autoZero"/>
        <c:auto val="1"/>
        <c:lblAlgn val="ctr"/>
        <c:lblOffset val="100"/>
        <c:noMultiLvlLbl val="0"/>
      </c:catAx>
      <c:valAx>
        <c:axId val="270419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16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000"/>
              <a:t>Promotion Rate</a:t>
            </a:r>
            <a:r>
              <a:rPr lang="en-US" sz="1000" baseline="0"/>
              <a:t> per School Year</a:t>
            </a:r>
            <a:endParaRPr lang="en-US" sz="1000"/>
          </a:p>
        </c:rich>
      </c:tx>
      <c:overlay val="0"/>
      <c:spPr>
        <a:noFill/>
        <a:ln>
          <a:noFill/>
        </a:ln>
        <a:effectLst/>
      </c:spPr>
    </c:title>
    <c:autoTitleDeleted val="0"/>
    <c:plotArea>
      <c:layout>
        <c:manualLayout>
          <c:layoutTarget val="inner"/>
          <c:xMode val="edge"/>
          <c:yMode val="edge"/>
          <c:x val="3.2213612453409014E-2"/>
          <c:y val="0.16862462528374467"/>
          <c:w val="0.93557277509318193"/>
          <c:h val="0.83137537471625533"/>
        </c:manualLayout>
      </c:layout>
      <c:lineChart>
        <c:grouping val="standard"/>
        <c:varyColors val="0"/>
        <c:ser>
          <c:idx val="0"/>
          <c:order val="0"/>
          <c:spPr>
            <a:ln w="28575" cap="rnd">
              <a:solidFill>
                <a:schemeClr val="accent2"/>
              </a:solidFill>
              <a:round/>
              <a:headEnd w="med" len="med"/>
            </a:ln>
            <a:effectLst/>
          </c:spPr>
          <c:marker>
            <c:symbol val="circle"/>
            <c:size val="8"/>
            <c:spPr>
              <a:solidFill>
                <a:schemeClr val="accent2"/>
              </a:solidFill>
              <a:ln w="6350" cmpd="dbl">
                <a:solidFill>
                  <a:schemeClr val="accent2"/>
                </a:solidFill>
                <a:headEnd w="sm" len="sm"/>
                <a:tailEnd w="sm" len="sm"/>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Helper!$B$78:$D$78</c:f>
              <c:numCache>
                <c:formatCode>0.00</c:formatCode>
                <c:ptCount val="3"/>
                <c:pt idx="0">
                  <c:v>97.92</c:v>
                </c:pt>
                <c:pt idx="1">
                  <c:v>98.55</c:v>
                </c:pt>
                <c:pt idx="2">
                  <c:v>93.09</c:v>
                </c:pt>
              </c:numCache>
            </c:numRef>
          </c:val>
          <c:smooth val="0"/>
          <c:extLst xmlns:c16r2="http://schemas.microsoft.com/office/drawing/2015/06/chart">
            <c:ext xmlns:c16="http://schemas.microsoft.com/office/drawing/2014/chart" uri="{C3380CC4-5D6E-409C-BE32-E72D297353CC}">
              <c16:uniqueId val="{00000000-A166-4A28-B441-B20E88DF1120}"/>
            </c:ext>
          </c:extLst>
        </c:ser>
        <c:dLbls>
          <c:dLblPos val="t"/>
          <c:showLegendKey val="0"/>
          <c:showVal val="1"/>
          <c:showCatName val="0"/>
          <c:showSerName val="0"/>
          <c:showPercent val="0"/>
          <c:showBubbleSize val="0"/>
        </c:dLbls>
        <c:marker val="1"/>
        <c:smooth val="0"/>
        <c:axId val="270420832"/>
        <c:axId val="270417304"/>
      </c:lineChart>
      <c:catAx>
        <c:axId val="270420832"/>
        <c:scaling>
          <c:orientation val="minMax"/>
        </c:scaling>
        <c:delete val="1"/>
        <c:axPos val="b"/>
        <c:numFmt formatCode="General" sourceLinked="1"/>
        <c:majorTickMark val="none"/>
        <c:minorTickMark val="none"/>
        <c:tickLblPos val="nextTo"/>
        <c:crossAx val="270417304"/>
        <c:crosses val="autoZero"/>
        <c:auto val="1"/>
        <c:lblAlgn val="ctr"/>
        <c:lblOffset val="100"/>
        <c:noMultiLvlLbl val="0"/>
      </c:catAx>
      <c:valAx>
        <c:axId val="270417304"/>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2704208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PH" sz="1200"/>
              <a:t>Number</a:t>
            </a:r>
            <a:r>
              <a:rPr lang="en-PH" sz="1200" baseline="0"/>
              <a:t> of Partners by General Partner Type</a:t>
            </a:r>
            <a:endParaRPr lang="en-PH" sz="1200"/>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invertIfNegative val="0"/>
          <c:dPt>
            <c:idx val="0"/>
            <c:invertIfNegative val="0"/>
            <c:bubble3D val="0"/>
            <c:spPr>
              <a:solidFill>
                <a:schemeClr val="accent1"/>
              </a:solidFill>
              <a:ln>
                <a:noFill/>
              </a:ln>
              <a:effectLst/>
              <a:sp3d/>
            </c:spPr>
            <c:extLst xmlns:c16r2="http://schemas.microsoft.com/office/drawing/2015/06/chart">
              <c:ext xmlns:c16="http://schemas.microsoft.com/office/drawing/2014/chart" uri="{C3380CC4-5D6E-409C-BE32-E72D297353CC}">
                <c16:uniqueId val="{00000001-6C86-4412-9062-D1F5B8808E7D}"/>
              </c:ext>
            </c:extLst>
          </c:dPt>
          <c:dPt>
            <c:idx val="1"/>
            <c:invertIfNegative val="0"/>
            <c:bubble3D val="0"/>
            <c:spPr>
              <a:solidFill>
                <a:schemeClr val="accent2"/>
              </a:solidFill>
              <a:ln>
                <a:noFill/>
              </a:ln>
              <a:effectLst/>
              <a:sp3d/>
            </c:spPr>
            <c:extLst xmlns:c16r2="http://schemas.microsoft.com/office/drawing/2015/06/chart">
              <c:ext xmlns:c16="http://schemas.microsoft.com/office/drawing/2014/chart" uri="{C3380CC4-5D6E-409C-BE32-E72D297353CC}">
                <c16:uniqueId val="{00000003-6C86-4412-9062-D1F5B8808E7D}"/>
              </c:ext>
            </c:extLst>
          </c:dPt>
          <c:dPt>
            <c:idx val="2"/>
            <c:invertIfNegative val="0"/>
            <c:bubble3D val="0"/>
            <c:spPr>
              <a:solidFill>
                <a:schemeClr val="accent3"/>
              </a:solidFill>
              <a:ln>
                <a:noFill/>
              </a:ln>
              <a:effectLst/>
              <a:sp3d/>
            </c:spPr>
            <c:extLst xmlns:c16r2="http://schemas.microsoft.com/office/drawing/2015/06/chart">
              <c:ext xmlns:c16="http://schemas.microsoft.com/office/drawing/2014/chart" uri="{C3380CC4-5D6E-409C-BE32-E72D297353CC}">
                <c16:uniqueId val="{00000005-6C86-4412-9062-D1F5B8808E7D}"/>
              </c:ext>
            </c:extLst>
          </c:dPt>
          <c:dPt>
            <c:idx val="3"/>
            <c:invertIfNegative val="0"/>
            <c:bubble3D val="0"/>
            <c:spPr>
              <a:solidFill>
                <a:schemeClr val="accent4"/>
              </a:solidFill>
              <a:ln>
                <a:noFill/>
              </a:ln>
              <a:effectLst/>
              <a:sp3d/>
            </c:spPr>
            <c:extLst xmlns:c16r2="http://schemas.microsoft.com/office/drawing/2015/06/chart">
              <c:ext xmlns:c16="http://schemas.microsoft.com/office/drawing/2014/chart" uri="{C3380CC4-5D6E-409C-BE32-E72D297353CC}">
                <c16:uniqueId val="{00000007-6C86-4412-9062-D1F5B8808E7D}"/>
              </c:ext>
            </c:extLst>
          </c:dPt>
          <c:dPt>
            <c:idx val="4"/>
            <c:invertIfNegative val="0"/>
            <c:bubble3D val="0"/>
            <c:spPr>
              <a:solidFill>
                <a:schemeClr val="accent5"/>
              </a:solidFill>
              <a:ln>
                <a:noFill/>
              </a:ln>
              <a:effectLst/>
              <a:sp3d/>
            </c:spPr>
            <c:extLst xmlns:c16r2="http://schemas.microsoft.com/office/drawing/2015/06/chart">
              <c:ext xmlns:c16="http://schemas.microsoft.com/office/drawing/2014/chart" uri="{C3380CC4-5D6E-409C-BE32-E72D297353CC}">
                <c16:uniqueId val="{00000009-6C86-4412-9062-D1F5B8808E7D}"/>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Helper!$O$701:$O$705</c:f>
              <c:numCache>
                <c:formatCode>General</c:formatCode>
                <c:ptCount val="5"/>
                <c:pt idx="0">
                  <c:v>1</c:v>
                </c:pt>
                <c:pt idx="1">
                  <c:v>1</c:v>
                </c:pt>
                <c:pt idx="2">
                  <c:v>1</c:v>
                </c:pt>
                <c:pt idx="3">
                  <c:v>1</c:v>
                </c:pt>
                <c:pt idx="4">
                  <c:v>0</c:v>
                </c:pt>
              </c:numCache>
            </c:numRef>
          </c:val>
          <c:extLst xmlns:c16r2="http://schemas.microsoft.com/office/drawing/2015/06/chart">
            <c:ext xmlns:c16="http://schemas.microsoft.com/office/drawing/2014/chart" uri="{C3380CC4-5D6E-409C-BE32-E72D297353CC}">
              <c16:uniqueId val="{00000000-5D02-403F-9591-FB46C27673D7}"/>
            </c:ext>
            <c:ext xmlns:c15="http://schemas.microsoft.com/office/drawing/2012/chart" uri="{02D57815-91ED-43cb-92C2-25804820EDAC}">
              <c15:filteredCategoryTitle>
                <c15:cat>
                  <c:strRef>
                    <c:extLst>
                      <c:ext uri="{02D57815-91ED-43cb-92C2-25804820EDAC}">
                        <c15:formulaRef>
                          <c15:sqref>Helper!$N$701:$N$705</c15:sqref>
                        </c15:formulaRef>
                      </c:ext>
                    </c:extLst>
                    <c:strCache>
                      <c:ptCount val="4"/>
                      <c:pt idx="0">
                        <c:v>Private Sector</c:v>
                      </c:pt>
                      <c:pt idx="1">
                        <c:v>Public Sector</c:v>
                      </c:pt>
                      <c:pt idx="2">
                        <c:v>Civil Society Organizations</c:v>
                      </c:pt>
                      <c:pt idx="3">
                        <c:v>International</c:v>
                      </c:pt>
                    </c:strCache>
                  </c:strRef>
                </c15:cat>
              </c15:filteredCategoryTitle>
            </c:ext>
          </c:extLst>
        </c:ser>
        <c:dLbls>
          <c:showLegendKey val="0"/>
          <c:showVal val="0"/>
          <c:showCatName val="0"/>
          <c:showSerName val="0"/>
          <c:showPercent val="0"/>
          <c:showBubbleSize val="0"/>
        </c:dLbls>
        <c:gapWidth val="150"/>
        <c:shape val="box"/>
        <c:axId val="270418872"/>
        <c:axId val="270419264"/>
        <c:axId val="0"/>
      </c:bar3DChart>
      <c:catAx>
        <c:axId val="270418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0419264"/>
        <c:crosses val="autoZero"/>
        <c:auto val="1"/>
        <c:lblAlgn val="ctr"/>
        <c:lblOffset val="100"/>
        <c:noMultiLvlLbl val="0"/>
      </c:catAx>
      <c:valAx>
        <c:axId val="27041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188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a:t>Number of Partners by Specific Type</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v>Number of Partners by Specific Type</c:v>
          </c:tx>
          <c:invertIfNegative val="0"/>
          <c:dPt>
            <c:idx val="0"/>
            <c:invertIfNegative val="0"/>
            <c:bubble3D val="0"/>
            <c:spPr>
              <a:solidFill>
                <a:schemeClr val="accent1"/>
              </a:solidFill>
              <a:ln>
                <a:noFill/>
              </a:ln>
              <a:effectLst/>
              <a:sp3d/>
            </c:spPr>
            <c:extLst xmlns:c16r2="http://schemas.microsoft.com/office/drawing/2015/06/chart">
              <c:ext xmlns:c16="http://schemas.microsoft.com/office/drawing/2014/chart" uri="{C3380CC4-5D6E-409C-BE32-E72D297353CC}">
                <c16:uniqueId val="{00000001-83E5-4BEF-97DF-33E5763FBD52}"/>
              </c:ext>
            </c:extLst>
          </c:dPt>
          <c:cat>
            <c:strRef>
              <c:f>[0]!Level_SPT</c:f>
              <c:strCache>
                <c:ptCount val="3"/>
                <c:pt idx="0">
                  <c:v>Private Company</c:v>
                </c:pt>
                <c:pt idx="1">
                  <c:v>People's Organizations</c:v>
                </c:pt>
                <c:pt idx="2">
                  <c:v>Others</c:v>
                </c:pt>
              </c:strCache>
            </c:strRef>
          </c:cat>
          <c:val>
            <c:numRef>
              <c:f>[0]!Data_SPT</c:f>
              <c:numCache>
                <c:formatCode>General</c:formatCode>
                <c:ptCount val="3"/>
                <c:pt idx="0">
                  <c:v>1</c:v>
                </c:pt>
                <c:pt idx="1">
                  <c:v>1</c:v>
                </c:pt>
                <c:pt idx="2">
                  <c:v>1</c:v>
                </c:pt>
              </c:numCache>
            </c:numRef>
          </c:val>
          <c:extLst xmlns:c16r2="http://schemas.microsoft.com/office/drawing/2015/06/chart">
            <c:ext xmlns:c16="http://schemas.microsoft.com/office/drawing/2014/chart" uri="{C3380CC4-5D6E-409C-BE32-E72D297353CC}">
              <c16:uniqueId val="{00000000-E7FF-4DC3-807B-7D79D5AF41D5}"/>
            </c:ext>
          </c:extLst>
        </c:ser>
        <c:dLbls>
          <c:showLegendKey val="0"/>
          <c:showVal val="0"/>
          <c:showCatName val="0"/>
          <c:showSerName val="0"/>
          <c:showPercent val="0"/>
          <c:showBubbleSize val="0"/>
        </c:dLbls>
        <c:gapWidth val="150"/>
        <c:shape val="box"/>
        <c:axId val="270429064"/>
        <c:axId val="270429456"/>
        <c:axId val="0"/>
      </c:bar3DChart>
      <c:catAx>
        <c:axId val="270429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70429456"/>
        <c:crosses val="autoZero"/>
        <c:auto val="1"/>
        <c:lblAlgn val="ctr"/>
        <c:lblOffset val="100"/>
        <c:noMultiLvlLbl val="0"/>
      </c:catAx>
      <c:valAx>
        <c:axId val="27042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704290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a:t>Number of Support per Specific Contribution Type</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v>Number of Support per Specific Contribution Type</c:v>
          </c:tx>
          <c:invertIfNegative val="0"/>
          <c:dPt>
            <c:idx val="0"/>
            <c:invertIfNegative val="0"/>
            <c:bubble3D val="0"/>
            <c:spPr>
              <a:solidFill>
                <a:schemeClr val="accent1"/>
              </a:solidFill>
              <a:ln>
                <a:noFill/>
              </a:ln>
              <a:effectLst/>
              <a:sp3d/>
            </c:spPr>
            <c:extLst xmlns:c16r2="http://schemas.microsoft.com/office/drawing/2015/06/chart">
              <c:ext xmlns:c16="http://schemas.microsoft.com/office/drawing/2014/chart" uri="{C3380CC4-5D6E-409C-BE32-E72D297353CC}">
                <c16:uniqueId val="{00000001-2C8E-466A-9191-69B8C09B5278}"/>
              </c:ext>
            </c:extLst>
          </c:dPt>
          <c:cat>
            <c:strRef>
              <c:f>[0]!Level_CT</c:f>
              <c:strCache>
                <c:ptCount val="8"/>
                <c:pt idx="0">
                  <c:v>Policy Support</c:v>
                </c:pt>
                <c:pt idx="1">
                  <c:v>Technical Assistance</c:v>
                </c:pt>
                <c:pt idx="2">
                  <c:v>Learner School Supplies Uniforms</c:v>
                </c:pt>
                <c:pt idx="3">
                  <c:v>Learner Wellness Health Nutrition</c:v>
                </c:pt>
                <c:pt idx="4">
                  <c:v>Technology</c:v>
                </c:pt>
                <c:pt idx="5">
                  <c:v>Use of Facilities</c:v>
                </c:pt>
                <c:pt idx="6">
                  <c:v>Volunteer Hours</c:v>
                </c:pt>
                <c:pt idx="7">
                  <c:v>Work Immersion</c:v>
                </c:pt>
              </c:strCache>
            </c:strRef>
          </c:cat>
          <c:val>
            <c:numRef>
              <c:f>[0]!Data_CT</c:f>
              <c:numCache>
                <c:formatCode>General</c:formatCode>
                <c:ptCount val="8"/>
                <c:pt idx="0">
                  <c:v>2</c:v>
                </c:pt>
                <c:pt idx="1">
                  <c:v>2</c:v>
                </c:pt>
                <c:pt idx="2">
                  <c:v>1</c:v>
                </c:pt>
                <c:pt idx="3">
                  <c:v>1</c:v>
                </c:pt>
                <c:pt idx="4">
                  <c:v>1</c:v>
                </c:pt>
                <c:pt idx="5">
                  <c:v>1</c:v>
                </c:pt>
                <c:pt idx="6">
                  <c:v>1</c:v>
                </c:pt>
                <c:pt idx="7">
                  <c:v>1</c:v>
                </c:pt>
              </c:numCache>
            </c:numRef>
          </c:val>
          <c:extLst xmlns:c16r2="http://schemas.microsoft.com/office/drawing/2015/06/chart">
            <c:ext xmlns:c16="http://schemas.microsoft.com/office/drawing/2014/chart" uri="{C3380CC4-5D6E-409C-BE32-E72D297353CC}">
              <c16:uniqueId val="{00000000-6DFD-4367-8564-E4BF93B8513C}"/>
            </c:ext>
          </c:extLst>
        </c:ser>
        <c:dLbls>
          <c:showLegendKey val="0"/>
          <c:showVal val="0"/>
          <c:showCatName val="0"/>
          <c:showSerName val="0"/>
          <c:showPercent val="0"/>
          <c:showBubbleSize val="0"/>
        </c:dLbls>
        <c:gapWidth val="150"/>
        <c:shape val="box"/>
        <c:axId val="270431808"/>
        <c:axId val="270431416"/>
        <c:axId val="0"/>
      </c:bar3DChart>
      <c:catAx>
        <c:axId val="270431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0431416"/>
        <c:crosses val="autoZero"/>
        <c:auto val="1"/>
        <c:lblAlgn val="ctr"/>
        <c:lblOffset val="100"/>
        <c:noMultiLvlLbl val="0"/>
      </c:catAx>
      <c:valAx>
        <c:axId val="27043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704318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PH" sz="1000" b="1" i="0" baseline="0">
                <a:effectLst/>
              </a:rPr>
              <a:t>Phil-IRI GST-English (Pre-Test)</a:t>
            </a:r>
            <a:endParaRPr lang="en-US" sz="1000" b="1">
              <a:effectLst/>
            </a:endParaRPr>
          </a:p>
        </c:rich>
      </c:tx>
      <c:overlay val="0"/>
      <c:spPr>
        <a:noFill/>
        <a:ln>
          <a:noFill/>
        </a:ln>
        <a:effectLst/>
      </c:spPr>
    </c:title>
    <c:autoTitleDeleted val="0"/>
    <c:plotArea>
      <c:layout/>
      <c:barChart>
        <c:barDir val="col"/>
        <c:grouping val="stacked"/>
        <c:varyColors val="0"/>
        <c:ser>
          <c:idx val="0"/>
          <c:order val="0"/>
          <c:tx>
            <c:v>20-14</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c:f>
              <c:strCache>
                <c:ptCount val="6"/>
                <c:pt idx="0">
                  <c:v>Grade 7</c:v>
                </c:pt>
                <c:pt idx="1">
                  <c:v>Grade 8</c:v>
                </c:pt>
                <c:pt idx="2">
                  <c:v>Grade 9</c:v>
                </c:pt>
                <c:pt idx="3">
                  <c:v>Grade 10</c:v>
                </c:pt>
                <c:pt idx="4">
                  <c:v>Grade 11</c:v>
                </c:pt>
                <c:pt idx="5">
                  <c:v>Grade 12</c:v>
                </c:pt>
              </c:strCache>
            </c:strRef>
          </c:cat>
          <c:val>
            <c:numRef>
              <c:f>[0]!Data_PHILIRI</c:f>
              <c:numCache>
                <c:formatCode>0.00</c:formatCode>
                <c:ptCount val="6"/>
                <c:pt idx="0">
                  <c:v>17.582417582417584</c:v>
                </c:pt>
                <c:pt idx="1">
                  <c:v>38.032786885245898</c:v>
                </c:pt>
                <c:pt idx="2">
                  <c:v>34.412955465587039</c:v>
                </c:pt>
                <c:pt idx="3">
                  <c:v>47.058823529411761</c:v>
                </c:pt>
                <c:pt idx="4">
                  <c:v>50.24154589371981</c:v>
                </c:pt>
                <c:pt idx="5">
                  <c:v>26.086956521739129</c:v>
                </c:pt>
              </c:numCache>
            </c:numRef>
          </c:val>
          <c:extLst xmlns:c16r2="http://schemas.microsoft.com/office/drawing/2015/06/chart">
            <c:ext xmlns:c16="http://schemas.microsoft.com/office/drawing/2014/chart" uri="{C3380CC4-5D6E-409C-BE32-E72D297353CC}">
              <c16:uniqueId val="{00000000-E23D-4C79-97C7-891B408C39FA}"/>
            </c:ext>
          </c:extLst>
        </c:ser>
        <c:ser>
          <c:idx val="1"/>
          <c:order val="1"/>
          <c:tx>
            <c:v>13-8</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c:f>
              <c:strCache>
                <c:ptCount val="6"/>
                <c:pt idx="0">
                  <c:v>Grade 7</c:v>
                </c:pt>
                <c:pt idx="1">
                  <c:v>Grade 8</c:v>
                </c:pt>
                <c:pt idx="2">
                  <c:v>Grade 9</c:v>
                </c:pt>
                <c:pt idx="3">
                  <c:v>Grade 10</c:v>
                </c:pt>
                <c:pt idx="4">
                  <c:v>Grade 11</c:v>
                </c:pt>
                <c:pt idx="5">
                  <c:v>Grade 12</c:v>
                </c:pt>
              </c:strCache>
            </c:strRef>
          </c:cat>
          <c:val>
            <c:numRef>
              <c:f>[0]!Data_PHILIRI2</c:f>
              <c:numCache>
                <c:formatCode>0.00</c:formatCode>
                <c:ptCount val="6"/>
                <c:pt idx="0">
                  <c:v>74.72527472527473</c:v>
                </c:pt>
                <c:pt idx="1">
                  <c:v>60.327868852459019</c:v>
                </c:pt>
                <c:pt idx="2">
                  <c:v>61.53846153846154</c:v>
                </c:pt>
                <c:pt idx="3">
                  <c:v>47.511312217194565</c:v>
                </c:pt>
                <c:pt idx="4">
                  <c:v>25.120772946859905</c:v>
                </c:pt>
                <c:pt idx="5">
                  <c:v>40.993788819875775</c:v>
                </c:pt>
              </c:numCache>
            </c:numRef>
          </c:val>
          <c:extLst xmlns:c16r2="http://schemas.microsoft.com/office/drawing/2015/06/chart">
            <c:ext xmlns:c16="http://schemas.microsoft.com/office/drawing/2014/chart" uri="{C3380CC4-5D6E-409C-BE32-E72D297353CC}">
              <c16:uniqueId val="{00000001-E23D-4C79-97C7-891B408C39FA}"/>
            </c:ext>
          </c:extLst>
        </c:ser>
        <c:ser>
          <c:idx val="2"/>
          <c:order val="2"/>
          <c:tx>
            <c:v>7-0</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c:f>
              <c:strCache>
                <c:ptCount val="6"/>
                <c:pt idx="0">
                  <c:v>Grade 7</c:v>
                </c:pt>
                <c:pt idx="1">
                  <c:v>Grade 8</c:v>
                </c:pt>
                <c:pt idx="2">
                  <c:v>Grade 9</c:v>
                </c:pt>
                <c:pt idx="3">
                  <c:v>Grade 10</c:v>
                </c:pt>
                <c:pt idx="4">
                  <c:v>Grade 11</c:v>
                </c:pt>
                <c:pt idx="5">
                  <c:v>Grade 12</c:v>
                </c:pt>
              </c:strCache>
            </c:strRef>
          </c:cat>
          <c:val>
            <c:numRef>
              <c:f>[0]!Data_PHILIRI3</c:f>
              <c:numCache>
                <c:formatCode>0.00</c:formatCode>
                <c:ptCount val="6"/>
                <c:pt idx="0">
                  <c:v>7.6923076923076925</c:v>
                </c:pt>
                <c:pt idx="1">
                  <c:v>1.639344262295082</c:v>
                </c:pt>
                <c:pt idx="2">
                  <c:v>4.048582995951417</c:v>
                </c:pt>
                <c:pt idx="3">
                  <c:v>5.4298642533936654</c:v>
                </c:pt>
                <c:pt idx="4">
                  <c:v>24.637681159420293</c:v>
                </c:pt>
                <c:pt idx="5">
                  <c:v>32.919254658385093</c:v>
                </c:pt>
              </c:numCache>
            </c:numRef>
          </c:val>
          <c:extLst xmlns:c16r2="http://schemas.microsoft.com/office/drawing/2015/06/chart">
            <c:ext xmlns:c16="http://schemas.microsoft.com/office/drawing/2014/chart" uri="{C3380CC4-5D6E-409C-BE32-E72D297353CC}">
              <c16:uniqueId val="{00000002-E23D-4C79-97C7-891B408C39FA}"/>
            </c:ext>
          </c:extLst>
        </c:ser>
        <c:dLbls>
          <c:dLblPos val="ctr"/>
          <c:showLegendKey val="0"/>
          <c:showVal val="1"/>
          <c:showCatName val="0"/>
          <c:showSerName val="0"/>
          <c:showPercent val="0"/>
          <c:showBubbleSize val="0"/>
        </c:dLbls>
        <c:gapWidth val="150"/>
        <c:overlap val="100"/>
        <c:axId val="270430240"/>
        <c:axId val="270430632"/>
      </c:barChart>
      <c:catAx>
        <c:axId val="27043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30632"/>
        <c:crosses val="autoZero"/>
        <c:auto val="1"/>
        <c:lblAlgn val="ctr"/>
        <c:lblOffset val="100"/>
        <c:noMultiLvlLbl val="0"/>
      </c:catAx>
      <c:valAx>
        <c:axId val="27043063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430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PH" sz="2800"/>
              <a:t>NAT</a:t>
            </a:r>
            <a:r>
              <a:rPr lang="en-PH" sz="2800" baseline="0"/>
              <a:t> Results by Learning Area</a:t>
            </a:r>
            <a:endParaRPr lang="en-PH" sz="2800"/>
          </a:p>
        </c:rich>
      </c:tx>
      <c:layout>
        <c:manualLayout>
          <c:xMode val="edge"/>
          <c:yMode val="edge"/>
          <c:x val="0.12022248602747442"/>
          <c:y val="1.813270462113541E-2"/>
        </c:manualLayout>
      </c:layout>
      <c:overlay val="0"/>
      <c:spPr>
        <a:noFill/>
        <a:ln>
          <a:noFill/>
        </a:ln>
        <a:effectLst/>
      </c:spPr>
    </c:title>
    <c:autoTitleDeleted val="0"/>
    <c:plotArea>
      <c:layout/>
      <c:barChart>
        <c:barDir val="col"/>
        <c:grouping val="clustered"/>
        <c:varyColors val="0"/>
        <c:ser>
          <c:idx val="0"/>
          <c:order val="0"/>
          <c:tx>
            <c:strRef>
              <c:f>Helper!$B$80</c:f>
              <c:strCache>
                <c:ptCount val="1"/>
                <c:pt idx="0">
                  <c:v>2016-2017</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Helper!$A$81:$A$85</c:f>
              <c:strCache>
                <c:ptCount val="5"/>
                <c:pt idx="0">
                  <c:v>English</c:v>
                </c:pt>
                <c:pt idx="1">
                  <c:v>Filipino</c:v>
                </c:pt>
                <c:pt idx="2">
                  <c:v>Math</c:v>
                </c:pt>
                <c:pt idx="3">
                  <c:v>Science </c:v>
                </c:pt>
                <c:pt idx="4">
                  <c:v>HEKASI</c:v>
                </c:pt>
              </c:strCache>
            </c:strRef>
          </c:cat>
          <c:val>
            <c:numRef>
              <c:f>Helper!$B$81:$B$85</c:f>
              <c:numCache>
                <c:formatCode>0.00</c:formatCode>
                <c:ptCount val="5"/>
                <c:pt idx="0">
                  <c:v>0</c:v>
                </c:pt>
                <c:pt idx="1">
                  <c:v>0</c:v>
                </c:pt>
                <c:pt idx="2">
                  <c:v>0</c:v>
                </c:pt>
                <c:pt idx="3">
                  <c:v>0</c:v>
                </c:pt>
                <c:pt idx="4">
                  <c:v>0</c:v>
                </c:pt>
              </c:numCache>
            </c:numRef>
          </c:val>
          <c:extLst xmlns:c16r2="http://schemas.microsoft.com/office/drawing/2015/06/chart">
            <c:ext xmlns:c16="http://schemas.microsoft.com/office/drawing/2014/chart" uri="{C3380CC4-5D6E-409C-BE32-E72D297353CC}">
              <c16:uniqueId val="{00000000-4605-4F41-8889-CF765ED1E040}"/>
            </c:ext>
          </c:extLst>
        </c:ser>
        <c:ser>
          <c:idx val="1"/>
          <c:order val="1"/>
          <c:tx>
            <c:strRef>
              <c:f>Helper!$C$80</c:f>
              <c:strCache>
                <c:ptCount val="1"/>
                <c:pt idx="0">
                  <c:v>2017-2018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Helper!$A$81:$A$85</c:f>
              <c:strCache>
                <c:ptCount val="5"/>
                <c:pt idx="0">
                  <c:v>English</c:v>
                </c:pt>
                <c:pt idx="1">
                  <c:v>Filipino</c:v>
                </c:pt>
                <c:pt idx="2">
                  <c:v>Math</c:v>
                </c:pt>
                <c:pt idx="3">
                  <c:v>Science </c:v>
                </c:pt>
                <c:pt idx="4">
                  <c:v>HEKASI</c:v>
                </c:pt>
              </c:strCache>
            </c:strRef>
          </c:cat>
          <c:val>
            <c:numRef>
              <c:f>Helper!$C$81:$C$85</c:f>
              <c:numCache>
                <c:formatCode>0.00</c:formatCode>
                <c:ptCount val="5"/>
                <c:pt idx="0">
                  <c:v>47.73</c:v>
                </c:pt>
                <c:pt idx="1">
                  <c:v>54.65</c:v>
                </c:pt>
                <c:pt idx="2">
                  <c:v>34.58</c:v>
                </c:pt>
                <c:pt idx="3">
                  <c:v>28.86</c:v>
                </c:pt>
                <c:pt idx="4">
                  <c:v>39.299999999999997</c:v>
                </c:pt>
              </c:numCache>
            </c:numRef>
          </c:val>
          <c:extLst xmlns:c16r2="http://schemas.microsoft.com/office/drawing/2015/06/chart">
            <c:ext xmlns:c16="http://schemas.microsoft.com/office/drawing/2014/chart" uri="{C3380CC4-5D6E-409C-BE32-E72D297353CC}">
              <c16:uniqueId val="{00000001-4605-4F41-8889-CF765ED1E040}"/>
            </c:ext>
          </c:extLst>
        </c:ser>
        <c:ser>
          <c:idx val="2"/>
          <c:order val="2"/>
          <c:tx>
            <c:strRef>
              <c:f>Helper!$D$80</c:f>
              <c:strCache>
                <c:ptCount val="1"/>
                <c:pt idx="0">
                  <c:v>2018-2019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Helper!$A$81:$A$85</c:f>
              <c:strCache>
                <c:ptCount val="5"/>
                <c:pt idx="0">
                  <c:v>English</c:v>
                </c:pt>
                <c:pt idx="1">
                  <c:v>Filipino</c:v>
                </c:pt>
                <c:pt idx="2">
                  <c:v>Math</c:v>
                </c:pt>
                <c:pt idx="3">
                  <c:v>Science </c:v>
                </c:pt>
                <c:pt idx="4">
                  <c:v>HEKASI</c:v>
                </c:pt>
              </c:strCache>
            </c:strRef>
          </c:cat>
          <c:val>
            <c:numRef>
              <c:f>Helper!$D$81:$D$85</c:f>
              <c:numCache>
                <c:formatCode>0.00</c:formatCode>
                <c:ptCount val="5"/>
                <c:pt idx="0">
                  <c:v>0</c:v>
                </c:pt>
                <c:pt idx="1">
                  <c:v>0</c:v>
                </c:pt>
                <c:pt idx="2">
                  <c:v>0</c:v>
                </c:pt>
                <c:pt idx="3">
                  <c:v>0</c:v>
                </c:pt>
                <c:pt idx="4">
                  <c:v>0</c:v>
                </c:pt>
              </c:numCache>
            </c:numRef>
          </c:val>
          <c:extLst xmlns:c16r2="http://schemas.microsoft.com/office/drawing/2015/06/chart">
            <c:ext xmlns:c16="http://schemas.microsoft.com/office/drawing/2014/chart" uri="{C3380CC4-5D6E-409C-BE32-E72D297353CC}">
              <c16:uniqueId val="{00000002-4605-4F41-8889-CF765ED1E040}"/>
            </c:ext>
          </c:extLst>
        </c:ser>
        <c:dLbls>
          <c:showLegendKey val="0"/>
          <c:showVal val="0"/>
          <c:showCatName val="0"/>
          <c:showSerName val="0"/>
          <c:showPercent val="0"/>
          <c:showBubbleSize val="0"/>
        </c:dLbls>
        <c:gapWidth val="50"/>
        <c:overlap val="-27"/>
        <c:axId val="265462136"/>
        <c:axId val="265469584"/>
      </c:barChart>
      <c:catAx>
        <c:axId val="265462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5469584"/>
        <c:crosses val="autoZero"/>
        <c:auto val="1"/>
        <c:lblAlgn val="ctr"/>
        <c:lblOffset val="100"/>
        <c:noMultiLvlLbl val="0"/>
      </c:catAx>
      <c:valAx>
        <c:axId val="265469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54621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PH" sz="1000" b="1" i="0" baseline="0">
                <a:effectLst/>
              </a:rPr>
              <a:t>Phil-IRI GST-FILIPINO (Pre-Test)</a:t>
            </a:r>
            <a:endParaRPr lang="en-US" sz="1000" b="1">
              <a:effectLst/>
            </a:endParaRPr>
          </a:p>
        </c:rich>
      </c:tx>
      <c:overlay val="0"/>
      <c:spPr>
        <a:noFill/>
        <a:ln>
          <a:noFill/>
        </a:ln>
        <a:effectLst/>
      </c:spPr>
    </c:title>
    <c:autoTitleDeleted val="0"/>
    <c:plotArea>
      <c:layout/>
      <c:barChart>
        <c:barDir val="col"/>
        <c:grouping val="stacked"/>
        <c:varyColors val="0"/>
        <c:ser>
          <c:idx val="0"/>
          <c:order val="0"/>
          <c:tx>
            <c:v>20-14</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[0]!Level_PHILIRIFIL</c:f>
              <c:strCache>
                <c:ptCount val="6"/>
                <c:pt idx="0">
                  <c:v>Grade 7</c:v>
                </c:pt>
                <c:pt idx="1">
                  <c:v>Grade 8</c:v>
                </c:pt>
                <c:pt idx="2">
                  <c:v>Grade 9</c:v>
                </c:pt>
                <c:pt idx="3">
                  <c:v>Grade 10</c:v>
                </c:pt>
                <c:pt idx="4">
                  <c:v>Grade 11</c:v>
                </c:pt>
                <c:pt idx="5">
                  <c:v>Grade 12</c:v>
                </c:pt>
              </c:strCache>
            </c:strRef>
          </c:cat>
          <c:val>
            <c:numRef>
              <c:f>[0]!Data_PHILIRIFIL</c:f>
              <c:numCache>
                <c:formatCode>0.00</c:formatCode>
                <c:ptCount val="6"/>
                <c:pt idx="0">
                  <c:v>30.219780219780219</c:v>
                </c:pt>
                <c:pt idx="1">
                  <c:v>23.278688524590162</c:v>
                </c:pt>
                <c:pt idx="2">
                  <c:v>35.222672064777328</c:v>
                </c:pt>
                <c:pt idx="3">
                  <c:v>42.081447963800905</c:v>
                </c:pt>
                <c:pt idx="4">
                  <c:v>30.434782608695656</c:v>
                </c:pt>
                <c:pt idx="5">
                  <c:v>77.018633540372676</c:v>
                </c:pt>
              </c:numCache>
            </c:numRef>
          </c:val>
          <c:extLst xmlns:c16r2="http://schemas.microsoft.com/office/drawing/2015/06/chart">
            <c:ext xmlns:c16="http://schemas.microsoft.com/office/drawing/2014/chart" uri="{C3380CC4-5D6E-409C-BE32-E72D297353CC}">
              <c16:uniqueId val="{00000000-E3DD-4877-9561-13EE0CD6E4D1}"/>
            </c:ext>
          </c:extLst>
        </c:ser>
        <c:ser>
          <c:idx val="1"/>
          <c:order val="1"/>
          <c:tx>
            <c:v>13-8</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[0]!Level_PHILIRIFIL</c:f>
              <c:strCache>
                <c:ptCount val="6"/>
                <c:pt idx="0">
                  <c:v>Grade 7</c:v>
                </c:pt>
                <c:pt idx="1">
                  <c:v>Grade 8</c:v>
                </c:pt>
                <c:pt idx="2">
                  <c:v>Grade 9</c:v>
                </c:pt>
                <c:pt idx="3">
                  <c:v>Grade 10</c:v>
                </c:pt>
                <c:pt idx="4">
                  <c:v>Grade 11</c:v>
                </c:pt>
                <c:pt idx="5">
                  <c:v>Grade 12</c:v>
                </c:pt>
              </c:strCache>
            </c:strRef>
          </c:cat>
          <c:val>
            <c:numRef>
              <c:f>[0]!Data_PHILIRIFIL2</c:f>
              <c:numCache>
                <c:formatCode>0.00</c:formatCode>
                <c:ptCount val="6"/>
                <c:pt idx="0">
                  <c:v>52.197802197802204</c:v>
                </c:pt>
                <c:pt idx="1">
                  <c:v>64.918032786885249</c:v>
                </c:pt>
                <c:pt idx="2">
                  <c:v>64.372469635627525</c:v>
                </c:pt>
                <c:pt idx="3">
                  <c:v>52.036199095022631</c:v>
                </c:pt>
                <c:pt idx="4">
                  <c:v>49.75845410628019</c:v>
                </c:pt>
                <c:pt idx="5">
                  <c:v>13.043478260869565</c:v>
                </c:pt>
              </c:numCache>
            </c:numRef>
          </c:val>
          <c:extLst xmlns:c16r2="http://schemas.microsoft.com/office/drawing/2015/06/chart">
            <c:ext xmlns:c16="http://schemas.microsoft.com/office/drawing/2014/chart" uri="{C3380CC4-5D6E-409C-BE32-E72D297353CC}">
              <c16:uniqueId val="{00000001-E3DD-4877-9561-13EE0CD6E4D1}"/>
            </c:ext>
          </c:extLst>
        </c:ser>
        <c:ser>
          <c:idx val="2"/>
          <c:order val="2"/>
          <c:tx>
            <c:v>7-0</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[0]!Level_PHILIRIFIL</c:f>
              <c:strCache>
                <c:ptCount val="6"/>
                <c:pt idx="0">
                  <c:v>Grade 7</c:v>
                </c:pt>
                <c:pt idx="1">
                  <c:v>Grade 8</c:v>
                </c:pt>
                <c:pt idx="2">
                  <c:v>Grade 9</c:v>
                </c:pt>
                <c:pt idx="3">
                  <c:v>Grade 10</c:v>
                </c:pt>
                <c:pt idx="4">
                  <c:v>Grade 11</c:v>
                </c:pt>
                <c:pt idx="5">
                  <c:v>Grade 12</c:v>
                </c:pt>
              </c:strCache>
            </c:strRef>
          </c:cat>
          <c:val>
            <c:numRef>
              <c:f>[0]!Data_PHILIRIFIL3</c:f>
              <c:numCache>
                <c:formatCode>0.00</c:formatCode>
                <c:ptCount val="6"/>
                <c:pt idx="0">
                  <c:v>17.582417582417584</c:v>
                </c:pt>
                <c:pt idx="1">
                  <c:v>11.803278688524591</c:v>
                </c:pt>
                <c:pt idx="2">
                  <c:v>0.40485829959514169</c:v>
                </c:pt>
                <c:pt idx="3">
                  <c:v>5.8823529411764701</c:v>
                </c:pt>
                <c:pt idx="4">
                  <c:v>19.806763285024154</c:v>
                </c:pt>
                <c:pt idx="5">
                  <c:v>9.9378881987577632</c:v>
                </c:pt>
              </c:numCache>
            </c:numRef>
          </c:val>
          <c:extLst xmlns:c16r2="http://schemas.microsoft.com/office/drawing/2015/06/chart">
            <c:ext xmlns:c16="http://schemas.microsoft.com/office/drawing/2014/chart" uri="{C3380CC4-5D6E-409C-BE32-E72D297353CC}">
              <c16:uniqueId val="{00000002-E3DD-4877-9561-13EE0CD6E4D1}"/>
            </c:ext>
          </c:extLst>
        </c:ser>
        <c:dLbls>
          <c:dLblPos val="ctr"/>
          <c:showLegendKey val="0"/>
          <c:showVal val="1"/>
          <c:showCatName val="0"/>
          <c:showSerName val="0"/>
          <c:showPercent val="0"/>
          <c:showBubbleSize val="0"/>
        </c:dLbls>
        <c:gapWidth val="150"/>
        <c:overlap val="100"/>
        <c:axId val="272100536"/>
        <c:axId val="272100928"/>
      </c:barChart>
      <c:catAx>
        <c:axId val="272100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00928"/>
        <c:crosses val="autoZero"/>
        <c:auto val="1"/>
        <c:lblAlgn val="ctr"/>
        <c:lblOffset val="100"/>
        <c:noMultiLvlLbl val="0"/>
      </c:catAx>
      <c:valAx>
        <c:axId val="2721009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00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PH" sz="1100" b="1"/>
              <a:t>Status</a:t>
            </a:r>
            <a:r>
              <a:rPr lang="en-PH" sz="1100" b="1" baseline="0"/>
              <a:t> of Annual Implementation Plan</a:t>
            </a:r>
            <a:endParaRPr lang="en-PH" sz="1100" b="1"/>
          </a:p>
        </c:rich>
      </c:tx>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6DA8-42DB-9342-A28E265C2A8F}"/>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6DA8-42DB-9342-A28E265C2A8F}"/>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6DA8-42DB-9342-A28E265C2A8F}"/>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6DA8-42DB-9342-A28E265C2A8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Helper!$D$151:$G$151</c:f>
              <c:strCache>
                <c:ptCount val="4"/>
                <c:pt idx="0">
                  <c:v>Completed</c:v>
                </c:pt>
                <c:pt idx="1">
                  <c:v>Ongoing</c:v>
                </c:pt>
                <c:pt idx="2">
                  <c:v>Proposed</c:v>
                </c:pt>
                <c:pt idx="3">
                  <c:v>Cancelled</c:v>
                </c:pt>
              </c:strCache>
            </c:strRef>
          </c:cat>
          <c:val>
            <c:numRef>
              <c:f>Helper!$D$167:$G$167</c:f>
              <c:numCache>
                <c:formatCode>General</c:formatCode>
                <c:ptCount val="4"/>
                <c:pt idx="0">
                  <c:v>2</c:v>
                </c:pt>
                <c:pt idx="1">
                  <c:v>10</c:v>
                </c:pt>
                <c:pt idx="2">
                  <c:v>1</c:v>
                </c:pt>
                <c:pt idx="3">
                  <c:v>1</c:v>
                </c:pt>
              </c:numCache>
            </c:numRef>
          </c:val>
          <c:extLst xmlns:c16r2="http://schemas.microsoft.com/office/drawing/2015/06/chart">
            <c:ext xmlns:c16="http://schemas.microsoft.com/office/drawing/2014/chart" uri="{C3380CC4-5D6E-409C-BE32-E72D297353CC}">
              <c16:uniqueId val="{00000008-6DA8-42DB-9342-A28E265C2A8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107248518198877E-2"/>
          <c:y val="2.3119957439004243E-2"/>
          <c:w val="0.91468353440818728"/>
          <c:h val="0.85858831236181998"/>
        </c:manualLayout>
      </c:layout>
      <c:barChart>
        <c:barDir val="col"/>
        <c:grouping val="clustered"/>
        <c:varyColors val="1"/>
        <c:ser>
          <c:idx val="0"/>
          <c:order val="0"/>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[0]!Level_LM</c:f>
              <c:strCache>
                <c:ptCount val="6"/>
                <c:pt idx="0">
                  <c:v>Grade 7</c:v>
                </c:pt>
                <c:pt idx="1">
                  <c:v>Grade 8</c:v>
                </c:pt>
                <c:pt idx="2">
                  <c:v>Grade 9</c:v>
                </c:pt>
                <c:pt idx="3">
                  <c:v>Grade 10</c:v>
                </c:pt>
                <c:pt idx="4">
                  <c:v>Grade 11</c:v>
                </c:pt>
                <c:pt idx="5">
                  <c:v>Grade 12</c:v>
                </c:pt>
              </c:strCache>
            </c:strRef>
          </c:cat>
          <c:val>
            <c:numRef>
              <c:f>[0]!Data_LM</c:f>
              <c:numCache>
                <c:formatCode>0.00%</c:formatCode>
                <c:ptCount val="6"/>
                <c:pt idx="0">
                  <c:v>0.78571428571428559</c:v>
                </c:pt>
                <c:pt idx="1">
                  <c:v>0.48451730418943545</c:v>
                </c:pt>
                <c:pt idx="2">
                  <c:v>0.88708951866846608</c:v>
                </c:pt>
                <c:pt idx="3">
                  <c:v>0.60030165912518862</c:v>
                </c:pt>
                <c:pt idx="4">
                  <c:v>0.19645732689210949</c:v>
                </c:pt>
                <c:pt idx="5">
                  <c:v>0.13112491373360938</c:v>
                </c:pt>
              </c:numCache>
            </c:numRef>
          </c:val>
          <c:extLst xmlns:c16r2="http://schemas.microsoft.com/office/drawing/2015/06/chart">
            <c:ext xmlns:c16="http://schemas.microsoft.com/office/drawing/2014/chart" uri="{C3380CC4-5D6E-409C-BE32-E72D297353CC}">
              <c16:uniqueId val="{00000000-ABB4-4203-981D-0089C5F289C6}"/>
            </c:ext>
            <c:ext xmlns:c15="http://schemas.microsoft.com/office/drawing/2012/chart" uri="{02D57815-91ED-43cb-92C2-25804820EDAC}">
              <c15:filteredSeriesTitle>
                <c15:tx>
                  <c:v>Data_LM</c:v>
                </c15:tx>
              </c15:filteredSeriesTitle>
            </c:ext>
          </c:extLst>
        </c:ser>
        <c:dLbls>
          <c:dLblPos val="outEnd"/>
          <c:showLegendKey val="0"/>
          <c:showVal val="1"/>
          <c:showCatName val="0"/>
          <c:showSerName val="0"/>
          <c:showPercent val="0"/>
          <c:showBubbleSize val="0"/>
        </c:dLbls>
        <c:gapWidth val="50"/>
        <c:overlap val="-24"/>
        <c:axId val="272108376"/>
        <c:axId val="272102496"/>
      </c:barChart>
      <c:catAx>
        <c:axId val="272108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2102496"/>
        <c:crosses val="autoZero"/>
        <c:auto val="1"/>
        <c:lblAlgn val="ctr"/>
        <c:lblOffset val="100"/>
        <c:noMultiLvlLbl val="0"/>
      </c:catAx>
      <c:valAx>
        <c:axId val="2721024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2108376"/>
        <c:crosses val="autoZero"/>
        <c:crossBetween val="between"/>
      </c:valAx>
      <c:spPr>
        <a:noFill/>
        <a:ln>
          <a:noFill/>
        </a:ln>
        <a:effectLst/>
      </c:spPr>
    </c:plotArea>
    <c:plotVisOnly val="0"/>
    <c:dispBlanksAs val="gap"/>
    <c:showDLblsOverMax val="0"/>
  </c:chart>
  <c:spPr>
    <a:pattFill prst="ltDnDiag">
      <a:fgClr>
        <a:schemeClr val="accent2">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 of Teachers based on Highest Educational</a:t>
            </a:r>
            <a:r>
              <a:rPr lang="en-US" b="1" baseline="0"/>
              <a:t> Attainment</a:t>
            </a:r>
            <a:endParaRPr lang="en-US" b="1"/>
          </a:p>
        </c:rich>
      </c:tx>
      <c:overlay val="0"/>
      <c:spPr>
        <a:noFill/>
        <a:ln>
          <a:noFill/>
        </a:ln>
        <a:effectLst/>
      </c:spPr>
    </c:title>
    <c:autoTitleDeleted val="0"/>
    <c:plotArea>
      <c:layout/>
      <c:pieChart>
        <c:varyColors val="1"/>
        <c:ser>
          <c:idx val="0"/>
          <c:order val="0"/>
          <c:dPt>
            <c:idx val="0"/>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1-ABC8-41C0-A8F1-1DD2FC19D746}"/>
              </c:ext>
            </c:extLst>
          </c:dPt>
          <c:dPt>
            <c:idx val="1"/>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3-ABC8-41C0-A8F1-1DD2FC19D746}"/>
              </c:ext>
            </c:extLst>
          </c:dPt>
          <c:dPt>
            <c:idx val="2"/>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5-ABC8-41C0-A8F1-1DD2FC19D746}"/>
              </c:ext>
            </c:extLst>
          </c:dPt>
          <c:dPt>
            <c:idx val="3"/>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7-ABC8-41C0-A8F1-1DD2FC19D746}"/>
              </c:ext>
            </c:extLst>
          </c:dPt>
          <c:dPt>
            <c:idx val="4"/>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ABC8-41C0-A8F1-1DD2FC19D746}"/>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Helper!$A$37:$A$41</c:f>
              <c:strCache>
                <c:ptCount val="5"/>
                <c:pt idx="0">
                  <c:v>Bachelor's Degree</c:v>
                </c:pt>
                <c:pt idx="1">
                  <c:v>Master's Degree (Units)</c:v>
                </c:pt>
                <c:pt idx="2">
                  <c:v>Master's Degree</c:v>
                </c:pt>
                <c:pt idx="3">
                  <c:v>Doctorate Degree (Units)</c:v>
                </c:pt>
                <c:pt idx="4">
                  <c:v>Doctorate Degree</c:v>
                </c:pt>
              </c:strCache>
            </c:strRef>
          </c:cat>
          <c:val>
            <c:numRef>
              <c:f>Helper!$B$37:$B$41</c:f>
              <c:numCache>
                <c:formatCode>General</c:formatCode>
                <c:ptCount val="5"/>
                <c:pt idx="0">
                  <c:v>20</c:v>
                </c:pt>
                <c:pt idx="1">
                  <c:v>34</c:v>
                </c:pt>
                <c:pt idx="2">
                  <c:v>1</c:v>
                </c:pt>
                <c:pt idx="3">
                  <c:v>2</c:v>
                </c:pt>
                <c:pt idx="4">
                  <c:v>0</c:v>
                </c:pt>
              </c:numCache>
            </c:numRef>
          </c:val>
          <c:extLst xmlns:c16r2="http://schemas.microsoft.com/office/drawing/2015/06/chart">
            <c:ext xmlns:c16="http://schemas.microsoft.com/office/drawing/2014/chart" uri="{C3380CC4-5D6E-409C-BE32-E72D297353CC}">
              <c16:uniqueId val="{0000000A-ABC8-41C0-A8F1-1DD2FC19D74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Enrollment by Sex</a:t>
            </a:r>
          </a:p>
        </c:rich>
      </c:tx>
      <c:overlay val="0"/>
      <c:spPr>
        <a:noFill/>
        <a:ln>
          <a:noFill/>
        </a:ln>
        <a:effectLst/>
      </c:spPr>
    </c:title>
    <c:autoTitleDeleted val="0"/>
    <c:plotArea>
      <c:layout/>
      <c:barChart>
        <c:barDir val="col"/>
        <c:grouping val="clustered"/>
        <c:varyColors val="0"/>
        <c:ser>
          <c:idx val="0"/>
          <c:order val="0"/>
          <c:tx>
            <c:strRef>
              <c:f>Helper!$B$2</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Helper!$A$3:$A$5</c:f>
              <c:strCache>
                <c:ptCount val="3"/>
                <c:pt idx="0">
                  <c:v>SY 2016-2017</c:v>
                </c:pt>
                <c:pt idx="1">
                  <c:v>SY 2017-2018</c:v>
                </c:pt>
                <c:pt idx="2">
                  <c:v>SY 2018-2019</c:v>
                </c:pt>
              </c:strCache>
            </c:strRef>
          </c:cat>
          <c:val>
            <c:numRef>
              <c:f>Helper!$B$3:$B$5</c:f>
              <c:numCache>
                <c:formatCode>General</c:formatCode>
                <c:ptCount val="3"/>
                <c:pt idx="0">
                  <c:v>671</c:v>
                </c:pt>
                <c:pt idx="1">
                  <c:v>741</c:v>
                </c:pt>
                <c:pt idx="2">
                  <c:v>772</c:v>
                </c:pt>
              </c:numCache>
            </c:numRef>
          </c:val>
          <c:extLst xmlns:c16r2="http://schemas.microsoft.com/office/drawing/2015/06/chart">
            <c:ext xmlns:c16="http://schemas.microsoft.com/office/drawing/2014/chart" uri="{C3380CC4-5D6E-409C-BE32-E72D297353CC}">
              <c16:uniqueId val="{00000000-4BF0-43D4-ABB7-9B196D5A355A}"/>
            </c:ext>
          </c:extLst>
        </c:ser>
        <c:ser>
          <c:idx val="1"/>
          <c:order val="1"/>
          <c:tx>
            <c:strRef>
              <c:f>Helper!$C$2</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Helper!$A$3:$A$5</c:f>
              <c:strCache>
                <c:ptCount val="3"/>
                <c:pt idx="0">
                  <c:v>SY 2016-2017</c:v>
                </c:pt>
                <c:pt idx="1">
                  <c:v>SY 2017-2018</c:v>
                </c:pt>
                <c:pt idx="2">
                  <c:v>SY 2018-2019</c:v>
                </c:pt>
              </c:strCache>
            </c:strRef>
          </c:cat>
          <c:val>
            <c:numRef>
              <c:f>Helper!$C$3:$C$5</c:f>
              <c:numCache>
                <c:formatCode>General</c:formatCode>
                <c:ptCount val="3"/>
                <c:pt idx="0">
                  <c:v>619</c:v>
                </c:pt>
                <c:pt idx="1">
                  <c:v>677</c:v>
                </c:pt>
                <c:pt idx="2">
                  <c:v>733</c:v>
                </c:pt>
              </c:numCache>
            </c:numRef>
          </c:val>
          <c:extLst xmlns:c16r2="http://schemas.microsoft.com/office/drawing/2015/06/chart">
            <c:ext xmlns:c16="http://schemas.microsoft.com/office/drawing/2014/chart" uri="{C3380CC4-5D6E-409C-BE32-E72D297353CC}">
              <c16:uniqueId val="{00000001-4BF0-43D4-ABB7-9B196D5A355A}"/>
            </c:ext>
          </c:extLst>
        </c:ser>
        <c:dLbls>
          <c:dLblPos val="ctr"/>
          <c:showLegendKey val="0"/>
          <c:showVal val="1"/>
          <c:showCatName val="0"/>
          <c:showSerName val="0"/>
          <c:showPercent val="0"/>
          <c:showBubbleSize val="0"/>
        </c:dLbls>
        <c:gapWidth val="80"/>
        <c:axId val="272099360"/>
        <c:axId val="272107592"/>
      </c:barChart>
      <c:catAx>
        <c:axId val="27209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2107592"/>
        <c:crosses val="autoZero"/>
        <c:auto val="1"/>
        <c:lblAlgn val="ctr"/>
        <c:lblOffset val="100"/>
        <c:noMultiLvlLbl val="0"/>
      </c:catAx>
      <c:valAx>
        <c:axId val="272107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993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ltUpDiag">
      <a:fgClr>
        <a:schemeClr val="accent4">
          <a:lumMod val="40000"/>
          <a:lumOff val="6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arrow" panose="020B0606020202030204" pitchFamily="34" charset="0"/>
                <a:ea typeface="+mn-ea"/>
                <a:cs typeface="+mn-cs"/>
              </a:defRPr>
            </a:pPr>
            <a:r>
              <a:rPr lang="en-US" sz="1100" b="1">
                <a:latin typeface="Arial Narrow" panose="020B0606020202030204" pitchFamily="34" charset="0"/>
              </a:rPr>
              <a:t>Number of learners by health status (BMI), Current School Year</a:t>
            </a:r>
          </a:p>
        </c:rich>
      </c:tx>
      <c:overlay val="0"/>
      <c:spPr>
        <a:noFill/>
        <a:ln>
          <a:noFill/>
        </a:ln>
        <a:effectLst/>
      </c:spPr>
    </c:title>
    <c:autoTitleDeleted val="0"/>
    <c:plotArea>
      <c:layout/>
      <c:barChart>
        <c:barDir val="bar"/>
        <c:grouping val="clustered"/>
        <c:varyColors val="0"/>
        <c:ser>
          <c:idx val="1"/>
          <c:order val="0"/>
          <c:tx>
            <c:strRef>
              <c:f>Helper!$C$8</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Helper!$A$9:$A$13</c:f>
              <c:strCache>
                <c:ptCount val="5"/>
                <c:pt idx="0">
                  <c:v>Severely Wasted</c:v>
                </c:pt>
                <c:pt idx="1">
                  <c:v>Wasted</c:v>
                </c:pt>
                <c:pt idx="2">
                  <c:v>Normal</c:v>
                </c:pt>
                <c:pt idx="3">
                  <c:v>Overweight</c:v>
                </c:pt>
                <c:pt idx="4">
                  <c:v>Obese</c:v>
                </c:pt>
              </c:strCache>
            </c:strRef>
          </c:cat>
          <c:val>
            <c:numRef>
              <c:f>Helper!$C$9:$C$13</c:f>
              <c:numCache>
                <c:formatCode>General</c:formatCode>
                <c:ptCount val="5"/>
                <c:pt idx="0">
                  <c:v>2</c:v>
                </c:pt>
                <c:pt idx="1">
                  <c:v>43</c:v>
                </c:pt>
                <c:pt idx="2">
                  <c:v>675</c:v>
                </c:pt>
                <c:pt idx="3">
                  <c:v>12</c:v>
                </c:pt>
                <c:pt idx="4">
                  <c:v>1</c:v>
                </c:pt>
              </c:numCache>
            </c:numRef>
          </c:val>
          <c:extLst xmlns:c16r2="http://schemas.microsoft.com/office/drawing/2015/06/chart">
            <c:ext xmlns:c16="http://schemas.microsoft.com/office/drawing/2014/chart" uri="{C3380CC4-5D6E-409C-BE32-E72D297353CC}">
              <c16:uniqueId val="{00000001-A7C3-4AC7-A1E7-3168ED4C6403}"/>
            </c:ext>
          </c:extLst>
        </c:ser>
        <c:ser>
          <c:idx val="0"/>
          <c:order val="1"/>
          <c:tx>
            <c:strRef>
              <c:f>Helper!$B$8</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Helper!$A$9:$A$13</c:f>
              <c:strCache>
                <c:ptCount val="5"/>
                <c:pt idx="0">
                  <c:v>Severely Wasted</c:v>
                </c:pt>
                <c:pt idx="1">
                  <c:v>Wasted</c:v>
                </c:pt>
                <c:pt idx="2">
                  <c:v>Normal</c:v>
                </c:pt>
                <c:pt idx="3">
                  <c:v>Overweight</c:v>
                </c:pt>
                <c:pt idx="4">
                  <c:v>Obese</c:v>
                </c:pt>
              </c:strCache>
            </c:strRef>
          </c:cat>
          <c:val>
            <c:numRef>
              <c:f>Helper!$B$9:$B$13</c:f>
              <c:numCache>
                <c:formatCode>General</c:formatCode>
                <c:ptCount val="5"/>
                <c:pt idx="0">
                  <c:v>17</c:v>
                </c:pt>
                <c:pt idx="1">
                  <c:v>83</c:v>
                </c:pt>
                <c:pt idx="2">
                  <c:v>658</c:v>
                </c:pt>
                <c:pt idx="3">
                  <c:v>13</c:v>
                </c:pt>
                <c:pt idx="4">
                  <c:v>1</c:v>
                </c:pt>
              </c:numCache>
            </c:numRef>
          </c:val>
          <c:extLst xmlns:c16r2="http://schemas.microsoft.com/office/drawing/2015/06/chart">
            <c:ext xmlns:c16="http://schemas.microsoft.com/office/drawing/2014/chart" uri="{C3380CC4-5D6E-409C-BE32-E72D297353CC}">
              <c16:uniqueId val="{00000000-A7C3-4AC7-A1E7-3168ED4C6403}"/>
            </c:ext>
          </c:extLst>
        </c:ser>
        <c:dLbls>
          <c:showLegendKey val="0"/>
          <c:showVal val="1"/>
          <c:showCatName val="0"/>
          <c:showSerName val="0"/>
          <c:showPercent val="0"/>
          <c:showBubbleSize val="0"/>
        </c:dLbls>
        <c:gapWidth val="30"/>
        <c:axId val="272102888"/>
        <c:axId val="272101712"/>
      </c:barChart>
      <c:catAx>
        <c:axId val="272102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2101712"/>
        <c:crosses val="autoZero"/>
        <c:auto val="1"/>
        <c:lblAlgn val="ctr"/>
        <c:lblOffset val="100"/>
        <c:noMultiLvlLbl val="0"/>
      </c:catAx>
      <c:valAx>
        <c:axId val="27210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02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pattFill prst="ltDnDiag">
      <a:fgClr>
        <a:schemeClr val="accent6">
          <a:lumMod val="40000"/>
          <a:lumOff val="60000"/>
        </a:schemeClr>
      </a:fgClr>
      <a:bgClr>
        <a:schemeClr val="bg1">
          <a:lumMod val="95000"/>
        </a:schemeClr>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Narrow" panose="020B0606020202030204" pitchFamily="34" charset="0"/>
                <a:ea typeface="+mn-ea"/>
                <a:cs typeface="+mn-cs"/>
              </a:defRPr>
            </a:pPr>
            <a:r>
              <a:rPr lang="en-US" sz="1100" b="1">
                <a:latin typeface="Arial Narrow" panose="020B0606020202030204" pitchFamily="34" charset="0"/>
              </a:rPr>
              <a:t>Number of learners by health status (HFA), Current School Year</a:t>
            </a:r>
          </a:p>
        </c:rich>
      </c:tx>
      <c:overlay val="0"/>
      <c:spPr>
        <a:noFill/>
        <a:ln>
          <a:noFill/>
        </a:ln>
        <a:effectLst/>
      </c:spPr>
    </c:title>
    <c:autoTitleDeleted val="0"/>
    <c:plotArea>
      <c:layout/>
      <c:barChart>
        <c:barDir val="bar"/>
        <c:grouping val="clustered"/>
        <c:varyColors val="0"/>
        <c:ser>
          <c:idx val="0"/>
          <c:order val="0"/>
          <c:tx>
            <c:strRef>
              <c:f>Helper!$BC$8</c:f>
              <c:strCache>
                <c:ptCount val="1"/>
                <c:pt idx="0">
                  <c:v>Female</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Helper!$BA$9:$BA$12</c:f>
              <c:strCache>
                <c:ptCount val="4"/>
                <c:pt idx="0">
                  <c:v>Severely Stunted</c:v>
                </c:pt>
                <c:pt idx="1">
                  <c:v>Stunted</c:v>
                </c:pt>
                <c:pt idx="2">
                  <c:v>Normal</c:v>
                </c:pt>
                <c:pt idx="3">
                  <c:v>Tall</c:v>
                </c:pt>
              </c:strCache>
            </c:strRef>
          </c:cat>
          <c:val>
            <c:numRef>
              <c:f>Helper!$BC$9:$BC$12</c:f>
              <c:numCache>
                <c:formatCode>General</c:formatCode>
                <c:ptCount val="4"/>
                <c:pt idx="0">
                  <c:v>21</c:v>
                </c:pt>
                <c:pt idx="1">
                  <c:v>187</c:v>
                </c:pt>
                <c:pt idx="2">
                  <c:v>525</c:v>
                </c:pt>
                <c:pt idx="3">
                  <c:v>1</c:v>
                </c:pt>
              </c:numCache>
            </c:numRef>
          </c:val>
          <c:extLst xmlns:c16r2="http://schemas.microsoft.com/office/drawing/2015/06/chart">
            <c:ext xmlns:c16="http://schemas.microsoft.com/office/drawing/2014/chart" uri="{C3380CC4-5D6E-409C-BE32-E72D297353CC}">
              <c16:uniqueId val="{00000001-1D6F-4C02-BDEA-F88168AA802A}"/>
            </c:ext>
          </c:extLst>
        </c:ser>
        <c:ser>
          <c:idx val="1"/>
          <c:order val="1"/>
          <c:tx>
            <c:strRef>
              <c:f>Helper!$BB$8</c:f>
              <c:strCache>
                <c:ptCount val="1"/>
                <c:pt idx="0">
                  <c:v>Male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Helper!$BA$9:$BA$12</c:f>
              <c:strCache>
                <c:ptCount val="4"/>
                <c:pt idx="0">
                  <c:v>Severely Stunted</c:v>
                </c:pt>
                <c:pt idx="1">
                  <c:v>Stunted</c:v>
                </c:pt>
                <c:pt idx="2">
                  <c:v>Normal</c:v>
                </c:pt>
                <c:pt idx="3">
                  <c:v>Tall</c:v>
                </c:pt>
              </c:strCache>
            </c:strRef>
          </c:cat>
          <c:val>
            <c:numRef>
              <c:f>Helper!$BB$9:$BB$12</c:f>
              <c:numCache>
                <c:formatCode>General</c:formatCode>
                <c:ptCount val="4"/>
                <c:pt idx="0">
                  <c:v>27</c:v>
                </c:pt>
                <c:pt idx="1">
                  <c:v>127</c:v>
                </c:pt>
                <c:pt idx="2">
                  <c:v>616</c:v>
                </c:pt>
                <c:pt idx="3">
                  <c:v>1</c:v>
                </c:pt>
              </c:numCache>
            </c:numRef>
          </c:val>
          <c:extLst xmlns:c16r2="http://schemas.microsoft.com/office/drawing/2015/06/chart">
            <c:ext xmlns:c16="http://schemas.microsoft.com/office/drawing/2014/chart" uri="{C3380CC4-5D6E-409C-BE32-E72D297353CC}">
              <c16:uniqueId val="{00000000-1D6F-4C02-BDEA-F88168AA802A}"/>
            </c:ext>
          </c:extLst>
        </c:ser>
        <c:dLbls>
          <c:showLegendKey val="0"/>
          <c:showVal val="1"/>
          <c:showCatName val="0"/>
          <c:showSerName val="0"/>
          <c:showPercent val="0"/>
          <c:showBubbleSize val="0"/>
        </c:dLbls>
        <c:gapWidth val="30"/>
        <c:axId val="272103672"/>
        <c:axId val="272109160"/>
        <c:extLst xmlns:c16r2="http://schemas.microsoft.com/office/drawing/2015/06/chart">
          <c:ext xmlns:c15="http://schemas.microsoft.com/office/drawing/2012/chart" uri="{02D57815-91ED-43cb-92C2-25804820EDAC}">
            <c15:filteredBarSeries>
              <c15:ser>
                <c:idx val="2"/>
                <c:order val="2"/>
                <c:tx>
                  <c:strRef>
                    <c:extLst xmlns:c16r2="http://schemas.microsoft.com/office/drawing/2015/06/chart">
                      <c:ext uri="{02D57815-91ED-43cb-92C2-25804820EDAC}">
                        <c15:formulaRef>
                          <c15:sqref>Helper!$BD$8</c15:sqref>
                        </c15:formulaRef>
                      </c:ext>
                    </c:extLst>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6r2="http://schemas.microsoft.com/office/drawing/2015/06/chart">
                      <c:ext uri="{02D57815-91ED-43cb-92C2-25804820EDAC}">
                        <c15:formulaRef>
                          <c15:sqref>Helper!$BA$9:$BA$12</c15:sqref>
                        </c15:formulaRef>
                      </c:ext>
                    </c:extLst>
                    <c:strCache>
                      <c:ptCount val="4"/>
                      <c:pt idx="0">
                        <c:v>Severely Stunted</c:v>
                      </c:pt>
                      <c:pt idx="1">
                        <c:v>Stunted</c:v>
                      </c:pt>
                      <c:pt idx="2">
                        <c:v>Normal</c:v>
                      </c:pt>
                      <c:pt idx="3">
                        <c:v>Tall</c:v>
                      </c:pt>
                    </c:strCache>
                  </c:strRef>
                </c:cat>
                <c:val>
                  <c:numRef>
                    <c:extLst xmlns:c16r2="http://schemas.microsoft.com/office/drawing/2015/06/chart">
                      <c:ext uri="{02D57815-91ED-43cb-92C2-25804820EDAC}">
                        <c15:formulaRef>
                          <c15:sqref>Helper!$BD$9:$BD$12</c15:sqref>
                        </c15:formulaRef>
                      </c:ext>
                    </c:extLst>
                    <c:numCache>
                      <c:formatCode>General</c:formatCode>
                      <c:ptCount val="4"/>
                      <c:pt idx="0">
                        <c:v>48</c:v>
                      </c:pt>
                      <c:pt idx="1">
                        <c:v>314</c:v>
                      </c:pt>
                      <c:pt idx="2">
                        <c:v>1141</c:v>
                      </c:pt>
                      <c:pt idx="3">
                        <c:v>2</c:v>
                      </c:pt>
                    </c:numCache>
                  </c:numRef>
                </c:val>
                <c:extLst xmlns:c16r2="http://schemas.microsoft.com/office/drawing/2015/06/chart">
                  <c:ext xmlns:c16="http://schemas.microsoft.com/office/drawing/2014/chart" uri="{C3380CC4-5D6E-409C-BE32-E72D297353CC}">
                    <c16:uniqueId val="{00000002-1D6F-4C02-BDEA-F88168AA802A}"/>
                  </c:ext>
                </c:extLst>
              </c15:ser>
            </c15:filteredBarSeries>
          </c:ext>
        </c:extLst>
      </c:barChart>
      <c:catAx>
        <c:axId val="272103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2109160"/>
        <c:crosses val="autoZero"/>
        <c:auto val="1"/>
        <c:lblAlgn val="ctr"/>
        <c:lblOffset val="100"/>
        <c:noMultiLvlLbl val="0"/>
      </c:catAx>
      <c:valAx>
        <c:axId val="272109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03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chart>
  <c:spPr>
    <a:pattFill prst="ltDnDiag">
      <a:fgClr>
        <a:schemeClr val="accent6">
          <a:lumMod val="40000"/>
          <a:lumOff val="60000"/>
        </a:schemeClr>
      </a:fgClr>
      <a:bgClr>
        <a:schemeClr val="bg1">
          <a:lumMod val="95000"/>
        </a:schemeClr>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Availability</a:t>
            </a:r>
            <a:r>
              <a:rPr lang="en-PH" baseline="0"/>
              <a:t> of Books by Learning Area</a:t>
            </a:r>
            <a:endParaRPr lang="en-PH"/>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8219816272965887E-2"/>
          <c:y val="0.17171296296296298"/>
          <c:w val="0.87122462817147861"/>
          <c:h val="0.63844087197433652"/>
        </c:manualLayout>
      </c:layout>
      <c:bar3DChart>
        <c:barDir val="col"/>
        <c:grouping val="clustered"/>
        <c:varyColors val="0"/>
        <c:ser>
          <c:idx val="0"/>
          <c:order val="0"/>
          <c:spPr>
            <a:solidFill>
              <a:schemeClr val="accent1"/>
            </a:solidFill>
            <a:ln>
              <a:noFill/>
            </a:ln>
            <a:effectLst/>
            <a:sp3d/>
          </c:spPr>
          <c:invertIfNegative val="0"/>
          <c:val>
            <c:numRef>
              <c:f>Helper!$W$18:$W$28</c:f>
              <c:numCache>
                <c:formatCode>0.00</c:formatCode>
                <c:ptCount val="11"/>
                <c:pt idx="0">
                  <c:v>1.5554817275747508</c:v>
                </c:pt>
                <c:pt idx="1">
                  <c:v>0.83654485049833882</c:v>
                </c:pt>
                <c:pt idx="2">
                  <c:v>0.73621262458471759</c:v>
                </c:pt>
                <c:pt idx="3">
                  <c:v>0.66046511627906979</c:v>
                </c:pt>
                <c:pt idx="4">
                  <c:v>0.43920265780730899</c:v>
                </c:pt>
                <c:pt idx="5">
                  <c:v>0.43122923588039869</c:v>
                </c:pt>
                <c:pt idx="6">
                  <c:v>0.39136212624584715</c:v>
                </c:pt>
                <c:pt idx="7">
                  <c:v>1.6611295681063124E-2</c:v>
                </c:pt>
                <c:pt idx="8">
                  <c:v>0</c:v>
                </c:pt>
                <c:pt idx="9">
                  <c:v>#N/A</c:v>
                </c:pt>
              </c:numCache>
            </c:numRef>
          </c:val>
          <c:extLst xmlns:c16r2="http://schemas.microsoft.com/office/drawing/2015/06/chart">
            <c:ext xmlns:c16="http://schemas.microsoft.com/office/drawing/2014/chart" uri="{C3380CC4-5D6E-409C-BE32-E72D297353CC}">
              <c16:uniqueId val="{00000000-0E68-4BEE-8C3E-C5D27BFD3AF9}"/>
            </c:ext>
            <c:ext xmlns:c15="http://schemas.microsoft.com/office/drawing/2012/chart" uri="{02D57815-91ED-43cb-92C2-25804820EDAC}">
              <c15:filteredCategoryTitle>
                <c15:cat>
                  <c:strRef>
                    <c:extLst xmlns:c16="http://schemas.microsoft.com/office/drawing/2014/chart" xmlns:c16r2="http://schemas.microsoft.com/office/drawing/2015/06/chart">
                      <c:ext uri="{02D57815-91ED-43cb-92C2-25804820EDAC}">
                        <c15:formulaRef>
                          <c15:sqref>Helper!$V$18:$V$28</c15:sqref>
                        </c15:formulaRef>
                      </c:ext>
                    </c:extLst>
                    <c:strCache>
                      <c:ptCount val="10"/>
                      <c:pt idx="0">
                        <c:v>MAPEH</c:v>
                      </c:pt>
                      <c:pt idx="1">
                        <c:v>Filipino</c:v>
                      </c:pt>
                      <c:pt idx="2">
                        <c:v>Science</c:v>
                      </c:pt>
                      <c:pt idx="3">
                        <c:v>Math</c:v>
                      </c:pt>
                      <c:pt idx="4">
                        <c:v>English</c:v>
                      </c:pt>
                      <c:pt idx="5">
                        <c:v>EsP</c:v>
                      </c:pt>
                      <c:pt idx="6">
                        <c:v>AP</c:v>
                      </c:pt>
                      <c:pt idx="7">
                        <c:v>Reading</c:v>
                      </c:pt>
                      <c:pt idx="9">
                        <c:v>#N/A</c:v>
                      </c:pt>
                    </c:strCache>
                  </c:strRef>
                </c15:cat>
              </c15:filteredCategoryTitle>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Helper!$X$18:$X$28</c:f>
              <c:numCache>
                <c:formatCode>0.00</c:formatCode>
                <c:ptCount val="11"/>
                <c:pt idx="0">
                  <c:v>155.55000000000001</c:v>
                </c:pt>
                <c:pt idx="1">
                  <c:v>83.65</c:v>
                </c:pt>
                <c:pt idx="2">
                  <c:v>73.62</c:v>
                </c:pt>
                <c:pt idx="3">
                  <c:v>66.05</c:v>
                </c:pt>
                <c:pt idx="4">
                  <c:v>43.92</c:v>
                </c:pt>
                <c:pt idx="5">
                  <c:v>43.12</c:v>
                </c:pt>
                <c:pt idx="6">
                  <c:v>39.14</c:v>
                </c:pt>
                <c:pt idx="7">
                  <c:v>1.66</c:v>
                </c:pt>
                <c:pt idx="8">
                  <c:v>0</c:v>
                </c:pt>
                <c:pt idx="9">
                  <c:v>#N/A</c:v>
                </c:pt>
              </c:numCache>
            </c:numRef>
          </c:val>
          <c:extLst xmlns:c16r2="http://schemas.microsoft.com/office/drawing/2015/06/chart">
            <c:ext xmlns:c16="http://schemas.microsoft.com/office/drawing/2014/chart" uri="{C3380CC4-5D6E-409C-BE32-E72D297353CC}">
              <c16:uniqueId val="{00000001-0E68-4BEE-8C3E-C5D27BFD3AF9}"/>
            </c:ext>
            <c:ext xmlns:c15="http://schemas.microsoft.com/office/drawing/2012/chart" uri="{02D57815-91ED-43cb-92C2-25804820EDAC}">
              <c15:filteredCategoryTitle>
                <c15:cat>
                  <c:strRef>
                    <c:extLst xmlns:c16="http://schemas.microsoft.com/office/drawing/2014/chart" xmlns:c16r2="http://schemas.microsoft.com/office/drawing/2015/06/chart">
                      <c:ext uri="{02D57815-91ED-43cb-92C2-25804820EDAC}">
                        <c15:formulaRef>
                          <c15:sqref>Helper!$V$18:$V$28</c15:sqref>
                        </c15:formulaRef>
                      </c:ext>
                    </c:extLst>
                    <c:strCache>
                      <c:ptCount val="10"/>
                      <c:pt idx="0">
                        <c:v>MAPEH</c:v>
                      </c:pt>
                      <c:pt idx="1">
                        <c:v>Filipino</c:v>
                      </c:pt>
                      <c:pt idx="2">
                        <c:v>Science</c:v>
                      </c:pt>
                      <c:pt idx="3">
                        <c:v>Math</c:v>
                      </c:pt>
                      <c:pt idx="4">
                        <c:v>English</c:v>
                      </c:pt>
                      <c:pt idx="5">
                        <c:v>EsP</c:v>
                      </c:pt>
                      <c:pt idx="6">
                        <c:v>AP</c:v>
                      </c:pt>
                      <c:pt idx="7">
                        <c:v>Reading</c:v>
                      </c:pt>
                      <c:pt idx="9">
                        <c:v>#N/A</c:v>
                      </c:pt>
                    </c:strCache>
                  </c:strRef>
                </c15:cat>
              </c15:filteredCategoryTitle>
            </c:ext>
          </c:extLst>
        </c:ser>
        <c:dLbls>
          <c:showLegendKey val="0"/>
          <c:showVal val="0"/>
          <c:showCatName val="0"/>
          <c:showSerName val="0"/>
          <c:showPercent val="0"/>
          <c:showBubbleSize val="0"/>
        </c:dLbls>
        <c:gapWidth val="2"/>
        <c:gapDepth val="139"/>
        <c:shape val="box"/>
        <c:axId val="272099752"/>
        <c:axId val="272102104"/>
        <c:axId val="0"/>
      </c:bar3DChart>
      <c:catAx>
        <c:axId val="272099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02104"/>
        <c:crosses val="autoZero"/>
        <c:auto val="1"/>
        <c:lblAlgn val="ctr"/>
        <c:lblOffset val="100"/>
        <c:noMultiLvlLbl val="0"/>
      </c:catAx>
      <c:valAx>
        <c:axId val="272102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997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400" b="1"/>
              <a:t>Sources of School Funding, Current School Year</a:t>
            </a:r>
          </a:p>
        </c:rich>
      </c:tx>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0AF5-49DD-8B77-60A599FABB13}"/>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0AF5-49DD-8B77-60A599FABB13}"/>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0AF5-49DD-8B77-60A599FABB13}"/>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0AF5-49DD-8B77-60A599FABB13}"/>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0AF5-49DD-8B77-60A599FABB13}"/>
              </c:ext>
            </c:extLst>
          </c:dPt>
          <c:dPt>
            <c:idx val="5"/>
            <c:bubble3D val="0"/>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B-0AF5-49DD-8B77-60A599FABB13}"/>
              </c:ext>
            </c:extLst>
          </c:dPt>
          <c:dLbls>
            <c:dLbl>
              <c:idx val="0"/>
              <c:layout>
                <c:manualLayout>
                  <c:x val="5.209709972628486E-2"/>
                  <c:y val="-2.199273480701355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1-0AF5-49DD-8B77-60A599FABB13}"/>
                </c:ext>
                <c:ext xmlns:c15="http://schemas.microsoft.com/office/drawing/2012/chart" uri="{CE6537A1-D6FC-4f65-9D91-7224C49458BB}"/>
              </c:extLst>
            </c:dLbl>
            <c:dLbl>
              <c:idx val="1"/>
              <c:layout>
                <c:manualLayout>
                  <c:x val="7.4587094611407556E-2"/>
                  <c:y val="2.4742386759730201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3-0AF5-49DD-8B77-60A599FABB13}"/>
                </c:ext>
                <c:ext xmlns:c15="http://schemas.microsoft.com/office/drawing/2012/chart" uri="{CE6537A1-D6FC-4f65-9D91-7224C49458BB}"/>
              </c:extLst>
            </c:dLbl>
            <c:dLbl>
              <c:idx val="3"/>
              <c:layout>
                <c:manualLayout>
                  <c:x val="-0.198797658215599"/>
                  <c:y val="1.0608776930256567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7-0AF5-49DD-8B77-60A599FABB13}"/>
                </c:ext>
                <c:ext xmlns:c15="http://schemas.microsoft.com/office/drawing/2012/chart" uri="{CE6537A1-D6FC-4f65-9D91-7224C49458BB}"/>
              </c:extLst>
            </c:dLbl>
            <c:dLbl>
              <c:idx val="4"/>
              <c:layout>
                <c:manualLayout>
                  <c:x val="-4.4355490889988664E-2"/>
                  <c:y val="-2.0689713886537706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9-0AF5-49DD-8B77-60A599FABB13}"/>
                </c:ext>
                <c:ext xmlns:c15="http://schemas.microsoft.com/office/drawing/2012/chart" uri="{CE6537A1-D6FC-4f65-9D91-7224C49458BB}"/>
              </c:extLst>
            </c:dLbl>
            <c:dLbl>
              <c:idx val="5"/>
              <c:layout>
                <c:manualLayout>
                  <c:x val="4.8639027896817635E-2"/>
                  <c:y val="-2.5669019243754976E-2"/>
                </c:manualLayout>
              </c:layout>
              <c:dLblPos val="bestFit"/>
              <c:showLegendKey val="0"/>
              <c:showVal val="1"/>
              <c:showCatName val="1"/>
              <c:showSerName val="0"/>
              <c:showPercent val="0"/>
              <c:showBubbleSize val="0"/>
              <c:extLst xmlns:c16r2="http://schemas.microsoft.com/office/drawing/2015/06/chart">
                <c:ext xmlns:c16="http://schemas.microsoft.com/office/drawing/2014/chart" uri="{C3380CC4-5D6E-409C-BE32-E72D297353CC}">
                  <c16:uniqueId val="{0000000B-0AF5-49DD-8B77-60A599FABB13}"/>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Helper!$A$47:$F$47</c:f>
              <c:strCache>
                <c:ptCount val="6"/>
                <c:pt idx="0">
                  <c:v>General Appropriations Act (School MOOE)</c:v>
                </c:pt>
                <c:pt idx="1">
                  <c:v>General Appropriations Act (Subsidy for Special Programs)</c:v>
                </c:pt>
                <c:pt idx="2">
                  <c:v>Local Government Unit funds</c:v>
                </c:pt>
                <c:pt idx="3">
                  <c:v>Canteen funds</c:v>
                </c:pt>
                <c:pt idx="4">
                  <c:v>Donations</c:v>
                </c:pt>
                <c:pt idx="5">
                  <c:v>Others</c:v>
                </c:pt>
              </c:strCache>
            </c:strRef>
          </c:cat>
          <c:val>
            <c:numRef>
              <c:f>Helper!$A$48:$F$48</c:f>
              <c:numCache>
                <c:formatCode>#,##0.00</c:formatCode>
                <c:ptCount val="6"/>
                <c:pt idx="0">
                  <c:v>104000</c:v>
                </c:pt>
                <c:pt idx="1">
                  <c:v>0</c:v>
                </c:pt>
                <c:pt idx="2">
                  <c:v>147000</c:v>
                </c:pt>
                <c:pt idx="3">
                  <c:v>10000</c:v>
                </c:pt>
                <c:pt idx="4">
                  <c:v>278713</c:v>
                </c:pt>
                <c:pt idx="5">
                  <c:v>106131</c:v>
                </c:pt>
              </c:numCache>
            </c:numRef>
          </c:val>
          <c:extLst xmlns:c16r2="http://schemas.microsoft.com/office/drawing/2015/06/chart">
            <c:ext xmlns:c16="http://schemas.microsoft.com/office/drawing/2014/chart" uri="{C3380CC4-5D6E-409C-BE32-E72D297353CC}">
              <c16:uniqueId val="{0000000C-0AF5-49DD-8B77-60A599FABB13}"/>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Number of Drop-outs by Cause</a:t>
            </a:r>
          </a:p>
        </c:rich>
      </c:tx>
      <c:overlay val="0"/>
      <c:spPr>
        <a:noFill/>
        <a:ln>
          <a:noFill/>
        </a:ln>
        <a:effectLst/>
      </c:spPr>
    </c:title>
    <c:autoTitleDeleted val="0"/>
    <c:plotArea>
      <c:layout/>
      <c:barChart>
        <c:barDir val="col"/>
        <c:grouping val="stacked"/>
        <c:varyColors val="0"/>
        <c:ser>
          <c:idx val="6"/>
          <c:order val="0"/>
          <c:tx>
            <c:strRef>
              <c:f>Helper!$B$51</c:f>
              <c:strCache>
                <c:ptCount val="1"/>
                <c:pt idx="0">
                  <c:v>Domestic- Related Factors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Narrow" panose="020B0606020202030204" pitchFamily="34" charset="0"/>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Helper!$B$52:$B$54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6EE-4E0F-AE5B-C3B3C6E7059A}"/>
            </c:ext>
          </c:extLst>
        </c:ser>
        <c:ser>
          <c:idx val="0"/>
          <c:order val="1"/>
          <c:tx>
            <c:strRef>
              <c:f>Helper!$C$51</c:f>
              <c:strCache>
                <c:ptCount val="1"/>
                <c:pt idx="0">
                  <c:v>Individual- Related Factors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Helper!$C$52:$C$54</c:f>
              <c:numCache>
                <c:formatCode>General</c:formatCode>
                <c:ptCount val="3"/>
                <c:pt idx="0">
                  <c:v>0</c:v>
                </c:pt>
                <c:pt idx="1">
                  <c:v>0</c:v>
                </c:pt>
                <c:pt idx="2">
                  <c:v>1</c:v>
                </c:pt>
              </c:numCache>
            </c:numRef>
          </c:val>
          <c:extLst xmlns:c16r2="http://schemas.microsoft.com/office/drawing/2015/06/chart">
            <c:ext xmlns:c16="http://schemas.microsoft.com/office/drawing/2014/chart" uri="{C3380CC4-5D6E-409C-BE32-E72D297353CC}">
              <c16:uniqueId val="{00000001-D6EE-4E0F-AE5B-C3B3C6E7059A}"/>
            </c:ext>
          </c:extLst>
        </c:ser>
        <c:ser>
          <c:idx val="1"/>
          <c:order val="2"/>
          <c:tx>
            <c:strRef>
              <c:f>Helper!$D$51</c:f>
              <c:strCache>
                <c:ptCount val="1"/>
                <c:pt idx="0">
                  <c:v>School- Related Factors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Helper!$D$52:$D$54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D6EE-4E0F-AE5B-C3B3C6E7059A}"/>
            </c:ext>
          </c:extLst>
        </c:ser>
        <c:ser>
          <c:idx val="2"/>
          <c:order val="3"/>
          <c:tx>
            <c:strRef>
              <c:f>Helper!$E$51</c:f>
              <c:strCache>
                <c:ptCount val="1"/>
                <c:pt idx="0">
                  <c:v>Geographic/ Environmental Factors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Helper!$E$52:$E$54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D6EE-4E0F-AE5B-C3B3C6E7059A}"/>
            </c:ext>
          </c:extLst>
        </c:ser>
        <c:ser>
          <c:idx val="3"/>
          <c:order val="4"/>
          <c:tx>
            <c:strRef>
              <c:f>Helper!$F$51</c:f>
              <c:strCache>
                <c:ptCount val="1"/>
                <c:pt idx="0">
                  <c:v>Financial- Related Factors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Helper!$F$52:$F$54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4-D6EE-4E0F-AE5B-C3B3C6E7059A}"/>
            </c:ext>
          </c:extLst>
        </c:ser>
        <c:ser>
          <c:idx val="4"/>
          <c:order val="5"/>
          <c:tx>
            <c:strRef>
              <c:f>Helper!$G$51</c:f>
              <c:strCache>
                <c:ptCount val="1"/>
                <c:pt idx="0">
                  <c:v>No Longer in School (NLS)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Helper!$A$52:$A$54</c:f>
              <c:strCache>
                <c:ptCount val="3"/>
                <c:pt idx="0">
                  <c:v>2016-2017</c:v>
                </c:pt>
                <c:pt idx="1">
                  <c:v>2017-2018</c:v>
                </c:pt>
                <c:pt idx="2">
                  <c:v>2018-2019</c:v>
                </c:pt>
              </c:strCache>
            </c:strRef>
          </c:cat>
          <c:val>
            <c:numRef>
              <c:f>Helper!$G$52:$G$54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5-D6EE-4E0F-AE5B-C3B3C6E7059A}"/>
            </c:ext>
          </c:extLst>
        </c:ser>
        <c:dLbls>
          <c:showLegendKey val="0"/>
          <c:showVal val="1"/>
          <c:showCatName val="0"/>
          <c:showSerName val="0"/>
          <c:showPercent val="0"/>
          <c:showBubbleSize val="0"/>
        </c:dLbls>
        <c:gapWidth val="50"/>
        <c:overlap val="100"/>
        <c:axId val="272104848"/>
        <c:axId val="272103280"/>
        <c:extLst xmlns:c16r2="http://schemas.microsoft.com/office/drawing/2015/06/chart">
          <c:ext xmlns:c15="http://schemas.microsoft.com/office/drawing/2012/chart" uri="{02D57815-91ED-43cb-92C2-25804820EDAC}">
            <c15:filteredBarSeries>
              <c15:ser>
                <c:idx val="5"/>
                <c:order val="6"/>
                <c:tx>
                  <c:strRef>
                    <c:extLst xmlns:c16r2="http://schemas.microsoft.com/office/drawing/2015/06/chart">
                      <c:ext uri="{02D57815-91ED-43cb-92C2-25804820EDAC}">
                        <c15:formulaRef>
                          <c15:sqref>Helper!$H$51</c15:sqref>
                        </c15:formulaRef>
                      </c:ext>
                    </c:extLst>
                    <c:strCache>
                      <c:ptCount val="1"/>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6r2="http://schemas.microsoft.com/office/drawing/2015/06/chart">
                      <c:ext uri="{02D57815-91ED-43cb-92C2-25804820EDAC}">
                        <c15:formulaRef>
                          <c15:sqref>Helper!$A$52:$A$54</c15:sqref>
                        </c15:formulaRef>
                      </c:ext>
                    </c:extLst>
                    <c:strCache>
                      <c:ptCount val="3"/>
                      <c:pt idx="0">
                        <c:v>2016-2017</c:v>
                      </c:pt>
                      <c:pt idx="1">
                        <c:v>2017-2018</c:v>
                      </c:pt>
                      <c:pt idx="2">
                        <c:v>2018-2019</c:v>
                      </c:pt>
                    </c:strCache>
                  </c:strRef>
                </c:cat>
                <c:val>
                  <c:numRef>
                    <c:extLst xmlns:c16r2="http://schemas.microsoft.com/office/drawing/2015/06/chart">
                      <c:ext uri="{02D57815-91ED-43cb-92C2-25804820EDAC}">
                        <c15:formulaRef>
                          <c15:sqref>Helper!$H$52:$H$54</c15:sqref>
                        </c15:formulaRef>
                      </c:ext>
                    </c:extLst>
                    <c:numCache>
                      <c:formatCode>General</c:formatCode>
                      <c:ptCount val="3"/>
                    </c:numCache>
                  </c:numRef>
                </c:val>
                <c:extLst xmlns:c16r2="http://schemas.microsoft.com/office/drawing/2015/06/chart">
                  <c:ext xmlns:c16="http://schemas.microsoft.com/office/drawing/2014/chart" uri="{C3380CC4-5D6E-409C-BE32-E72D297353CC}">
                    <c16:uniqueId val="{00000006-D6EE-4E0F-AE5B-C3B3C6E7059A}"/>
                  </c:ext>
                </c:extLst>
              </c15:ser>
            </c15:filteredBarSeries>
          </c:ext>
        </c:extLst>
      </c:barChart>
      <c:catAx>
        <c:axId val="27210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2103280"/>
        <c:crosses val="autoZero"/>
        <c:auto val="1"/>
        <c:lblAlgn val="ctr"/>
        <c:lblOffset val="100"/>
        <c:noMultiLvlLbl val="0"/>
      </c:catAx>
      <c:valAx>
        <c:axId val="27210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0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47747156605425"/>
          <c:y val="5.31641878098571E-2"/>
          <c:w val="0.82759660250801981"/>
          <c:h val="0.92914653784219003"/>
        </c:manualLayout>
      </c:layout>
      <c:barChart>
        <c:barDir val="col"/>
        <c:grouping val="clustered"/>
        <c:varyColors val="0"/>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inBase"/>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
              <c:pt idx="0">
                <c:v>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Helper!$A$135:$C$135</c15:sqref>
                  </c15:fullRef>
                </c:ext>
              </c:extLst>
              <c:f>Helper!$B$135</c:f>
              <c:numCache>
                <c:formatCode>General</c:formatCode>
                <c:ptCount val="1"/>
                <c:pt idx="0">
                  <c:v>84</c:v>
                </c:pt>
              </c:numCache>
            </c:numRef>
          </c:val>
          <c:extLst xmlns:c16r2="http://schemas.microsoft.com/office/drawing/2015/06/chart">
            <c:ext xmlns:c16="http://schemas.microsoft.com/office/drawing/2014/chart" uri="{C3380CC4-5D6E-409C-BE32-E72D297353CC}">
              <c16:uniqueId val="{00000002-C10E-4C18-AD0C-0E63447F33F9}"/>
            </c:ext>
          </c:extLst>
        </c:ser>
        <c:dLbls>
          <c:dLblPos val="inBase"/>
          <c:showLegendKey val="0"/>
          <c:showVal val="1"/>
          <c:showCatName val="0"/>
          <c:showSerName val="0"/>
          <c:showPercent val="0"/>
          <c:showBubbleSize val="0"/>
        </c:dLbls>
        <c:gapWidth val="219"/>
        <c:overlap val="-27"/>
        <c:axId val="265462528"/>
        <c:axId val="265462920"/>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ullRef>
                          <c15:sqref>Helper!$A$134:$C$134</c15:sqref>
                        </c15:fullRef>
                        <c15:formulaRef>
                          <c15:sqref>Helper!$B$134</c15:sqref>
                        </c15:formulaRef>
                      </c:ext>
                    </c:extLst>
                    <c:numCache>
                      <c:formatCode>General</c:formatCode>
                      <c:ptCount val="1"/>
                      <c:pt idx="0">
                        <c:v>0</c:v>
                      </c:pt>
                    </c:numCache>
                  </c:numRef>
                </c:val>
                <c:extLst xmlns:c16r2="http://schemas.microsoft.com/office/drawing/2015/06/chart">
                  <c:ext xmlns:c16="http://schemas.microsoft.com/office/drawing/2014/chart" uri="{C3380CC4-5D6E-409C-BE32-E72D297353CC}">
                    <c16:uniqueId val="{00000001-C10E-4C18-AD0C-0E63447F33F9}"/>
                  </c:ext>
                </c:extLst>
              </c15:ser>
            </c15:filteredBarSeries>
          </c:ext>
        </c:extLst>
      </c:barChart>
      <c:catAx>
        <c:axId val="265462528"/>
        <c:scaling>
          <c:orientation val="minMax"/>
        </c:scaling>
        <c:delete val="1"/>
        <c:axPos val="b"/>
        <c:numFmt formatCode="General" sourceLinked="0"/>
        <c:majorTickMark val="none"/>
        <c:minorTickMark val="none"/>
        <c:tickLblPos val="nextTo"/>
        <c:crossAx val="265462920"/>
        <c:crosses val="autoZero"/>
        <c:auto val="1"/>
        <c:lblAlgn val="ctr"/>
        <c:lblOffset val="100"/>
        <c:noMultiLvlLbl val="0"/>
      </c:catAx>
      <c:valAx>
        <c:axId val="265462920"/>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5462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Drop-out Rate</a:t>
            </a:r>
          </a:p>
        </c:rich>
      </c:tx>
      <c:overlay val="0"/>
      <c:spPr>
        <a:noFill/>
        <a:ln>
          <a:noFill/>
        </a:ln>
        <a:effectLst/>
      </c:spPr>
    </c:title>
    <c:autoTitleDeleted val="0"/>
    <c:plotArea>
      <c:layout/>
      <c:lineChart>
        <c:grouping val="standard"/>
        <c:varyColors val="0"/>
        <c:ser>
          <c:idx val="0"/>
          <c:order val="0"/>
          <c:tx>
            <c:strRef>
              <c:f>Helper!$I$56</c:f>
              <c:strCache>
                <c:ptCount val="1"/>
                <c:pt idx="0">
                  <c:v>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Helper!$H$57:$H$59</c:f>
              <c:strCache>
                <c:ptCount val="3"/>
                <c:pt idx="0">
                  <c:v>2016-2017</c:v>
                </c:pt>
                <c:pt idx="1">
                  <c:v>2017-2018</c:v>
                </c:pt>
                <c:pt idx="2">
                  <c:v>2018-2019</c:v>
                </c:pt>
              </c:strCache>
            </c:strRef>
          </c:cat>
          <c:val>
            <c:numRef>
              <c:f>Helper!$I$57:$I$59</c:f>
              <c:numCache>
                <c:formatCode>0.00%</c:formatCode>
                <c:ptCount val="3"/>
                <c:pt idx="0">
                  <c:v>0</c:v>
                </c:pt>
                <c:pt idx="1">
                  <c:v>0</c:v>
                </c:pt>
                <c:pt idx="2">
                  <c:v>1.2953367875647669E-3</c:v>
                </c:pt>
              </c:numCache>
            </c:numRef>
          </c:val>
          <c:smooth val="0"/>
          <c:extLst xmlns:c16r2="http://schemas.microsoft.com/office/drawing/2015/06/chart">
            <c:ext xmlns:c16="http://schemas.microsoft.com/office/drawing/2014/chart" uri="{C3380CC4-5D6E-409C-BE32-E72D297353CC}">
              <c16:uniqueId val="{00000000-EDBA-4141-BC70-809775A4146A}"/>
            </c:ext>
          </c:extLst>
        </c:ser>
        <c:ser>
          <c:idx val="1"/>
          <c:order val="1"/>
          <c:tx>
            <c:strRef>
              <c:f>Helper!$J$56</c:f>
              <c:strCache>
                <c:ptCount val="1"/>
                <c:pt idx="0">
                  <c:v>Female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Helper!$H$57:$H$59</c:f>
              <c:strCache>
                <c:ptCount val="3"/>
                <c:pt idx="0">
                  <c:v>2016-2017</c:v>
                </c:pt>
                <c:pt idx="1">
                  <c:v>2017-2018</c:v>
                </c:pt>
                <c:pt idx="2">
                  <c:v>2018-2019</c:v>
                </c:pt>
              </c:strCache>
            </c:strRef>
          </c:cat>
          <c:val>
            <c:numRef>
              <c:f>Helper!$J$57:$J$59</c:f>
              <c:numCache>
                <c:formatCode>0.00%</c:formatCode>
                <c:ptCount val="3"/>
                <c:pt idx="0">
                  <c:v>0</c:v>
                </c:pt>
                <c:pt idx="1">
                  <c:v>0</c:v>
                </c:pt>
                <c:pt idx="2">
                  <c:v>0</c:v>
                </c:pt>
              </c:numCache>
            </c:numRef>
          </c:val>
          <c:smooth val="0"/>
          <c:extLst xmlns:c16r2="http://schemas.microsoft.com/office/drawing/2015/06/chart">
            <c:ext xmlns:c16="http://schemas.microsoft.com/office/drawing/2014/chart" uri="{C3380CC4-5D6E-409C-BE32-E72D297353CC}">
              <c16:uniqueId val="{00000001-EDBA-4141-BC70-809775A4146A}"/>
            </c:ext>
          </c:extLst>
        </c:ser>
        <c:ser>
          <c:idx val="2"/>
          <c:order val="2"/>
          <c:tx>
            <c:strRef>
              <c:f>Helper!$K$56</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Helper!$H$57:$H$59</c:f>
              <c:strCache>
                <c:ptCount val="3"/>
                <c:pt idx="0">
                  <c:v>2016-2017</c:v>
                </c:pt>
                <c:pt idx="1">
                  <c:v>2017-2018</c:v>
                </c:pt>
                <c:pt idx="2">
                  <c:v>2018-2019</c:v>
                </c:pt>
              </c:strCache>
            </c:strRef>
          </c:cat>
          <c:val>
            <c:numRef>
              <c:f>Helper!$K$57:$K$59</c:f>
              <c:numCache>
                <c:formatCode>0.00%</c:formatCode>
                <c:ptCount val="3"/>
                <c:pt idx="0">
                  <c:v>0</c:v>
                </c:pt>
                <c:pt idx="1">
                  <c:v>0</c:v>
                </c:pt>
                <c:pt idx="2">
                  <c:v>6.6445182724252495E-4</c:v>
                </c:pt>
              </c:numCache>
            </c:numRef>
          </c:val>
          <c:smooth val="0"/>
          <c:extLst xmlns:c16r2="http://schemas.microsoft.com/office/drawing/2015/06/chart">
            <c:ext xmlns:c16="http://schemas.microsoft.com/office/drawing/2014/chart" uri="{C3380CC4-5D6E-409C-BE32-E72D297353CC}">
              <c16:uniqueId val="{00000002-EDBA-4141-BC70-809775A4146A}"/>
            </c:ext>
          </c:extLst>
        </c:ser>
        <c:dLbls>
          <c:dLblPos val="t"/>
          <c:showLegendKey val="0"/>
          <c:showVal val="1"/>
          <c:showCatName val="0"/>
          <c:showSerName val="0"/>
          <c:showPercent val="0"/>
          <c:showBubbleSize val="0"/>
        </c:dLbls>
        <c:marker val="1"/>
        <c:smooth val="0"/>
        <c:axId val="272097400"/>
        <c:axId val="272109552"/>
      </c:lineChart>
      <c:catAx>
        <c:axId val="272097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09552"/>
        <c:crosses val="autoZero"/>
        <c:auto val="1"/>
        <c:lblAlgn val="ctr"/>
        <c:lblOffset val="100"/>
        <c:noMultiLvlLbl val="0"/>
      </c:catAx>
      <c:valAx>
        <c:axId val="2721095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97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PH" sz="1200"/>
              <a:t>NAT</a:t>
            </a:r>
            <a:r>
              <a:rPr lang="en-PH" sz="1200" baseline="0"/>
              <a:t> Results by Learning Area</a:t>
            </a:r>
            <a:endParaRPr lang="en-PH" sz="1200"/>
          </a:p>
        </c:rich>
      </c:tx>
      <c:layout>
        <c:manualLayout>
          <c:xMode val="edge"/>
          <c:yMode val="edge"/>
          <c:x val="0.28311758325957709"/>
          <c:y val="1.0095067875336466E-2"/>
        </c:manualLayout>
      </c:layout>
      <c:overlay val="0"/>
      <c:spPr>
        <a:noFill/>
        <a:ln>
          <a:noFill/>
        </a:ln>
        <a:effectLst/>
      </c:spPr>
    </c:title>
    <c:autoTitleDeleted val="0"/>
    <c:plotArea>
      <c:layout/>
      <c:barChart>
        <c:barDir val="col"/>
        <c:grouping val="clustered"/>
        <c:varyColors val="0"/>
        <c:ser>
          <c:idx val="0"/>
          <c:order val="0"/>
          <c:tx>
            <c:strRef>
              <c:f>Helper!$B$80</c:f>
              <c:strCache>
                <c:ptCount val="1"/>
                <c:pt idx="0">
                  <c:v>2016-2017</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Helper!$A$81:$A$85</c:f>
              <c:strCache>
                <c:ptCount val="5"/>
                <c:pt idx="0">
                  <c:v>English</c:v>
                </c:pt>
                <c:pt idx="1">
                  <c:v>Filipino</c:v>
                </c:pt>
                <c:pt idx="2">
                  <c:v>Math</c:v>
                </c:pt>
                <c:pt idx="3">
                  <c:v>Science </c:v>
                </c:pt>
                <c:pt idx="4">
                  <c:v>HEKASI</c:v>
                </c:pt>
              </c:strCache>
            </c:strRef>
          </c:cat>
          <c:val>
            <c:numRef>
              <c:f>Helper!$B$81:$B$85</c:f>
              <c:numCache>
                <c:formatCode>0.00</c:formatCode>
                <c:ptCount val="5"/>
                <c:pt idx="0">
                  <c:v>0</c:v>
                </c:pt>
                <c:pt idx="1">
                  <c:v>0</c:v>
                </c:pt>
                <c:pt idx="2">
                  <c:v>0</c:v>
                </c:pt>
                <c:pt idx="3">
                  <c:v>0</c:v>
                </c:pt>
                <c:pt idx="4">
                  <c:v>0</c:v>
                </c:pt>
              </c:numCache>
            </c:numRef>
          </c:val>
          <c:extLst xmlns:c16r2="http://schemas.microsoft.com/office/drawing/2015/06/chart">
            <c:ext xmlns:c16="http://schemas.microsoft.com/office/drawing/2014/chart" uri="{C3380CC4-5D6E-409C-BE32-E72D297353CC}">
              <c16:uniqueId val="{00000000-4605-4F41-8889-CF765ED1E040}"/>
            </c:ext>
          </c:extLst>
        </c:ser>
        <c:ser>
          <c:idx val="1"/>
          <c:order val="1"/>
          <c:tx>
            <c:strRef>
              <c:f>Helper!$C$80</c:f>
              <c:strCache>
                <c:ptCount val="1"/>
                <c:pt idx="0">
                  <c:v>2017-2018</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Helper!$A$81:$A$85</c:f>
              <c:strCache>
                <c:ptCount val="5"/>
                <c:pt idx="0">
                  <c:v>English</c:v>
                </c:pt>
                <c:pt idx="1">
                  <c:v>Filipino</c:v>
                </c:pt>
                <c:pt idx="2">
                  <c:v>Math</c:v>
                </c:pt>
                <c:pt idx="3">
                  <c:v>Science </c:v>
                </c:pt>
                <c:pt idx="4">
                  <c:v>HEKASI</c:v>
                </c:pt>
              </c:strCache>
            </c:strRef>
          </c:cat>
          <c:val>
            <c:numRef>
              <c:f>Helper!$C$81:$C$85</c:f>
              <c:numCache>
                <c:formatCode>0.00</c:formatCode>
                <c:ptCount val="5"/>
                <c:pt idx="0">
                  <c:v>47.73</c:v>
                </c:pt>
                <c:pt idx="1">
                  <c:v>54.65</c:v>
                </c:pt>
                <c:pt idx="2">
                  <c:v>34.58</c:v>
                </c:pt>
                <c:pt idx="3">
                  <c:v>28.86</c:v>
                </c:pt>
                <c:pt idx="4">
                  <c:v>39.299999999999997</c:v>
                </c:pt>
              </c:numCache>
            </c:numRef>
          </c:val>
          <c:extLst xmlns:c16r2="http://schemas.microsoft.com/office/drawing/2015/06/chart">
            <c:ext xmlns:c16="http://schemas.microsoft.com/office/drawing/2014/chart" uri="{C3380CC4-5D6E-409C-BE32-E72D297353CC}">
              <c16:uniqueId val="{00000001-4605-4F41-8889-CF765ED1E040}"/>
            </c:ext>
          </c:extLst>
        </c:ser>
        <c:ser>
          <c:idx val="2"/>
          <c:order val="2"/>
          <c:tx>
            <c:strRef>
              <c:f>Helper!$D$80</c:f>
              <c:strCache>
                <c:ptCount val="1"/>
                <c:pt idx="0">
                  <c:v>2018-2019</c:v>
                </c:pt>
              </c:strCache>
            </c:strRef>
          </c:tx>
          <c:spPr>
            <a:solidFill>
              <a:schemeClr val="accent3"/>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Helper!$A$81:$A$85</c:f>
              <c:strCache>
                <c:ptCount val="5"/>
                <c:pt idx="0">
                  <c:v>English</c:v>
                </c:pt>
                <c:pt idx="1">
                  <c:v>Filipino</c:v>
                </c:pt>
                <c:pt idx="2">
                  <c:v>Math</c:v>
                </c:pt>
                <c:pt idx="3">
                  <c:v>Science </c:v>
                </c:pt>
                <c:pt idx="4">
                  <c:v>HEKASI</c:v>
                </c:pt>
              </c:strCache>
            </c:strRef>
          </c:cat>
          <c:val>
            <c:numRef>
              <c:f>Helper!$D$81:$D$85</c:f>
              <c:numCache>
                <c:formatCode>0.00</c:formatCode>
                <c:ptCount val="5"/>
                <c:pt idx="0">
                  <c:v>0</c:v>
                </c:pt>
                <c:pt idx="1">
                  <c:v>0</c:v>
                </c:pt>
                <c:pt idx="2">
                  <c:v>0</c:v>
                </c:pt>
                <c:pt idx="3">
                  <c:v>0</c:v>
                </c:pt>
                <c:pt idx="4">
                  <c:v>0</c:v>
                </c:pt>
              </c:numCache>
            </c:numRef>
          </c:val>
          <c:extLst xmlns:c16r2="http://schemas.microsoft.com/office/drawing/2015/06/chart">
            <c:ext xmlns:c16="http://schemas.microsoft.com/office/drawing/2014/chart" uri="{C3380CC4-5D6E-409C-BE32-E72D297353CC}">
              <c16:uniqueId val="{00000002-4605-4F41-8889-CF765ED1E040}"/>
            </c:ext>
          </c:extLst>
        </c:ser>
        <c:dLbls>
          <c:showLegendKey val="0"/>
          <c:showVal val="0"/>
          <c:showCatName val="0"/>
          <c:showSerName val="0"/>
          <c:showPercent val="0"/>
          <c:showBubbleSize val="0"/>
        </c:dLbls>
        <c:gapWidth val="50"/>
        <c:overlap val="-27"/>
        <c:axId val="272106416"/>
        <c:axId val="272100144"/>
      </c:barChart>
      <c:catAx>
        <c:axId val="27210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00144"/>
        <c:crosses val="autoZero"/>
        <c:auto val="1"/>
        <c:lblAlgn val="ctr"/>
        <c:lblOffset val="100"/>
        <c:noMultiLvlLbl val="0"/>
      </c:catAx>
      <c:valAx>
        <c:axId val="272100144"/>
        <c:scaling>
          <c:orientation val="minMax"/>
          <c:max val="90"/>
          <c:min val="0"/>
        </c:scaling>
        <c:delete val="1"/>
        <c:axPos val="l"/>
        <c:numFmt formatCode="0.00" sourceLinked="1"/>
        <c:majorTickMark val="none"/>
        <c:minorTickMark val="none"/>
        <c:tickLblPos val="nextTo"/>
        <c:crossAx val="27210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Learner-Teacher Ratio by Grade Level</a:t>
            </a:r>
          </a:p>
        </c:rich>
      </c:tx>
      <c:overlay val="0"/>
      <c:spPr>
        <a:noFill/>
        <a:ln>
          <a:noFill/>
        </a:ln>
        <a:effectLst/>
      </c:spPr>
    </c:title>
    <c:autoTitleDeleted val="0"/>
    <c:plotArea>
      <c:layout>
        <c:manualLayout>
          <c:layoutTarget val="inner"/>
          <c:xMode val="edge"/>
          <c:yMode val="edge"/>
          <c:x val="6.1574960784880214E-2"/>
          <c:y val="4.6219213727470405E-2"/>
          <c:w val="0.91468353440818728"/>
          <c:h val="0.85858831236181998"/>
        </c:manualLayout>
      </c:layout>
      <c:barChart>
        <c:barDir val="col"/>
        <c:grouping val="clustered"/>
        <c:varyColors val="1"/>
        <c:ser>
          <c:idx val="0"/>
          <c:order val="0"/>
          <c:tx>
            <c:v>Data_TSR</c:v>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2C48-40CE-9F69-8ACFD8193A1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[0]!Level_TSR</c:f>
              <c:strCache>
                <c:ptCount val="6"/>
                <c:pt idx="0">
                  <c:v>Grade 7</c:v>
                </c:pt>
                <c:pt idx="1">
                  <c:v>Grade 8</c:v>
                </c:pt>
                <c:pt idx="2">
                  <c:v>Grade 9</c:v>
                </c:pt>
                <c:pt idx="3">
                  <c:v>Grade 10</c:v>
                </c:pt>
                <c:pt idx="4">
                  <c:v>Grade 11</c:v>
                </c:pt>
                <c:pt idx="5">
                  <c:v>Grade 12</c:v>
                </c:pt>
              </c:strCache>
            </c:strRef>
          </c:cat>
          <c:val>
            <c:numRef>
              <c:f>[0]!Data_TSR</c:f>
              <c:numCache>
                <c:formatCode>General</c:formatCode>
                <c:ptCount val="6"/>
                <c:pt idx="0">
                  <c:v>40</c:v>
                </c:pt>
                <c:pt idx="1">
                  <c:v>31</c:v>
                </c:pt>
                <c:pt idx="2">
                  <c:v>22</c:v>
                </c:pt>
                <c:pt idx="3">
                  <c:v>17</c:v>
                </c:pt>
                <c:pt idx="4">
                  <c:v>35</c:v>
                </c:pt>
                <c:pt idx="5">
                  <c:v>20</c:v>
                </c:pt>
              </c:numCache>
            </c:numRef>
          </c:val>
          <c:extLst xmlns:c16r2="http://schemas.microsoft.com/office/drawing/2015/06/chart">
            <c:ext xmlns:c16="http://schemas.microsoft.com/office/drawing/2014/chart" uri="{C3380CC4-5D6E-409C-BE32-E72D297353CC}">
              <c16:uniqueId val="{00000000-AD05-436B-B372-2BBBCE78420F}"/>
            </c:ext>
          </c:extLst>
        </c:ser>
        <c:dLbls>
          <c:dLblPos val="inBase"/>
          <c:showLegendKey val="0"/>
          <c:showVal val="1"/>
          <c:showCatName val="0"/>
          <c:showSerName val="0"/>
          <c:showPercent val="0"/>
          <c:showBubbleSize val="0"/>
        </c:dLbls>
        <c:gapWidth val="50"/>
        <c:overlap val="-27"/>
        <c:axId val="272106808"/>
        <c:axId val="272107200"/>
      </c:barChart>
      <c:catAx>
        <c:axId val="27210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2107200"/>
        <c:crosses val="autoZero"/>
        <c:auto val="1"/>
        <c:lblAlgn val="ctr"/>
        <c:lblOffset val="100"/>
        <c:noMultiLvlLbl val="0"/>
      </c:catAx>
      <c:valAx>
        <c:axId val="272107200"/>
        <c:scaling>
          <c:orientation val="minMax"/>
          <c:max val="1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06808"/>
        <c:crosses val="autoZero"/>
        <c:crossBetween val="between"/>
        <c:majorUnit val="10"/>
        <c:minorUnit val="5"/>
      </c:valAx>
      <c:spPr>
        <a:noFill/>
        <a:ln>
          <a:noFill/>
        </a:ln>
        <a:effectLst/>
      </c:spPr>
    </c:plotArea>
    <c:plotVisOnly val="0"/>
    <c:dispBlanksAs val="gap"/>
    <c:showDLblsOverMax val="0"/>
  </c:chart>
  <c:spPr>
    <a:pattFill prst="ltDnDiag">
      <a:fgClr>
        <a:schemeClr val="accent2">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Learner-Classroom Ratio by Grade Level</a:t>
            </a:r>
          </a:p>
        </c:rich>
      </c:tx>
      <c:overlay val="0"/>
      <c:spPr>
        <a:noFill/>
        <a:ln>
          <a:noFill/>
        </a:ln>
        <a:effectLst/>
      </c:spPr>
    </c:title>
    <c:autoTitleDeleted val="0"/>
    <c:plotArea>
      <c:layout>
        <c:manualLayout>
          <c:layoutTarget val="inner"/>
          <c:xMode val="edge"/>
          <c:yMode val="edge"/>
          <c:x val="4.7711038769494063E-2"/>
          <c:y val="5.8000137008197658E-2"/>
          <c:w val="0.92405646430983168"/>
          <c:h val="0.86690766789212892"/>
        </c:manualLayout>
      </c:layout>
      <c:barChart>
        <c:barDir val="col"/>
        <c:grouping val="clustered"/>
        <c:varyColors val="1"/>
        <c:ser>
          <c:idx val="0"/>
          <c:order val="0"/>
          <c:tx>
            <c:v>Data_LCR</c:v>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F339-49EE-9187-C431CAA66C6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[0]!Level_LCR</c:f>
              <c:strCache>
                <c:ptCount val="6"/>
                <c:pt idx="0">
                  <c:v>Grade 7</c:v>
                </c:pt>
                <c:pt idx="1">
                  <c:v>Grade 8</c:v>
                </c:pt>
                <c:pt idx="2">
                  <c:v>Grade 9</c:v>
                </c:pt>
                <c:pt idx="3">
                  <c:v>Grade 10</c:v>
                </c:pt>
                <c:pt idx="4">
                  <c:v>Grade 11</c:v>
                </c:pt>
                <c:pt idx="5">
                  <c:v>Grade 12</c:v>
                </c:pt>
              </c:strCache>
            </c:strRef>
          </c:cat>
          <c:val>
            <c:numRef>
              <c:f>[0]!Data_LCR</c:f>
              <c:numCache>
                <c:formatCode>General</c:formatCode>
                <c:ptCount val="6"/>
                <c:pt idx="0">
                  <c:v>61</c:v>
                </c:pt>
                <c:pt idx="1">
                  <c:v>51</c:v>
                </c:pt>
                <c:pt idx="2">
                  <c:v>49</c:v>
                </c:pt>
                <c:pt idx="3">
                  <c:v>44</c:v>
                </c:pt>
                <c:pt idx="4">
                  <c:v>52</c:v>
                </c:pt>
                <c:pt idx="5">
                  <c:v>40</c:v>
                </c:pt>
              </c:numCache>
            </c:numRef>
          </c:val>
          <c:extLst xmlns:c16r2="http://schemas.microsoft.com/office/drawing/2015/06/chart">
            <c:ext xmlns:c16="http://schemas.microsoft.com/office/drawing/2014/chart" uri="{C3380CC4-5D6E-409C-BE32-E72D297353CC}">
              <c16:uniqueId val="{00000000-6F75-4B75-889A-6E9C9619FABA}"/>
            </c:ext>
          </c:extLst>
        </c:ser>
        <c:dLbls>
          <c:dLblPos val="inBase"/>
          <c:showLegendKey val="0"/>
          <c:showVal val="1"/>
          <c:showCatName val="0"/>
          <c:showSerName val="0"/>
          <c:showPercent val="0"/>
          <c:showBubbleSize val="0"/>
        </c:dLbls>
        <c:gapWidth val="60"/>
        <c:overlap val="-27"/>
        <c:axId val="272111512"/>
        <c:axId val="272111120"/>
      </c:barChart>
      <c:catAx>
        <c:axId val="272111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8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2111120"/>
        <c:crosses val="autoZero"/>
        <c:auto val="1"/>
        <c:lblAlgn val="ctr"/>
        <c:lblOffset val="100"/>
        <c:noMultiLvlLbl val="0"/>
      </c:catAx>
      <c:valAx>
        <c:axId val="272111120"/>
        <c:scaling>
          <c:orientation val="minMax"/>
          <c:max val="1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1512"/>
        <c:crosses val="autoZero"/>
        <c:crossBetween val="between"/>
      </c:valAx>
      <c:spPr>
        <a:noFill/>
        <a:ln>
          <a:noFill/>
        </a:ln>
        <a:effectLst/>
      </c:spPr>
    </c:plotArea>
    <c:plotVisOnly val="0"/>
    <c:dispBlanksAs val="gap"/>
    <c:showDLblsOverMax val="0"/>
  </c:chart>
  <c:spPr>
    <a:pattFill prst="ltDnDiag">
      <a:fgClr>
        <a:schemeClr val="accent2">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Learner-Toilet Ratio</a:t>
            </a:r>
          </a:p>
        </c:rich>
      </c:tx>
      <c:overlay val="0"/>
      <c:spPr>
        <a:noFill/>
        <a:ln>
          <a:noFill/>
        </a:ln>
        <a:effectLst/>
      </c:spPr>
    </c:title>
    <c:autoTitleDeleted val="0"/>
    <c:plotArea>
      <c:layout>
        <c:manualLayout>
          <c:layoutTarget val="inner"/>
          <c:xMode val="edge"/>
          <c:yMode val="edge"/>
          <c:x val="0.12147747156605425"/>
          <c:y val="5.31641878098571E-2"/>
          <c:w val="0.82759660250801981"/>
          <c:h val="0.92914653784219003"/>
        </c:manualLayout>
      </c:layout>
      <c:barChart>
        <c:barDir val="col"/>
        <c:grouping val="clustered"/>
        <c:varyColors val="0"/>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Helper!$A$135:$C$135</c15:sqref>
                  </c15:fullRef>
                </c:ext>
              </c:extLst>
              <c:f>Helper!$B$135</c:f>
              <c:numCache>
                <c:formatCode>General</c:formatCode>
                <c:ptCount val="1"/>
                <c:pt idx="0">
                  <c:v>84</c:v>
                </c:pt>
              </c:numCache>
            </c:numRef>
          </c:val>
          <c:extLst xmlns:c16r2="http://schemas.microsoft.com/office/drawing/2015/06/chart">
            <c:ext xmlns:c16="http://schemas.microsoft.com/office/drawing/2014/chart" uri="{C3380CC4-5D6E-409C-BE32-E72D297353CC}">
              <c16:uniqueId val="{00000002-C10E-4C18-AD0C-0E63447F33F9}"/>
            </c:ext>
          </c:extLst>
        </c:ser>
        <c:dLbls>
          <c:dLblPos val="inBase"/>
          <c:showLegendKey val="0"/>
          <c:showVal val="1"/>
          <c:showCatName val="0"/>
          <c:showSerName val="0"/>
          <c:showPercent val="0"/>
          <c:showBubbleSize val="0"/>
        </c:dLbls>
        <c:gapWidth val="219"/>
        <c:overlap val="-27"/>
        <c:axId val="272111904"/>
        <c:axId val="272112688"/>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6r2="http://schemas.microsoft.com/office/drawing/2015/06/char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ullRef>
                          <c15:sqref>Helper!$A$134:$C$134</c15:sqref>
                        </c15:fullRef>
                        <c15:formulaRef>
                          <c15:sqref>Helper!$B$134</c15:sqref>
                        </c15:formulaRef>
                      </c:ext>
                    </c:extLst>
                    <c:numCache>
                      <c:formatCode>General</c:formatCode>
                      <c:ptCount val="1"/>
                      <c:pt idx="0">
                        <c:v>0</c:v>
                      </c:pt>
                    </c:numCache>
                  </c:numRef>
                </c:val>
                <c:extLst xmlns:c16r2="http://schemas.microsoft.com/office/drawing/2015/06/chart">
                  <c:ext xmlns:c16="http://schemas.microsoft.com/office/drawing/2014/chart" uri="{C3380CC4-5D6E-409C-BE32-E72D297353CC}">
                    <c16:uniqueId val="{00000001-C10E-4C18-AD0C-0E63447F33F9}"/>
                  </c:ext>
                </c:extLst>
              </c15:ser>
            </c15:filteredBarSeries>
          </c:ext>
        </c:extLst>
      </c:barChart>
      <c:catAx>
        <c:axId val="272111904"/>
        <c:scaling>
          <c:orientation val="minMax"/>
        </c:scaling>
        <c:delete val="1"/>
        <c:axPos val="b"/>
        <c:numFmt formatCode="General" sourceLinked="0"/>
        <c:majorTickMark val="none"/>
        <c:minorTickMark val="none"/>
        <c:tickLblPos val="nextTo"/>
        <c:crossAx val="272112688"/>
        <c:crosses val="autoZero"/>
        <c:auto val="1"/>
        <c:lblAlgn val="ctr"/>
        <c:lblOffset val="100"/>
        <c:noMultiLvlLbl val="0"/>
      </c:catAx>
      <c:valAx>
        <c:axId val="272112688"/>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1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Learner-Seat Ratio</a:t>
            </a:r>
          </a:p>
        </c:rich>
      </c:tx>
      <c:overlay val="0"/>
      <c:spPr>
        <a:noFill/>
        <a:ln>
          <a:noFill/>
        </a:ln>
        <a:effectLst/>
      </c:spPr>
    </c:title>
    <c:autoTitleDeleted val="0"/>
    <c:plotArea>
      <c:layout/>
      <c:barChart>
        <c:barDir val="col"/>
        <c:grouping val="clustered"/>
        <c:varyColors val="0"/>
        <c:ser>
          <c:idx val="2"/>
          <c:order val="2"/>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Helper!$A$131:$C$131</c15:sqref>
                  </c15:fullRef>
                </c:ext>
              </c:extLst>
              <c:f>Helper!$B$131</c:f>
              <c:numCache>
                <c:formatCode>General</c:formatCode>
                <c:ptCount val="1"/>
                <c:pt idx="0">
                  <c:v>1.01</c:v>
                </c:pt>
              </c:numCache>
            </c:numRef>
          </c:val>
          <c:extLst xmlns:c16r2="http://schemas.microsoft.com/office/drawing/2015/06/chart">
            <c:ext xmlns:c16="http://schemas.microsoft.com/office/drawing/2014/chart" uri="{C3380CC4-5D6E-409C-BE32-E72D297353CC}">
              <c16:uniqueId val="{00000000-0252-4803-8674-EA17BD4559AB}"/>
            </c:ext>
          </c:extLst>
        </c:ser>
        <c:dLbls>
          <c:showLegendKey val="0"/>
          <c:showVal val="0"/>
          <c:showCatName val="0"/>
          <c:showSerName val="0"/>
          <c:showPercent val="0"/>
          <c:showBubbleSize val="0"/>
        </c:dLbls>
        <c:gapWidth val="219"/>
        <c:overlap val="-27"/>
        <c:axId val="272113080"/>
        <c:axId val="272112296"/>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val>
                  <c:numRef>
                    <c:extLst>
                      <c:ext uri="{02D57815-91ED-43cb-92C2-25804820EDAC}">
                        <c15:fullRef>
                          <c15:sqref>Helper!$A$129:$C$129</c15:sqref>
                        </c15:fullRef>
                        <c15:formulaRef>
                          <c15:sqref>Helper!$B$129</c15:sqref>
                        </c15:formulaRef>
                      </c:ext>
                    </c:extLst>
                    <c:numCache>
                      <c:formatCode>General</c:formatCode>
                      <c:ptCount val="1"/>
                    </c:numCache>
                  </c:numRef>
                </c:val>
                <c:extLst xmlns:c16r2="http://schemas.microsoft.com/office/drawing/2015/06/chart">
                  <c:ext xmlns:c16="http://schemas.microsoft.com/office/drawing/2014/chart" uri="{C3380CC4-5D6E-409C-BE32-E72D297353CC}">
                    <c16:uniqueId val="{00000001-0252-4803-8674-EA17BD4559AB}"/>
                  </c:ext>
                </c:extLst>
              </c15:ser>
            </c15:filteredBarSeries>
            <c15:filteredBarSeries>
              <c15:ser>
                <c:idx val="1"/>
                <c:order val="1"/>
                <c:spPr>
                  <a:solidFill>
                    <a:schemeClr val="accent2"/>
                  </a:solidFill>
                  <a:ln>
                    <a:noFill/>
                  </a:ln>
                  <a:effectLst/>
                </c:spPr>
                <c:invertIfNegative val="0"/>
                <c:val>
                  <c:numRef>
                    <c:extLst>
                      <c:ext xmlns:c15="http://schemas.microsoft.com/office/drawing/2012/chart" uri="{02D57815-91ED-43cb-92C2-25804820EDAC}">
                        <c15:fullRef>
                          <c15:sqref>Helper!$A$130:$C$130</c15:sqref>
                        </c15:fullRef>
                        <c15:formulaRef>
                          <c15:sqref>Helper!$B$130</c15:sqref>
                        </c15:formulaRef>
                      </c:ext>
                    </c:extLst>
                    <c:numCache>
                      <c:formatCode>General</c:formatCode>
                      <c:ptCount val="1"/>
                      <c:pt idx="0">
                        <c:v>0</c:v>
                      </c:pt>
                    </c:numCache>
                  </c:numRef>
                </c:val>
                <c:extLst xmlns:c15="http://schemas.microsoft.com/office/drawing/2012/chart" xmlns:c16r2="http://schemas.microsoft.com/office/drawing/2015/06/chart">
                  <c:ext xmlns:c16="http://schemas.microsoft.com/office/drawing/2014/chart" uri="{C3380CC4-5D6E-409C-BE32-E72D297353CC}">
                    <c16:uniqueId val="{00000002-0252-4803-8674-EA17BD4559AB}"/>
                  </c:ext>
                </c:extLst>
              </c15:ser>
            </c15:filteredBarSeries>
          </c:ext>
        </c:extLst>
      </c:barChart>
      <c:catAx>
        <c:axId val="272113080"/>
        <c:scaling>
          <c:orientation val="minMax"/>
        </c:scaling>
        <c:delete val="1"/>
        <c:axPos val="b"/>
        <c:numFmt formatCode="General" sourceLinked="0"/>
        <c:majorTickMark val="none"/>
        <c:minorTickMark val="none"/>
        <c:tickLblPos val="nextTo"/>
        <c:crossAx val="272112296"/>
        <c:crosses val="autoZero"/>
        <c:auto val="1"/>
        <c:lblAlgn val="ctr"/>
        <c:lblOffset val="100"/>
        <c:noMultiLvlLbl val="0"/>
      </c:catAx>
      <c:valAx>
        <c:axId val="272112296"/>
        <c:scaling>
          <c:orientation val="minMax"/>
          <c:max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lineChart>
        <c:grouping val="stacked"/>
        <c:varyColors val="0"/>
        <c:ser>
          <c:idx val="0"/>
          <c:order val="0"/>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Helper!$A$3:$A$5</c:f>
              <c:strCache>
                <c:ptCount val="3"/>
                <c:pt idx="0">
                  <c:v>SY 2016-2017</c:v>
                </c:pt>
                <c:pt idx="1">
                  <c:v>SY 2017-2018</c:v>
                </c:pt>
                <c:pt idx="2">
                  <c:v>SY 2018-2019</c:v>
                </c:pt>
              </c:strCache>
            </c:strRef>
          </c:cat>
          <c:val>
            <c:numRef>
              <c:f>Helper!$D$3:$D$5</c:f>
              <c:numCache>
                <c:formatCode>General</c:formatCode>
                <c:ptCount val="3"/>
                <c:pt idx="0">
                  <c:v>1290</c:v>
                </c:pt>
                <c:pt idx="1">
                  <c:v>1418</c:v>
                </c:pt>
                <c:pt idx="2">
                  <c:v>1505</c:v>
                </c:pt>
              </c:numCache>
            </c:numRef>
          </c:val>
          <c:smooth val="0"/>
          <c:extLst xmlns:c16r2="http://schemas.microsoft.com/office/drawing/2015/06/chart">
            <c:ext xmlns:c16="http://schemas.microsoft.com/office/drawing/2014/chart" uri="{C3380CC4-5D6E-409C-BE32-E72D297353CC}">
              <c16:uniqueId val="{00000000-654F-487F-B03E-9DC94933F469}"/>
            </c:ext>
          </c:extLst>
        </c:ser>
        <c:dLbls>
          <c:showLegendKey val="0"/>
          <c:showVal val="0"/>
          <c:showCatName val="0"/>
          <c:showSerName val="0"/>
          <c:showPercent val="0"/>
          <c:showBubbleSize val="0"/>
        </c:dLbls>
        <c:marker val="1"/>
        <c:smooth val="0"/>
        <c:axId val="273526360"/>
        <c:axId val="273520872"/>
      </c:lineChart>
      <c:catAx>
        <c:axId val="273526360"/>
        <c:scaling>
          <c:orientation val="minMax"/>
        </c:scaling>
        <c:delete val="1"/>
        <c:axPos val="b"/>
        <c:numFmt formatCode="General" sourceLinked="1"/>
        <c:majorTickMark val="none"/>
        <c:minorTickMark val="none"/>
        <c:tickLblPos val="nextTo"/>
        <c:crossAx val="273520872"/>
        <c:crosses val="autoZero"/>
        <c:auto val="1"/>
        <c:lblAlgn val="ctr"/>
        <c:lblOffset val="100"/>
        <c:noMultiLvlLbl val="0"/>
      </c:catAx>
      <c:valAx>
        <c:axId val="273520872"/>
        <c:scaling>
          <c:orientation val="minMax"/>
        </c:scaling>
        <c:delete val="1"/>
        <c:axPos val="l"/>
        <c:numFmt formatCode="General" sourceLinked="1"/>
        <c:majorTickMark val="none"/>
        <c:minorTickMark val="none"/>
        <c:tickLblPos val="nextTo"/>
        <c:crossAx val="273526360"/>
        <c:crosses val="autoZero"/>
        <c:crossBetween val="between"/>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sz="1000">
                <a:latin typeface="Arial Narrow" panose="020B0606020202030204" pitchFamily="34" charset="0"/>
              </a:rPr>
              <a:t>Promotion Rate by Grade (Current School Year)</a:t>
            </a:r>
          </a:p>
        </c:rich>
      </c:tx>
      <c:overlay val="0"/>
      <c:spPr>
        <a:noFill/>
        <a:ln>
          <a:noFill/>
        </a:ln>
        <a:effectLst/>
      </c:spPr>
    </c:title>
    <c:autoTitleDeleted val="0"/>
    <c:plotArea>
      <c:layout/>
      <c:barChart>
        <c:barDir val="col"/>
        <c:grouping val="clustered"/>
        <c:varyColors val="1"/>
        <c:ser>
          <c:idx val="0"/>
          <c:order val="0"/>
          <c:tx>
            <c:v>Data_Promotion</c:v>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8CBE-4F2B-97DA-1E26A7318E1A}"/>
              </c:ext>
            </c:extLst>
          </c:dPt>
          <c:cat>
            <c:strRef>
              <c:f>[0]!Level_Promotion</c:f>
              <c:strCache>
                <c:ptCount val="6"/>
                <c:pt idx="0">
                  <c:v>Grade 7</c:v>
                </c:pt>
                <c:pt idx="1">
                  <c:v>Grade 8</c:v>
                </c:pt>
                <c:pt idx="2">
                  <c:v>Grade 9</c:v>
                </c:pt>
                <c:pt idx="3">
                  <c:v>Grade 10</c:v>
                </c:pt>
                <c:pt idx="4">
                  <c:v>Grade 11</c:v>
                </c:pt>
                <c:pt idx="5">
                  <c:v>Grade 12</c:v>
                </c:pt>
              </c:strCache>
            </c:strRef>
          </c:cat>
          <c:val>
            <c:numRef>
              <c:f>[0]!Data_Promotion</c:f>
              <c:numCache>
                <c:formatCode>General</c:formatCode>
                <c:ptCount val="6"/>
                <c:pt idx="0">
                  <c:v>90.64500000000001</c:v>
                </c:pt>
                <c:pt idx="1">
                  <c:v>93.544999999999987</c:v>
                </c:pt>
                <c:pt idx="2">
                  <c:v>93.05</c:v>
                </c:pt>
                <c:pt idx="3">
                  <c:v>94.67</c:v>
                </c:pt>
                <c:pt idx="4">
                  <c:v>88.265000000000001</c:v>
                </c:pt>
                <c:pt idx="5">
                  <c:v>98.384999999999991</c:v>
                </c:pt>
              </c:numCache>
            </c:numRef>
          </c:val>
          <c:extLst xmlns:c16r2="http://schemas.microsoft.com/office/drawing/2015/06/chart">
            <c:ext xmlns:c16="http://schemas.microsoft.com/office/drawing/2014/chart" uri="{C3380CC4-5D6E-409C-BE32-E72D297353CC}">
              <c16:uniqueId val="{00000000-4AC3-4291-9750-85848AF01432}"/>
            </c:ext>
          </c:extLst>
        </c:ser>
        <c:dLbls>
          <c:showLegendKey val="0"/>
          <c:showVal val="0"/>
          <c:showCatName val="0"/>
          <c:showSerName val="0"/>
          <c:showPercent val="0"/>
          <c:showBubbleSize val="0"/>
        </c:dLbls>
        <c:gapWidth val="60"/>
        <c:overlap val="-27"/>
        <c:axId val="273529496"/>
        <c:axId val="273528320"/>
      </c:barChart>
      <c:catAx>
        <c:axId val="27352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3528320"/>
        <c:crosses val="autoZero"/>
        <c:auto val="1"/>
        <c:lblAlgn val="ctr"/>
        <c:lblOffset val="100"/>
        <c:noMultiLvlLbl val="0"/>
      </c:catAx>
      <c:valAx>
        <c:axId val="27352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3529496"/>
        <c:crosses val="autoZero"/>
        <c:crossBetween val="between"/>
      </c:valAx>
      <c:spPr>
        <a:noFill/>
        <a:ln>
          <a:noFill/>
        </a:ln>
        <a:effectLst/>
      </c:spPr>
    </c:plotArea>
    <c:plotVisOnly val="0"/>
    <c:dispBlanksAs val="gap"/>
    <c:showDLblsOverMax val="0"/>
  </c:chart>
  <c:spPr>
    <a:pattFill prst="ltDnDiag">
      <a:fgClr>
        <a:schemeClr val="accent2">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val>
            <c:numRef>
              <c:f>Helper!$B$78:$D$78</c:f>
              <c:numCache>
                <c:formatCode>0.00</c:formatCode>
                <c:ptCount val="3"/>
                <c:pt idx="0">
                  <c:v>97.92</c:v>
                </c:pt>
                <c:pt idx="1">
                  <c:v>98.55</c:v>
                </c:pt>
                <c:pt idx="2">
                  <c:v>93.09</c:v>
                </c:pt>
              </c:numCache>
            </c:numRef>
          </c:val>
          <c:extLst xmlns:c16r2="http://schemas.microsoft.com/office/drawing/2015/06/chart">
            <c:ext xmlns:c16="http://schemas.microsoft.com/office/drawing/2014/chart" uri="{C3380CC4-5D6E-409C-BE32-E72D297353CC}">
              <c16:uniqueId val="{00000000-D497-4968-A03F-17B0BBBB1C08}"/>
            </c:ext>
            <c:ext xmlns:c15="http://schemas.microsoft.com/office/drawing/2012/chart" uri="{02D57815-91ED-43cb-92C2-25804820EDAC}">
              <c15:filteredCategoryTitle>
                <c15:cat>
                  <c:strRef>
                    <c:extLst xmlns:c16r2="http://schemas.microsoft.com/office/drawing/2015/06/chart" xmlns:c16="http://schemas.microsoft.com/office/drawing/2014/chart">
                      <c:ext uri="{02D57815-91ED-43cb-92C2-25804820EDAC}">
                        <c15:formulaRef>
                          <c15:sqref>Helper!$B$62:$D$62</c15:sqref>
                        </c15:formulaRef>
                      </c:ext>
                    </c:extLst>
                    <c:strCache>
                      <c:ptCount val="3"/>
                      <c:pt idx="0">
                        <c:v>2016-2017</c:v>
                      </c:pt>
                      <c:pt idx="1">
                        <c:v>2017-2018</c:v>
                      </c:pt>
                      <c:pt idx="2">
                        <c:v>2018-2019</c:v>
                      </c:pt>
                    </c:strCache>
                  </c:strRef>
                </c15:cat>
              </c15:filteredCategoryTitle>
            </c:ext>
          </c:extLst>
        </c:ser>
        <c:dLbls>
          <c:showLegendKey val="0"/>
          <c:showVal val="0"/>
          <c:showCatName val="0"/>
          <c:showSerName val="0"/>
          <c:showPercent val="0"/>
          <c:showBubbleSize val="0"/>
        </c:dLbls>
        <c:gapWidth val="219"/>
        <c:overlap val="-27"/>
        <c:axId val="273526752"/>
        <c:axId val="273529104"/>
      </c:barChart>
      <c:catAx>
        <c:axId val="27352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29104"/>
        <c:crosses val="autoZero"/>
        <c:auto val="1"/>
        <c:lblAlgn val="ctr"/>
        <c:lblOffset val="100"/>
        <c:noMultiLvlLbl val="0"/>
      </c:catAx>
      <c:valAx>
        <c:axId val="273529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26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000"/>
              <a:t>Promotion Rate</a:t>
            </a:r>
            <a:r>
              <a:rPr lang="en-US" sz="1000" baseline="0"/>
              <a:t> per School Year</a:t>
            </a:r>
            <a:endParaRPr lang="en-US" sz="1000"/>
          </a:p>
        </c:rich>
      </c:tx>
      <c:overlay val="0"/>
      <c:spPr>
        <a:noFill/>
        <a:ln>
          <a:noFill/>
        </a:ln>
        <a:effectLst/>
      </c:spPr>
    </c:title>
    <c:autoTitleDeleted val="0"/>
    <c:plotArea>
      <c:layout>
        <c:manualLayout>
          <c:layoutTarget val="inner"/>
          <c:xMode val="edge"/>
          <c:yMode val="edge"/>
          <c:x val="3.2213612453409014E-2"/>
          <c:y val="0.16862462528374467"/>
          <c:w val="0.93557277509318193"/>
          <c:h val="0.83137537471625533"/>
        </c:manualLayout>
      </c:layout>
      <c:lineChart>
        <c:grouping val="standard"/>
        <c:varyColors val="0"/>
        <c:ser>
          <c:idx val="0"/>
          <c:order val="0"/>
          <c:spPr>
            <a:ln w="28575" cap="rnd">
              <a:solidFill>
                <a:schemeClr val="accent2"/>
              </a:solidFill>
              <a:round/>
              <a:headEnd w="med" len="med"/>
            </a:ln>
            <a:effectLst/>
          </c:spPr>
          <c:marker>
            <c:symbol val="circle"/>
            <c:size val="8"/>
            <c:spPr>
              <a:solidFill>
                <a:schemeClr val="accent2"/>
              </a:solidFill>
              <a:ln w="6350" cmpd="dbl">
                <a:solidFill>
                  <a:schemeClr val="accent2"/>
                </a:solidFill>
                <a:headEnd w="sm" len="sm"/>
                <a:tailEnd w="sm" len="sm"/>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Helper!$B$78:$D$78</c:f>
              <c:numCache>
                <c:formatCode>0.00</c:formatCode>
                <c:ptCount val="3"/>
                <c:pt idx="0">
                  <c:v>97.92</c:v>
                </c:pt>
                <c:pt idx="1">
                  <c:v>98.55</c:v>
                </c:pt>
                <c:pt idx="2">
                  <c:v>93.09</c:v>
                </c:pt>
              </c:numCache>
            </c:numRef>
          </c:val>
          <c:smooth val="0"/>
          <c:extLst xmlns:c16r2="http://schemas.microsoft.com/office/drawing/2015/06/chart">
            <c:ext xmlns:c16="http://schemas.microsoft.com/office/drawing/2014/chart" uri="{C3380CC4-5D6E-409C-BE32-E72D297353CC}">
              <c16:uniqueId val="{00000000-E153-4A78-B72D-9A8213E7259D}"/>
            </c:ext>
          </c:extLst>
        </c:ser>
        <c:dLbls>
          <c:dLblPos val="t"/>
          <c:showLegendKey val="0"/>
          <c:showVal val="1"/>
          <c:showCatName val="0"/>
          <c:showSerName val="0"/>
          <c:showPercent val="0"/>
          <c:showBubbleSize val="0"/>
        </c:dLbls>
        <c:marker val="1"/>
        <c:smooth val="0"/>
        <c:axId val="273527928"/>
        <c:axId val="273529888"/>
      </c:lineChart>
      <c:catAx>
        <c:axId val="273527928"/>
        <c:scaling>
          <c:orientation val="minMax"/>
        </c:scaling>
        <c:delete val="1"/>
        <c:axPos val="b"/>
        <c:numFmt formatCode="General" sourceLinked="1"/>
        <c:majorTickMark val="none"/>
        <c:minorTickMark val="none"/>
        <c:tickLblPos val="nextTo"/>
        <c:crossAx val="273529888"/>
        <c:crosses val="autoZero"/>
        <c:auto val="1"/>
        <c:lblAlgn val="ctr"/>
        <c:lblOffset val="100"/>
        <c:noMultiLvlLbl val="0"/>
      </c:catAx>
      <c:valAx>
        <c:axId val="273529888"/>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2735279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2"/>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
              <c:pt idx="0">
                <c:v>2</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Helper!$A$131:$C$131</c15:sqref>
                  </c15:fullRef>
                </c:ext>
              </c:extLst>
              <c:f>Helper!$B$131</c:f>
              <c:numCache>
                <c:formatCode>General</c:formatCode>
                <c:ptCount val="1"/>
                <c:pt idx="0">
                  <c:v>1.01</c:v>
                </c:pt>
              </c:numCache>
            </c:numRef>
          </c:val>
          <c:extLst xmlns:c16r2="http://schemas.microsoft.com/office/drawing/2015/06/chart">
            <c:ext xmlns:c16="http://schemas.microsoft.com/office/drawing/2014/chart" uri="{C3380CC4-5D6E-409C-BE32-E72D297353CC}">
              <c16:uniqueId val="{00000000-0252-4803-8674-EA17BD4559AB}"/>
            </c:ext>
          </c:extLst>
        </c:ser>
        <c:dLbls>
          <c:showLegendKey val="0"/>
          <c:showVal val="0"/>
          <c:showCatName val="0"/>
          <c:showSerName val="0"/>
          <c:showPercent val="0"/>
          <c:showBubbleSize val="0"/>
        </c:dLbls>
        <c:gapWidth val="219"/>
        <c:overlap val="-27"/>
        <c:axId val="265463704"/>
        <c:axId val="265464096"/>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val>
                  <c:numRef>
                    <c:extLst>
                      <c:ext uri="{02D57815-91ED-43cb-92C2-25804820EDAC}">
                        <c15:fullRef>
                          <c15:sqref>Helper!$A$129:$C$129</c15:sqref>
                        </c15:fullRef>
                        <c15:formulaRef>
                          <c15:sqref>Helper!$B$129</c15:sqref>
                        </c15:formulaRef>
                      </c:ext>
                    </c:extLst>
                    <c:numCache>
                      <c:formatCode>General</c:formatCode>
                      <c:ptCount val="1"/>
                    </c:numCache>
                  </c:numRef>
                </c:val>
                <c:extLst xmlns:c16r2="http://schemas.microsoft.com/office/drawing/2015/06/chart">
                  <c:ext xmlns:c16="http://schemas.microsoft.com/office/drawing/2014/chart" uri="{C3380CC4-5D6E-409C-BE32-E72D297353CC}">
                    <c16:uniqueId val="{00000001-0252-4803-8674-EA17BD4559AB}"/>
                  </c:ext>
                </c:extLst>
              </c15:ser>
            </c15:filteredBarSeries>
            <c15:filteredBarSeries>
              <c15:ser>
                <c:idx val="1"/>
                <c:order val="1"/>
                <c:spPr>
                  <a:solidFill>
                    <a:schemeClr val="accent2"/>
                  </a:solidFill>
                  <a:ln>
                    <a:noFill/>
                  </a:ln>
                  <a:effectLst/>
                </c:spPr>
                <c:invertIfNegative val="0"/>
                <c:val>
                  <c:numRef>
                    <c:extLst>
                      <c:ext xmlns:c15="http://schemas.microsoft.com/office/drawing/2012/chart" uri="{02D57815-91ED-43cb-92C2-25804820EDAC}">
                        <c15:fullRef>
                          <c15:sqref>Helper!$A$130:$C$130</c15:sqref>
                        </c15:fullRef>
                        <c15:formulaRef>
                          <c15:sqref>Helper!$B$130</c15:sqref>
                        </c15:formulaRef>
                      </c:ext>
                    </c:extLst>
                    <c:numCache>
                      <c:formatCode>General</c:formatCode>
                      <c:ptCount val="1"/>
                      <c:pt idx="0">
                        <c:v>0</c:v>
                      </c:pt>
                    </c:numCache>
                  </c:numRef>
                </c:val>
                <c:extLst xmlns:c15="http://schemas.microsoft.com/office/drawing/2012/chart" xmlns:c16r2="http://schemas.microsoft.com/office/drawing/2015/06/chart">
                  <c:ext xmlns:c16="http://schemas.microsoft.com/office/drawing/2014/chart" uri="{C3380CC4-5D6E-409C-BE32-E72D297353CC}">
                    <c16:uniqueId val="{00000002-0252-4803-8674-EA17BD4559AB}"/>
                  </c:ext>
                </c:extLst>
              </c15:ser>
            </c15:filteredBarSeries>
          </c:ext>
        </c:extLst>
      </c:barChart>
      <c:catAx>
        <c:axId val="265463704"/>
        <c:scaling>
          <c:orientation val="minMax"/>
        </c:scaling>
        <c:delete val="1"/>
        <c:axPos val="b"/>
        <c:numFmt formatCode="General" sourceLinked="0"/>
        <c:majorTickMark val="none"/>
        <c:minorTickMark val="none"/>
        <c:tickLblPos val="nextTo"/>
        <c:crossAx val="265464096"/>
        <c:crosses val="autoZero"/>
        <c:auto val="1"/>
        <c:lblAlgn val="ctr"/>
        <c:lblOffset val="100"/>
        <c:noMultiLvlLbl val="0"/>
      </c:catAx>
      <c:valAx>
        <c:axId val="265464096"/>
        <c:scaling>
          <c:orientation val="minMax"/>
          <c:max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65463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PH" sz="1200"/>
              <a:t>Number</a:t>
            </a:r>
            <a:r>
              <a:rPr lang="en-PH" sz="1200" baseline="0"/>
              <a:t> of Partners by General Partner Type</a:t>
            </a:r>
            <a:endParaRPr lang="en-PH" sz="1200"/>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invertIfNegative val="0"/>
          <c:dPt>
            <c:idx val="0"/>
            <c:invertIfNegative val="0"/>
            <c:bubble3D val="0"/>
            <c:spPr>
              <a:solidFill>
                <a:schemeClr val="accent1"/>
              </a:solidFill>
              <a:ln>
                <a:noFill/>
              </a:ln>
              <a:effectLst/>
              <a:sp3d/>
            </c:spPr>
            <c:extLst xmlns:c16r2="http://schemas.microsoft.com/office/drawing/2015/06/chart">
              <c:ext xmlns:c16="http://schemas.microsoft.com/office/drawing/2014/chart" uri="{C3380CC4-5D6E-409C-BE32-E72D297353CC}">
                <c16:uniqueId val="{00000001-6C86-4412-9062-D1F5B8808E7D}"/>
              </c:ext>
            </c:extLst>
          </c:dPt>
          <c:dPt>
            <c:idx val="1"/>
            <c:invertIfNegative val="0"/>
            <c:bubble3D val="0"/>
            <c:spPr>
              <a:solidFill>
                <a:schemeClr val="accent2"/>
              </a:solidFill>
              <a:ln>
                <a:noFill/>
              </a:ln>
              <a:effectLst/>
              <a:sp3d/>
            </c:spPr>
            <c:extLst xmlns:c16r2="http://schemas.microsoft.com/office/drawing/2015/06/chart">
              <c:ext xmlns:c16="http://schemas.microsoft.com/office/drawing/2014/chart" uri="{C3380CC4-5D6E-409C-BE32-E72D297353CC}">
                <c16:uniqueId val="{00000003-6C86-4412-9062-D1F5B8808E7D}"/>
              </c:ext>
            </c:extLst>
          </c:dPt>
          <c:dPt>
            <c:idx val="2"/>
            <c:invertIfNegative val="0"/>
            <c:bubble3D val="0"/>
            <c:spPr>
              <a:solidFill>
                <a:schemeClr val="accent3"/>
              </a:solidFill>
              <a:ln>
                <a:noFill/>
              </a:ln>
              <a:effectLst/>
              <a:sp3d/>
            </c:spPr>
            <c:extLst xmlns:c16r2="http://schemas.microsoft.com/office/drawing/2015/06/chart">
              <c:ext xmlns:c16="http://schemas.microsoft.com/office/drawing/2014/chart" uri="{C3380CC4-5D6E-409C-BE32-E72D297353CC}">
                <c16:uniqueId val="{00000005-6C86-4412-9062-D1F5B8808E7D}"/>
              </c:ext>
            </c:extLst>
          </c:dPt>
          <c:dPt>
            <c:idx val="3"/>
            <c:invertIfNegative val="0"/>
            <c:bubble3D val="0"/>
            <c:spPr>
              <a:solidFill>
                <a:schemeClr val="accent4"/>
              </a:solidFill>
              <a:ln>
                <a:noFill/>
              </a:ln>
              <a:effectLst/>
              <a:sp3d/>
            </c:spPr>
            <c:extLst xmlns:c16r2="http://schemas.microsoft.com/office/drawing/2015/06/chart">
              <c:ext xmlns:c16="http://schemas.microsoft.com/office/drawing/2014/chart" uri="{C3380CC4-5D6E-409C-BE32-E72D297353CC}">
                <c16:uniqueId val="{00000007-6C86-4412-9062-D1F5B8808E7D}"/>
              </c:ext>
            </c:extLst>
          </c:dPt>
          <c:dPt>
            <c:idx val="4"/>
            <c:invertIfNegative val="0"/>
            <c:bubble3D val="0"/>
            <c:spPr>
              <a:solidFill>
                <a:schemeClr val="accent5"/>
              </a:solidFill>
              <a:ln>
                <a:noFill/>
              </a:ln>
              <a:effectLst/>
              <a:sp3d/>
            </c:spPr>
            <c:extLst xmlns:c16r2="http://schemas.microsoft.com/office/drawing/2015/06/chart">
              <c:ext xmlns:c16="http://schemas.microsoft.com/office/drawing/2014/chart" uri="{C3380CC4-5D6E-409C-BE32-E72D297353CC}">
                <c16:uniqueId val="{00000009-6C86-4412-9062-D1F5B8808E7D}"/>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Helper!$O$701:$O$705</c:f>
              <c:numCache>
                <c:formatCode>General</c:formatCode>
                <c:ptCount val="5"/>
                <c:pt idx="0">
                  <c:v>1</c:v>
                </c:pt>
                <c:pt idx="1">
                  <c:v>1</c:v>
                </c:pt>
                <c:pt idx="2">
                  <c:v>1</c:v>
                </c:pt>
                <c:pt idx="3">
                  <c:v>1</c:v>
                </c:pt>
                <c:pt idx="4">
                  <c:v>0</c:v>
                </c:pt>
              </c:numCache>
            </c:numRef>
          </c:val>
          <c:extLst xmlns:c16r2="http://schemas.microsoft.com/office/drawing/2015/06/chart">
            <c:ext xmlns:c16="http://schemas.microsoft.com/office/drawing/2014/chart" uri="{C3380CC4-5D6E-409C-BE32-E72D297353CC}">
              <c16:uniqueId val="{00000000-5D02-403F-9591-FB46C27673D7}"/>
            </c:ext>
            <c:ext xmlns:c15="http://schemas.microsoft.com/office/drawing/2012/chart" uri="{02D57815-91ED-43cb-92C2-25804820EDAC}">
              <c15:filteredCategoryTitle>
                <c15:cat>
                  <c:strRef>
                    <c:extLst>
                      <c:ext uri="{02D57815-91ED-43cb-92C2-25804820EDAC}">
                        <c15:formulaRef>
                          <c15:sqref>Helper!$N$701:$N$705</c15:sqref>
                        </c15:formulaRef>
                      </c:ext>
                    </c:extLst>
                    <c:strCache>
                      <c:ptCount val="4"/>
                      <c:pt idx="0">
                        <c:v>Private Sector</c:v>
                      </c:pt>
                      <c:pt idx="1">
                        <c:v>Public Sector</c:v>
                      </c:pt>
                      <c:pt idx="2">
                        <c:v>Civil Society Organizations</c:v>
                      </c:pt>
                      <c:pt idx="3">
                        <c:v>International</c:v>
                      </c:pt>
                    </c:strCache>
                  </c:strRef>
                </c15:cat>
              </c15:filteredCategoryTitle>
            </c:ext>
          </c:extLst>
        </c:ser>
        <c:dLbls>
          <c:showLegendKey val="0"/>
          <c:showVal val="0"/>
          <c:showCatName val="0"/>
          <c:showSerName val="0"/>
          <c:showPercent val="0"/>
          <c:showBubbleSize val="0"/>
        </c:dLbls>
        <c:gapWidth val="150"/>
        <c:shape val="box"/>
        <c:axId val="273523224"/>
        <c:axId val="273522440"/>
        <c:axId val="0"/>
      </c:bar3DChart>
      <c:catAx>
        <c:axId val="273523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3522440"/>
        <c:crosses val="autoZero"/>
        <c:auto val="1"/>
        <c:lblAlgn val="ctr"/>
        <c:lblOffset val="100"/>
        <c:noMultiLvlLbl val="0"/>
      </c:catAx>
      <c:valAx>
        <c:axId val="273522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232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a:t>Number of Partners by Specific Type</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v>Number of Partners by Specific Type</c:v>
          </c:tx>
          <c:invertIfNegative val="0"/>
          <c:dPt>
            <c:idx val="0"/>
            <c:invertIfNegative val="0"/>
            <c:bubble3D val="0"/>
            <c:spPr>
              <a:solidFill>
                <a:schemeClr val="accent1"/>
              </a:solidFill>
              <a:ln>
                <a:noFill/>
              </a:ln>
              <a:effectLst/>
              <a:sp3d/>
            </c:spPr>
            <c:extLst xmlns:c16r2="http://schemas.microsoft.com/office/drawing/2015/06/chart">
              <c:ext xmlns:c16="http://schemas.microsoft.com/office/drawing/2014/chart" uri="{C3380CC4-5D6E-409C-BE32-E72D297353CC}">
                <c16:uniqueId val="{00000001-83E5-4BEF-97DF-33E5763FBD52}"/>
              </c:ext>
            </c:extLst>
          </c:dPt>
          <c:cat>
            <c:strRef>
              <c:f>[0]!Level_SPT</c:f>
              <c:strCache>
                <c:ptCount val="3"/>
                <c:pt idx="0">
                  <c:v>Private Company</c:v>
                </c:pt>
                <c:pt idx="1">
                  <c:v>People's Organizations</c:v>
                </c:pt>
                <c:pt idx="2">
                  <c:v>Others</c:v>
                </c:pt>
              </c:strCache>
            </c:strRef>
          </c:cat>
          <c:val>
            <c:numRef>
              <c:f>[0]!Data_SPT</c:f>
              <c:numCache>
                <c:formatCode>General</c:formatCode>
                <c:ptCount val="3"/>
                <c:pt idx="0">
                  <c:v>1</c:v>
                </c:pt>
                <c:pt idx="1">
                  <c:v>1</c:v>
                </c:pt>
                <c:pt idx="2">
                  <c:v>1</c:v>
                </c:pt>
              </c:numCache>
            </c:numRef>
          </c:val>
          <c:extLst xmlns:c16r2="http://schemas.microsoft.com/office/drawing/2015/06/chart">
            <c:ext xmlns:c16="http://schemas.microsoft.com/office/drawing/2014/chart" uri="{C3380CC4-5D6E-409C-BE32-E72D297353CC}">
              <c16:uniqueId val="{00000000-E7FF-4DC3-807B-7D79D5AF41D5}"/>
            </c:ext>
          </c:extLst>
        </c:ser>
        <c:dLbls>
          <c:showLegendKey val="0"/>
          <c:showVal val="0"/>
          <c:showCatName val="0"/>
          <c:showSerName val="0"/>
          <c:showPercent val="0"/>
          <c:showBubbleSize val="0"/>
        </c:dLbls>
        <c:gapWidth val="150"/>
        <c:shape val="box"/>
        <c:axId val="273531064"/>
        <c:axId val="273519696"/>
        <c:axId val="0"/>
      </c:bar3DChart>
      <c:catAx>
        <c:axId val="273531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73519696"/>
        <c:crosses val="autoZero"/>
        <c:auto val="1"/>
        <c:lblAlgn val="ctr"/>
        <c:lblOffset val="100"/>
        <c:noMultiLvlLbl val="0"/>
      </c:catAx>
      <c:valAx>
        <c:axId val="27351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735310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a:t>Number of Support per Specific Contribution Type</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v>Number of Support per Specific Contribution Type</c:v>
          </c:tx>
          <c:invertIfNegative val="0"/>
          <c:dPt>
            <c:idx val="0"/>
            <c:invertIfNegative val="0"/>
            <c:bubble3D val="0"/>
            <c:spPr>
              <a:solidFill>
                <a:schemeClr val="accent1"/>
              </a:solidFill>
              <a:ln>
                <a:noFill/>
              </a:ln>
              <a:effectLst/>
              <a:sp3d/>
            </c:spPr>
            <c:extLst xmlns:c16r2="http://schemas.microsoft.com/office/drawing/2015/06/chart">
              <c:ext xmlns:c16="http://schemas.microsoft.com/office/drawing/2014/chart" uri="{C3380CC4-5D6E-409C-BE32-E72D297353CC}">
                <c16:uniqueId val="{00000001-2C8E-466A-9191-69B8C09B5278}"/>
              </c:ext>
            </c:extLst>
          </c:dPt>
          <c:cat>
            <c:strRef>
              <c:f>[0]!Level_CT</c:f>
              <c:strCache>
                <c:ptCount val="8"/>
                <c:pt idx="0">
                  <c:v>Policy Support</c:v>
                </c:pt>
                <c:pt idx="1">
                  <c:v>Technical Assistance</c:v>
                </c:pt>
                <c:pt idx="2">
                  <c:v>Learner School Supplies Uniforms</c:v>
                </c:pt>
                <c:pt idx="3">
                  <c:v>Learner Wellness Health Nutrition</c:v>
                </c:pt>
                <c:pt idx="4">
                  <c:v>Technology</c:v>
                </c:pt>
                <c:pt idx="5">
                  <c:v>Use of Facilities</c:v>
                </c:pt>
                <c:pt idx="6">
                  <c:v>Volunteer Hours</c:v>
                </c:pt>
                <c:pt idx="7">
                  <c:v>Work Immersion</c:v>
                </c:pt>
              </c:strCache>
            </c:strRef>
          </c:cat>
          <c:val>
            <c:numRef>
              <c:f>[0]!Data_CT</c:f>
              <c:numCache>
                <c:formatCode>General</c:formatCode>
                <c:ptCount val="8"/>
                <c:pt idx="0">
                  <c:v>2</c:v>
                </c:pt>
                <c:pt idx="1">
                  <c:v>2</c:v>
                </c:pt>
                <c:pt idx="2">
                  <c:v>1</c:v>
                </c:pt>
                <c:pt idx="3">
                  <c:v>1</c:v>
                </c:pt>
                <c:pt idx="4">
                  <c:v>1</c:v>
                </c:pt>
                <c:pt idx="5">
                  <c:v>1</c:v>
                </c:pt>
                <c:pt idx="6">
                  <c:v>1</c:v>
                </c:pt>
                <c:pt idx="7">
                  <c:v>1</c:v>
                </c:pt>
              </c:numCache>
            </c:numRef>
          </c:val>
          <c:extLst xmlns:c16r2="http://schemas.microsoft.com/office/drawing/2015/06/chart">
            <c:ext xmlns:c16="http://schemas.microsoft.com/office/drawing/2014/chart" uri="{C3380CC4-5D6E-409C-BE32-E72D297353CC}">
              <c16:uniqueId val="{00000000-6DFD-4367-8564-E4BF93B8513C}"/>
            </c:ext>
          </c:extLst>
        </c:ser>
        <c:dLbls>
          <c:showLegendKey val="0"/>
          <c:showVal val="0"/>
          <c:showCatName val="0"/>
          <c:showSerName val="0"/>
          <c:showPercent val="0"/>
          <c:showBubbleSize val="0"/>
        </c:dLbls>
        <c:gapWidth val="150"/>
        <c:shape val="box"/>
        <c:axId val="273525968"/>
        <c:axId val="273524792"/>
        <c:axId val="0"/>
      </c:bar3DChart>
      <c:catAx>
        <c:axId val="273525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3524792"/>
        <c:crosses val="autoZero"/>
        <c:auto val="1"/>
        <c:lblAlgn val="ctr"/>
        <c:lblOffset val="100"/>
        <c:noMultiLvlLbl val="0"/>
      </c:catAx>
      <c:valAx>
        <c:axId val="273524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735259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PH" sz="1000" b="1" i="0" baseline="0">
                <a:effectLst/>
              </a:rPr>
              <a:t>Phil-IRI GST-English (Pre-Test)</a:t>
            </a:r>
            <a:endParaRPr lang="en-US" sz="1000" b="1">
              <a:effectLst/>
            </a:endParaRPr>
          </a:p>
        </c:rich>
      </c:tx>
      <c:overlay val="0"/>
      <c:spPr>
        <a:noFill/>
        <a:ln>
          <a:noFill/>
        </a:ln>
        <a:effectLst/>
      </c:spPr>
    </c:title>
    <c:autoTitleDeleted val="0"/>
    <c:plotArea>
      <c:layout/>
      <c:barChart>
        <c:barDir val="col"/>
        <c:grouping val="stacked"/>
        <c:varyColors val="0"/>
        <c:ser>
          <c:idx val="0"/>
          <c:order val="0"/>
          <c:tx>
            <c:v>20-14</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c:f>
              <c:strCache>
                <c:ptCount val="6"/>
                <c:pt idx="0">
                  <c:v>Grade 7</c:v>
                </c:pt>
                <c:pt idx="1">
                  <c:v>Grade 8</c:v>
                </c:pt>
                <c:pt idx="2">
                  <c:v>Grade 9</c:v>
                </c:pt>
                <c:pt idx="3">
                  <c:v>Grade 10</c:v>
                </c:pt>
                <c:pt idx="4">
                  <c:v>Grade 11</c:v>
                </c:pt>
                <c:pt idx="5">
                  <c:v>Grade 12</c:v>
                </c:pt>
              </c:strCache>
            </c:strRef>
          </c:cat>
          <c:val>
            <c:numRef>
              <c:f>[0]!Data_PHILIRI</c:f>
              <c:numCache>
                <c:formatCode>0.00</c:formatCode>
                <c:ptCount val="6"/>
                <c:pt idx="0">
                  <c:v>17.582417582417584</c:v>
                </c:pt>
                <c:pt idx="1">
                  <c:v>38.032786885245898</c:v>
                </c:pt>
                <c:pt idx="2">
                  <c:v>34.412955465587039</c:v>
                </c:pt>
                <c:pt idx="3">
                  <c:v>47.058823529411761</c:v>
                </c:pt>
                <c:pt idx="4">
                  <c:v>50.24154589371981</c:v>
                </c:pt>
                <c:pt idx="5">
                  <c:v>26.086956521739129</c:v>
                </c:pt>
              </c:numCache>
            </c:numRef>
          </c:val>
          <c:extLst xmlns:c16r2="http://schemas.microsoft.com/office/drawing/2015/06/chart">
            <c:ext xmlns:c16="http://schemas.microsoft.com/office/drawing/2014/chart" uri="{C3380CC4-5D6E-409C-BE32-E72D297353CC}">
              <c16:uniqueId val="{00000000-69BE-4DFD-9A94-795B58FBB9BF}"/>
            </c:ext>
          </c:extLst>
        </c:ser>
        <c:ser>
          <c:idx val="1"/>
          <c:order val="1"/>
          <c:tx>
            <c:v>13-8</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c:f>
              <c:strCache>
                <c:ptCount val="6"/>
                <c:pt idx="0">
                  <c:v>Grade 7</c:v>
                </c:pt>
                <c:pt idx="1">
                  <c:v>Grade 8</c:v>
                </c:pt>
                <c:pt idx="2">
                  <c:v>Grade 9</c:v>
                </c:pt>
                <c:pt idx="3">
                  <c:v>Grade 10</c:v>
                </c:pt>
                <c:pt idx="4">
                  <c:v>Grade 11</c:v>
                </c:pt>
                <c:pt idx="5">
                  <c:v>Grade 12</c:v>
                </c:pt>
              </c:strCache>
            </c:strRef>
          </c:cat>
          <c:val>
            <c:numRef>
              <c:f>[0]!Data_PHILIRI2</c:f>
              <c:numCache>
                <c:formatCode>0.00</c:formatCode>
                <c:ptCount val="6"/>
                <c:pt idx="0">
                  <c:v>74.72527472527473</c:v>
                </c:pt>
                <c:pt idx="1">
                  <c:v>60.327868852459019</c:v>
                </c:pt>
                <c:pt idx="2">
                  <c:v>61.53846153846154</c:v>
                </c:pt>
                <c:pt idx="3">
                  <c:v>47.511312217194565</c:v>
                </c:pt>
                <c:pt idx="4">
                  <c:v>25.120772946859905</c:v>
                </c:pt>
                <c:pt idx="5">
                  <c:v>40.993788819875775</c:v>
                </c:pt>
              </c:numCache>
            </c:numRef>
          </c:val>
          <c:extLst xmlns:c16r2="http://schemas.microsoft.com/office/drawing/2015/06/chart">
            <c:ext xmlns:c16="http://schemas.microsoft.com/office/drawing/2014/chart" uri="{C3380CC4-5D6E-409C-BE32-E72D297353CC}">
              <c16:uniqueId val="{00000001-69BE-4DFD-9A94-795B58FBB9BF}"/>
            </c:ext>
          </c:extLst>
        </c:ser>
        <c:ser>
          <c:idx val="2"/>
          <c:order val="2"/>
          <c:tx>
            <c:v>7-0</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c:f>
              <c:strCache>
                <c:ptCount val="6"/>
                <c:pt idx="0">
                  <c:v>Grade 7</c:v>
                </c:pt>
                <c:pt idx="1">
                  <c:v>Grade 8</c:v>
                </c:pt>
                <c:pt idx="2">
                  <c:v>Grade 9</c:v>
                </c:pt>
                <c:pt idx="3">
                  <c:v>Grade 10</c:v>
                </c:pt>
                <c:pt idx="4">
                  <c:v>Grade 11</c:v>
                </c:pt>
                <c:pt idx="5">
                  <c:v>Grade 12</c:v>
                </c:pt>
              </c:strCache>
            </c:strRef>
          </c:cat>
          <c:val>
            <c:numRef>
              <c:f>[0]!Data_PHILIRI3</c:f>
              <c:numCache>
                <c:formatCode>0.00</c:formatCode>
                <c:ptCount val="6"/>
                <c:pt idx="0">
                  <c:v>7.6923076923076925</c:v>
                </c:pt>
                <c:pt idx="1">
                  <c:v>1.639344262295082</c:v>
                </c:pt>
                <c:pt idx="2">
                  <c:v>4.048582995951417</c:v>
                </c:pt>
                <c:pt idx="3">
                  <c:v>5.4298642533936654</c:v>
                </c:pt>
                <c:pt idx="4">
                  <c:v>24.637681159420293</c:v>
                </c:pt>
                <c:pt idx="5">
                  <c:v>32.919254658385093</c:v>
                </c:pt>
              </c:numCache>
            </c:numRef>
          </c:val>
          <c:extLst xmlns:c16r2="http://schemas.microsoft.com/office/drawing/2015/06/chart">
            <c:ext xmlns:c16="http://schemas.microsoft.com/office/drawing/2014/chart" uri="{C3380CC4-5D6E-409C-BE32-E72D297353CC}">
              <c16:uniqueId val="{00000002-69BE-4DFD-9A94-795B58FBB9BF}"/>
            </c:ext>
          </c:extLst>
        </c:ser>
        <c:dLbls>
          <c:dLblPos val="ctr"/>
          <c:showLegendKey val="0"/>
          <c:showVal val="1"/>
          <c:showCatName val="0"/>
          <c:showSerName val="0"/>
          <c:showPercent val="0"/>
          <c:showBubbleSize val="0"/>
        </c:dLbls>
        <c:gapWidth val="150"/>
        <c:overlap val="100"/>
        <c:axId val="273522832"/>
        <c:axId val="273525576"/>
      </c:barChart>
      <c:catAx>
        <c:axId val="27352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25576"/>
        <c:crosses val="autoZero"/>
        <c:auto val="1"/>
        <c:lblAlgn val="ctr"/>
        <c:lblOffset val="100"/>
        <c:noMultiLvlLbl val="0"/>
      </c:catAx>
      <c:valAx>
        <c:axId val="27352557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22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PH" sz="1000" b="1" i="0" baseline="0">
                <a:effectLst/>
              </a:rPr>
              <a:t>Phil-IRI GST-FILIPINO (Pre-Test)</a:t>
            </a:r>
            <a:endParaRPr lang="en-US" sz="1000" b="1">
              <a:effectLst/>
            </a:endParaRPr>
          </a:p>
        </c:rich>
      </c:tx>
      <c:overlay val="0"/>
      <c:spPr>
        <a:noFill/>
        <a:ln>
          <a:noFill/>
        </a:ln>
        <a:effectLst/>
      </c:spPr>
    </c:title>
    <c:autoTitleDeleted val="0"/>
    <c:plotArea>
      <c:layout/>
      <c:barChart>
        <c:barDir val="col"/>
        <c:grouping val="stacked"/>
        <c:varyColors val="0"/>
        <c:ser>
          <c:idx val="0"/>
          <c:order val="0"/>
          <c:tx>
            <c:v>20-14</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[0]!Level_PHILIRIFIL</c:f>
              <c:strCache>
                <c:ptCount val="6"/>
                <c:pt idx="0">
                  <c:v>Grade 7</c:v>
                </c:pt>
                <c:pt idx="1">
                  <c:v>Grade 8</c:v>
                </c:pt>
                <c:pt idx="2">
                  <c:v>Grade 9</c:v>
                </c:pt>
                <c:pt idx="3">
                  <c:v>Grade 10</c:v>
                </c:pt>
                <c:pt idx="4">
                  <c:v>Grade 11</c:v>
                </c:pt>
                <c:pt idx="5">
                  <c:v>Grade 12</c:v>
                </c:pt>
              </c:strCache>
            </c:strRef>
          </c:cat>
          <c:val>
            <c:numRef>
              <c:f>[0]!Data_PHILIRIFIL</c:f>
              <c:numCache>
                <c:formatCode>0.00</c:formatCode>
                <c:ptCount val="6"/>
                <c:pt idx="0">
                  <c:v>30.219780219780219</c:v>
                </c:pt>
                <c:pt idx="1">
                  <c:v>23.278688524590162</c:v>
                </c:pt>
                <c:pt idx="2">
                  <c:v>35.222672064777328</c:v>
                </c:pt>
                <c:pt idx="3">
                  <c:v>42.081447963800905</c:v>
                </c:pt>
                <c:pt idx="4">
                  <c:v>30.434782608695656</c:v>
                </c:pt>
                <c:pt idx="5">
                  <c:v>77.018633540372676</c:v>
                </c:pt>
              </c:numCache>
            </c:numRef>
          </c:val>
          <c:extLst xmlns:c16r2="http://schemas.microsoft.com/office/drawing/2015/06/chart">
            <c:ext xmlns:c16="http://schemas.microsoft.com/office/drawing/2014/chart" uri="{C3380CC4-5D6E-409C-BE32-E72D297353CC}">
              <c16:uniqueId val="{00000000-A955-4E73-B1E0-952F176C28DE}"/>
            </c:ext>
          </c:extLst>
        </c:ser>
        <c:ser>
          <c:idx val="1"/>
          <c:order val="1"/>
          <c:tx>
            <c:v>13-8</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[0]!Level_PHILIRIFIL</c:f>
              <c:strCache>
                <c:ptCount val="6"/>
                <c:pt idx="0">
                  <c:v>Grade 7</c:v>
                </c:pt>
                <c:pt idx="1">
                  <c:v>Grade 8</c:v>
                </c:pt>
                <c:pt idx="2">
                  <c:v>Grade 9</c:v>
                </c:pt>
                <c:pt idx="3">
                  <c:v>Grade 10</c:v>
                </c:pt>
                <c:pt idx="4">
                  <c:v>Grade 11</c:v>
                </c:pt>
                <c:pt idx="5">
                  <c:v>Grade 12</c:v>
                </c:pt>
              </c:strCache>
            </c:strRef>
          </c:cat>
          <c:val>
            <c:numRef>
              <c:f>[0]!Data_PHILIRIFIL2</c:f>
              <c:numCache>
                <c:formatCode>0.00</c:formatCode>
                <c:ptCount val="6"/>
                <c:pt idx="0">
                  <c:v>52.197802197802204</c:v>
                </c:pt>
                <c:pt idx="1">
                  <c:v>64.918032786885249</c:v>
                </c:pt>
                <c:pt idx="2">
                  <c:v>64.372469635627525</c:v>
                </c:pt>
                <c:pt idx="3">
                  <c:v>52.036199095022631</c:v>
                </c:pt>
                <c:pt idx="4">
                  <c:v>49.75845410628019</c:v>
                </c:pt>
                <c:pt idx="5">
                  <c:v>13.043478260869565</c:v>
                </c:pt>
              </c:numCache>
            </c:numRef>
          </c:val>
          <c:extLst xmlns:c16r2="http://schemas.microsoft.com/office/drawing/2015/06/chart">
            <c:ext xmlns:c16="http://schemas.microsoft.com/office/drawing/2014/chart" uri="{C3380CC4-5D6E-409C-BE32-E72D297353CC}">
              <c16:uniqueId val="{00000001-A955-4E73-B1E0-952F176C28DE}"/>
            </c:ext>
          </c:extLst>
        </c:ser>
        <c:ser>
          <c:idx val="2"/>
          <c:order val="2"/>
          <c:tx>
            <c:v>7-0</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[0]!Level_PHILIRIFIL</c:f>
              <c:strCache>
                <c:ptCount val="6"/>
                <c:pt idx="0">
                  <c:v>Grade 7</c:v>
                </c:pt>
                <c:pt idx="1">
                  <c:v>Grade 8</c:v>
                </c:pt>
                <c:pt idx="2">
                  <c:v>Grade 9</c:v>
                </c:pt>
                <c:pt idx="3">
                  <c:v>Grade 10</c:v>
                </c:pt>
                <c:pt idx="4">
                  <c:v>Grade 11</c:v>
                </c:pt>
                <c:pt idx="5">
                  <c:v>Grade 12</c:v>
                </c:pt>
              </c:strCache>
            </c:strRef>
          </c:cat>
          <c:val>
            <c:numRef>
              <c:f>[0]!Data_PHILIRIFIL3</c:f>
              <c:numCache>
                <c:formatCode>0.00</c:formatCode>
                <c:ptCount val="6"/>
                <c:pt idx="0">
                  <c:v>17.582417582417584</c:v>
                </c:pt>
                <c:pt idx="1">
                  <c:v>11.803278688524591</c:v>
                </c:pt>
                <c:pt idx="2">
                  <c:v>0.40485829959514169</c:v>
                </c:pt>
                <c:pt idx="3">
                  <c:v>5.8823529411764701</c:v>
                </c:pt>
                <c:pt idx="4">
                  <c:v>19.806763285024154</c:v>
                </c:pt>
                <c:pt idx="5">
                  <c:v>9.9378881987577632</c:v>
                </c:pt>
              </c:numCache>
            </c:numRef>
          </c:val>
          <c:extLst xmlns:c16r2="http://schemas.microsoft.com/office/drawing/2015/06/chart">
            <c:ext xmlns:c16="http://schemas.microsoft.com/office/drawing/2014/chart" uri="{C3380CC4-5D6E-409C-BE32-E72D297353CC}">
              <c16:uniqueId val="{00000002-A955-4E73-B1E0-952F176C28DE}"/>
            </c:ext>
          </c:extLst>
        </c:ser>
        <c:dLbls>
          <c:dLblPos val="ctr"/>
          <c:showLegendKey val="0"/>
          <c:showVal val="1"/>
          <c:showCatName val="0"/>
          <c:showSerName val="0"/>
          <c:showPercent val="0"/>
          <c:showBubbleSize val="0"/>
        </c:dLbls>
        <c:gapWidth val="150"/>
        <c:overlap val="100"/>
        <c:axId val="273527536"/>
        <c:axId val="273520480"/>
      </c:barChart>
      <c:catAx>
        <c:axId val="27352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20480"/>
        <c:crosses val="autoZero"/>
        <c:auto val="1"/>
        <c:lblAlgn val="ctr"/>
        <c:lblOffset val="100"/>
        <c:noMultiLvlLbl val="0"/>
      </c:catAx>
      <c:valAx>
        <c:axId val="2735204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2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PH" sz="1050" b="1"/>
              <a:t>Status</a:t>
            </a:r>
            <a:r>
              <a:rPr lang="en-PH" sz="1050" b="1" baseline="0"/>
              <a:t> of Annual Implementation Plan</a:t>
            </a:r>
            <a:endParaRPr lang="en-PH" sz="1050" b="1"/>
          </a:p>
        </c:rich>
      </c:tx>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6DA8-42DB-9342-A28E265C2A8F}"/>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6DA8-42DB-9342-A28E265C2A8F}"/>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6DA8-42DB-9342-A28E265C2A8F}"/>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6DA8-42DB-9342-A28E265C2A8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Helper!$D$151:$G$151</c:f>
              <c:strCache>
                <c:ptCount val="4"/>
                <c:pt idx="0">
                  <c:v>Completed</c:v>
                </c:pt>
                <c:pt idx="1">
                  <c:v>Ongoing</c:v>
                </c:pt>
                <c:pt idx="2">
                  <c:v>Proposed</c:v>
                </c:pt>
                <c:pt idx="3">
                  <c:v>Cancelled</c:v>
                </c:pt>
              </c:strCache>
            </c:strRef>
          </c:cat>
          <c:val>
            <c:numRef>
              <c:f>Helper!$D$167:$G$167</c:f>
              <c:numCache>
                <c:formatCode>General</c:formatCode>
                <c:ptCount val="4"/>
                <c:pt idx="0">
                  <c:v>2</c:v>
                </c:pt>
                <c:pt idx="1">
                  <c:v>10</c:v>
                </c:pt>
                <c:pt idx="2">
                  <c:v>1</c:v>
                </c:pt>
                <c:pt idx="3">
                  <c:v>1</c:v>
                </c:pt>
              </c:numCache>
            </c:numRef>
          </c:val>
          <c:extLst xmlns:c16r2="http://schemas.microsoft.com/office/drawing/2015/06/chart">
            <c:ext xmlns:c16="http://schemas.microsoft.com/office/drawing/2014/chart" uri="{C3380CC4-5D6E-409C-BE32-E72D297353CC}">
              <c16:uniqueId val="{00000008-6DA8-42DB-9342-A28E265C2A8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107248518198877E-2"/>
          <c:y val="2.3119957439004243E-2"/>
          <c:w val="0.91468353440818728"/>
          <c:h val="0.85858831236181998"/>
        </c:manualLayout>
      </c:layout>
      <c:barChart>
        <c:barDir val="col"/>
        <c:grouping val="clustered"/>
        <c:varyColors val="1"/>
        <c:ser>
          <c:idx val="0"/>
          <c:order val="0"/>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[0]!Level_LM</c:f>
              <c:strCache>
                <c:ptCount val="6"/>
                <c:pt idx="0">
                  <c:v>Grade 7</c:v>
                </c:pt>
                <c:pt idx="1">
                  <c:v>Grade 8</c:v>
                </c:pt>
                <c:pt idx="2">
                  <c:v>Grade 9</c:v>
                </c:pt>
                <c:pt idx="3">
                  <c:v>Grade 10</c:v>
                </c:pt>
                <c:pt idx="4">
                  <c:v>Grade 11</c:v>
                </c:pt>
                <c:pt idx="5">
                  <c:v>Grade 12</c:v>
                </c:pt>
              </c:strCache>
            </c:strRef>
          </c:cat>
          <c:val>
            <c:numRef>
              <c:f>[0]!Data_LM</c:f>
              <c:numCache>
                <c:formatCode>0.00%</c:formatCode>
                <c:ptCount val="6"/>
                <c:pt idx="0">
                  <c:v>0.78571428571428559</c:v>
                </c:pt>
                <c:pt idx="1">
                  <c:v>0.48451730418943545</c:v>
                </c:pt>
                <c:pt idx="2">
                  <c:v>0.88708951866846608</c:v>
                </c:pt>
                <c:pt idx="3">
                  <c:v>0.60030165912518862</c:v>
                </c:pt>
                <c:pt idx="4">
                  <c:v>0.19645732689210949</c:v>
                </c:pt>
                <c:pt idx="5">
                  <c:v>0.13112491373360938</c:v>
                </c:pt>
              </c:numCache>
            </c:numRef>
          </c:val>
          <c:extLst xmlns:c16r2="http://schemas.microsoft.com/office/drawing/2015/06/chart">
            <c:ext xmlns:c16="http://schemas.microsoft.com/office/drawing/2014/chart" uri="{C3380CC4-5D6E-409C-BE32-E72D297353CC}">
              <c16:uniqueId val="{00000000-ABB4-4203-981D-0089C5F289C6}"/>
            </c:ext>
            <c:ext xmlns:c15="http://schemas.microsoft.com/office/drawing/2012/chart" uri="{02D57815-91ED-43cb-92C2-25804820EDAC}">
              <c15:filteredSeriesTitle>
                <c15:tx>
                  <c:v>Data_LM</c:v>
                </c15:tx>
              </c15:filteredSeriesTitle>
            </c:ext>
          </c:extLst>
        </c:ser>
        <c:dLbls>
          <c:dLblPos val="outEnd"/>
          <c:showLegendKey val="0"/>
          <c:showVal val="1"/>
          <c:showCatName val="0"/>
          <c:showSerName val="0"/>
          <c:showPercent val="0"/>
          <c:showBubbleSize val="0"/>
        </c:dLbls>
        <c:gapWidth val="50"/>
        <c:overlap val="-24"/>
        <c:axId val="273521656"/>
        <c:axId val="273522048"/>
      </c:barChart>
      <c:catAx>
        <c:axId val="273521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3522048"/>
        <c:crosses val="autoZero"/>
        <c:auto val="1"/>
        <c:lblAlgn val="ctr"/>
        <c:lblOffset val="100"/>
        <c:noMultiLvlLbl val="0"/>
      </c:catAx>
      <c:valAx>
        <c:axId val="273522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73521656"/>
        <c:crosses val="autoZero"/>
        <c:crossBetween val="between"/>
      </c:valAx>
      <c:spPr>
        <a:noFill/>
        <a:ln>
          <a:noFill/>
        </a:ln>
        <a:effectLst/>
      </c:spPr>
    </c:plotArea>
    <c:plotVisOnly val="0"/>
    <c:dispBlanksAs val="gap"/>
    <c:showDLblsOverMax val="0"/>
  </c:chart>
  <c:spPr>
    <a:pattFill prst="ltDnDiag">
      <a:fgClr>
        <a:schemeClr val="accent2">
          <a:lumMod val="20000"/>
          <a:lumOff val="8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Definition of Terms'!A1"/><Relationship Id="rId13" Type="http://schemas.openxmlformats.org/officeDocument/2006/relationships/image" Target="../media/image7.jpeg"/><Relationship Id="rId18" Type="http://schemas.openxmlformats.org/officeDocument/2006/relationships/hyperlink" Target="#DEVs!A1"/><Relationship Id="rId3" Type="http://schemas.openxmlformats.org/officeDocument/2006/relationships/hyperlink" Target="#SRC!A1"/><Relationship Id="rId7" Type="http://schemas.openxmlformats.org/officeDocument/2006/relationships/image" Target="../media/image4.jpeg"/><Relationship Id="rId12" Type="http://schemas.openxmlformats.org/officeDocument/2006/relationships/hyperlink" Target="#booklet!A1"/><Relationship Id="rId17" Type="http://schemas.openxmlformats.org/officeDocument/2006/relationships/image" Target="../media/image9.jpeg"/><Relationship Id="rId2" Type="http://schemas.openxmlformats.org/officeDocument/2006/relationships/image" Target="../media/image1.jpg"/><Relationship Id="rId16" Type="http://schemas.openxmlformats.org/officeDocument/2006/relationships/hyperlink" Target="#tarp!A4:AQ111"/><Relationship Id="rId1" Type="http://schemas.openxmlformats.org/officeDocument/2006/relationships/hyperlink" Target="#Data!A1"/><Relationship Id="rId6" Type="http://schemas.openxmlformats.org/officeDocument/2006/relationships/hyperlink" Target="#instructions!A1"/><Relationship Id="rId11" Type="http://schemas.openxmlformats.org/officeDocument/2006/relationships/image" Target="../media/image6.jpeg"/><Relationship Id="rId5" Type="http://schemas.openxmlformats.org/officeDocument/2006/relationships/image" Target="../media/image3.jpeg"/><Relationship Id="rId15" Type="http://schemas.openxmlformats.org/officeDocument/2006/relationships/image" Target="../media/image8.jpeg"/><Relationship Id="rId10" Type="http://schemas.openxmlformats.org/officeDocument/2006/relationships/hyperlink" Target="#policy!A1"/><Relationship Id="rId19" Type="http://schemas.openxmlformats.org/officeDocument/2006/relationships/image" Target="../media/image10.png"/><Relationship Id="rId4" Type="http://schemas.openxmlformats.org/officeDocument/2006/relationships/image" Target="../media/image2.jpg"/><Relationship Id="rId9" Type="http://schemas.openxmlformats.org/officeDocument/2006/relationships/image" Target="../media/image5.jpeg"/><Relationship Id="rId14" Type="http://schemas.openxmlformats.org/officeDocument/2006/relationships/hyperlink" Target="#brochure!A1"/></Relationships>
</file>

<file path=xl/drawings/_rels/drawing12.xml.rels><?xml version="1.0" encoding="UTF-8" standalone="yes"?>
<Relationships xmlns="http://schemas.openxmlformats.org/package/2006/relationships"><Relationship Id="rId13" Type="http://schemas.openxmlformats.org/officeDocument/2006/relationships/chart" Target="../charts/chart54.xml"/><Relationship Id="rId18" Type="http://schemas.openxmlformats.org/officeDocument/2006/relationships/chart" Target="../charts/chart56.xml"/><Relationship Id="rId26" Type="http://schemas.openxmlformats.org/officeDocument/2006/relationships/chart" Target="../charts/chart58.xml"/><Relationship Id="rId39" Type="http://schemas.openxmlformats.org/officeDocument/2006/relationships/hyperlink" Target="#SRC!A1"/><Relationship Id="rId21" Type="http://schemas.openxmlformats.org/officeDocument/2006/relationships/image" Target="../media/image69.jpeg"/><Relationship Id="rId34" Type="http://schemas.openxmlformats.org/officeDocument/2006/relationships/image" Target="../media/image77.jpeg"/><Relationship Id="rId42" Type="http://schemas.openxmlformats.org/officeDocument/2006/relationships/image" Target="../media/image9.jpeg"/><Relationship Id="rId47" Type="http://schemas.openxmlformats.org/officeDocument/2006/relationships/chart" Target="../charts/chart64.xml"/><Relationship Id="rId50" Type="http://schemas.openxmlformats.org/officeDocument/2006/relationships/chart" Target="../charts/chart67.xml"/><Relationship Id="rId55" Type="http://schemas.openxmlformats.org/officeDocument/2006/relationships/chart" Target="../charts/chart71.xml"/><Relationship Id="rId7" Type="http://schemas.openxmlformats.org/officeDocument/2006/relationships/image" Target="../media/image49.jpg"/><Relationship Id="rId12" Type="http://schemas.openxmlformats.org/officeDocument/2006/relationships/image" Target="../media/image63.jpeg"/><Relationship Id="rId17" Type="http://schemas.openxmlformats.org/officeDocument/2006/relationships/chart" Target="../charts/chart55.xml"/><Relationship Id="rId25" Type="http://schemas.openxmlformats.org/officeDocument/2006/relationships/image" Target="../media/image72.jpeg"/><Relationship Id="rId33" Type="http://schemas.openxmlformats.org/officeDocument/2006/relationships/image" Target="../media/image76.jpeg"/><Relationship Id="rId38" Type="http://schemas.openxmlformats.org/officeDocument/2006/relationships/image" Target="../media/image19.jpeg"/><Relationship Id="rId46" Type="http://schemas.openxmlformats.org/officeDocument/2006/relationships/chart" Target="../charts/chart63.xml"/><Relationship Id="rId2" Type="http://schemas.openxmlformats.org/officeDocument/2006/relationships/image" Target="../media/image59.jpeg"/><Relationship Id="rId16" Type="http://schemas.openxmlformats.org/officeDocument/2006/relationships/image" Target="../media/image66.jpeg"/><Relationship Id="rId20" Type="http://schemas.openxmlformats.org/officeDocument/2006/relationships/image" Target="../media/image68.jpeg"/><Relationship Id="rId29" Type="http://schemas.openxmlformats.org/officeDocument/2006/relationships/chart" Target="../charts/chart60.xml"/><Relationship Id="rId41" Type="http://schemas.openxmlformats.org/officeDocument/2006/relationships/hyperlink" Target="#tarp!A4:AQ111"/><Relationship Id="rId54" Type="http://schemas.openxmlformats.org/officeDocument/2006/relationships/chart" Target="../charts/chart70.xml"/><Relationship Id="rId1" Type="http://schemas.openxmlformats.org/officeDocument/2006/relationships/chart" Target="../charts/chart49.xml"/><Relationship Id="rId6" Type="http://schemas.openxmlformats.org/officeDocument/2006/relationships/image" Target="../media/image48.jpg"/><Relationship Id="rId11" Type="http://schemas.openxmlformats.org/officeDocument/2006/relationships/chart" Target="../charts/chart53.xml"/><Relationship Id="rId24" Type="http://schemas.openxmlformats.org/officeDocument/2006/relationships/chart" Target="../charts/chart57.xml"/><Relationship Id="rId32" Type="http://schemas.openxmlformats.org/officeDocument/2006/relationships/image" Target="../media/image75.jpeg"/><Relationship Id="rId37" Type="http://schemas.openxmlformats.org/officeDocument/2006/relationships/hyperlink" Target="#Data!A1"/><Relationship Id="rId40" Type="http://schemas.openxmlformats.org/officeDocument/2006/relationships/image" Target="../media/image14.jpeg"/><Relationship Id="rId45" Type="http://schemas.openxmlformats.org/officeDocument/2006/relationships/chart" Target="../charts/chart62.xml"/><Relationship Id="rId53" Type="http://schemas.openxmlformats.org/officeDocument/2006/relationships/chart" Target="../charts/chart69.xml"/><Relationship Id="rId5" Type="http://schemas.openxmlformats.org/officeDocument/2006/relationships/chart" Target="../charts/chart50.xml"/><Relationship Id="rId15" Type="http://schemas.openxmlformats.org/officeDocument/2006/relationships/image" Target="../media/image65.jpeg"/><Relationship Id="rId23" Type="http://schemas.openxmlformats.org/officeDocument/2006/relationships/image" Target="../media/image71.jpeg"/><Relationship Id="rId28" Type="http://schemas.openxmlformats.org/officeDocument/2006/relationships/chart" Target="../charts/chart59.xml"/><Relationship Id="rId36" Type="http://schemas.openxmlformats.org/officeDocument/2006/relationships/image" Target="../media/image12.png"/><Relationship Id="rId49" Type="http://schemas.openxmlformats.org/officeDocument/2006/relationships/chart" Target="../charts/chart66.xml"/><Relationship Id="rId10" Type="http://schemas.openxmlformats.org/officeDocument/2006/relationships/image" Target="../media/image62.jpeg"/><Relationship Id="rId19" Type="http://schemas.openxmlformats.org/officeDocument/2006/relationships/image" Target="../media/image67.jpeg"/><Relationship Id="rId31" Type="http://schemas.openxmlformats.org/officeDocument/2006/relationships/chart" Target="../charts/chart61.xml"/><Relationship Id="rId44" Type="http://schemas.openxmlformats.org/officeDocument/2006/relationships/image" Target="../media/image7.jpeg"/><Relationship Id="rId52" Type="http://schemas.openxmlformats.org/officeDocument/2006/relationships/image" Target="../media/image57.jpeg"/><Relationship Id="rId4" Type="http://schemas.openxmlformats.org/officeDocument/2006/relationships/image" Target="../media/image61.jpeg"/><Relationship Id="rId9" Type="http://schemas.openxmlformats.org/officeDocument/2006/relationships/chart" Target="../charts/chart52.xml"/><Relationship Id="rId14" Type="http://schemas.openxmlformats.org/officeDocument/2006/relationships/image" Target="../media/image64.jpeg"/><Relationship Id="rId22" Type="http://schemas.openxmlformats.org/officeDocument/2006/relationships/image" Target="../media/image70.jpeg"/><Relationship Id="rId27" Type="http://schemas.openxmlformats.org/officeDocument/2006/relationships/image" Target="../media/image73.jpeg"/><Relationship Id="rId30" Type="http://schemas.openxmlformats.org/officeDocument/2006/relationships/image" Target="../media/image74.jpeg"/><Relationship Id="rId35" Type="http://schemas.openxmlformats.org/officeDocument/2006/relationships/hyperlink" Target="#Home!O1"/><Relationship Id="rId43" Type="http://schemas.openxmlformats.org/officeDocument/2006/relationships/hyperlink" Target="#booklet!A1"/><Relationship Id="rId48" Type="http://schemas.openxmlformats.org/officeDocument/2006/relationships/chart" Target="../charts/chart65.xml"/><Relationship Id="rId56" Type="http://schemas.openxmlformats.org/officeDocument/2006/relationships/chart" Target="../charts/chart72.xml"/><Relationship Id="rId8" Type="http://schemas.openxmlformats.org/officeDocument/2006/relationships/chart" Target="../charts/chart51.xml"/><Relationship Id="rId51" Type="http://schemas.openxmlformats.org/officeDocument/2006/relationships/chart" Target="../charts/chart68.xml"/><Relationship Id="rId3" Type="http://schemas.openxmlformats.org/officeDocument/2006/relationships/image" Target="../media/image60.jpeg"/></Relationships>
</file>

<file path=xl/drawings/_rels/drawing15.xml.rels><?xml version="1.0" encoding="UTF-8" standalone="yes"?>
<Relationships xmlns="http://schemas.openxmlformats.org/package/2006/relationships"><Relationship Id="rId13" Type="http://schemas.openxmlformats.org/officeDocument/2006/relationships/chart" Target="../charts/chart79.xml"/><Relationship Id="rId18" Type="http://schemas.openxmlformats.org/officeDocument/2006/relationships/image" Target="../media/image82.jpeg"/><Relationship Id="rId26" Type="http://schemas.openxmlformats.org/officeDocument/2006/relationships/image" Target="../media/image37.jpg"/><Relationship Id="rId39" Type="http://schemas.openxmlformats.org/officeDocument/2006/relationships/image" Target="../media/image7.jpeg"/><Relationship Id="rId21" Type="http://schemas.openxmlformats.org/officeDocument/2006/relationships/chart" Target="../charts/chart82.xml"/><Relationship Id="rId34" Type="http://schemas.openxmlformats.org/officeDocument/2006/relationships/hyperlink" Target="#Data!A1"/><Relationship Id="rId42" Type="http://schemas.openxmlformats.org/officeDocument/2006/relationships/chart" Target="../charts/chart86.xml"/><Relationship Id="rId47" Type="http://schemas.openxmlformats.org/officeDocument/2006/relationships/chart" Target="../charts/chart90.xml"/><Relationship Id="rId50" Type="http://schemas.openxmlformats.org/officeDocument/2006/relationships/image" Target="../media/image42.jpg"/><Relationship Id="rId55" Type="http://schemas.openxmlformats.org/officeDocument/2006/relationships/chart" Target="../charts/chart96.xml"/><Relationship Id="rId7" Type="http://schemas.openxmlformats.org/officeDocument/2006/relationships/chart" Target="../charts/chart77.xml"/><Relationship Id="rId12" Type="http://schemas.openxmlformats.org/officeDocument/2006/relationships/image" Target="../media/image78.jpeg"/><Relationship Id="rId17" Type="http://schemas.openxmlformats.org/officeDocument/2006/relationships/image" Target="../media/image81.jpeg"/><Relationship Id="rId25" Type="http://schemas.openxmlformats.org/officeDocument/2006/relationships/chart" Target="../charts/chart84.xml"/><Relationship Id="rId33" Type="http://schemas.openxmlformats.org/officeDocument/2006/relationships/image" Target="../media/image12.png"/><Relationship Id="rId38" Type="http://schemas.openxmlformats.org/officeDocument/2006/relationships/hyperlink" Target="#booklet!A1"/><Relationship Id="rId46" Type="http://schemas.openxmlformats.org/officeDocument/2006/relationships/image" Target="../media/image87.jpeg"/><Relationship Id="rId2" Type="http://schemas.openxmlformats.org/officeDocument/2006/relationships/chart" Target="../charts/chart74.xml"/><Relationship Id="rId16" Type="http://schemas.openxmlformats.org/officeDocument/2006/relationships/image" Target="../media/image80.jpeg"/><Relationship Id="rId20" Type="http://schemas.openxmlformats.org/officeDocument/2006/relationships/image" Target="../media/image83.jpeg"/><Relationship Id="rId29" Type="http://schemas.openxmlformats.org/officeDocument/2006/relationships/image" Target="../media/image44.jpg"/><Relationship Id="rId41" Type="http://schemas.openxmlformats.org/officeDocument/2006/relationships/image" Target="../media/image8.jpeg"/><Relationship Id="rId54" Type="http://schemas.openxmlformats.org/officeDocument/2006/relationships/chart" Target="../charts/chart95.xml"/><Relationship Id="rId1" Type="http://schemas.openxmlformats.org/officeDocument/2006/relationships/chart" Target="../charts/chart73.xml"/><Relationship Id="rId6" Type="http://schemas.openxmlformats.org/officeDocument/2006/relationships/image" Target="../media/image40.jpg"/><Relationship Id="rId11" Type="http://schemas.openxmlformats.org/officeDocument/2006/relationships/image" Target="../media/image46.jpg"/><Relationship Id="rId24" Type="http://schemas.openxmlformats.org/officeDocument/2006/relationships/image" Target="../media/image36.jpg"/><Relationship Id="rId32" Type="http://schemas.openxmlformats.org/officeDocument/2006/relationships/hyperlink" Target="#Home!O1"/><Relationship Id="rId37" Type="http://schemas.openxmlformats.org/officeDocument/2006/relationships/image" Target="../media/image14.jpeg"/><Relationship Id="rId40" Type="http://schemas.openxmlformats.org/officeDocument/2006/relationships/hyperlink" Target="#brochure!A1"/><Relationship Id="rId45" Type="http://schemas.openxmlformats.org/officeDocument/2006/relationships/chart" Target="../charts/chart89.xml"/><Relationship Id="rId53" Type="http://schemas.openxmlformats.org/officeDocument/2006/relationships/chart" Target="../charts/chart94.xml"/><Relationship Id="rId5" Type="http://schemas.openxmlformats.org/officeDocument/2006/relationships/chart" Target="../charts/chart76.xml"/><Relationship Id="rId15" Type="http://schemas.openxmlformats.org/officeDocument/2006/relationships/image" Target="../media/image79.jpeg"/><Relationship Id="rId23" Type="http://schemas.openxmlformats.org/officeDocument/2006/relationships/chart" Target="../charts/chart83.xml"/><Relationship Id="rId28" Type="http://schemas.openxmlformats.org/officeDocument/2006/relationships/image" Target="../media/image84.jpeg"/><Relationship Id="rId36" Type="http://schemas.openxmlformats.org/officeDocument/2006/relationships/hyperlink" Target="#SRC!A1"/><Relationship Id="rId49" Type="http://schemas.openxmlformats.org/officeDocument/2006/relationships/chart" Target="../charts/chart92.xml"/><Relationship Id="rId10" Type="http://schemas.openxmlformats.org/officeDocument/2006/relationships/image" Target="../media/image45.jpg"/><Relationship Id="rId19" Type="http://schemas.openxmlformats.org/officeDocument/2006/relationships/chart" Target="../charts/chart81.xml"/><Relationship Id="rId31" Type="http://schemas.openxmlformats.org/officeDocument/2006/relationships/image" Target="../media/image86.png"/><Relationship Id="rId44" Type="http://schemas.openxmlformats.org/officeDocument/2006/relationships/chart" Target="../charts/chart88.xml"/><Relationship Id="rId52" Type="http://schemas.openxmlformats.org/officeDocument/2006/relationships/chart" Target="../charts/chart93.xml"/><Relationship Id="rId4" Type="http://schemas.openxmlformats.org/officeDocument/2006/relationships/chart" Target="../charts/chart75.xml"/><Relationship Id="rId9" Type="http://schemas.openxmlformats.org/officeDocument/2006/relationships/chart" Target="../charts/chart78.xml"/><Relationship Id="rId14" Type="http://schemas.openxmlformats.org/officeDocument/2006/relationships/chart" Target="../charts/chart80.xml"/><Relationship Id="rId22" Type="http://schemas.openxmlformats.org/officeDocument/2006/relationships/image" Target="../media/image35.jpg"/><Relationship Id="rId27" Type="http://schemas.openxmlformats.org/officeDocument/2006/relationships/chart" Target="../charts/chart85.xml"/><Relationship Id="rId30" Type="http://schemas.openxmlformats.org/officeDocument/2006/relationships/image" Target="../media/image85.png"/><Relationship Id="rId35" Type="http://schemas.openxmlformats.org/officeDocument/2006/relationships/image" Target="../media/image19.jpeg"/><Relationship Id="rId43" Type="http://schemas.openxmlformats.org/officeDocument/2006/relationships/chart" Target="../charts/chart87.xml"/><Relationship Id="rId48" Type="http://schemas.openxmlformats.org/officeDocument/2006/relationships/chart" Target="../charts/chart91.xml"/><Relationship Id="rId8" Type="http://schemas.openxmlformats.org/officeDocument/2006/relationships/image" Target="../media/image27.jpg"/><Relationship Id="rId51" Type="http://schemas.openxmlformats.org/officeDocument/2006/relationships/image" Target="../media/image57.jpeg"/><Relationship Id="rId3" Type="http://schemas.openxmlformats.org/officeDocument/2006/relationships/image" Target="../media/image26.jpg"/></Relationships>
</file>

<file path=xl/drawings/_rels/drawing18.xml.rels><?xml version="1.0" encoding="UTF-8" standalone="yes"?>
<Relationships xmlns="http://schemas.openxmlformats.org/package/2006/relationships"><Relationship Id="rId3" Type="http://schemas.openxmlformats.org/officeDocument/2006/relationships/hyperlink" Target="#SRC!A1"/><Relationship Id="rId2" Type="http://schemas.openxmlformats.org/officeDocument/2006/relationships/image" Target="../media/image88.png"/><Relationship Id="rId1" Type="http://schemas.openxmlformats.org/officeDocument/2006/relationships/hyperlink" Target="#Home!O1"/><Relationship Id="rId4" Type="http://schemas.openxmlformats.org/officeDocument/2006/relationships/image" Target="../media/image8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5.jpg"/><Relationship Id="rId3" Type="http://schemas.openxmlformats.org/officeDocument/2006/relationships/image" Target="../media/image12.png"/><Relationship Id="rId7" Type="http://schemas.openxmlformats.org/officeDocument/2006/relationships/image" Target="../media/image14.jpeg"/><Relationship Id="rId2" Type="http://schemas.openxmlformats.org/officeDocument/2006/relationships/hyperlink" Target="#Home!O1"/><Relationship Id="rId1" Type="http://schemas.openxmlformats.org/officeDocument/2006/relationships/image" Target="../media/image11.jpg"/><Relationship Id="rId6" Type="http://schemas.openxmlformats.org/officeDocument/2006/relationships/hyperlink" Target="#SRC!A1"/><Relationship Id="rId11" Type="http://schemas.openxmlformats.org/officeDocument/2006/relationships/image" Target="../media/image18.jpg"/><Relationship Id="rId5" Type="http://schemas.openxmlformats.org/officeDocument/2006/relationships/image" Target="../media/image13.jpeg"/><Relationship Id="rId10" Type="http://schemas.openxmlformats.org/officeDocument/2006/relationships/image" Target="../media/image17.jpg"/><Relationship Id="rId4" Type="http://schemas.openxmlformats.org/officeDocument/2006/relationships/hyperlink" Target="#Data!A1"/><Relationship Id="rId9" Type="http://schemas.openxmlformats.org/officeDocument/2006/relationships/image" Target="../media/image16.jpg"/></Relationships>
</file>

<file path=xl/drawings/_rels/drawing3.xml.rels><?xml version="1.0" encoding="UTF-8" standalone="yes"?>
<Relationships xmlns="http://schemas.openxmlformats.org/package/2006/relationships"><Relationship Id="rId3" Type="http://schemas.openxmlformats.org/officeDocument/2006/relationships/hyperlink" Target="#SRC!A1"/><Relationship Id="rId2" Type="http://schemas.openxmlformats.org/officeDocument/2006/relationships/image" Target="../media/image19.jpeg"/><Relationship Id="rId1" Type="http://schemas.openxmlformats.org/officeDocument/2006/relationships/hyperlink" Target="#Data!A1"/><Relationship Id="rId6" Type="http://schemas.openxmlformats.org/officeDocument/2006/relationships/image" Target="../media/image12.png"/><Relationship Id="rId5" Type="http://schemas.openxmlformats.org/officeDocument/2006/relationships/hyperlink" Target="#Home!O1"/><Relationship Id="rId4" Type="http://schemas.openxmlformats.org/officeDocument/2006/relationships/image" Target="../media/image14.jpeg"/></Relationships>
</file>

<file path=xl/drawings/_rels/drawing4.xml.rels><?xml version="1.0" encoding="UTF-8" standalone="yes"?>
<Relationships xmlns="http://schemas.openxmlformats.org/package/2006/relationships"><Relationship Id="rId8" Type="http://schemas.openxmlformats.org/officeDocument/2006/relationships/image" Target="../media/image23.jpg"/><Relationship Id="rId3" Type="http://schemas.openxmlformats.org/officeDocument/2006/relationships/hyperlink" Target="#SRC!A1"/><Relationship Id="rId7" Type="http://schemas.openxmlformats.org/officeDocument/2006/relationships/image" Target="../media/image22.jpg"/><Relationship Id="rId2" Type="http://schemas.openxmlformats.org/officeDocument/2006/relationships/image" Target="../media/image20.jpeg"/><Relationship Id="rId1" Type="http://schemas.openxmlformats.org/officeDocument/2006/relationships/hyperlink" Target="#Data!A1"/><Relationship Id="rId6" Type="http://schemas.openxmlformats.org/officeDocument/2006/relationships/image" Target="../media/image12.png"/><Relationship Id="rId5" Type="http://schemas.openxmlformats.org/officeDocument/2006/relationships/hyperlink" Target="#Home!O1"/><Relationship Id="rId4" Type="http://schemas.openxmlformats.org/officeDocument/2006/relationships/image" Target="../media/image21.jpeg"/></Relationships>
</file>

<file path=xl/drawings/_rels/drawing5.xml.rels><?xml version="1.0" encoding="UTF-8" standalone="yes"?>
<Relationships xmlns="http://schemas.openxmlformats.org/package/2006/relationships"><Relationship Id="rId3" Type="http://schemas.openxmlformats.org/officeDocument/2006/relationships/hyperlink" Target="#SRC!A1"/><Relationship Id="rId2" Type="http://schemas.openxmlformats.org/officeDocument/2006/relationships/image" Target="../media/image19.jpeg"/><Relationship Id="rId1" Type="http://schemas.openxmlformats.org/officeDocument/2006/relationships/hyperlink" Target="#Data!A1"/><Relationship Id="rId6" Type="http://schemas.openxmlformats.org/officeDocument/2006/relationships/image" Target="../media/image12.png"/><Relationship Id="rId5" Type="http://schemas.openxmlformats.org/officeDocument/2006/relationships/hyperlink" Target="#Home!O1"/><Relationship Id="rId4" Type="http://schemas.openxmlformats.org/officeDocument/2006/relationships/image" Target="../media/image14.jpeg"/></Relationships>
</file>

<file path=xl/drawings/_rels/drawing6.xml.rels><?xml version="1.0" encoding="UTF-8" standalone="yes"?>
<Relationships xmlns="http://schemas.openxmlformats.org/package/2006/relationships"><Relationship Id="rId13" Type="http://schemas.openxmlformats.org/officeDocument/2006/relationships/image" Target="../media/image28.jpeg"/><Relationship Id="rId18" Type="http://schemas.openxmlformats.org/officeDocument/2006/relationships/image" Target="../media/image33.jpg"/><Relationship Id="rId26" Type="http://schemas.openxmlformats.org/officeDocument/2006/relationships/chart" Target="../charts/chart12.xml"/><Relationship Id="rId39" Type="http://schemas.openxmlformats.org/officeDocument/2006/relationships/image" Target="../media/image47.jpeg"/><Relationship Id="rId3" Type="http://schemas.openxmlformats.org/officeDocument/2006/relationships/chart" Target="../charts/chart3.xml"/><Relationship Id="rId21" Type="http://schemas.openxmlformats.org/officeDocument/2006/relationships/image" Target="../media/image36.jpg"/><Relationship Id="rId34" Type="http://schemas.openxmlformats.org/officeDocument/2006/relationships/chart" Target="../charts/chart14.xml"/><Relationship Id="rId42" Type="http://schemas.openxmlformats.org/officeDocument/2006/relationships/chart" Target="../charts/chart17.xml"/><Relationship Id="rId47" Type="http://schemas.openxmlformats.org/officeDocument/2006/relationships/chart" Target="../charts/chart22.xml"/><Relationship Id="rId7" Type="http://schemas.openxmlformats.org/officeDocument/2006/relationships/chart" Target="../charts/chart6.xml"/><Relationship Id="rId12" Type="http://schemas.openxmlformats.org/officeDocument/2006/relationships/image" Target="../media/image27.jpg"/><Relationship Id="rId17" Type="http://schemas.openxmlformats.org/officeDocument/2006/relationships/image" Target="../media/image32.jpg"/><Relationship Id="rId25" Type="http://schemas.openxmlformats.org/officeDocument/2006/relationships/chart" Target="../charts/chart11.xml"/><Relationship Id="rId33" Type="http://schemas.openxmlformats.org/officeDocument/2006/relationships/image" Target="../media/image42.jpg"/><Relationship Id="rId38" Type="http://schemas.openxmlformats.org/officeDocument/2006/relationships/image" Target="../media/image46.jpg"/><Relationship Id="rId46" Type="http://schemas.openxmlformats.org/officeDocument/2006/relationships/chart" Target="../charts/chart21.xml"/><Relationship Id="rId2" Type="http://schemas.openxmlformats.org/officeDocument/2006/relationships/chart" Target="../charts/chart2.xml"/><Relationship Id="rId16" Type="http://schemas.openxmlformats.org/officeDocument/2006/relationships/image" Target="../media/image31.jpeg"/><Relationship Id="rId20" Type="http://schemas.openxmlformats.org/officeDocument/2006/relationships/image" Target="../media/image35.jpg"/><Relationship Id="rId29" Type="http://schemas.openxmlformats.org/officeDocument/2006/relationships/image" Target="../media/image39.png"/><Relationship Id="rId41"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26.jpg"/><Relationship Id="rId24" Type="http://schemas.openxmlformats.org/officeDocument/2006/relationships/chart" Target="../charts/chart10.xml"/><Relationship Id="rId32" Type="http://schemas.openxmlformats.org/officeDocument/2006/relationships/image" Target="../media/image41.png"/><Relationship Id="rId37" Type="http://schemas.openxmlformats.org/officeDocument/2006/relationships/image" Target="../media/image45.jpg"/><Relationship Id="rId40" Type="http://schemas.openxmlformats.org/officeDocument/2006/relationships/chart" Target="../charts/chart15.xml"/><Relationship Id="rId45" Type="http://schemas.openxmlformats.org/officeDocument/2006/relationships/chart" Target="../charts/chart20.xml"/><Relationship Id="rId5" Type="http://schemas.openxmlformats.org/officeDocument/2006/relationships/chart" Target="../charts/chart4.xml"/><Relationship Id="rId15" Type="http://schemas.openxmlformats.org/officeDocument/2006/relationships/image" Target="../media/image30.jpeg"/><Relationship Id="rId23" Type="http://schemas.openxmlformats.org/officeDocument/2006/relationships/image" Target="../media/image38.jpg"/><Relationship Id="rId28" Type="http://schemas.openxmlformats.org/officeDocument/2006/relationships/hyperlink" Target="#Home!O1"/><Relationship Id="rId36" Type="http://schemas.openxmlformats.org/officeDocument/2006/relationships/image" Target="../media/image44.jpg"/><Relationship Id="rId49" Type="http://schemas.openxmlformats.org/officeDocument/2006/relationships/chart" Target="../charts/chart24.xml"/><Relationship Id="rId10" Type="http://schemas.openxmlformats.org/officeDocument/2006/relationships/chart" Target="../charts/chart9.xml"/><Relationship Id="rId19" Type="http://schemas.openxmlformats.org/officeDocument/2006/relationships/image" Target="../media/image34.jpg"/><Relationship Id="rId31" Type="http://schemas.openxmlformats.org/officeDocument/2006/relationships/hyperlink" Target="#Data!A1"/><Relationship Id="rId44" Type="http://schemas.openxmlformats.org/officeDocument/2006/relationships/chart" Target="../charts/chart19.xml"/><Relationship Id="rId4" Type="http://schemas.openxmlformats.org/officeDocument/2006/relationships/image" Target="../media/image25.jpg"/><Relationship Id="rId9" Type="http://schemas.openxmlformats.org/officeDocument/2006/relationships/chart" Target="../charts/chart8.xml"/><Relationship Id="rId14" Type="http://schemas.openxmlformats.org/officeDocument/2006/relationships/image" Target="../media/image29.jpg"/><Relationship Id="rId22" Type="http://schemas.openxmlformats.org/officeDocument/2006/relationships/image" Target="../media/image37.jpg"/><Relationship Id="rId27" Type="http://schemas.openxmlformats.org/officeDocument/2006/relationships/chart" Target="../charts/chart13.xml"/><Relationship Id="rId30" Type="http://schemas.openxmlformats.org/officeDocument/2006/relationships/image" Target="../media/image40.jpg"/><Relationship Id="rId35" Type="http://schemas.openxmlformats.org/officeDocument/2006/relationships/image" Target="../media/image43.jpeg"/><Relationship Id="rId43" Type="http://schemas.openxmlformats.org/officeDocument/2006/relationships/chart" Target="../charts/chart18.xml"/><Relationship Id="rId48" Type="http://schemas.openxmlformats.org/officeDocument/2006/relationships/chart" Target="../charts/chart23.xml"/><Relationship Id="rId8"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3" Type="http://schemas.openxmlformats.org/officeDocument/2006/relationships/image" Target="../media/image9.jpeg"/><Relationship Id="rId18" Type="http://schemas.openxmlformats.org/officeDocument/2006/relationships/chart" Target="../charts/chart28.xml"/><Relationship Id="rId26" Type="http://schemas.openxmlformats.org/officeDocument/2006/relationships/image" Target="../media/image52.jpeg"/><Relationship Id="rId39" Type="http://schemas.openxmlformats.org/officeDocument/2006/relationships/chart" Target="../charts/chart37.xml"/><Relationship Id="rId21" Type="http://schemas.openxmlformats.org/officeDocument/2006/relationships/chart" Target="../charts/chart30.xml"/><Relationship Id="rId34" Type="http://schemas.openxmlformats.org/officeDocument/2006/relationships/image" Target="../media/image44.jpg"/><Relationship Id="rId42" Type="http://schemas.openxmlformats.org/officeDocument/2006/relationships/image" Target="../media/image45.jpg"/><Relationship Id="rId47" Type="http://schemas.openxmlformats.org/officeDocument/2006/relationships/chart" Target="../charts/chart39.xml"/><Relationship Id="rId50" Type="http://schemas.openxmlformats.org/officeDocument/2006/relationships/chart" Target="../charts/chart42.xml"/><Relationship Id="rId55" Type="http://schemas.openxmlformats.org/officeDocument/2006/relationships/chart" Target="../charts/chart47.xml"/><Relationship Id="rId7" Type="http://schemas.openxmlformats.org/officeDocument/2006/relationships/image" Target="../media/image19.jpeg"/><Relationship Id="rId12" Type="http://schemas.openxmlformats.org/officeDocument/2006/relationships/hyperlink" Target="#tarp!A4:AQ111"/><Relationship Id="rId17" Type="http://schemas.openxmlformats.org/officeDocument/2006/relationships/image" Target="../media/image37.jpg"/><Relationship Id="rId25" Type="http://schemas.openxmlformats.org/officeDocument/2006/relationships/image" Target="../media/image51.jpeg"/><Relationship Id="rId33" Type="http://schemas.openxmlformats.org/officeDocument/2006/relationships/image" Target="../media/image43.jpeg"/><Relationship Id="rId38" Type="http://schemas.openxmlformats.org/officeDocument/2006/relationships/image" Target="../media/image40.jpg"/><Relationship Id="rId46" Type="http://schemas.openxmlformats.org/officeDocument/2006/relationships/image" Target="../media/image27.jpg"/><Relationship Id="rId2" Type="http://schemas.openxmlformats.org/officeDocument/2006/relationships/image" Target="../media/image48.jpg"/><Relationship Id="rId16" Type="http://schemas.openxmlformats.org/officeDocument/2006/relationships/chart" Target="../charts/chart27.xml"/><Relationship Id="rId20" Type="http://schemas.openxmlformats.org/officeDocument/2006/relationships/chart" Target="../charts/chart29.xml"/><Relationship Id="rId29" Type="http://schemas.openxmlformats.org/officeDocument/2006/relationships/chart" Target="../charts/chart33.xml"/><Relationship Id="rId41" Type="http://schemas.openxmlformats.org/officeDocument/2006/relationships/image" Target="../media/image57.jpeg"/><Relationship Id="rId54" Type="http://schemas.openxmlformats.org/officeDocument/2006/relationships/chart" Target="../charts/chart46.xml"/><Relationship Id="rId1" Type="http://schemas.openxmlformats.org/officeDocument/2006/relationships/chart" Target="../charts/chart25.xml"/><Relationship Id="rId6" Type="http://schemas.openxmlformats.org/officeDocument/2006/relationships/hyperlink" Target="#Data!A1"/><Relationship Id="rId11" Type="http://schemas.openxmlformats.org/officeDocument/2006/relationships/image" Target="../media/image8.jpeg"/><Relationship Id="rId24" Type="http://schemas.openxmlformats.org/officeDocument/2006/relationships/chart" Target="../charts/chart32.xml"/><Relationship Id="rId32" Type="http://schemas.openxmlformats.org/officeDocument/2006/relationships/image" Target="../media/image56.jpeg"/><Relationship Id="rId37" Type="http://schemas.openxmlformats.org/officeDocument/2006/relationships/chart" Target="../charts/chart36.xml"/><Relationship Id="rId40" Type="http://schemas.openxmlformats.org/officeDocument/2006/relationships/image" Target="../media/image36.jpg"/><Relationship Id="rId45" Type="http://schemas.openxmlformats.org/officeDocument/2006/relationships/chart" Target="../charts/chart38.xml"/><Relationship Id="rId53" Type="http://schemas.openxmlformats.org/officeDocument/2006/relationships/chart" Target="../charts/chart45.xml"/><Relationship Id="rId5" Type="http://schemas.openxmlformats.org/officeDocument/2006/relationships/image" Target="../media/image12.png"/><Relationship Id="rId15" Type="http://schemas.openxmlformats.org/officeDocument/2006/relationships/chart" Target="../charts/chart26.xml"/><Relationship Id="rId23" Type="http://schemas.openxmlformats.org/officeDocument/2006/relationships/chart" Target="../charts/chart31.xml"/><Relationship Id="rId28" Type="http://schemas.openxmlformats.org/officeDocument/2006/relationships/image" Target="../media/image54.jpeg"/><Relationship Id="rId36" Type="http://schemas.openxmlformats.org/officeDocument/2006/relationships/chart" Target="../charts/chart35.xml"/><Relationship Id="rId49" Type="http://schemas.openxmlformats.org/officeDocument/2006/relationships/chart" Target="../charts/chart41.xml"/><Relationship Id="rId10" Type="http://schemas.openxmlformats.org/officeDocument/2006/relationships/hyperlink" Target="#brochure!A1"/><Relationship Id="rId19" Type="http://schemas.openxmlformats.org/officeDocument/2006/relationships/image" Target="../media/image50.jpeg"/><Relationship Id="rId31" Type="http://schemas.openxmlformats.org/officeDocument/2006/relationships/chart" Target="../charts/chart34.xml"/><Relationship Id="rId44" Type="http://schemas.openxmlformats.org/officeDocument/2006/relationships/image" Target="../media/image58.jpeg"/><Relationship Id="rId52" Type="http://schemas.openxmlformats.org/officeDocument/2006/relationships/chart" Target="../charts/chart44.xml"/><Relationship Id="rId4" Type="http://schemas.openxmlformats.org/officeDocument/2006/relationships/hyperlink" Target="#Home!O1"/><Relationship Id="rId9" Type="http://schemas.openxmlformats.org/officeDocument/2006/relationships/image" Target="../media/image14.jpeg"/><Relationship Id="rId14" Type="http://schemas.openxmlformats.org/officeDocument/2006/relationships/image" Target="../media/image42.jpg"/><Relationship Id="rId22" Type="http://schemas.openxmlformats.org/officeDocument/2006/relationships/image" Target="../media/image35.jpg"/><Relationship Id="rId27" Type="http://schemas.openxmlformats.org/officeDocument/2006/relationships/image" Target="../media/image53.jpeg"/><Relationship Id="rId30" Type="http://schemas.openxmlformats.org/officeDocument/2006/relationships/image" Target="../media/image55.jpeg"/><Relationship Id="rId35" Type="http://schemas.openxmlformats.org/officeDocument/2006/relationships/image" Target="../media/image25.jpg"/><Relationship Id="rId43" Type="http://schemas.openxmlformats.org/officeDocument/2006/relationships/image" Target="../media/image46.jpg"/><Relationship Id="rId48" Type="http://schemas.openxmlformats.org/officeDocument/2006/relationships/chart" Target="../charts/chart40.xml"/><Relationship Id="rId56" Type="http://schemas.openxmlformats.org/officeDocument/2006/relationships/chart" Target="../charts/chart48.xml"/><Relationship Id="rId8" Type="http://schemas.openxmlformats.org/officeDocument/2006/relationships/hyperlink" Target="#SRC!A1"/><Relationship Id="rId51" Type="http://schemas.openxmlformats.org/officeDocument/2006/relationships/chart" Target="../charts/chart43.xml"/><Relationship Id="rId3" Type="http://schemas.openxmlformats.org/officeDocument/2006/relationships/image" Target="../media/image49.jpg"/></Relationships>
</file>

<file path=xl/drawings/drawing1.xml><?xml version="1.0" encoding="utf-8"?>
<xdr:wsDr xmlns:xdr="http://schemas.openxmlformats.org/drawingml/2006/spreadsheetDrawing" xmlns:a="http://schemas.openxmlformats.org/drawingml/2006/main">
  <xdr:twoCellAnchor editAs="oneCell">
    <xdr:from>
      <xdr:col>0</xdr:col>
      <xdr:colOff>554182</xdr:colOff>
      <xdr:row>5</xdr:row>
      <xdr:rowOff>167589</xdr:rowOff>
    </xdr:from>
    <xdr:to>
      <xdr:col>4</xdr:col>
      <xdr:colOff>8660</xdr:colOff>
      <xdr:row>10</xdr:row>
      <xdr:rowOff>248046</xdr:rowOff>
    </xdr:to>
    <xdr:pic>
      <xdr:nvPicPr>
        <xdr:cNvPr id="7" name="Picture 6">
          <a:hlinkClick xmlns:r="http://schemas.openxmlformats.org/officeDocument/2006/relationships" r:id="rId1" tooltip="Click to input School Data"/>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4182" y="1068134"/>
          <a:ext cx="2918114" cy="1465912"/>
        </a:xfrm>
        <a:prstGeom prst="rect">
          <a:avLst/>
        </a:prstGeom>
      </xdr:spPr>
    </xdr:pic>
    <xdr:clientData/>
  </xdr:twoCellAnchor>
  <xdr:twoCellAnchor editAs="oneCell">
    <xdr:from>
      <xdr:col>10</xdr:col>
      <xdr:colOff>441613</xdr:colOff>
      <xdr:row>5</xdr:row>
      <xdr:rowOff>165603</xdr:rowOff>
    </xdr:from>
    <xdr:to>
      <xdr:col>14</xdr:col>
      <xdr:colOff>588820</xdr:colOff>
      <xdr:row>10</xdr:row>
      <xdr:rowOff>250030</xdr:rowOff>
    </xdr:to>
    <xdr:pic>
      <xdr:nvPicPr>
        <xdr:cNvPr id="8" name="Picture 7">
          <a:hlinkClick xmlns:r="http://schemas.openxmlformats.org/officeDocument/2006/relationships" r:id="rId3" tooltip="Click to go to printable SRC. Use A4 sized paper for printing."/>
          <a:extLst>
            <a:ext uri="{FF2B5EF4-FFF2-40B4-BE49-F238E27FC236}">
              <a16:creationId xmlns="" xmlns:a16="http://schemas.microsoft.com/office/drawing/2014/main" id="{00000000-0008-0000-00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156613" y="1066148"/>
          <a:ext cx="2926775" cy="1469882"/>
        </a:xfrm>
        <a:prstGeom prst="rect">
          <a:avLst/>
        </a:prstGeom>
      </xdr:spPr>
    </xdr:pic>
    <xdr:clientData/>
  </xdr:twoCellAnchor>
  <xdr:twoCellAnchor editAs="oneCell">
    <xdr:from>
      <xdr:col>4</xdr:col>
      <xdr:colOff>328701</xdr:colOff>
      <xdr:row>3</xdr:row>
      <xdr:rowOff>43294</xdr:rowOff>
    </xdr:from>
    <xdr:to>
      <xdr:col>10</xdr:col>
      <xdr:colOff>105168</xdr:colOff>
      <xdr:row>11</xdr:row>
      <xdr:rowOff>77930</xdr:rowOff>
    </xdr:to>
    <xdr:pic>
      <xdr:nvPicPr>
        <xdr:cNvPr id="9" name="Picture 8">
          <a:extLst>
            <a:ext uri="{FF2B5EF4-FFF2-40B4-BE49-F238E27FC236}">
              <a16:creationId xmlns="" xmlns:a16="http://schemas.microsoft.com/office/drawing/2014/main" id="{00000000-0008-0000-0000-00000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792337" y="675408"/>
          <a:ext cx="2027831" cy="1965613"/>
        </a:xfrm>
        <a:prstGeom prst="rect">
          <a:avLst/>
        </a:prstGeom>
      </xdr:spPr>
    </xdr:pic>
    <xdr:clientData/>
  </xdr:twoCellAnchor>
  <xdr:twoCellAnchor editAs="oneCell">
    <xdr:from>
      <xdr:col>0</xdr:col>
      <xdr:colOff>545523</xdr:colOff>
      <xdr:row>11</xdr:row>
      <xdr:rowOff>103908</xdr:rowOff>
    </xdr:from>
    <xdr:to>
      <xdr:col>0</xdr:col>
      <xdr:colOff>1272887</xdr:colOff>
      <xdr:row>15</xdr:row>
      <xdr:rowOff>86590</xdr:rowOff>
    </xdr:to>
    <xdr:pic>
      <xdr:nvPicPr>
        <xdr:cNvPr id="10" name="Picture 9">
          <a:hlinkClick xmlns:r="http://schemas.openxmlformats.org/officeDocument/2006/relationships" r:id="rId6" tooltip="Click to see Instructions on how to use this eSRC"/>
          <a:extLst>
            <a:ext uri="{FF2B5EF4-FFF2-40B4-BE49-F238E27FC236}">
              <a16:creationId xmlns="" xmlns:a16="http://schemas.microsoft.com/office/drawing/2014/main" id="{00000000-0008-0000-0000-00000A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5523" y="2666999"/>
          <a:ext cx="727364" cy="484909"/>
        </a:xfrm>
        <a:prstGeom prst="rect">
          <a:avLst/>
        </a:prstGeom>
      </xdr:spPr>
    </xdr:pic>
    <xdr:clientData/>
  </xdr:twoCellAnchor>
  <xdr:twoCellAnchor editAs="oneCell">
    <xdr:from>
      <xdr:col>0</xdr:col>
      <xdr:colOff>1662545</xdr:colOff>
      <xdr:row>11</xdr:row>
      <xdr:rowOff>103908</xdr:rowOff>
    </xdr:from>
    <xdr:to>
      <xdr:col>2</xdr:col>
      <xdr:colOff>138544</xdr:colOff>
      <xdr:row>15</xdr:row>
      <xdr:rowOff>86590</xdr:rowOff>
    </xdr:to>
    <xdr:pic>
      <xdr:nvPicPr>
        <xdr:cNvPr id="11" name="Picture 10">
          <a:hlinkClick xmlns:r="http://schemas.openxmlformats.org/officeDocument/2006/relationships" r:id="rId8" tooltip="Click to see definition of terms used in eSRC"/>
          <a:extLst>
            <a:ext uri="{FF2B5EF4-FFF2-40B4-BE49-F238E27FC236}">
              <a16:creationId xmlns="" xmlns:a16="http://schemas.microsoft.com/office/drawing/2014/main" id="{00000000-0008-0000-0000-00000B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662545" y="2666999"/>
          <a:ext cx="727363" cy="484909"/>
        </a:xfrm>
        <a:prstGeom prst="rect">
          <a:avLst/>
        </a:prstGeom>
      </xdr:spPr>
    </xdr:pic>
    <xdr:clientData/>
  </xdr:twoCellAnchor>
  <xdr:twoCellAnchor editAs="oneCell">
    <xdr:from>
      <xdr:col>2</xdr:col>
      <xdr:colOff>493568</xdr:colOff>
      <xdr:row>11</xdr:row>
      <xdr:rowOff>103908</xdr:rowOff>
    </xdr:from>
    <xdr:to>
      <xdr:col>4</xdr:col>
      <xdr:colOff>8659</xdr:colOff>
      <xdr:row>15</xdr:row>
      <xdr:rowOff>86590</xdr:rowOff>
    </xdr:to>
    <xdr:pic>
      <xdr:nvPicPr>
        <xdr:cNvPr id="12" name="Picture 11">
          <a:hlinkClick xmlns:r="http://schemas.openxmlformats.org/officeDocument/2006/relationships" r:id="rId10" tooltip="Click to see Policy Guidelines on crafting the eSRC"/>
          <a:extLst>
            <a:ext uri="{FF2B5EF4-FFF2-40B4-BE49-F238E27FC236}">
              <a16:creationId xmlns="" xmlns:a16="http://schemas.microsoft.com/office/drawing/2014/main" id="{00000000-0008-0000-0000-00000C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744932" y="2666999"/>
          <a:ext cx="727363" cy="484909"/>
        </a:xfrm>
        <a:prstGeom prst="rect">
          <a:avLst/>
        </a:prstGeom>
      </xdr:spPr>
    </xdr:pic>
    <xdr:clientData/>
  </xdr:twoCellAnchor>
  <xdr:twoCellAnchor editAs="oneCell">
    <xdr:from>
      <xdr:col>10</xdr:col>
      <xdr:colOff>432954</xdr:colOff>
      <xdr:row>11</xdr:row>
      <xdr:rowOff>103908</xdr:rowOff>
    </xdr:from>
    <xdr:to>
      <xdr:col>11</xdr:col>
      <xdr:colOff>554181</xdr:colOff>
      <xdr:row>15</xdr:row>
      <xdr:rowOff>86590</xdr:rowOff>
    </xdr:to>
    <xdr:pic>
      <xdr:nvPicPr>
        <xdr:cNvPr id="13" name="Picture 12">
          <a:hlinkClick xmlns:r="http://schemas.openxmlformats.org/officeDocument/2006/relationships" r:id="rId12" tooltip="Click to go to printable SRC (Booklet type). Use A4 sized paper for printing."/>
          <a:extLst>
            <a:ext uri="{FF2B5EF4-FFF2-40B4-BE49-F238E27FC236}">
              <a16:creationId xmlns="" xmlns:a16="http://schemas.microsoft.com/office/drawing/2014/main" id="{00000000-0008-0000-0000-00000D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147954" y="2666999"/>
          <a:ext cx="727363" cy="484909"/>
        </a:xfrm>
        <a:prstGeom prst="rect">
          <a:avLst/>
        </a:prstGeom>
      </xdr:spPr>
    </xdr:pic>
    <xdr:clientData/>
  </xdr:twoCellAnchor>
  <xdr:twoCellAnchor editAs="oneCell">
    <xdr:from>
      <xdr:col>12</xdr:col>
      <xdr:colOff>337703</xdr:colOff>
      <xdr:row>11</xdr:row>
      <xdr:rowOff>103908</xdr:rowOff>
    </xdr:from>
    <xdr:to>
      <xdr:col>13</xdr:col>
      <xdr:colOff>458930</xdr:colOff>
      <xdr:row>15</xdr:row>
      <xdr:rowOff>86590</xdr:rowOff>
    </xdr:to>
    <xdr:pic>
      <xdr:nvPicPr>
        <xdr:cNvPr id="14" name="Picture 13">
          <a:hlinkClick xmlns:r="http://schemas.openxmlformats.org/officeDocument/2006/relationships" r:id="rId14" tooltip="Click to go to printable SRC (Brochure type). Use 13&quot; x 8.5&quot; paper for printing."/>
          <a:extLst>
            <a:ext uri="{FF2B5EF4-FFF2-40B4-BE49-F238E27FC236}">
              <a16:creationId xmlns="" xmlns:a16="http://schemas.microsoft.com/office/drawing/2014/main" id="{00000000-0008-0000-0000-00000E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7264976" y="2666999"/>
          <a:ext cx="727363" cy="484909"/>
        </a:xfrm>
        <a:prstGeom prst="rect">
          <a:avLst/>
        </a:prstGeom>
      </xdr:spPr>
    </xdr:pic>
    <xdr:clientData/>
  </xdr:twoCellAnchor>
  <xdr:twoCellAnchor editAs="oneCell">
    <xdr:from>
      <xdr:col>13</xdr:col>
      <xdr:colOff>813960</xdr:colOff>
      <xdr:row>11</xdr:row>
      <xdr:rowOff>103908</xdr:rowOff>
    </xdr:from>
    <xdr:to>
      <xdr:col>14</xdr:col>
      <xdr:colOff>580164</xdr:colOff>
      <xdr:row>15</xdr:row>
      <xdr:rowOff>86590</xdr:rowOff>
    </xdr:to>
    <xdr:pic>
      <xdr:nvPicPr>
        <xdr:cNvPr id="15" name="Picture 14">
          <a:hlinkClick xmlns:r="http://schemas.openxmlformats.org/officeDocument/2006/relationships" r:id="rId16" tooltip="Click to go to printable SRC (Tarpaulin layout). You need to copy and paste it to MS Paint or other photo editing software to convert to picture format (ex. JPEG). Tarp size is 6ft x 4ft. "/>
          <a:extLst>
            <a:ext uri="{FF2B5EF4-FFF2-40B4-BE49-F238E27FC236}">
              <a16:creationId xmlns="" xmlns:a16="http://schemas.microsoft.com/office/drawing/2014/main" id="{00000000-0008-0000-0000-00000F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8347369" y="2666999"/>
          <a:ext cx="727363" cy="484909"/>
        </a:xfrm>
        <a:prstGeom prst="rect">
          <a:avLst/>
        </a:prstGeom>
      </xdr:spPr>
    </xdr:pic>
    <xdr:clientData/>
  </xdr:twoCellAnchor>
  <xdr:twoCellAnchor editAs="oneCell">
    <xdr:from>
      <xdr:col>14</xdr:col>
      <xdr:colOff>441080</xdr:colOff>
      <xdr:row>17</xdr:row>
      <xdr:rowOff>86294</xdr:rowOff>
    </xdr:from>
    <xdr:to>
      <xdr:col>14</xdr:col>
      <xdr:colOff>1039090</xdr:colOff>
      <xdr:row>19</xdr:row>
      <xdr:rowOff>177402</xdr:rowOff>
    </xdr:to>
    <xdr:pic>
      <xdr:nvPicPr>
        <xdr:cNvPr id="16" name="Picture 15">
          <a:hlinkClick xmlns:r="http://schemas.openxmlformats.org/officeDocument/2006/relationships" r:id="rId18" tooltip="Click to see the team behind the development of this eSRC."/>
          <a:extLst>
            <a:ext uri="{FF2B5EF4-FFF2-40B4-BE49-F238E27FC236}">
              <a16:creationId xmlns="" xmlns:a16="http://schemas.microsoft.com/office/drawing/2014/main" id="{00000000-0008-0000-0000-000010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8606603" y="3601885"/>
          <a:ext cx="598010" cy="402835"/>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0.13445</cdr:x>
      <cdr:y>0.50649</cdr:y>
    </cdr:from>
    <cdr:to>
      <cdr:x>0.94267</cdr:x>
      <cdr:y>0.5087</cdr:y>
    </cdr:to>
    <cdr:cxnSp macro="">
      <cdr:nvCxnSpPr>
        <cdr:cNvPr id="3" name="Straight Connector 2">
          <a:extLst xmlns:a="http://schemas.openxmlformats.org/drawingml/2006/main">
            <a:ext uri="{FF2B5EF4-FFF2-40B4-BE49-F238E27FC236}">
              <a16:creationId xmlns="" xmlns:a16="http://schemas.microsoft.com/office/drawing/2014/main" id="{00000000-0008-0000-0200-000033000000}"/>
            </a:ext>
          </a:extLst>
        </cdr:cNvPr>
        <cdr:cNvCxnSpPr/>
      </cdr:nvCxnSpPr>
      <cdr:spPr>
        <a:xfrm xmlns:a="http://schemas.openxmlformats.org/drawingml/2006/main">
          <a:off x="209841" y="1297366"/>
          <a:ext cx="1261390" cy="5661"/>
        </a:xfrm>
        <a:prstGeom xmlns:a="http://schemas.openxmlformats.org/drawingml/2006/main" prst="line">
          <a:avLst/>
        </a:prstGeom>
        <a:ln xmlns:a="http://schemas.openxmlformats.org/drawingml/2006/main">
          <a:prstDash val="dash"/>
          <a:headEnd type="none" w="med" len="med"/>
          <a:tailEnd type="none" w="med" len="med"/>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11.xml><?xml version="1.0" encoding="utf-8"?>
<c:userShapes xmlns:c="http://schemas.openxmlformats.org/drawingml/2006/chart">
  <cdr:relSizeAnchor xmlns:cdr="http://schemas.openxmlformats.org/drawingml/2006/chartDrawing">
    <cdr:from>
      <cdr:x>0.12086</cdr:x>
      <cdr:y>0.49899</cdr:y>
    </cdr:from>
    <cdr:to>
      <cdr:x>0.96454</cdr:x>
      <cdr:y>0.5</cdr:y>
    </cdr:to>
    <cdr:cxnSp macro="">
      <cdr:nvCxnSpPr>
        <cdr:cNvPr id="3" name="Straight Connector 2">
          <a:extLst xmlns:a="http://schemas.openxmlformats.org/drawingml/2006/main">
            <a:ext uri="{FF2B5EF4-FFF2-40B4-BE49-F238E27FC236}">
              <a16:creationId xmlns="" xmlns:a16="http://schemas.microsoft.com/office/drawing/2014/main" id="{00000000-0008-0000-0200-00003A000000}"/>
            </a:ext>
          </a:extLst>
        </cdr:cNvPr>
        <cdr:cNvCxnSpPr/>
      </cdr:nvCxnSpPr>
      <cdr:spPr>
        <a:xfrm xmlns:a="http://schemas.openxmlformats.org/drawingml/2006/main">
          <a:off x="324645" y="1967706"/>
          <a:ext cx="2266155" cy="3969"/>
        </a:xfrm>
        <a:prstGeom xmlns:a="http://schemas.openxmlformats.org/drawingml/2006/main" prst="line">
          <a:avLst/>
        </a:prstGeom>
        <a:ln xmlns:a="http://schemas.openxmlformats.org/drawingml/2006/main">
          <a:prstDash val="dash"/>
          <a:headEnd type="none" w="med" len="med"/>
          <a:tailEnd type="none" w="med" len="med"/>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12.xml><?xml version="1.0" encoding="utf-8"?>
<xdr:wsDr xmlns:xdr="http://schemas.openxmlformats.org/drawingml/2006/spreadsheetDrawing" xmlns:a="http://schemas.openxmlformats.org/drawingml/2006/main">
  <xdr:twoCellAnchor>
    <xdr:from>
      <xdr:col>10</xdr:col>
      <xdr:colOff>19050</xdr:colOff>
      <xdr:row>38</xdr:row>
      <xdr:rowOff>0</xdr:rowOff>
    </xdr:from>
    <xdr:to>
      <xdr:col>17</xdr:col>
      <xdr:colOff>0</xdr:colOff>
      <xdr:row>54</xdr:row>
      <xdr:rowOff>87404</xdr:rowOff>
    </xdr:to>
    <xdr:graphicFrame macro="">
      <xdr:nvGraphicFramePr>
        <xdr:cNvPr id="61" name="Chart 60">
          <a:extLst>
            <a:ext uri="{FF2B5EF4-FFF2-40B4-BE49-F238E27FC236}">
              <a16:creationId xmlns="" xmlns:a16="http://schemas.microsoft.com/office/drawing/2014/main" id="{00000000-0008-0000-0700-00003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27</xdr:col>
      <xdr:colOff>57117</xdr:colOff>
      <xdr:row>72</xdr:row>
      <xdr:rowOff>72992</xdr:rowOff>
    </xdr:from>
    <xdr:to>
      <xdr:col>34</xdr:col>
      <xdr:colOff>539103</xdr:colOff>
      <xdr:row>98</xdr:row>
      <xdr:rowOff>5603</xdr:rowOff>
    </xdr:to>
    <xdr:pic>
      <xdr:nvPicPr>
        <xdr:cNvPr id="2" name="Picture 1">
          <a:extLst>
            <a:ext uri="{FF2B5EF4-FFF2-40B4-BE49-F238E27FC236}">
              <a16:creationId xmlns="" xmlns:a16="http://schemas.microsoft.com/office/drawing/2014/main" id="{00000000-0008-0000-0700-000002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15566992" y="15376492"/>
          <a:ext cx="4911111" cy="5298361"/>
        </a:xfrm>
        <a:prstGeom prst="rect">
          <a:avLst/>
        </a:prstGeom>
      </xdr:spPr>
    </xdr:pic>
    <xdr:clientData/>
  </xdr:twoCellAnchor>
  <xdr:twoCellAnchor editAs="oneCell">
    <xdr:from>
      <xdr:col>27</xdr:col>
      <xdr:colOff>68356</xdr:colOff>
      <xdr:row>107</xdr:row>
      <xdr:rowOff>11206</xdr:rowOff>
    </xdr:from>
    <xdr:to>
      <xdr:col>34</xdr:col>
      <xdr:colOff>552449</xdr:colOff>
      <xdr:row>129</xdr:row>
      <xdr:rowOff>52668</xdr:rowOff>
    </xdr:to>
    <xdr:pic>
      <xdr:nvPicPr>
        <xdr:cNvPr id="9" name="Picture 8">
          <a:extLst>
            <a:ext uri="{FF2B5EF4-FFF2-40B4-BE49-F238E27FC236}">
              <a16:creationId xmlns="" xmlns:a16="http://schemas.microsoft.com/office/drawing/2014/main" id="{00000000-0008-0000-0700-000009000000}"/>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5498856" y="22528306"/>
          <a:ext cx="4922743" cy="4651562"/>
        </a:xfrm>
        <a:prstGeom prst="rect">
          <a:avLst/>
        </a:prstGeom>
      </xdr:spPr>
    </xdr:pic>
    <xdr:clientData/>
  </xdr:twoCellAnchor>
  <xdr:twoCellAnchor editAs="oneCell">
    <xdr:from>
      <xdr:col>32</xdr:col>
      <xdr:colOff>668075</xdr:colOff>
      <xdr:row>122</xdr:row>
      <xdr:rowOff>98048</xdr:rowOff>
    </xdr:from>
    <xdr:to>
      <xdr:col>34</xdr:col>
      <xdr:colOff>39276</xdr:colOff>
      <xdr:row>127</xdr:row>
      <xdr:rowOff>66675</xdr:rowOff>
    </xdr:to>
    <xdr:pic>
      <xdr:nvPicPr>
        <xdr:cNvPr id="10" name="Picture 9">
          <a:extLst>
            <a:ext uri="{FF2B5EF4-FFF2-40B4-BE49-F238E27FC236}">
              <a16:creationId xmlns="" xmlns:a16="http://schemas.microsoft.com/office/drawing/2014/main" id="{00000000-0008-0000-0700-00000A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860825" y="25758398"/>
          <a:ext cx="990451" cy="1016377"/>
        </a:xfrm>
        <a:prstGeom prst="rect">
          <a:avLst/>
        </a:prstGeom>
      </xdr:spPr>
    </xdr:pic>
    <xdr:clientData/>
  </xdr:twoCellAnchor>
  <xdr:twoCellAnchor>
    <xdr:from>
      <xdr:col>31</xdr:col>
      <xdr:colOff>20935</xdr:colOff>
      <xdr:row>97</xdr:row>
      <xdr:rowOff>82981</xdr:rowOff>
    </xdr:from>
    <xdr:to>
      <xdr:col>34</xdr:col>
      <xdr:colOff>378277</xdr:colOff>
      <xdr:row>107</xdr:row>
      <xdr:rowOff>96625</xdr:rowOff>
    </xdr:to>
    <xdr:sp macro="" textlink="">
      <xdr:nvSpPr>
        <xdr:cNvPr id="3" name="Hexagon 2">
          <a:extLst>
            <a:ext uri="{FF2B5EF4-FFF2-40B4-BE49-F238E27FC236}">
              <a16:creationId xmlns="" xmlns:a16="http://schemas.microsoft.com/office/drawing/2014/main" id="{00000000-0008-0000-0700-000003000000}"/>
            </a:ext>
          </a:extLst>
        </xdr:cNvPr>
        <xdr:cNvSpPr/>
      </xdr:nvSpPr>
      <xdr:spPr>
        <a:xfrm>
          <a:off x="2306935" y="5416981"/>
          <a:ext cx="2071842" cy="1728144"/>
        </a:xfrm>
        <a:prstGeom prst="hexagon">
          <a:avLst/>
        </a:prstGeom>
        <a:gradFill flip="none" rotWithShape="1">
          <a:gsLst>
            <a:gs pos="0">
              <a:srgbClr val="F937DD">
                <a:tint val="66000"/>
                <a:satMod val="160000"/>
              </a:srgbClr>
            </a:gs>
            <a:gs pos="50000">
              <a:srgbClr val="F937DD">
                <a:tint val="44500"/>
                <a:satMod val="160000"/>
              </a:srgbClr>
            </a:gs>
            <a:gs pos="100000">
              <a:srgbClr val="F937DD">
                <a:tint val="23500"/>
                <a:satMod val="160000"/>
              </a:srgbClr>
            </a:gs>
          </a:gsLst>
          <a:lin ang="10800000" scaled="1"/>
          <a:tileRect/>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28</xdr:col>
      <xdr:colOff>72642</xdr:colOff>
      <xdr:row>102</xdr:row>
      <xdr:rowOff>39438</xdr:rowOff>
    </xdr:from>
    <xdr:to>
      <xdr:col>32</xdr:col>
      <xdr:colOff>130627</xdr:colOff>
      <xdr:row>112</xdr:row>
      <xdr:rowOff>53082</xdr:rowOff>
    </xdr:to>
    <xdr:sp macro="" textlink="">
      <xdr:nvSpPr>
        <xdr:cNvPr id="4" name="Hexagon 3">
          <a:extLst>
            <a:ext uri="{FF2B5EF4-FFF2-40B4-BE49-F238E27FC236}">
              <a16:creationId xmlns="" xmlns:a16="http://schemas.microsoft.com/office/drawing/2014/main" id="{00000000-0008-0000-0700-000004000000}"/>
            </a:ext>
          </a:extLst>
        </xdr:cNvPr>
        <xdr:cNvSpPr/>
      </xdr:nvSpPr>
      <xdr:spPr>
        <a:xfrm>
          <a:off x="644142" y="6325938"/>
          <a:ext cx="2058235" cy="1728144"/>
        </a:xfrm>
        <a:prstGeom prst="hexagon">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0" scaled="1"/>
          <a:tileRect/>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28</xdr:col>
      <xdr:colOff>59035</xdr:colOff>
      <xdr:row>92</xdr:row>
      <xdr:rowOff>153738</xdr:rowOff>
    </xdr:from>
    <xdr:to>
      <xdr:col>32</xdr:col>
      <xdr:colOff>117020</xdr:colOff>
      <xdr:row>101</xdr:row>
      <xdr:rowOff>167382</xdr:rowOff>
    </xdr:to>
    <xdr:sp macro="" textlink="">
      <xdr:nvSpPr>
        <xdr:cNvPr id="5" name="Hexagon 4">
          <a:extLst>
            <a:ext uri="{FF2B5EF4-FFF2-40B4-BE49-F238E27FC236}">
              <a16:creationId xmlns="" xmlns:a16="http://schemas.microsoft.com/office/drawing/2014/main" id="{00000000-0008-0000-0700-000005000000}"/>
            </a:ext>
          </a:extLst>
        </xdr:cNvPr>
        <xdr:cNvSpPr/>
      </xdr:nvSpPr>
      <xdr:spPr>
        <a:xfrm>
          <a:off x="630535" y="4535238"/>
          <a:ext cx="2058235" cy="1728144"/>
        </a:xfrm>
        <a:prstGeom prst="hexagon">
          <a:avLst/>
        </a:prstGeom>
        <a:gradFill flip="none" rotWithShape="1">
          <a:gsLst>
            <a:gs pos="0">
              <a:srgbClr val="0070C0">
                <a:tint val="66000"/>
                <a:satMod val="160000"/>
              </a:srgbClr>
            </a:gs>
            <a:gs pos="50000">
              <a:srgbClr val="0070C0">
                <a:tint val="44500"/>
                <a:satMod val="160000"/>
              </a:srgbClr>
            </a:gs>
            <a:gs pos="100000">
              <a:srgbClr val="0070C0">
                <a:tint val="23500"/>
                <a:satMod val="160000"/>
              </a:srgbClr>
            </a:gs>
          </a:gsLst>
          <a:lin ang="2700000" scaled="1"/>
          <a:tileRect/>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31</xdr:col>
      <xdr:colOff>246815</xdr:colOff>
      <xdr:row>93</xdr:row>
      <xdr:rowOff>42160</xdr:rowOff>
    </xdr:from>
    <xdr:to>
      <xdr:col>33</xdr:col>
      <xdr:colOff>161569</xdr:colOff>
      <xdr:row>97</xdr:row>
      <xdr:rowOff>47600</xdr:rowOff>
    </xdr:to>
    <xdr:sp macro="" textlink="">
      <xdr:nvSpPr>
        <xdr:cNvPr id="6" name="Hexagon 5">
          <a:extLst>
            <a:ext uri="{FF2B5EF4-FFF2-40B4-BE49-F238E27FC236}">
              <a16:creationId xmlns="" xmlns:a16="http://schemas.microsoft.com/office/drawing/2014/main" id="{00000000-0008-0000-0700-000006000000}"/>
            </a:ext>
          </a:extLst>
        </xdr:cNvPr>
        <xdr:cNvSpPr/>
      </xdr:nvSpPr>
      <xdr:spPr>
        <a:xfrm>
          <a:off x="2750529" y="4899910"/>
          <a:ext cx="962504" cy="821869"/>
        </a:xfrm>
        <a:prstGeom prst="hexagon">
          <a:avLst/>
        </a:prstGeom>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0" scaled="1"/>
          <a:tileRect/>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32</xdr:col>
      <xdr:colOff>1887</xdr:colOff>
      <xdr:row>107</xdr:row>
      <xdr:rowOff>151017</xdr:rowOff>
    </xdr:from>
    <xdr:to>
      <xdr:col>33</xdr:col>
      <xdr:colOff>204108</xdr:colOff>
      <xdr:row>111</xdr:row>
      <xdr:rowOff>156457</xdr:rowOff>
    </xdr:to>
    <xdr:sp macro="" textlink="">
      <xdr:nvSpPr>
        <xdr:cNvPr id="7" name="Hexagon 6">
          <a:extLst>
            <a:ext uri="{FF2B5EF4-FFF2-40B4-BE49-F238E27FC236}">
              <a16:creationId xmlns="" xmlns:a16="http://schemas.microsoft.com/office/drawing/2014/main" id="{00000000-0008-0000-0700-000007000000}"/>
            </a:ext>
          </a:extLst>
        </xdr:cNvPr>
        <xdr:cNvSpPr/>
      </xdr:nvSpPr>
      <xdr:spPr>
        <a:xfrm>
          <a:off x="2804958" y="7662160"/>
          <a:ext cx="950614" cy="821868"/>
        </a:xfrm>
        <a:prstGeom prst="hexagon">
          <a:avLst/>
        </a:prstGeom>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2700000" scaled="1"/>
          <a:tileRect/>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27</xdr:col>
      <xdr:colOff>122464</xdr:colOff>
      <xdr:row>100</xdr:row>
      <xdr:rowOff>14946</xdr:rowOff>
    </xdr:from>
    <xdr:to>
      <xdr:col>28</xdr:col>
      <xdr:colOff>472051</xdr:colOff>
      <xdr:row>104</xdr:row>
      <xdr:rowOff>20386</xdr:rowOff>
    </xdr:to>
    <xdr:sp macro="" textlink="">
      <xdr:nvSpPr>
        <xdr:cNvPr id="8" name="Hexagon 7">
          <a:extLst>
            <a:ext uri="{FF2B5EF4-FFF2-40B4-BE49-F238E27FC236}">
              <a16:creationId xmlns="" xmlns:a16="http://schemas.microsoft.com/office/drawing/2014/main" id="{00000000-0008-0000-0700-000008000000}"/>
            </a:ext>
          </a:extLst>
        </xdr:cNvPr>
        <xdr:cNvSpPr/>
      </xdr:nvSpPr>
      <xdr:spPr>
        <a:xfrm>
          <a:off x="122464" y="6301446"/>
          <a:ext cx="934694" cy="821869"/>
        </a:xfrm>
        <a:prstGeom prst="hexagon">
          <a:avLst/>
        </a:prstGeom>
        <a:gradFill flip="none" rotWithShape="1">
          <a:gsLst>
            <a:gs pos="0">
              <a:srgbClr val="F937DD">
                <a:shade val="30000"/>
                <a:satMod val="115000"/>
              </a:srgbClr>
            </a:gs>
            <a:gs pos="50000">
              <a:srgbClr val="F937DD">
                <a:shade val="67500"/>
                <a:satMod val="115000"/>
              </a:srgbClr>
            </a:gs>
            <a:gs pos="100000">
              <a:srgbClr val="F937DD">
                <a:shade val="100000"/>
                <a:satMod val="115000"/>
              </a:srgbClr>
            </a:gs>
          </a:gsLst>
          <a:lin ang="8100000" scaled="1"/>
          <a:tileRect/>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1</xdr:col>
      <xdr:colOff>229706</xdr:colOff>
      <xdr:row>3</xdr:row>
      <xdr:rowOff>17318</xdr:rowOff>
    </xdr:from>
    <xdr:to>
      <xdr:col>6</xdr:col>
      <xdr:colOff>342900</xdr:colOff>
      <xdr:row>23</xdr:row>
      <xdr:rowOff>94335</xdr:rowOff>
    </xdr:to>
    <xdr:graphicFrame macro="">
      <xdr:nvGraphicFramePr>
        <xdr:cNvPr id="13" name="Chart 12">
          <a:extLst>
            <a:ext uri="{FF2B5EF4-FFF2-40B4-BE49-F238E27FC236}">
              <a16:creationId xmlns="" xmlns:a16="http://schemas.microsoft.com/office/drawing/2014/main" id="{00000000-0008-0000-07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49180</xdr:colOff>
      <xdr:row>8</xdr:row>
      <xdr:rowOff>75410</xdr:rowOff>
    </xdr:from>
    <xdr:to>
      <xdr:col>1</xdr:col>
      <xdr:colOff>372785</xdr:colOff>
      <xdr:row>22</xdr:row>
      <xdr:rowOff>4505</xdr:rowOff>
    </xdr:to>
    <xdr:pic>
      <xdr:nvPicPr>
        <xdr:cNvPr id="14" name="Picture 13">
          <a:extLst>
            <a:ext uri="{FF2B5EF4-FFF2-40B4-BE49-F238E27FC236}">
              <a16:creationId xmlns="" xmlns:a16="http://schemas.microsoft.com/office/drawing/2014/main" id="{00000000-0008-0000-0700-00000E000000}"/>
            </a:ext>
          </a:extLst>
        </xdr:cNvPr>
        <xdr:cNvPicPr>
          <a:picLocks noChangeAspect="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9180" y="2250285"/>
          <a:ext cx="910980" cy="2818345"/>
        </a:xfrm>
        <a:prstGeom prst="rect">
          <a:avLst/>
        </a:prstGeom>
      </xdr:spPr>
    </xdr:pic>
    <xdr:clientData/>
  </xdr:twoCellAnchor>
  <xdr:twoCellAnchor editAs="oneCell">
    <xdr:from>
      <xdr:col>6</xdr:col>
      <xdr:colOff>75793</xdr:colOff>
      <xdr:row>8</xdr:row>
      <xdr:rowOff>7816</xdr:rowOff>
    </xdr:from>
    <xdr:to>
      <xdr:col>7</xdr:col>
      <xdr:colOff>74892</xdr:colOff>
      <xdr:row>22</xdr:row>
      <xdr:rowOff>35805</xdr:rowOff>
    </xdr:to>
    <xdr:pic>
      <xdr:nvPicPr>
        <xdr:cNvPr id="15" name="Picture 14">
          <a:extLst>
            <a:ext uri="{FF2B5EF4-FFF2-40B4-BE49-F238E27FC236}">
              <a16:creationId xmlns="" xmlns:a16="http://schemas.microsoft.com/office/drawing/2014/main" id="{00000000-0008-0000-0700-00000F000000}"/>
            </a:ext>
          </a:extLst>
        </xdr:cNvPr>
        <xdr:cNvPicPr>
          <a:picLocks noChangeAspect="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31793" y="2182691"/>
          <a:ext cx="872224" cy="2917239"/>
        </a:xfrm>
        <a:prstGeom prst="rect">
          <a:avLst/>
        </a:prstGeom>
      </xdr:spPr>
    </xdr:pic>
    <xdr:clientData/>
  </xdr:twoCellAnchor>
  <xdr:twoCellAnchor>
    <xdr:from>
      <xdr:col>1</xdr:col>
      <xdr:colOff>9525</xdr:colOff>
      <xdr:row>38</xdr:row>
      <xdr:rowOff>9526</xdr:rowOff>
    </xdr:from>
    <xdr:to>
      <xdr:col>7</xdr:col>
      <xdr:colOff>579191</xdr:colOff>
      <xdr:row>51</xdr:row>
      <xdr:rowOff>4581</xdr:rowOff>
    </xdr:to>
    <xdr:graphicFrame macro="">
      <xdr:nvGraphicFramePr>
        <xdr:cNvPr id="16" name="Chart 15">
          <a:extLst>
            <a:ext uri="{FF2B5EF4-FFF2-40B4-BE49-F238E27FC236}">
              <a16:creationId xmlns="" xmlns:a16="http://schemas.microsoft.com/office/drawing/2014/main" id="{00000000-0008-0000-07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11359</xdr:colOff>
      <xdr:row>51</xdr:row>
      <xdr:rowOff>32605</xdr:rowOff>
    </xdr:from>
    <xdr:to>
      <xdr:col>8</xdr:col>
      <xdr:colOff>0</xdr:colOff>
      <xdr:row>61</xdr:row>
      <xdr:rowOff>114300</xdr:rowOff>
    </xdr:to>
    <xdr:graphicFrame macro="">
      <xdr:nvGraphicFramePr>
        <xdr:cNvPr id="17" name="Chart 16">
          <a:extLst>
            <a:ext uri="{FF2B5EF4-FFF2-40B4-BE49-F238E27FC236}">
              <a16:creationId xmlns="" xmlns:a16="http://schemas.microsoft.com/office/drawing/2014/main" id="{00000000-0008-0000-07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494785</xdr:colOff>
      <xdr:row>60</xdr:row>
      <xdr:rowOff>47624</xdr:rowOff>
    </xdr:from>
    <xdr:to>
      <xdr:col>2</xdr:col>
      <xdr:colOff>586929</xdr:colOff>
      <xdr:row>72</xdr:row>
      <xdr:rowOff>0</xdr:rowOff>
    </xdr:to>
    <xdr:pic>
      <xdr:nvPicPr>
        <xdr:cNvPr id="18" name="Picture 17">
          <a:extLst>
            <a:ext uri="{FF2B5EF4-FFF2-40B4-BE49-F238E27FC236}">
              <a16:creationId xmlns="" xmlns:a16="http://schemas.microsoft.com/office/drawing/2014/main" id="{00000000-0008-0000-0700-000012000000}"/>
            </a:ext>
          </a:extLst>
        </xdr:cNvPr>
        <xdr:cNvPicPr>
          <a:picLocks noChangeAspect="1"/>
        </xdr:cNvPicPr>
      </xdr:nvPicPr>
      <xdr:blipFill>
        <a:blip xmlns:r="http://schemas.openxmlformats.org/officeDocument/2006/relationships" r:embed="rId10"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142985" y="39395399"/>
          <a:ext cx="1240587" cy="2343151"/>
        </a:xfrm>
        <a:prstGeom prst="rect">
          <a:avLst/>
        </a:prstGeom>
      </xdr:spPr>
    </xdr:pic>
    <xdr:clientData/>
  </xdr:twoCellAnchor>
  <xdr:twoCellAnchor>
    <xdr:from>
      <xdr:col>9</xdr:col>
      <xdr:colOff>0</xdr:colOff>
      <xdr:row>14</xdr:row>
      <xdr:rowOff>143764</xdr:rowOff>
    </xdr:from>
    <xdr:to>
      <xdr:col>15</xdr:col>
      <xdr:colOff>857250</xdr:colOff>
      <xdr:row>27</xdr:row>
      <xdr:rowOff>149679</xdr:rowOff>
    </xdr:to>
    <xdr:graphicFrame macro="">
      <xdr:nvGraphicFramePr>
        <xdr:cNvPr id="20" name="Chart 19">
          <a:extLst>
            <a:ext uri="{FF2B5EF4-FFF2-40B4-BE49-F238E27FC236}">
              <a16:creationId xmlns="" xmlns:a16="http://schemas.microsoft.com/office/drawing/2014/main" id="{00000000-0008-0000-07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9</xdr:col>
      <xdr:colOff>470289</xdr:colOff>
      <xdr:row>54</xdr:row>
      <xdr:rowOff>83424</xdr:rowOff>
    </xdr:from>
    <xdr:to>
      <xdr:col>12</xdr:col>
      <xdr:colOff>346354</xdr:colOff>
      <xdr:row>72</xdr:row>
      <xdr:rowOff>27661</xdr:rowOff>
    </xdr:to>
    <xdr:pic>
      <xdr:nvPicPr>
        <xdr:cNvPr id="22" name="Picture 21">
          <a:extLst>
            <a:ext uri="{FF2B5EF4-FFF2-40B4-BE49-F238E27FC236}">
              <a16:creationId xmlns="" xmlns:a16="http://schemas.microsoft.com/office/drawing/2014/main" id="{00000000-0008-0000-0700-000016000000}"/>
            </a:ext>
          </a:extLst>
        </xdr:cNvPr>
        <xdr:cNvPicPr>
          <a:picLocks noChangeAspect="1"/>
        </xdr:cNvPicPr>
      </xdr:nvPicPr>
      <xdr:blipFill>
        <a:blip xmlns:r="http://schemas.openxmlformats.org/officeDocument/2006/relationships" r:embed="rId1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118489" y="45031899"/>
          <a:ext cx="1778344" cy="3544687"/>
        </a:xfrm>
        <a:prstGeom prst="rect">
          <a:avLst/>
        </a:prstGeom>
      </xdr:spPr>
    </xdr:pic>
    <xdr:clientData/>
  </xdr:twoCellAnchor>
  <xdr:twoCellAnchor>
    <xdr:from>
      <xdr:col>18</xdr:col>
      <xdr:colOff>1</xdr:colOff>
      <xdr:row>3</xdr:row>
      <xdr:rowOff>27215</xdr:rowOff>
    </xdr:from>
    <xdr:to>
      <xdr:col>24</xdr:col>
      <xdr:colOff>857250</xdr:colOff>
      <xdr:row>21</xdr:row>
      <xdr:rowOff>54429</xdr:rowOff>
    </xdr:to>
    <xdr:graphicFrame macro="">
      <xdr:nvGraphicFramePr>
        <xdr:cNvPr id="23" name="Chart 22">
          <a:extLst>
            <a:ext uri="{FF2B5EF4-FFF2-40B4-BE49-F238E27FC236}">
              <a16:creationId xmlns="" xmlns:a16="http://schemas.microsoft.com/office/drawing/2014/main" id="{00000000-0008-0000-07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21</xdr:col>
      <xdr:colOff>409575</xdr:colOff>
      <xdr:row>67</xdr:row>
      <xdr:rowOff>12457</xdr:rowOff>
    </xdr:from>
    <xdr:to>
      <xdr:col>23</xdr:col>
      <xdr:colOff>539750</xdr:colOff>
      <xdr:row>72</xdr:row>
      <xdr:rowOff>2932</xdr:rowOff>
    </xdr:to>
    <xdr:pic>
      <xdr:nvPicPr>
        <xdr:cNvPr id="24" name="Picture 23">
          <a:extLst>
            <a:ext uri="{FF2B5EF4-FFF2-40B4-BE49-F238E27FC236}">
              <a16:creationId xmlns="" xmlns:a16="http://schemas.microsoft.com/office/drawing/2014/main" id="{00000000-0008-0000-0700-000018000000}"/>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6800850" y="54400207"/>
          <a:ext cx="990600" cy="990600"/>
        </a:xfrm>
        <a:prstGeom prst="rect">
          <a:avLst/>
        </a:prstGeom>
      </xdr:spPr>
    </xdr:pic>
    <xdr:clientData/>
  </xdr:twoCellAnchor>
  <xdr:twoCellAnchor editAs="oneCell">
    <xdr:from>
      <xdr:col>20</xdr:col>
      <xdr:colOff>7327</xdr:colOff>
      <xdr:row>67</xdr:row>
      <xdr:rowOff>95193</xdr:rowOff>
    </xdr:from>
    <xdr:to>
      <xdr:col>21</xdr:col>
      <xdr:colOff>149057</xdr:colOff>
      <xdr:row>71</xdr:row>
      <xdr:rowOff>177041</xdr:rowOff>
    </xdr:to>
    <xdr:pic>
      <xdr:nvPicPr>
        <xdr:cNvPr id="25" name="Picture 24">
          <a:extLst>
            <a:ext uri="{FF2B5EF4-FFF2-40B4-BE49-F238E27FC236}">
              <a16:creationId xmlns="" xmlns:a16="http://schemas.microsoft.com/office/drawing/2014/main" id="{00000000-0008-0000-0700-000019000000}"/>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5817577" y="54482943"/>
          <a:ext cx="881959" cy="881948"/>
        </a:xfrm>
        <a:prstGeom prst="rect">
          <a:avLst/>
        </a:prstGeom>
      </xdr:spPr>
    </xdr:pic>
    <xdr:clientData/>
  </xdr:twoCellAnchor>
  <xdr:twoCellAnchor editAs="oneCell">
    <xdr:from>
      <xdr:col>24</xdr:col>
      <xdr:colOff>61875</xdr:colOff>
      <xdr:row>67</xdr:row>
      <xdr:rowOff>166650</xdr:rowOff>
    </xdr:from>
    <xdr:to>
      <xdr:col>25</xdr:col>
      <xdr:colOff>0</xdr:colOff>
      <xdr:row>71</xdr:row>
      <xdr:rowOff>172316</xdr:rowOff>
    </xdr:to>
    <xdr:pic>
      <xdr:nvPicPr>
        <xdr:cNvPr id="26" name="Picture 25">
          <a:extLst>
            <a:ext uri="{FF2B5EF4-FFF2-40B4-BE49-F238E27FC236}">
              <a16:creationId xmlns="" xmlns:a16="http://schemas.microsoft.com/office/drawing/2014/main" id="{00000000-0008-0000-0700-00001A000000}"/>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7910475" y="54554400"/>
          <a:ext cx="804900" cy="805766"/>
        </a:xfrm>
        <a:prstGeom prst="rect">
          <a:avLst/>
        </a:prstGeom>
      </xdr:spPr>
    </xdr:pic>
    <xdr:clientData/>
  </xdr:twoCellAnchor>
  <xdr:twoCellAnchor>
    <xdr:from>
      <xdr:col>27</xdr:col>
      <xdr:colOff>1</xdr:colOff>
      <xdr:row>3</xdr:row>
      <xdr:rowOff>19051</xdr:rowOff>
    </xdr:from>
    <xdr:to>
      <xdr:col>32</xdr:col>
      <xdr:colOff>381000</xdr:colOff>
      <xdr:row>17</xdr:row>
      <xdr:rowOff>67235</xdr:rowOff>
    </xdr:to>
    <xdr:graphicFrame macro="">
      <xdr:nvGraphicFramePr>
        <xdr:cNvPr id="27" name="Chart 26">
          <a:extLst>
            <a:ext uri="{FF2B5EF4-FFF2-40B4-BE49-F238E27FC236}">
              <a16:creationId xmlns="" xmlns:a16="http://schemas.microsoft.com/office/drawing/2014/main" id="{00000000-0008-0000-07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27</xdr:col>
      <xdr:colOff>-1</xdr:colOff>
      <xdr:row>17</xdr:row>
      <xdr:rowOff>100853</xdr:rowOff>
    </xdr:from>
    <xdr:to>
      <xdr:col>33</xdr:col>
      <xdr:colOff>515572</xdr:colOff>
      <xdr:row>30</xdr:row>
      <xdr:rowOff>159919</xdr:rowOff>
    </xdr:to>
    <xdr:graphicFrame macro="">
      <xdr:nvGraphicFramePr>
        <xdr:cNvPr id="28" name="Chart 27">
          <a:extLst>
            <a:ext uri="{FF2B5EF4-FFF2-40B4-BE49-F238E27FC236}">
              <a16:creationId xmlns="" xmlns:a16="http://schemas.microsoft.com/office/drawing/2014/main" id="{00000000-0008-0000-07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32</xdr:col>
      <xdr:colOff>111125</xdr:colOff>
      <xdr:row>2</xdr:row>
      <xdr:rowOff>328705</xdr:rowOff>
    </xdr:from>
    <xdr:to>
      <xdr:col>33</xdr:col>
      <xdr:colOff>452320</xdr:colOff>
      <xdr:row>7</xdr:row>
      <xdr:rowOff>153380</xdr:rowOff>
    </xdr:to>
    <xdr:pic>
      <xdr:nvPicPr>
        <xdr:cNvPr id="29" name="Picture 28">
          <a:extLst>
            <a:ext uri="{FF2B5EF4-FFF2-40B4-BE49-F238E27FC236}">
              <a16:creationId xmlns="" xmlns:a16="http://schemas.microsoft.com/office/drawing/2014/main" id="{00000000-0008-0000-0700-00001D000000}"/>
            </a:ext>
          </a:extLst>
        </xdr:cNvPr>
        <xdr:cNvPicPr>
          <a:picLocks noChangeAspect="1"/>
        </xdr:cNvPicPr>
      </xdr:nvPicPr>
      <xdr:blipFill>
        <a:blip xmlns:r="http://schemas.openxmlformats.org/officeDocument/2006/relationships" r:embed="rId19"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18446750" y="1090705"/>
          <a:ext cx="1087320" cy="1031175"/>
        </a:xfrm>
        <a:prstGeom prst="rect">
          <a:avLst/>
        </a:prstGeom>
      </xdr:spPr>
    </xdr:pic>
    <xdr:clientData/>
  </xdr:twoCellAnchor>
  <xdr:twoCellAnchor editAs="oneCell">
    <xdr:from>
      <xdr:col>32</xdr:col>
      <xdr:colOff>441002</xdr:colOff>
      <xdr:row>5</xdr:row>
      <xdr:rowOff>84889</xdr:rowOff>
    </xdr:from>
    <xdr:to>
      <xdr:col>34</xdr:col>
      <xdr:colOff>30046</xdr:colOff>
      <xdr:row>13</xdr:row>
      <xdr:rowOff>56821</xdr:rowOff>
    </xdr:to>
    <xdr:pic>
      <xdr:nvPicPr>
        <xdr:cNvPr id="30" name="Picture 29">
          <a:extLst>
            <a:ext uri="{FF2B5EF4-FFF2-40B4-BE49-F238E27FC236}">
              <a16:creationId xmlns="" xmlns:a16="http://schemas.microsoft.com/office/drawing/2014/main" id="{00000000-0008-0000-0700-00001E000000}"/>
            </a:ext>
          </a:extLst>
        </xdr:cNvPr>
        <xdr:cNvPicPr>
          <a:picLocks noChangeAspect="1"/>
        </xdr:cNvPicPr>
      </xdr:nvPicPr>
      <xdr:blipFill>
        <a:blip xmlns:r="http://schemas.openxmlformats.org/officeDocument/2006/relationships" r:embed="rId20"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18690902" y="1646989"/>
          <a:ext cx="1208294" cy="1648332"/>
        </a:xfrm>
        <a:prstGeom prst="rect">
          <a:avLst/>
        </a:prstGeom>
      </xdr:spPr>
    </xdr:pic>
    <xdr:clientData/>
  </xdr:twoCellAnchor>
  <xdr:twoCellAnchor editAs="oneCell">
    <xdr:from>
      <xdr:col>32</xdr:col>
      <xdr:colOff>675191</xdr:colOff>
      <xdr:row>16</xdr:row>
      <xdr:rowOff>154211</xdr:rowOff>
    </xdr:from>
    <xdr:to>
      <xdr:col>34</xdr:col>
      <xdr:colOff>182179</xdr:colOff>
      <xdr:row>23</xdr:row>
      <xdr:rowOff>123166</xdr:rowOff>
    </xdr:to>
    <xdr:pic>
      <xdr:nvPicPr>
        <xdr:cNvPr id="31" name="Picture 30">
          <a:extLst>
            <a:ext uri="{FF2B5EF4-FFF2-40B4-BE49-F238E27FC236}">
              <a16:creationId xmlns="" xmlns:a16="http://schemas.microsoft.com/office/drawing/2014/main" id="{00000000-0008-0000-0700-00001F000000}"/>
            </a:ext>
          </a:extLst>
        </xdr:cNvPr>
        <xdr:cNvPicPr>
          <a:picLocks noChangeAspect="1"/>
        </xdr:cNvPicPr>
      </xdr:nvPicPr>
      <xdr:blipFill>
        <a:blip xmlns:r="http://schemas.openxmlformats.org/officeDocument/2006/relationships" r:embed="rId21"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18925091" y="4021361"/>
          <a:ext cx="1126238" cy="1435805"/>
        </a:xfrm>
        <a:prstGeom prst="rect">
          <a:avLst/>
        </a:prstGeom>
      </xdr:spPr>
    </xdr:pic>
    <xdr:clientData/>
  </xdr:twoCellAnchor>
  <xdr:twoCellAnchor editAs="oneCell">
    <xdr:from>
      <xdr:col>32</xdr:col>
      <xdr:colOff>306484</xdr:colOff>
      <xdr:row>12</xdr:row>
      <xdr:rowOff>-1</xdr:rowOff>
    </xdr:from>
    <xdr:to>
      <xdr:col>33</xdr:col>
      <xdr:colOff>542107</xdr:colOff>
      <xdr:row>17</xdr:row>
      <xdr:rowOff>19089</xdr:rowOff>
    </xdr:to>
    <xdr:pic>
      <xdr:nvPicPr>
        <xdr:cNvPr id="32" name="Picture 31">
          <a:extLst>
            <a:ext uri="{FF2B5EF4-FFF2-40B4-BE49-F238E27FC236}">
              <a16:creationId xmlns="" xmlns:a16="http://schemas.microsoft.com/office/drawing/2014/main" id="{00000000-0008-0000-0700-000020000000}"/>
            </a:ext>
          </a:extLst>
        </xdr:cNvPr>
        <xdr:cNvPicPr>
          <a:picLocks noChangeAspect="1"/>
        </xdr:cNvPicPr>
      </xdr:nvPicPr>
      <xdr:blipFill>
        <a:blip xmlns:r="http://schemas.openxmlformats.org/officeDocument/2006/relationships" r:embed="rId2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18556384" y="3028949"/>
          <a:ext cx="978573" cy="1066840"/>
        </a:xfrm>
        <a:prstGeom prst="rect">
          <a:avLst/>
        </a:prstGeom>
      </xdr:spPr>
    </xdr:pic>
    <xdr:clientData/>
  </xdr:twoCellAnchor>
  <xdr:twoCellAnchor editAs="oneCell">
    <xdr:from>
      <xdr:col>27</xdr:col>
      <xdr:colOff>493059</xdr:colOff>
      <xdr:row>42</xdr:row>
      <xdr:rowOff>123265</xdr:rowOff>
    </xdr:from>
    <xdr:to>
      <xdr:col>30</xdr:col>
      <xdr:colOff>221979</xdr:colOff>
      <xdr:row>54</xdr:row>
      <xdr:rowOff>33617</xdr:rowOff>
    </xdr:to>
    <xdr:pic>
      <xdr:nvPicPr>
        <xdr:cNvPr id="34" name="Picture 33">
          <a:extLst>
            <a:ext uri="{FF2B5EF4-FFF2-40B4-BE49-F238E27FC236}">
              <a16:creationId xmlns="" xmlns:a16="http://schemas.microsoft.com/office/drawing/2014/main" id="{00000000-0008-0000-0700-000022000000}"/>
            </a:ext>
          </a:extLst>
        </xdr:cNvPr>
        <xdr:cNvPicPr>
          <a:picLocks noChangeAspect="1"/>
        </xdr:cNvPicPr>
      </xdr:nvPicPr>
      <xdr:blipFill>
        <a:blip xmlns:r="http://schemas.openxmlformats.org/officeDocument/2006/relationships" r:embed="rId23"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141259" y="22173640"/>
          <a:ext cx="1631199" cy="2310652"/>
        </a:xfrm>
        <a:prstGeom prst="rect">
          <a:avLst/>
        </a:prstGeom>
      </xdr:spPr>
    </xdr:pic>
    <xdr:clientData/>
  </xdr:twoCellAnchor>
  <xdr:twoCellAnchor>
    <xdr:from>
      <xdr:col>30</xdr:col>
      <xdr:colOff>22411</xdr:colOff>
      <xdr:row>59</xdr:row>
      <xdr:rowOff>123265</xdr:rowOff>
    </xdr:from>
    <xdr:to>
      <xdr:col>34</xdr:col>
      <xdr:colOff>560294</xdr:colOff>
      <xdr:row>71</xdr:row>
      <xdr:rowOff>190500</xdr:rowOff>
    </xdr:to>
    <xdr:graphicFrame macro="">
      <xdr:nvGraphicFramePr>
        <xdr:cNvPr id="35" name="Chart 34">
          <a:extLst>
            <a:ext uri="{FF2B5EF4-FFF2-40B4-BE49-F238E27FC236}">
              <a16:creationId xmlns="" xmlns:a16="http://schemas.microsoft.com/office/drawing/2014/main" id="{00000000-0008-0000-07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27</xdr:col>
      <xdr:colOff>493060</xdr:colOff>
      <xdr:row>54</xdr:row>
      <xdr:rowOff>2</xdr:rowOff>
    </xdr:from>
    <xdr:to>
      <xdr:col>30</xdr:col>
      <xdr:colOff>249455</xdr:colOff>
      <xdr:row>61</xdr:row>
      <xdr:rowOff>134472</xdr:rowOff>
    </xdr:to>
    <xdr:pic>
      <xdr:nvPicPr>
        <xdr:cNvPr id="36" name="Picture 35">
          <a:extLst>
            <a:ext uri="{FF2B5EF4-FFF2-40B4-BE49-F238E27FC236}">
              <a16:creationId xmlns="" xmlns:a16="http://schemas.microsoft.com/office/drawing/2014/main" id="{00000000-0008-0000-0700-000024000000}"/>
            </a:ext>
          </a:extLst>
        </xdr:cNvPr>
        <xdr:cNvPicPr>
          <a:picLocks noChangeAspect="1"/>
        </xdr:cNvPicPr>
      </xdr:nvPicPr>
      <xdr:blipFill>
        <a:blip xmlns:r="http://schemas.openxmlformats.org/officeDocument/2006/relationships" r:embed="rId25"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141260" y="24450677"/>
          <a:ext cx="1658674" cy="1534645"/>
        </a:xfrm>
        <a:prstGeom prst="rect">
          <a:avLst/>
        </a:prstGeom>
      </xdr:spPr>
    </xdr:pic>
    <xdr:clientData/>
  </xdr:twoCellAnchor>
  <xdr:twoCellAnchor>
    <xdr:from>
      <xdr:col>1</xdr:col>
      <xdr:colOff>19050</xdr:colOff>
      <xdr:row>107</xdr:row>
      <xdr:rowOff>19050</xdr:rowOff>
    </xdr:from>
    <xdr:to>
      <xdr:col>7</xdr:col>
      <xdr:colOff>561975</xdr:colOff>
      <xdr:row>121</xdr:row>
      <xdr:rowOff>190500</xdr:rowOff>
    </xdr:to>
    <xdr:graphicFrame macro="">
      <xdr:nvGraphicFramePr>
        <xdr:cNvPr id="40" name="Chart 39">
          <a:extLst>
            <a:ext uri="{FF2B5EF4-FFF2-40B4-BE49-F238E27FC236}">
              <a16:creationId xmlns="" xmlns:a16="http://schemas.microsoft.com/office/drawing/2014/main" id="{00000000-0008-0000-07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oneCellAnchor>
    <xdr:from>
      <xdr:col>1</xdr:col>
      <xdr:colOff>15945</xdr:colOff>
      <xdr:row>122</xdr:row>
      <xdr:rowOff>23380</xdr:rowOff>
    </xdr:from>
    <xdr:ext cx="978477" cy="1063561"/>
    <xdr:sp macro="" textlink="">
      <xdr:nvSpPr>
        <xdr:cNvPr id="41" name="TextBox 40">
          <a:extLst>
            <a:ext uri="{FF2B5EF4-FFF2-40B4-BE49-F238E27FC236}">
              <a16:creationId xmlns="" xmlns:a16="http://schemas.microsoft.com/office/drawing/2014/main" id="{00000000-0008-0000-0700-000029000000}"/>
            </a:ext>
          </a:extLst>
        </xdr:cNvPr>
        <xdr:cNvSpPr txBox="1"/>
      </xdr:nvSpPr>
      <xdr:spPr>
        <a:xfrm>
          <a:off x="5245170" y="17473180"/>
          <a:ext cx="978477" cy="1063561"/>
        </a:xfrm>
        <a:prstGeom prst="rect">
          <a:avLst/>
        </a:prstGeom>
        <a:solidFill>
          <a:schemeClr val="accent1">
            <a:lumMod val="20000"/>
            <a:lumOff val="80000"/>
          </a:schemeClr>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PH" sz="800" b="1" i="0">
              <a:latin typeface="Arial Narrow" panose="020B0606020202030204" pitchFamily="34" charset="0"/>
            </a:rPr>
            <a:t>Planning Standards</a:t>
          </a:r>
        </a:p>
        <a:p>
          <a:endParaRPr lang="en-PH" sz="800" b="1" i="0">
            <a:latin typeface="Arial Narrow" panose="020B0606020202030204" pitchFamily="34" charset="0"/>
          </a:endParaRPr>
        </a:p>
        <a:p>
          <a:r>
            <a:rPr lang="en-PH" sz="1000">
              <a:latin typeface="Arial Narrow" panose="020B0606020202030204" pitchFamily="34" charset="0"/>
            </a:rPr>
            <a:t>K</a:t>
          </a:r>
          <a:r>
            <a:rPr lang="en-PH" sz="1000" baseline="0">
              <a:latin typeface="Arial Narrow" panose="020B0606020202030204" pitchFamily="34" charset="0"/>
            </a:rPr>
            <a:t> - G1       -   25</a:t>
          </a:r>
        </a:p>
        <a:p>
          <a:r>
            <a:rPr lang="en-PH" sz="1000" baseline="0">
              <a:latin typeface="Arial Narrow" panose="020B0606020202030204" pitchFamily="34" charset="0"/>
            </a:rPr>
            <a:t>G2 - G3     -  40</a:t>
          </a:r>
        </a:p>
        <a:p>
          <a:r>
            <a:rPr lang="en-PH" sz="1000" baseline="0">
              <a:latin typeface="Arial Narrow" panose="020B0606020202030204" pitchFamily="34" charset="0"/>
            </a:rPr>
            <a:t>G4 - G6     -  45</a:t>
          </a:r>
        </a:p>
        <a:p>
          <a:r>
            <a:rPr lang="en-PH" sz="1000" baseline="0">
              <a:latin typeface="Arial Narrow" panose="020B0606020202030204" pitchFamily="34" charset="0"/>
            </a:rPr>
            <a:t>G7 - G10   -  50</a:t>
          </a:r>
        </a:p>
        <a:p>
          <a:r>
            <a:rPr lang="en-PH" sz="1000" baseline="0">
              <a:latin typeface="Arial Narrow" panose="020B0606020202030204" pitchFamily="34" charset="0"/>
            </a:rPr>
            <a:t>G11 - G12 -  40</a:t>
          </a:r>
          <a:endParaRPr lang="en-PH" sz="1000">
            <a:latin typeface="Arial Narrow" panose="020B0606020202030204" pitchFamily="34" charset="0"/>
          </a:endParaRPr>
        </a:p>
      </xdr:txBody>
    </xdr:sp>
    <xdr:clientData/>
  </xdr:oneCellAnchor>
  <xdr:twoCellAnchor editAs="oneCell">
    <xdr:from>
      <xdr:col>0</xdr:col>
      <xdr:colOff>552449</xdr:colOff>
      <xdr:row>127</xdr:row>
      <xdr:rowOff>9525</xdr:rowOff>
    </xdr:from>
    <xdr:to>
      <xdr:col>5</xdr:col>
      <xdr:colOff>435954</xdr:colOff>
      <xdr:row>140</xdr:row>
      <xdr:rowOff>133349</xdr:rowOff>
    </xdr:to>
    <xdr:pic>
      <xdr:nvPicPr>
        <xdr:cNvPr id="42" name="Picture 41">
          <a:extLst>
            <a:ext uri="{FF2B5EF4-FFF2-40B4-BE49-F238E27FC236}">
              <a16:creationId xmlns="" xmlns:a16="http://schemas.microsoft.com/office/drawing/2014/main" id="{00000000-0008-0000-0700-00002A000000}"/>
            </a:ext>
          </a:extLst>
        </xdr:cNvPr>
        <xdr:cNvPicPr>
          <a:picLocks noChangeAspect="1"/>
        </xdr:cNvPicPr>
      </xdr:nvPicPr>
      <xdr:blipFill>
        <a:blip xmlns:r="http://schemas.openxmlformats.org/officeDocument/2006/relationships" r:embed="rId27"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200649" y="18459450"/>
          <a:ext cx="2658003" cy="2724149"/>
        </a:xfrm>
        <a:prstGeom prst="rect">
          <a:avLst/>
        </a:prstGeom>
      </xdr:spPr>
    </xdr:pic>
    <xdr:clientData/>
  </xdr:twoCellAnchor>
  <xdr:twoCellAnchor>
    <xdr:from>
      <xdr:col>9</xdr:col>
      <xdr:colOff>19050</xdr:colOff>
      <xdr:row>72</xdr:row>
      <xdr:rowOff>19049</xdr:rowOff>
    </xdr:from>
    <xdr:to>
      <xdr:col>15</xdr:col>
      <xdr:colOff>857250</xdr:colOff>
      <xdr:row>85</xdr:row>
      <xdr:rowOff>171450</xdr:rowOff>
    </xdr:to>
    <xdr:graphicFrame macro="">
      <xdr:nvGraphicFramePr>
        <xdr:cNvPr id="43" name="Chart 42">
          <a:extLst>
            <a:ext uri="{FF2B5EF4-FFF2-40B4-BE49-F238E27FC236}">
              <a16:creationId xmlns="" xmlns:a16="http://schemas.microsoft.com/office/drawing/2014/main" id="{00000000-0008-0000-07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oneCellAnchor>
    <xdr:from>
      <xdr:col>9</xdr:col>
      <xdr:colOff>11724</xdr:colOff>
      <xdr:row>86</xdr:row>
      <xdr:rowOff>6594</xdr:rowOff>
    </xdr:from>
    <xdr:ext cx="1116622" cy="960584"/>
    <xdr:sp macro="" textlink="">
      <xdr:nvSpPr>
        <xdr:cNvPr id="44" name="TextBox 43">
          <a:extLst>
            <a:ext uri="{FF2B5EF4-FFF2-40B4-BE49-F238E27FC236}">
              <a16:creationId xmlns="" xmlns:a16="http://schemas.microsoft.com/office/drawing/2014/main" id="{00000000-0008-0000-0700-00002C000000}"/>
            </a:ext>
          </a:extLst>
        </xdr:cNvPr>
        <xdr:cNvSpPr txBox="1"/>
      </xdr:nvSpPr>
      <xdr:spPr>
        <a:xfrm>
          <a:off x="11724" y="44555019"/>
          <a:ext cx="1116622" cy="960584"/>
        </a:xfrm>
        <a:prstGeom prst="rect">
          <a:avLst/>
        </a:prstGeom>
        <a:solidFill>
          <a:schemeClr val="accent1">
            <a:lumMod val="20000"/>
            <a:lumOff val="80000"/>
          </a:schemeClr>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PH" sz="900" b="1" i="0">
              <a:latin typeface="Arial Narrow" panose="020B0606020202030204" pitchFamily="34" charset="0"/>
            </a:rPr>
            <a:t>Planning Standards</a:t>
          </a:r>
        </a:p>
        <a:p>
          <a:r>
            <a:rPr lang="en-PH" sz="1000">
              <a:latin typeface="Arial Narrow" panose="020B0606020202030204" pitchFamily="34" charset="0"/>
            </a:rPr>
            <a:t>K</a:t>
          </a:r>
          <a:r>
            <a:rPr lang="en-PH" sz="1000" baseline="0">
              <a:latin typeface="Arial Narrow" panose="020B0606020202030204" pitchFamily="34" charset="0"/>
            </a:rPr>
            <a:t> - G1       -   25</a:t>
          </a:r>
        </a:p>
        <a:p>
          <a:r>
            <a:rPr lang="en-PH" sz="1000" baseline="0">
              <a:latin typeface="Arial Narrow" panose="020B0606020202030204" pitchFamily="34" charset="0"/>
            </a:rPr>
            <a:t>G2 - G3     -  40</a:t>
          </a:r>
        </a:p>
        <a:p>
          <a:r>
            <a:rPr lang="en-PH" sz="1000" baseline="0">
              <a:latin typeface="Arial Narrow" panose="020B0606020202030204" pitchFamily="34" charset="0"/>
            </a:rPr>
            <a:t>G4 - G6     -  45</a:t>
          </a:r>
        </a:p>
        <a:p>
          <a:r>
            <a:rPr lang="en-PH" sz="1000" baseline="0">
              <a:latin typeface="Arial Narrow" panose="020B0606020202030204" pitchFamily="34" charset="0"/>
            </a:rPr>
            <a:t>G7 - G10   -  50</a:t>
          </a:r>
        </a:p>
        <a:p>
          <a:r>
            <a:rPr lang="en-PH" sz="1000" baseline="0">
              <a:latin typeface="Arial Narrow" panose="020B0606020202030204" pitchFamily="34" charset="0"/>
            </a:rPr>
            <a:t>G11 - G12 -  40</a:t>
          </a:r>
          <a:endParaRPr lang="en-PH" sz="1000">
            <a:latin typeface="Arial Narrow" panose="020B0606020202030204" pitchFamily="34" charset="0"/>
          </a:endParaRPr>
        </a:p>
      </xdr:txBody>
    </xdr:sp>
    <xdr:clientData/>
  </xdr:oneCellAnchor>
  <xdr:twoCellAnchor>
    <xdr:from>
      <xdr:col>10</xdr:col>
      <xdr:colOff>25595</xdr:colOff>
      <xdr:row>107</xdr:row>
      <xdr:rowOff>29936</xdr:rowOff>
    </xdr:from>
    <xdr:to>
      <xdr:col>12</xdr:col>
      <xdr:colOff>435428</xdr:colOff>
      <xdr:row>120</xdr:row>
      <xdr:rowOff>163286</xdr:rowOff>
    </xdr:to>
    <xdr:graphicFrame macro="">
      <xdr:nvGraphicFramePr>
        <xdr:cNvPr id="46" name="Chart 45">
          <a:extLst>
            <a:ext uri="{FF2B5EF4-FFF2-40B4-BE49-F238E27FC236}">
              <a16:creationId xmlns="" xmlns:a16="http://schemas.microsoft.com/office/drawing/2014/main" id="{00000000-0008-0000-07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12</xdr:col>
      <xdr:colOff>434737</xdr:colOff>
      <xdr:row>107</xdr:row>
      <xdr:rowOff>13607</xdr:rowOff>
    </xdr:from>
    <xdr:to>
      <xdr:col>16</xdr:col>
      <xdr:colOff>427698</xdr:colOff>
      <xdr:row>114</xdr:row>
      <xdr:rowOff>149678</xdr:rowOff>
    </xdr:to>
    <xdr:pic>
      <xdr:nvPicPr>
        <xdr:cNvPr id="47" name="Picture 46">
          <a:extLst>
            <a:ext uri="{FF2B5EF4-FFF2-40B4-BE49-F238E27FC236}">
              <a16:creationId xmlns="" xmlns:a16="http://schemas.microsoft.com/office/drawing/2014/main" id="{00000000-0008-0000-0700-00002F000000}"/>
            </a:ext>
          </a:extLst>
        </xdr:cNvPr>
        <xdr:cNvPicPr>
          <a:picLocks noChangeAspect="1"/>
        </xdr:cNvPicPr>
      </xdr:nvPicPr>
      <xdr:blipFill rotWithShape="1">
        <a:blip xmlns:r="http://schemas.openxmlformats.org/officeDocument/2006/relationships" r:embed="rId30"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xdr:blipFill>
      <xdr:spPr>
        <a:xfrm>
          <a:off x="6826012" y="7605032"/>
          <a:ext cx="2472183" cy="1536246"/>
        </a:xfrm>
        <a:prstGeom prst="rect">
          <a:avLst/>
        </a:prstGeom>
      </xdr:spPr>
    </xdr:pic>
    <xdr:clientData/>
  </xdr:twoCellAnchor>
  <xdr:oneCellAnchor>
    <xdr:from>
      <xdr:col>12</xdr:col>
      <xdr:colOff>385021</xdr:colOff>
      <xdr:row>113</xdr:row>
      <xdr:rowOff>48256</xdr:rowOff>
    </xdr:from>
    <xdr:ext cx="849207" cy="311496"/>
    <xdr:sp macro="" textlink="">
      <xdr:nvSpPr>
        <xdr:cNvPr id="48" name="Rectangle 47">
          <a:extLst>
            <a:ext uri="{FF2B5EF4-FFF2-40B4-BE49-F238E27FC236}">
              <a16:creationId xmlns="" xmlns:a16="http://schemas.microsoft.com/office/drawing/2014/main" id="{00000000-0008-0000-0700-000030000000}"/>
            </a:ext>
          </a:extLst>
        </xdr:cNvPr>
        <xdr:cNvSpPr/>
      </xdr:nvSpPr>
      <xdr:spPr>
        <a:xfrm>
          <a:off x="6776296" y="8839831"/>
          <a:ext cx="849207" cy="311496"/>
        </a:xfrm>
        <a:prstGeom prst="rect">
          <a:avLst/>
        </a:prstGeom>
        <a:noFill/>
      </xdr:spPr>
      <xdr:txBody>
        <a:bodyPr wrap="none" lIns="91440" tIns="45720" rIns="91440" bIns="45720">
          <a:spAutoFit/>
        </a:bodyPr>
        <a:lstStyle/>
        <a:p>
          <a:pPr algn="ctr"/>
          <a:r>
            <a:rPr lang="en-US" sz="1400" b="0" i="1" cap="none" spc="0">
              <a:ln w="0"/>
              <a:solidFill>
                <a:schemeClr val="tx1"/>
              </a:solidFill>
              <a:effectLst>
                <a:outerShdw blurRad="38100" dist="19050" dir="2700000" algn="tl" rotWithShape="0">
                  <a:schemeClr val="dk1">
                    <a:alpha val="40000"/>
                  </a:schemeClr>
                </a:outerShdw>
              </a:effectLst>
            </a:rPr>
            <a:t>Standard</a:t>
          </a:r>
          <a:endParaRPr lang="en-US" sz="1600" b="0" i="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13</xdr:col>
      <xdr:colOff>1</xdr:colOff>
      <xdr:row>124</xdr:row>
      <xdr:rowOff>54429</xdr:rowOff>
    </xdr:from>
    <xdr:to>
      <xdr:col>16</xdr:col>
      <xdr:colOff>561244</xdr:colOff>
      <xdr:row>140</xdr:row>
      <xdr:rowOff>136071</xdr:rowOff>
    </xdr:to>
    <xdr:graphicFrame macro="">
      <xdr:nvGraphicFramePr>
        <xdr:cNvPr id="49" name="Chart 48">
          <a:extLst>
            <a:ext uri="{FF2B5EF4-FFF2-40B4-BE49-F238E27FC236}">
              <a16:creationId xmlns="" xmlns:a16="http://schemas.microsoft.com/office/drawing/2014/main" id="{00000000-0008-0000-07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9</xdr:col>
      <xdr:colOff>494496</xdr:colOff>
      <xdr:row>123</xdr:row>
      <xdr:rowOff>98350</xdr:rowOff>
    </xdr:from>
    <xdr:to>
      <xdr:col>12</xdr:col>
      <xdr:colOff>534760</xdr:colOff>
      <xdr:row>132</xdr:row>
      <xdr:rowOff>2396</xdr:rowOff>
    </xdr:to>
    <xdr:pic>
      <xdr:nvPicPr>
        <xdr:cNvPr id="50" name="Picture 49">
          <a:extLst>
            <a:ext uri="{FF2B5EF4-FFF2-40B4-BE49-F238E27FC236}">
              <a16:creationId xmlns="" xmlns:a16="http://schemas.microsoft.com/office/drawing/2014/main" id="{00000000-0008-0000-0700-000032000000}"/>
            </a:ext>
          </a:extLst>
        </xdr:cNvPr>
        <xdr:cNvPicPr>
          <a:picLocks noChangeAspect="1"/>
        </xdr:cNvPicPr>
      </xdr:nvPicPr>
      <xdr:blipFill>
        <a:blip xmlns:r="http://schemas.openxmlformats.org/officeDocument/2006/relationships" r:embed="rId3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142696" y="10890175"/>
          <a:ext cx="1938460" cy="1704271"/>
        </a:xfrm>
        <a:prstGeom prst="rect">
          <a:avLst/>
        </a:prstGeom>
      </xdr:spPr>
    </xdr:pic>
    <xdr:clientData/>
  </xdr:twoCellAnchor>
  <xdr:oneCellAnchor>
    <xdr:from>
      <xdr:col>23</xdr:col>
      <xdr:colOff>641903</xdr:colOff>
      <xdr:row>128</xdr:row>
      <xdr:rowOff>158750</xdr:rowOff>
    </xdr:from>
    <xdr:ext cx="1434293" cy="2546903"/>
    <xdr:pic>
      <xdr:nvPicPr>
        <xdr:cNvPr id="56" name="Picture 55">
          <a:extLst>
            <a:ext uri="{FF2B5EF4-FFF2-40B4-BE49-F238E27FC236}">
              <a16:creationId xmlns="" xmlns:a16="http://schemas.microsoft.com/office/drawing/2014/main" id="{00000000-0008-0000-0700-000038000000}"/>
            </a:ext>
          </a:extLst>
        </xdr:cNvPr>
        <xdr:cNvPicPr>
          <a:picLocks noChangeAspect="1"/>
        </xdr:cNvPicPr>
      </xdr:nvPicPr>
      <xdr:blipFill>
        <a:blip xmlns:r="http://schemas.openxmlformats.org/officeDocument/2006/relationships" r:embed="rId33"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13786403" y="26939875"/>
          <a:ext cx="1434293" cy="2546903"/>
        </a:xfrm>
        <a:prstGeom prst="rect">
          <a:avLst/>
        </a:prstGeom>
      </xdr:spPr>
    </xdr:pic>
    <xdr:clientData/>
  </xdr:oneCellAnchor>
  <xdr:twoCellAnchor editAs="oneCell">
    <xdr:from>
      <xdr:col>9</xdr:col>
      <xdr:colOff>6580</xdr:colOff>
      <xdr:row>96</xdr:row>
      <xdr:rowOff>29310</xdr:rowOff>
    </xdr:from>
    <xdr:to>
      <xdr:col>12</xdr:col>
      <xdr:colOff>380267</xdr:colOff>
      <xdr:row>105</xdr:row>
      <xdr:rowOff>114300</xdr:rowOff>
    </xdr:to>
    <xdr:pic>
      <xdr:nvPicPr>
        <xdr:cNvPr id="57" name="Picture 56">
          <a:extLst>
            <a:ext uri="{FF2B5EF4-FFF2-40B4-BE49-F238E27FC236}">
              <a16:creationId xmlns="" xmlns:a16="http://schemas.microsoft.com/office/drawing/2014/main" id="{00000000-0008-0000-0700-000039000000}"/>
            </a:ext>
          </a:extLst>
        </xdr:cNvPr>
        <xdr:cNvPicPr>
          <a:picLocks noChangeAspect="1"/>
        </xdr:cNvPicPr>
      </xdr:nvPicPr>
      <xdr:blipFill>
        <a:blip xmlns:r="http://schemas.openxmlformats.org/officeDocument/2006/relationships" r:embed="rId34"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6580" y="46692285"/>
          <a:ext cx="2278687" cy="1885215"/>
        </a:xfrm>
        <a:prstGeom prst="rect">
          <a:avLst/>
        </a:prstGeom>
      </xdr:spPr>
    </xdr:pic>
    <xdr:clientData/>
  </xdr:twoCellAnchor>
  <xdr:twoCellAnchor editAs="oneCell">
    <xdr:from>
      <xdr:col>0</xdr:col>
      <xdr:colOff>379535</xdr:colOff>
      <xdr:row>0</xdr:row>
      <xdr:rowOff>0</xdr:rowOff>
    </xdr:from>
    <xdr:to>
      <xdr:col>3</xdr:col>
      <xdr:colOff>90644</xdr:colOff>
      <xdr:row>2</xdr:row>
      <xdr:rowOff>347484</xdr:rowOff>
    </xdr:to>
    <xdr:pic>
      <xdr:nvPicPr>
        <xdr:cNvPr id="58" name="Picture 57">
          <a:hlinkClick xmlns:r="http://schemas.openxmlformats.org/officeDocument/2006/relationships" r:id="rId35" tooltip="Click to go to Home Menu"/>
          <a:extLst>
            <a:ext uri="{FF2B5EF4-FFF2-40B4-BE49-F238E27FC236}">
              <a16:creationId xmlns="" xmlns:a16="http://schemas.microsoft.com/office/drawing/2014/main" id="{00000000-0008-0000-0700-00003A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379535" y="0"/>
          <a:ext cx="1631984" cy="1109484"/>
        </a:xfrm>
        <a:prstGeom prst="rect">
          <a:avLst/>
        </a:prstGeom>
      </xdr:spPr>
    </xdr:pic>
    <xdr:clientData/>
  </xdr:twoCellAnchor>
  <xdr:twoCellAnchor editAs="oneCell">
    <xdr:from>
      <xdr:col>7</xdr:col>
      <xdr:colOff>42984</xdr:colOff>
      <xdr:row>0</xdr:row>
      <xdr:rowOff>38835</xdr:rowOff>
    </xdr:from>
    <xdr:to>
      <xdr:col>11</xdr:col>
      <xdr:colOff>270822</xdr:colOff>
      <xdr:row>2</xdr:row>
      <xdr:rowOff>346170</xdr:rowOff>
    </xdr:to>
    <xdr:pic>
      <xdr:nvPicPr>
        <xdr:cNvPr id="59" name="Picture 58">
          <a:hlinkClick xmlns:r="http://schemas.openxmlformats.org/officeDocument/2006/relationships" r:id="rId37" tooltip="Click to input School Data"/>
          <a:extLst>
            <a:ext uri="{FF2B5EF4-FFF2-40B4-BE49-F238E27FC236}">
              <a16:creationId xmlns="" xmlns:a16="http://schemas.microsoft.com/office/drawing/2014/main" id="{00000000-0008-0000-0700-00003B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4472109" y="38835"/>
          <a:ext cx="2142363" cy="1069335"/>
        </a:xfrm>
        <a:prstGeom prst="rect">
          <a:avLst/>
        </a:prstGeom>
      </xdr:spPr>
    </xdr:pic>
    <xdr:clientData/>
  </xdr:twoCellAnchor>
  <xdr:twoCellAnchor editAs="oneCell">
    <xdr:from>
      <xdr:col>15</xdr:col>
      <xdr:colOff>431083</xdr:colOff>
      <xdr:row>0</xdr:row>
      <xdr:rowOff>23202</xdr:rowOff>
    </xdr:from>
    <xdr:to>
      <xdr:col>19</xdr:col>
      <xdr:colOff>377788</xdr:colOff>
      <xdr:row>2</xdr:row>
      <xdr:rowOff>332581</xdr:rowOff>
    </xdr:to>
    <xdr:pic>
      <xdr:nvPicPr>
        <xdr:cNvPr id="60" name="Picture 59">
          <a:hlinkClick xmlns:r="http://schemas.openxmlformats.org/officeDocument/2006/relationships" r:id="rId39" tooltip="Click to go to printable SRC. Use A4 sized paper for printing."/>
          <a:extLst>
            <a:ext uri="{FF2B5EF4-FFF2-40B4-BE49-F238E27FC236}">
              <a16:creationId xmlns="" xmlns:a16="http://schemas.microsoft.com/office/drawing/2014/main" id="{00000000-0008-0000-0700-00003C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9098833" y="23202"/>
          <a:ext cx="2146980" cy="1071379"/>
        </a:xfrm>
        <a:prstGeom prst="rect">
          <a:avLst/>
        </a:prstGeom>
      </xdr:spPr>
    </xdr:pic>
    <xdr:clientData/>
  </xdr:twoCellAnchor>
  <xdr:twoCellAnchor editAs="oneCell">
    <xdr:from>
      <xdr:col>31</xdr:col>
      <xdr:colOff>203197</xdr:colOff>
      <xdr:row>0</xdr:row>
      <xdr:rowOff>36777</xdr:rowOff>
    </xdr:from>
    <xdr:to>
      <xdr:col>34</xdr:col>
      <xdr:colOff>31750</xdr:colOff>
      <xdr:row>2</xdr:row>
      <xdr:rowOff>340090</xdr:rowOff>
    </xdr:to>
    <xdr:pic>
      <xdr:nvPicPr>
        <xdr:cNvPr id="62" name="Picture 61">
          <a:hlinkClick xmlns:r="http://schemas.openxmlformats.org/officeDocument/2006/relationships" r:id="rId41" tooltip="Click to go to printable SRC (Tarpaulin layout). You need to copy and paste it to MS Paint or other photo editing software to convert to picture format (ex. JPEG). Tarp size is 6ft x 4ft. "/>
          <a:extLst>
            <a:ext uri="{FF2B5EF4-FFF2-40B4-BE49-F238E27FC236}">
              <a16:creationId xmlns="" xmlns:a16="http://schemas.microsoft.com/office/drawing/2014/main" id="{00000000-0008-0000-0700-00003E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8046697" y="36777"/>
          <a:ext cx="1749428" cy="1065313"/>
        </a:xfrm>
        <a:prstGeom prst="rect">
          <a:avLst/>
        </a:prstGeom>
      </xdr:spPr>
    </xdr:pic>
    <xdr:clientData/>
  </xdr:twoCellAnchor>
  <xdr:twoCellAnchor editAs="oneCell">
    <xdr:from>
      <xdr:col>23</xdr:col>
      <xdr:colOff>698500</xdr:colOff>
      <xdr:row>0</xdr:row>
      <xdr:rowOff>31750</xdr:rowOff>
    </xdr:from>
    <xdr:to>
      <xdr:col>27</xdr:col>
      <xdr:colOff>117475</xdr:colOff>
      <xdr:row>2</xdr:row>
      <xdr:rowOff>338667</xdr:rowOff>
    </xdr:to>
    <xdr:pic>
      <xdr:nvPicPr>
        <xdr:cNvPr id="63" name="Picture 62">
          <a:hlinkClick xmlns:r="http://schemas.openxmlformats.org/officeDocument/2006/relationships" r:id="rId43" tooltip="Click to go to printable SRC (Booklet type). Use A4 sized paper for printing."/>
          <a:extLst>
            <a:ext uri="{FF2B5EF4-FFF2-40B4-BE49-F238E27FC236}">
              <a16:creationId xmlns="" xmlns:a16="http://schemas.microsoft.com/office/drawing/2014/main" id="{00000000-0008-0000-0700-00003F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13731875" y="31750"/>
          <a:ext cx="1778000" cy="1068917"/>
        </a:xfrm>
        <a:prstGeom prst="rect">
          <a:avLst/>
        </a:prstGeom>
      </xdr:spPr>
    </xdr:pic>
    <xdr:clientData/>
  </xdr:twoCellAnchor>
  <xdr:twoCellAnchor>
    <xdr:from>
      <xdr:col>1</xdr:col>
      <xdr:colOff>495300</xdr:colOff>
      <xdr:row>5</xdr:row>
      <xdr:rowOff>171450</xdr:rowOff>
    </xdr:from>
    <xdr:to>
      <xdr:col>6</xdr:col>
      <xdr:colOff>323850</xdr:colOff>
      <xdr:row>10</xdr:row>
      <xdr:rowOff>38100</xdr:rowOff>
    </xdr:to>
    <xdr:graphicFrame macro="">
      <xdr:nvGraphicFramePr>
        <xdr:cNvPr id="64" name="Chart 63">
          <a:extLst>
            <a:ext uri="{FF2B5EF4-FFF2-40B4-BE49-F238E27FC236}">
              <a16:creationId xmlns="" xmlns:a16="http://schemas.microsoft.com/office/drawing/2014/main" id="{00000000-0008-0000-0700-00004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30</xdr:col>
      <xdr:colOff>430305</xdr:colOff>
      <xdr:row>45</xdr:row>
      <xdr:rowOff>66490</xdr:rowOff>
    </xdr:from>
    <xdr:to>
      <xdr:col>34</xdr:col>
      <xdr:colOff>574950</xdr:colOff>
      <xdr:row>54</xdr:row>
      <xdr:rowOff>183219</xdr:rowOff>
    </xdr:to>
    <xdr:graphicFrame macro="">
      <xdr:nvGraphicFramePr>
        <xdr:cNvPr id="65" name="Chart 64">
          <a:extLst>
            <a:ext uri="{FF2B5EF4-FFF2-40B4-BE49-F238E27FC236}">
              <a16:creationId xmlns="" xmlns:a16="http://schemas.microsoft.com/office/drawing/2014/main" id="{00000000-0008-0000-0700-00004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30</xdr:col>
      <xdr:colOff>38100</xdr:colOff>
      <xdr:row>36</xdr:row>
      <xdr:rowOff>180975</xdr:rowOff>
    </xdr:from>
    <xdr:to>
      <xdr:col>34</xdr:col>
      <xdr:colOff>566894</xdr:colOff>
      <xdr:row>45</xdr:row>
      <xdr:rowOff>44079</xdr:rowOff>
    </xdr:to>
    <xdr:grpSp>
      <xdr:nvGrpSpPr>
        <xdr:cNvPr id="66" name="Group 65">
          <a:extLst>
            <a:ext uri="{FF2B5EF4-FFF2-40B4-BE49-F238E27FC236}">
              <a16:creationId xmlns="" xmlns:a16="http://schemas.microsoft.com/office/drawing/2014/main" id="{00000000-0008-0000-0700-000042000000}"/>
            </a:ext>
          </a:extLst>
        </xdr:cNvPr>
        <xdr:cNvGrpSpPr/>
      </xdr:nvGrpSpPr>
      <xdr:grpSpPr>
        <a:xfrm>
          <a:off x="17468850" y="8134350"/>
          <a:ext cx="3037044" cy="1641104"/>
          <a:chOff x="5787370" y="13805858"/>
          <a:chExt cx="4570132" cy="3009782"/>
        </a:xfrm>
      </xdr:grpSpPr>
      <xdr:graphicFrame macro="">
        <xdr:nvGraphicFramePr>
          <xdr:cNvPr id="67" name="Chart 66">
            <a:extLst>
              <a:ext uri="{FF2B5EF4-FFF2-40B4-BE49-F238E27FC236}">
                <a16:creationId xmlns="" xmlns:a16="http://schemas.microsoft.com/office/drawing/2014/main" id="{00000000-0008-0000-0700-000043000000}"/>
              </a:ext>
            </a:extLst>
          </xdr:cNvPr>
          <xdr:cNvGraphicFramePr/>
        </xdr:nvGraphicFramePr>
        <xdr:xfrm>
          <a:off x="5787370" y="14072440"/>
          <a:ext cx="4570132" cy="2743200"/>
        </xdr:xfrm>
        <a:graphic>
          <a:graphicData uri="http://schemas.openxmlformats.org/drawingml/2006/chart">
            <c:chart xmlns:c="http://schemas.openxmlformats.org/drawingml/2006/chart" xmlns:r="http://schemas.openxmlformats.org/officeDocument/2006/relationships" r:id="rId47"/>
          </a:graphicData>
        </a:graphic>
      </xdr:graphicFrame>
      <xdr:graphicFrame macro="">
        <xdr:nvGraphicFramePr>
          <xdr:cNvPr id="68" name="Chart 67">
            <a:extLst>
              <a:ext uri="{FF2B5EF4-FFF2-40B4-BE49-F238E27FC236}">
                <a16:creationId xmlns="" xmlns:a16="http://schemas.microsoft.com/office/drawing/2014/main" id="{00000000-0008-0000-0700-000044000000}"/>
              </a:ext>
            </a:extLst>
          </xdr:cNvPr>
          <xdr:cNvGraphicFramePr/>
        </xdr:nvGraphicFramePr>
        <xdr:xfrm>
          <a:off x="6505414" y="13805858"/>
          <a:ext cx="3782765" cy="2646174"/>
        </xdr:xfrm>
        <a:graphic>
          <a:graphicData uri="http://schemas.openxmlformats.org/drawingml/2006/chart">
            <c:chart xmlns:c="http://schemas.openxmlformats.org/drawingml/2006/chart" xmlns:r="http://schemas.openxmlformats.org/officeDocument/2006/relationships" r:id="rId48"/>
          </a:graphicData>
        </a:graphic>
      </xdr:graphicFrame>
    </xdr:grpSp>
    <xdr:clientData/>
  </xdr:twoCellAnchor>
  <xdr:twoCellAnchor>
    <xdr:from>
      <xdr:col>19</xdr:col>
      <xdr:colOff>0</xdr:colOff>
      <xdr:row>107</xdr:row>
      <xdr:rowOff>0</xdr:rowOff>
    </xdr:from>
    <xdr:to>
      <xdr:col>25</xdr:col>
      <xdr:colOff>273051</xdr:colOff>
      <xdr:row>117</xdr:row>
      <xdr:rowOff>76199</xdr:rowOff>
    </xdr:to>
    <xdr:graphicFrame macro="">
      <xdr:nvGraphicFramePr>
        <xdr:cNvPr id="69" name="Chart 68">
          <a:extLst>
            <a:ext uri="{FF2B5EF4-FFF2-40B4-BE49-F238E27FC236}">
              <a16:creationId xmlns="" xmlns:a16="http://schemas.microsoft.com/office/drawing/2014/main" id="{00000000-0008-0000-07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19</xdr:col>
      <xdr:colOff>0</xdr:colOff>
      <xdr:row>117</xdr:row>
      <xdr:rowOff>142876</xdr:rowOff>
    </xdr:from>
    <xdr:to>
      <xdr:col>22</xdr:col>
      <xdr:colOff>315383</xdr:colOff>
      <xdr:row>127</xdr:row>
      <xdr:rowOff>190500</xdr:rowOff>
    </xdr:to>
    <xdr:graphicFrame macro="">
      <xdr:nvGraphicFramePr>
        <xdr:cNvPr id="70" name="Chart 69">
          <a:extLst>
            <a:ext uri="{FF2B5EF4-FFF2-40B4-BE49-F238E27FC236}">
              <a16:creationId xmlns="" xmlns:a16="http://schemas.microsoft.com/office/drawing/2014/main" id="{00000000-0008-0000-07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22</xdr:col>
      <xdr:colOff>332133</xdr:colOff>
      <xdr:row>117</xdr:row>
      <xdr:rowOff>142876</xdr:rowOff>
    </xdr:from>
    <xdr:to>
      <xdr:col>25</xdr:col>
      <xdr:colOff>282575</xdr:colOff>
      <xdr:row>127</xdr:row>
      <xdr:rowOff>190500</xdr:rowOff>
    </xdr:to>
    <xdr:graphicFrame macro="">
      <xdr:nvGraphicFramePr>
        <xdr:cNvPr id="71" name="Chart 70">
          <a:extLst>
            <a:ext uri="{FF2B5EF4-FFF2-40B4-BE49-F238E27FC236}">
              <a16:creationId xmlns="" xmlns:a16="http://schemas.microsoft.com/office/drawing/2014/main" id="{00000000-0008-0000-07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editAs="oneCell">
    <xdr:from>
      <xdr:col>4</xdr:col>
      <xdr:colOff>35280</xdr:colOff>
      <xdr:row>95</xdr:row>
      <xdr:rowOff>12457</xdr:rowOff>
    </xdr:from>
    <xdr:to>
      <xdr:col>6</xdr:col>
      <xdr:colOff>692021</xdr:colOff>
      <xdr:row>105</xdr:row>
      <xdr:rowOff>104775</xdr:rowOff>
    </xdr:to>
    <xdr:pic>
      <xdr:nvPicPr>
        <xdr:cNvPr id="72" name="Picture 71">
          <a:extLst>
            <a:ext uri="{FF2B5EF4-FFF2-40B4-BE49-F238E27FC236}">
              <a16:creationId xmlns="" xmlns:a16="http://schemas.microsoft.com/office/drawing/2014/main" id="{00000000-0008-0000-0700-000048000000}"/>
            </a:ext>
          </a:extLst>
        </xdr:cNvPr>
        <xdr:cNvPicPr>
          <a:picLocks noChangeAspect="1"/>
        </xdr:cNvPicPr>
      </xdr:nvPicPr>
      <xdr:blipFill>
        <a:blip xmlns:r="http://schemas.openxmlformats.org/officeDocument/2006/relationships" r:embed="rId5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9380" y="53114332"/>
          <a:ext cx="1694966" cy="2092568"/>
        </a:xfrm>
        <a:prstGeom prst="rect">
          <a:avLst/>
        </a:prstGeom>
      </xdr:spPr>
    </xdr:pic>
    <xdr:clientData/>
  </xdr:twoCellAnchor>
  <xdr:twoCellAnchor>
    <xdr:from>
      <xdr:col>0</xdr:col>
      <xdr:colOff>8284</xdr:colOff>
      <xdr:row>72</xdr:row>
      <xdr:rowOff>47624</xdr:rowOff>
    </xdr:from>
    <xdr:to>
      <xdr:col>6</xdr:col>
      <xdr:colOff>836770</xdr:colOff>
      <xdr:row>83</xdr:row>
      <xdr:rowOff>28575</xdr:rowOff>
    </xdr:to>
    <xdr:graphicFrame macro="">
      <xdr:nvGraphicFramePr>
        <xdr:cNvPr id="73" name="Chart 72">
          <a:extLst>
            <a:ext uri="{FF2B5EF4-FFF2-40B4-BE49-F238E27FC236}">
              <a16:creationId xmlns="" xmlns:a16="http://schemas.microsoft.com/office/drawing/2014/main" id="{00000000-0008-0000-0700-00004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0</xdr:colOff>
      <xdr:row>83</xdr:row>
      <xdr:rowOff>95250</xdr:rowOff>
    </xdr:from>
    <xdr:to>
      <xdr:col>6</xdr:col>
      <xdr:colOff>841374</xdr:colOff>
      <xdr:row>94</xdr:row>
      <xdr:rowOff>161926</xdr:rowOff>
    </xdr:to>
    <xdr:graphicFrame macro="">
      <xdr:nvGraphicFramePr>
        <xdr:cNvPr id="74" name="Chart 73">
          <a:extLst>
            <a:ext uri="{FF2B5EF4-FFF2-40B4-BE49-F238E27FC236}">
              <a16:creationId xmlns="" xmlns:a16="http://schemas.microsoft.com/office/drawing/2014/main" id="{00000000-0008-0000-07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18</xdr:col>
      <xdr:colOff>0</xdr:colOff>
      <xdr:row>90</xdr:row>
      <xdr:rowOff>9524</xdr:rowOff>
    </xdr:from>
    <xdr:to>
      <xdr:col>21</xdr:col>
      <xdr:colOff>523875</xdr:colOff>
      <xdr:row>105</xdr:row>
      <xdr:rowOff>200024</xdr:rowOff>
    </xdr:to>
    <xdr:graphicFrame macro="">
      <xdr:nvGraphicFramePr>
        <xdr:cNvPr id="75" name="Chart 74">
          <a:extLst>
            <a:ext uri="{FF2B5EF4-FFF2-40B4-BE49-F238E27FC236}">
              <a16:creationId xmlns="" xmlns:a16="http://schemas.microsoft.com/office/drawing/2014/main" id="{00000000-0008-0000-0700-00004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27</xdr:col>
      <xdr:colOff>269875</xdr:colOff>
      <xdr:row>122</xdr:row>
      <xdr:rowOff>63500</xdr:rowOff>
    </xdr:from>
    <xdr:to>
      <xdr:col>32</xdr:col>
      <xdr:colOff>611093</xdr:colOff>
      <xdr:row>127</xdr:row>
      <xdr:rowOff>112567</xdr:rowOff>
    </xdr:to>
    <xdr:grpSp>
      <xdr:nvGrpSpPr>
        <xdr:cNvPr id="76" name="Group 75">
          <a:extLst>
            <a:ext uri="{FF2B5EF4-FFF2-40B4-BE49-F238E27FC236}">
              <a16:creationId xmlns="" xmlns:a16="http://schemas.microsoft.com/office/drawing/2014/main" id="{00000000-0008-0000-0700-00004C000000}"/>
            </a:ext>
          </a:extLst>
        </xdr:cNvPr>
        <xdr:cNvGrpSpPr/>
      </xdr:nvGrpSpPr>
      <xdr:grpSpPr>
        <a:xfrm>
          <a:off x="15779750" y="25606375"/>
          <a:ext cx="3151093" cy="1080942"/>
          <a:chOff x="259773" y="184861321"/>
          <a:chExt cx="4424795" cy="1517868"/>
        </a:xfrm>
      </xdr:grpSpPr>
      <xdr:sp macro="" textlink="">
        <xdr:nvSpPr>
          <xdr:cNvPr id="77" name="Freeform 76">
            <a:extLst>
              <a:ext uri="{FF2B5EF4-FFF2-40B4-BE49-F238E27FC236}">
                <a16:creationId xmlns="" xmlns:a16="http://schemas.microsoft.com/office/drawing/2014/main" id="{00000000-0008-0000-0700-00004D000000}"/>
              </a:ext>
            </a:extLst>
          </xdr:cNvPr>
          <xdr:cNvSpPr/>
        </xdr:nvSpPr>
        <xdr:spPr>
          <a:xfrm>
            <a:off x="259773" y="184861321"/>
            <a:ext cx="3671453" cy="1464998"/>
          </a:xfrm>
          <a:custGeom>
            <a:avLst/>
            <a:gdLst>
              <a:gd name="connsiteX0" fmla="*/ 0 w 3671454"/>
              <a:gd name="connsiteY0" fmla="*/ 710046 h 1420091"/>
              <a:gd name="connsiteX1" fmla="*/ 0 w 3671454"/>
              <a:gd name="connsiteY1" fmla="*/ 1420091 h 1420091"/>
              <a:gd name="connsiteX2" fmla="*/ 2251363 w 3671454"/>
              <a:gd name="connsiteY2" fmla="*/ 1420091 h 1420091"/>
              <a:gd name="connsiteX3" fmla="*/ 3671454 w 3671454"/>
              <a:gd name="connsiteY3" fmla="*/ 0 h 1420091"/>
              <a:gd name="connsiteX4" fmla="*/ 770659 w 3671454"/>
              <a:gd name="connsiteY4" fmla="*/ 0 h 1420091"/>
              <a:gd name="connsiteX5" fmla="*/ 0 w 3671454"/>
              <a:gd name="connsiteY5" fmla="*/ 710046 h 142009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671454" h="1420091">
                <a:moveTo>
                  <a:pt x="0" y="710046"/>
                </a:moveTo>
                <a:lnTo>
                  <a:pt x="0" y="1420091"/>
                </a:lnTo>
                <a:lnTo>
                  <a:pt x="2251363" y="1420091"/>
                </a:lnTo>
                <a:lnTo>
                  <a:pt x="3671454" y="0"/>
                </a:lnTo>
                <a:lnTo>
                  <a:pt x="770659" y="0"/>
                </a:lnTo>
                <a:lnTo>
                  <a:pt x="0" y="710046"/>
                </a:lnTo>
                <a:close/>
              </a:path>
            </a:pathLst>
          </a:custGeom>
          <a:gradFill flip="none" rotWithShape="1">
            <a:gsLst>
              <a:gs pos="0">
                <a:schemeClr val="bg2">
                  <a:lumMod val="50000"/>
                  <a:shade val="30000"/>
                  <a:satMod val="115000"/>
                </a:schemeClr>
              </a:gs>
              <a:gs pos="50000">
                <a:schemeClr val="bg2">
                  <a:lumMod val="50000"/>
                  <a:shade val="67500"/>
                  <a:satMod val="115000"/>
                </a:schemeClr>
              </a:gs>
              <a:gs pos="100000">
                <a:schemeClr val="bg2">
                  <a:lumMod val="50000"/>
                  <a:shade val="100000"/>
                  <a:satMod val="115000"/>
                </a:scheme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8" name="Rectangle 77">
            <a:extLst>
              <a:ext uri="{FF2B5EF4-FFF2-40B4-BE49-F238E27FC236}">
                <a16:creationId xmlns="" xmlns:a16="http://schemas.microsoft.com/office/drawing/2014/main" id="{00000000-0008-0000-0700-00004E000000}"/>
              </a:ext>
            </a:extLst>
          </xdr:cNvPr>
          <xdr:cNvSpPr/>
        </xdr:nvSpPr>
        <xdr:spPr>
          <a:xfrm>
            <a:off x="1484372" y="184861321"/>
            <a:ext cx="1984259" cy="569311"/>
          </a:xfrm>
          <a:prstGeom prst="rect">
            <a:avLst/>
          </a:prstGeom>
          <a:noFill/>
        </xdr:spPr>
        <xdr:txBody>
          <a:bodyPr wrap="none" lIns="91440" tIns="45720" rIns="91440" bIns="45720">
            <a:spAutoFit/>
          </a:bodyPr>
          <a:lstStyle/>
          <a:p>
            <a:pPr algn="ctr"/>
            <a:r>
              <a:rPr lang="en-US" sz="2000" b="0" cap="none" spc="0">
                <a:ln w="0"/>
                <a:solidFill>
                  <a:schemeClr val="bg1"/>
                </a:solidFill>
                <a:effectLst/>
              </a:rPr>
              <a:t>Maka-Diyos</a:t>
            </a:r>
          </a:p>
        </xdr:txBody>
      </xdr:sp>
      <xdr:sp macro="" textlink="">
        <xdr:nvSpPr>
          <xdr:cNvPr id="79" name="Rectangle 78">
            <a:extLst>
              <a:ext uri="{FF2B5EF4-FFF2-40B4-BE49-F238E27FC236}">
                <a16:creationId xmlns="" xmlns:a16="http://schemas.microsoft.com/office/drawing/2014/main" id="{00000000-0008-0000-0700-00004F000000}"/>
              </a:ext>
            </a:extLst>
          </xdr:cNvPr>
          <xdr:cNvSpPr/>
        </xdr:nvSpPr>
        <xdr:spPr>
          <a:xfrm>
            <a:off x="1614434" y="185186423"/>
            <a:ext cx="1724140" cy="569311"/>
          </a:xfrm>
          <a:prstGeom prst="rect">
            <a:avLst/>
          </a:prstGeom>
          <a:noFill/>
        </xdr:spPr>
        <xdr:txBody>
          <a:bodyPr wrap="none" lIns="91440" tIns="45720" rIns="91440" bIns="45720">
            <a:spAutoFit/>
          </a:bodyPr>
          <a:lstStyle/>
          <a:p>
            <a:pPr algn="ctr"/>
            <a:r>
              <a:rPr lang="en-US" sz="2000" b="0" cap="none" spc="0">
                <a:ln w="0"/>
                <a:solidFill>
                  <a:schemeClr val="bg1"/>
                </a:solidFill>
                <a:effectLst/>
              </a:rPr>
              <a:t>Maka-Tao</a:t>
            </a:r>
          </a:p>
        </xdr:txBody>
      </xdr:sp>
      <xdr:sp macro="" textlink="">
        <xdr:nvSpPr>
          <xdr:cNvPr id="80" name="Freeform 79">
            <a:extLst>
              <a:ext uri="{FF2B5EF4-FFF2-40B4-BE49-F238E27FC236}">
                <a16:creationId xmlns="" xmlns:a16="http://schemas.microsoft.com/office/drawing/2014/main" id="{00000000-0008-0000-0700-000050000000}"/>
              </a:ext>
            </a:extLst>
          </xdr:cNvPr>
          <xdr:cNvSpPr/>
        </xdr:nvSpPr>
        <xdr:spPr>
          <a:xfrm>
            <a:off x="2658341" y="185304545"/>
            <a:ext cx="2026227" cy="1013114"/>
          </a:xfrm>
          <a:custGeom>
            <a:avLst/>
            <a:gdLst>
              <a:gd name="connsiteX0" fmla="*/ 857250 w 2026227"/>
              <a:gd name="connsiteY0" fmla="*/ 0 h 1013114"/>
              <a:gd name="connsiteX1" fmla="*/ 2026227 w 2026227"/>
              <a:gd name="connsiteY1" fmla="*/ 1013114 h 1013114"/>
              <a:gd name="connsiteX2" fmla="*/ 181841 w 2026227"/>
              <a:gd name="connsiteY2" fmla="*/ 1013114 h 1013114"/>
              <a:gd name="connsiteX3" fmla="*/ 0 w 2026227"/>
              <a:gd name="connsiteY3" fmla="*/ 874569 h 1013114"/>
              <a:gd name="connsiteX4" fmla="*/ 857250 w 2026227"/>
              <a:gd name="connsiteY4" fmla="*/ 0 h 101311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26227" h="1013114">
                <a:moveTo>
                  <a:pt x="857250" y="0"/>
                </a:moveTo>
                <a:lnTo>
                  <a:pt x="2026227" y="1013114"/>
                </a:lnTo>
                <a:lnTo>
                  <a:pt x="181841" y="1013114"/>
                </a:lnTo>
                <a:lnTo>
                  <a:pt x="0" y="874569"/>
                </a:lnTo>
                <a:lnTo>
                  <a:pt x="857250" y="0"/>
                </a:lnTo>
                <a:close/>
              </a:path>
            </a:pathLst>
          </a:custGeom>
          <a:gradFill flip="none" rotWithShape="1">
            <a:gsLst>
              <a:gs pos="0">
                <a:schemeClr val="tx2">
                  <a:lumMod val="75000"/>
                  <a:shade val="30000"/>
                  <a:satMod val="115000"/>
                </a:schemeClr>
              </a:gs>
              <a:gs pos="50000">
                <a:schemeClr val="tx2">
                  <a:lumMod val="75000"/>
                  <a:shade val="67500"/>
                  <a:satMod val="115000"/>
                </a:schemeClr>
              </a:gs>
              <a:gs pos="100000">
                <a:schemeClr val="tx2">
                  <a:lumMod val="75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1" name="Rectangle 80">
            <a:extLst>
              <a:ext uri="{FF2B5EF4-FFF2-40B4-BE49-F238E27FC236}">
                <a16:creationId xmlns="" xmlns:a16="http://schemas.microsoft.com/office/drawing/2014/main" id="{00000000-0008-0000-0700-000051000000}"/>
              </a:ext>
            </a:extLst>
          </xdr:cNvPr>
          <xdr:cNvSpPr/>
        </xdr:nvSpPr>
        <xdr:spPr>
          <a:xfrm>
            <a:off x="1201520" y="185493435"/>
            <a:ext cx="2549967" cy="569311"/>
          </a:xfrm>
          <a:prstGeom prst="rect">
            <a:avLst/>
          </a:prstGeom>
          <a:noFill/>
        </xdr:spPr>
        <xdr:txBody>
          <a:bodyPr wrap="none" lIns="91440" tIns="45720" rIns="91440" bIns="45720">
            <a:spAutoFit/>
          </a:bodyPr>
          <a:lstStyle/>
          <a:p>
            <a:pPr algn="ctr"/>
            <a:r>
              <a:rPr lang="en-US" sz="2000" b="0" cap="none" spc="0">
                <a:ln w="0"/>
                <a:solidFill>
                  <a:schemeClr val="bg1"/>
                </a:solidFill>
                <a:effectLst/>
              </a:rPr>
              <a:t>Maka-Kalikasan</a:t>
            </a:r>
          </a:p>
        </xdr:txBody>
      </xdr:sp>
      <xdr:sp macro="" textlink="">
        <xdr:nvSpPr>
          <xdr:cNvPr id="82" name="Rectangle 81">
            <a:extLst>
              <a:ext uri="{FF2B5EF4-FFF2-40B4-BE49-F238E27FC236}">
                <a16:creationId xmlns="" xmlns:a16="http://schemas.microsoft.com/office/drawing/2014/main" id="{00000000-0008-0000-0700-000052000000}"/>
              </a:ext>
            </a:extLst>
          </xdr:cNvPr>
          <xdr:cNvSpPr/>
        </xdr:nvSpPr>
        <xdr:spPr>
          <a:xfrm>
            <a:off x="1447865" y="185809878"/>
            <a:ext cx="2057279" cy="569311"/>
          </a:xfrm>
          <a:prstGeom prst="rect">
            <a:avLst/>
          </a:prstGeom>
          <a:noFill/>
        </xdr:spPr>
        <xdr:txBody>
          <a:bodyPr wrap="none" lIns="91440" tIns="45720" rIns="91440" bIns="45720">
            <a:spAutoFit/>
          </a:bodyPr>
          <a:lstStyle/>
          <a:p>
            <a:pPr algn="ctr"/>
            <a:r>
              <a:rPr lang="en-US" sz="2000" b="0" cap="none" spc="0">
                <a:ln w="0"/>
                <a:solidFill>
                  <a:schemeClr val="bg1"/>
                </a:solidFill>
                <a:effectLst/>
              </a:rPr>
              <a:t>Maka-Bansa</a:t>
            </a:r>
          </a:p>
        </xdr:txBody>
      </xdr:sp>
    </xdr:grpSp>
    <xdr:clientData/>
  </xdr:twoCellAnchor>
  <xdr:twoCellAnchor>
    <xdr:from>
      <xdr:col>9</xdr:col>
      <xdr:colOff>0</xdr:colOff>
      <xdr:row>4</xdr:row>
      <xdr:rowOff>41275</xdr:rowOff>
    </xdr:from>
    <xdr:to>
      <xdr:col>15</xdr:col>
      <xdr:colOff>841375</xdr:colOff>
      <xdr:row>13</xdr:row>
      <xdr:rowOff>165099</xdr:rowOff>
    </xdr:to>
    <xdr:graphicFrame macro="">
      <xdr:nvGraphicFramePr>
        <xdr:cNvPr id="83" name="Chart 82">
          <a:extLst>
            <a:ext uri="{FF2B5EF4-FFF2-40B4-BE49-F238E27FC236}">
              <a16:creationId xmlns="" xmlns:a16="http://schemas.microsoft.com/office/drawing/2014/main" id="{00000000-0008-0000-0700-00005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oneCellAnchor>
    <xdr:from>
      <xdr:col>10</xdr:col>
      <xdr:colOff>460374</xdr:colOff>
      <xdr:row>3</xdr:row>
      <xdr:rowOff>0</xdr:rowOff>
    </xdr:from>
    <xdr:ext cx="2616297" cy="280205"/>
    <xdr:sp macro="" textlink="">
      <xdr:nvSpPr>
        <xdr:cNvPr id="84" name="Rectangle 83">
          <a:extLst>
            <a:ext uri="{FF2B5EF4-FFF2-40B4-BE49-F238E27FC236}">
              <a16:creationId xmlns="" xmlns:a16="http://schemas.microsoft.com/office/drawing/2014/main" id="{00000000-0008-0000-0700-000054000000}"/>
            </a:ext>
          </a:extLst>
        </xdr:cNvPr>
        <xdr:cNvSpPr/>
      </xdr:nvSpPr>
      <xdr:spPr>
        <a:xfrm>
          <a:off x="6222999" y="1143000"/>
          <a:ext cx="2616297" cy="280205"/>
        </a:xfrm>
        <a:prstGeom prst="rect">
          <a:avLst/>
        </a:prstGeom>
        <a:noFill/>
      </xdr:spPr>
      <xdr:txBody>
        <a:bodyPr wrap="square" lIns="91440" tIns="45720" rIns="91440" bIns="45720">
          <a:spAutoFit/>
        </a:bodyPr>
        <a:lstStyle/>
        <a:p>
          <a:pPr rtl="0"/>
          <a:r>
            <a:rPr lang="en-US" sz="1200" b="0" i="0" baseline="0">
              <a:effectLst/>
              <a:latin typeface="+mn-lt"/>
              <a:ea typeface="+mn-ea"/>
              <a:cs typeface="+mn-cs"/>
            </a:rPr>
            <a:t>Availability of Books by Grade Level</a:t>
          </a:r>
          <a:endParaRPr lang="en-US" sz="6000">
            <a:effectLst/>
          </a:endParaRPr>
        </a:p>
      </xdr:txBody>
    </xdr:sp>
    <xdr:clientData/>
  </xdr:oneCellAnchor>
</xdr:wsDr>
</file>

<file path=xl/drawings/drawing13.xml><?xml version="1.0" encoding="utf-8"?>
<c:userShapes xmlns:c="http://schemas.openxmlformats.org/drawingml/2006/chart">
  <cdr:relSizeAnchor xmlns:cdr="http://schemas.openxmlformats.org/drawingml/2006/chartDrawing">
    <cdr:from>
      <cdr:x>0.13445</cdr:x>
      <cdr:y>0.50649</cdr:y>
    </cdr:from>
    <cdr:to>
      <cdr:x>0.94267</cdr:x>
      <cdr:y>0.5087</cdr:y>
    </cdr:to>
    <cdr:cxnSp macro="">
      <cdr:nvCxnSpPr>
        <cdr:cNvPr id="3" name="Straight Connector 2">
          <a:extLst xmlns:a="http://schemas.openxmlformats.org/drawingml/2006/main">
            <a:ext uri="{FF2B5EF4-FFF2-40B4-BE49-F238E27FC236}">
              <a16:creationId xmlns="" xmlns:a16="http://schemas.microsoft.com/office/drawing/2014/main" id="{00000000-0008-0000-0200-000033000000}"/>
            </a:ext>
          </a:extLst>
        </cdr:cNvPr>
        <cdr:cNvCxnSpPr/>
      </cdr:nvCxnSpPr>
      <cdr:spPr>
        <a:xfrm xmlns:a="http://schemas.openxmlformats.org/drawingml/2006/main">
          <a:off x="209841" y="1297366"/>
          <a:ext cx="1261390" cy="5661"/>
        </a:xfrm>
        <a:prstGeom xmlns:a="http://schemas.openxmlformats.org/drawingml/2006/main" prst="line">
          <a:avLst/>
        </a:prstGeom>
        <a:ln xmlns:a="http://schemas.openxmlformats.org/drawingml/2006/main">
          <a:prstDash val="dash"/>
          <a:headEnd type="none" w="med" len="med"/>
          <a:tailEnd type="none" w="med" len="med"/>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14.xml><?xml version="1.0" encoding="utf-8"?>
<c:userShapes xmlns:c="http://schemas.openxmlformats.org/drawingml/2006/chart">
  <cdr:relSizeAnchor xmlns:cdr="http://schemas.openxmlformats.org/drawingml/2006/chartDrawing">
    <cdr:from>
      <cdr:x>0.12086</cdr:x>
      <cdr:y>0.49899</cdr:y>
    </cdr:from>
    <cdr:to>
      <cdr:x>0.96454</cdr:x>
      <cdr:y>0.5</cdr:y>
    </cdr:to>
    <cdr:cxnSp macro="">
      <cdr:nvCxnSpPr>
        <cdr:cNvPr id="3" name="Straight Connector 2">
          <a:extLst xmlns:a="http://schemas.openxmlformats.org/drawingml/2006/main">
            <a:ext uri="{FF2B5EF4-FFF2-40B4-BE49-F238E27FC236}">
              <a16:creationId xmlns="" xmlns:a16="http://schemas.microsoft.com/office/drawing/2014/main" id="{00000000-0008-0000-0200-00003A000000}"/>
            </a:ext>
          </a:extLst>
        </cdr:cNvPr>
        <cdr:cNvCxnSpPr/>
      </cdr:nvCxnSpPr>
      <cdr:spPr>
        <a:xfrm xmlns:a="http://schemas.openxmlformats.org/drawingml/2006/main">
          <a:off x="324645" y="1967706"/>
          <a:ext cx="2266155" cy="3969"/>
        </a:xfrm>
        <a:prstGeom xmlns:a="http://schemas.openxmlformats.org/drawingml/2006/main" prst="line">
          <a:avLst/>
        </a:prstGeom>
        <a:ln xmlns:a="http://schemas.openxmlformats.org/drawingml/2006/main">
          <a:prstDash val="dash"/>
          <a:headEnd type="none" w="med" len="med"/>
          <a:tailEnd type="none" w="med" len="med"/>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15.xml><?xml version="1.0" encoding="utf-8"?>
<xdr:wsDr xmlns:xdr="http://schemas.openxmlformats.org/drawingml/2006/spreadsheetDrawing" xmlns:a="http://schemas.openxmlformats.org/drawingml/2006/main">
  <xdr:twoCellAnchor>
    <xdr:from>
      <xdr:col>7</xdr:col>
      <xdr:colOff>119063</xdr:colOff>
      <xdr:row>41</xdr:row>
      <xdr:rowOff>23812</xdr:rowOff>
    </xdr:from>
    <xdr:to>
      <xdr:col>14</xdr:col>
      <xdr:colOff>833437</xdr:colOff>
      <xdr:row>59</xdr:row>
      <xdr:rowOff>119062</xdr:rowOff>
    </xdr:to>
    <xdr:graphicFrame macro="">
      <xdr:nvGraphicFramePr>
        <xdr:cNvPr id="60" name="Chart 59">
          <a:extLst>
            <a:ext uri="{FF2B5EF4-FFF2-40B4-BE49-F238E27FC236}">
              <a16:creationId xmlns="" xmlns:a16="http://schemas.microsoft.com/office/drawing/2014/main" id="{00000000-0008-0000-08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229706</xdr:colOff>
      <xdr:row>5</xdr:row>
      <xdr:rowOff>17318</xdr:rowOff>
    </xdr:from>
    <xdr:to>
      <xdr:col>6</xdr:col>
      <xdr:colOff>104774</xdr:colOff>
      <xdr:row>25</xdr:row>
      <xdr:rowOff>94335</xdr:rowOff>
    </xdr:to>
    <xdr:graphicFrame macro="">
      <xdr:nvGraphicFramePr>
        <xdr:cNvPr id="2" name="Chart 1">
          <a:extLst>
            <a:ext uri="{FF2B5EF4-FFF2-40B4-BE49-F238E27FC236}">
              <a16:creationId xmlns=""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10</xdr:row>
      <xdr:rowOff>75410</xdr:rowOff>
    </xdr:from>
    <xdr:to>
      <xdr:col>1</xdr:col>
      <xdr:colOff>279091</xdr:colOff>
      <xdr:row>24</xdr:row>
      <xdr:rowOff>4505</xdr:rowOff>
    </xdr:to>
    <xdr:pic>
      <xdr:nvPicPr>
        <xdr:cNvPr id="3" name="Picture 2">
          <a:extLst>
            <a:ext uri="{FF2B5EF4-FFF2-40B4-BE49-F238E27FC236}">
              <a16:creationId xmlns=""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r="53414"/>
        <a:stretch/>
      </xdr:blipFill>
      <xdr:spPr>
        <a:xfrm>
          <a:off x="5067300" y="1647035"/>
          <a:ext cx="1002991" cy="2729445"/>
        </a:xfrm>
        <a:prstGeom prst="rect">
          <a:avLst/>
        </a:prstGeom>
      </xdr:spPr>
    </xdr:pic>
    <xdr:clientData/>
  </xdr:twoCellAnchor>
  <xdr:twoCellAnchor editAs="oneCell">
    <xdr:from>
      <xdr:col>5</xdr:col>
      <xdr:colOff>792549</xdr:colOff>
      <xdr:row>10</xdr:row>
      <xdr:rowOff>7816</xdr:rowOff>
    </xdr:from>
    <xdr:to>
      <xdr:col>7</xdr:col>
      <xdr:colOff>82037</xdr:colOff>
      <xdr:row>24</xdr:row>
      <xdr:rowOff>35805</xdr:rowOff>
    </xdr:to>
    <xdr:pic>
      <xdr:nvPicPr>
        <xdr:cNvPr id="4" name="Picture 3">
          <a:extLst>
            <a:ext uri="{FF2B5EF4-FFF2-40B4-BE49-F238E27FC236}">
              <a16:creationId xmlns="" xmlns:a16="http://schemas.microsoft.com/office/drawing/2014/main" id="{00000000-0008-0000-0800-000004000000}"/>
            </a:ext>
          </a:extLst>
        </xdr:cNvPr>
        <xdr:cNvPicPr>
          <a:picLocks noChangeAspect="1"/>
        </xdr:cNvPicPr>
      </xdr:nvPicPr>
      <xdr:blipFill rotWithShape="1">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l="55122"/>
        <a:stretch/>
      </xdr:blipFill>
      <xdr:spPr>
        <a:xfrm>
          <a:off x="4364424" y="4294066"/>
          <a:ext cx="984938" cy="2828339"/>
        </a:xfrm>
        <a:prstGeom prst="rect">
          <a:avLst/>
        </a:prstGeom>
      </xdr:spPr>
    </xdr:pic>
    <xdr:clientData/>
  </xdr:twoCellAnchor>
  <xdr:twoCellAnchor>
    <xdr:from>
      <xdr:col>8</xdr:col>
      <xdr:colOff>9525</xdr:colOff>
      <xdr:row>5</xdr:row>
      <xdr:rowOff>9526</xdr:rowOff>
    </xdr:from>
    <xdr:to>
      <xdr:col>14</xdr:col>
      <xdr:colOff>828675</xdr:colOff>
      <xdr:row>18</xdr:row>
      <xdr:rowOff>4581</xdr:rowOff>
    </xdr:to>
    <xdr:graphicFrame macro="">
      <xdr:nvGraphicFramePr>
        <xdr:cNvPr id="5" name="Chart 4">
          <a:extLst>
            <a:ext uri="{FF2B5EF4-FFF2-40B4-BE49-F238E27FC236}">
              <a16:creationId xmlns=""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11359</xdr:colOff>
      <xdr:row>18</xdr:row>
      <xdr:rowOff>32605</xdr:rowOff>
    </xdr:from>
    <xdr:to>
      <xdr:col>14</xdr:col>
      <xdr:colOff>833437</xdr:colOff>
      <xdr:row>28</xdr:row>
      <xdr:rowOff>114300</xdr:rowOff>
    </xdr:to>
    <xdr:graphicFrame macro="">
      <xdr:nvGraphicFramePr>
        <xdr:cNvPr id="6" name="Chart 5">
          <a:extLst>
            <a:ext uri="{FF2B5EF4-FFF2-40B4-BE49-F238E27FC236}">
              <a16:creationId xmlns=""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494785</xdr:colOff>
      <xdr:row>27</xdr:row>
      <xdr:rowOff>47624</xdr:rowOff>
    </xdr:from>
    <xdr:to>
      <xdr:col>9</xdr:col>
      <xdr:colOff>539304</xdr:colOff>
      <xdr:row>39</xdr:row>
      <xdr:rowOff>0</xdr:rowOff>
    </xdr:to>
    <xdr:pic>
      <xdr:nvPicPr>
        <xdr:cNvPr id="7" name="Picture 6">
          <a:extLst>
            <a:ext uri="{FF2B5EF4-FFF2-40B4-BE49-F238E27FC236}">
              <a16:creationId xmlns="" xmlns:a16="http://schemas.microsoft.com/office/drawing/2014/main" id="{00000000-0008-0000-0800-000007000000}"/>
            </a:ext>
          </a:extLst>
        </xdr:cNvPr>
        <xdr:cNvPicPr>
          <a:picLocks noChangeAspect="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562085" y="11820524"/>
          <a:ext cx="1254194" cy="2352676"/>
        </a:xfrm>
        <a:prstGeom prst="rect">
          <a:avLst/>
        </a:prstGeom>
      </xdr:spPr>
    </xdr:pic>
    <xdr:clientData/>
  </xdr:twoCellAnchor>
  <xdr:twoCellAnchor>
    <xdr:from>
      <xdr:col>0</xdr:col>
      <xdr:colOff>0</xdr:colOff>
      <xdr:row>52</xdr:row>
      <xdr:rowOff>143764</xdr:rowOff>
    </xdr:from>
    <xdr:to>
      <xdr:col>6</xdr:col>
      <xdr:colOff>847724</xdr:colOff>
      <xdr:row>65</xdr:row>
      <xdr:rowOff>149679</xdr:rowOff>
    </xdr:to>
    <xdr:graphicFrame macro="">
      <xdr:nvGraphicFramePr>
        <xdr:cNvPr id="9" name="Chart 8">
          <a:extLst>
            <a:ext uri="{FF2B5EF4-FFF2-40B4-BE49-F238E27FC236}">
              <a16:creationId xmlns="" xmlns:a16="http://schemas.microsoft.com/office/drawing/2014/main" id="{00000000-0008-0000-0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470289</xdr:colOff>
      <xdr:row>57</xdr:row>
      <xdr:rowOff>83424</xdr:rowOff>
    </xdr:from>
    <xdr:to>
      <xdr:col>10</xdr:col>
      <xdr:colOff>346354</xdr:colOff>
      <xdr:row>75</xdr:row>
      <xdr:rowOff>27661</xdr:rowOff>
    </xdr:to>
    <xdr:pic>
      <xdr:nvPicPr>
        <xdr:cNvPr id="11" name="Picture 10">
          <a:extLst>
            <a:ext uri="{FF2B5EF4-FFF2-40B4-BE49-F238E27FC236}">
              <a16:creationId xmlns="" xmlns:a16="http://schemas.microsoft.com/office/drawing/2014/main" id="{00000000-0008-0000-0800-00000B000000}"/>
            </a:ext>
          </a:extLst>
        </xdr:cNvPr>
        <xdr:cNvPicPr>
          <a:picLocks noChangeAspect="1"/>
        </xdr:cNvPicPr>
      </xdr:nvPicPr>
      <xdr:blipFill>
        <a:blip xmlns:r="http://schemas.openxmlformats.org/officeDocument/2006/relationships" r:embed="rId8">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604889" y="10656174"/>
          <a:ext cx="1781065" cy="3544687"/>
        </a:xfrm>
        <a:prstGeom prst="rect">
          <a:avLst/>
        </a:prstGeom>
      </xdr:spPr>
    </xdr:pic>
    <xdr:clientData/>
  </xdr:twoCellAnchor>
  <xdr:twoCellAnchor>
    <xdr:from>
      <xdr:col>0</xdr:col>
      <xdr:colOff>1</xdr:colOff>
      <xdr:row>77</xdr:row>
      <xdr:rowOff>27215</xdr:rowOff>
    </xdr:from>
    <xdr:to>
      <xdr:col>7</xdr:col>
      <xdr:colOff>9525</xdr:colOff>
      <xdr:row>95</xdr:row>
      <xdr:rowOff>54429</xdr:rowOff>
    </xdr:to>
    <xdr:graphicFrame macro="">
      <xdr:nvGraphicFramePr>
        <xdr:cNvPr id="12" name="Chart 11">
          <a:extLst>
            <a:ext uri="{FF2B5EF4-FFF2-40B4-BE49-F238E27FC236}">
              <a16:creationId xmlns="" xmlns:a16="http://schemas.microsoft.com/office/drawing/2014/main" id="{00000000-0008-0000-08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9525</xdr:colOff>
      <xdr:row>106</xdr:row>
      <xdr:rowOff>12457</xdr:rowOff>
    </xdr:from>
    <xdr:to>
      <xdr:col>12</xdr:col>
      <xdr:colOff>276225</xdr:colOff>
      <xdr:row>111</xdr:row>
      <xdr:rowOff>2932</xdr:rowOff>
    </xdr:to>
    <xdr:pic>
      <xdr:nvPicPr>
        <xdr:cNvPr id="13" name="Picture 12">
          <a:extLst>
            <a:ext uri="{FF2B5EF4-FFF2-40B4-BE49-F238E27FC236}">
              <a16:creationId xmlns="" xmlns:a16="http://schemas.microsoft.com/office/drawing/2014/main" id="{00000000-0008-0000-0800-00000D000000}"/>
            </a:ext>
          </a:extLst>
        </xdr:cNvPr>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300" y="22891507"/>
          <a:ext cx="981075" cy="990600"/>
        </a:xfrm>
        <a:prstGeom prst="rect">
          <a:avLst/>
        </a:prstGeom>
      </xdr:spPr>
    </xdr:pic>
    <xdr:clientData/>
  </xdr:twoCellAnchor>
  <xdr:twoCellAnchor editAs="oneCell">
    <xdr:from>
      <xdr:col>9</xdr:col>
      <xdr:colOff>7327</xdr:colOff>
      <xdr:row>106</xdr:row>
      <xdr:rowOff>95193</xdr:rowOff>
    </xdr:from>
    <xdr:to>
      <xdr:col>10</xdr:col>
      <xdr:colOff>168107</xdr:colOff>
      <xdr:row>110</xdr:row>
      <xdr:rowOff>177041</xdr:rowOff>
    </xdr:to>
    <xdr:pic>
      <xdr:nvPicPr>
        <xdr:cNvPr id="14" name="Picture 13">
          <a:extLst>
            <a:ext uri="{FF2B5EF4-FFF2-40B4-BE49-F238E27FC236}">
              <a16:creationId xmlns="" xmlns:a16="http://schemas.microsoft.com/office/drawing/2014/main" id="{00000000-0008-0000-0800-00000E000000}"/>
            </a:ext>
          </a:extLst>
        </xdr:cNvPr>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6371277" y="13268268"/>
          <a:ext cx="884680" cy="881948"/>
        </a:xfrm>
        <a:prstGeom prst="rect">
          <a:avLst/>
        </a:prstGeom>
      </xdr:spPr>
    </xdr:pic>
    <xdr:clientData/>
  </xdr:twoCellAnchor>
  <xdr:twoCellAnchor editAs="oneCell">
    <xdr:from>
      <xdr:col>13</xdr:col>
      <xdr:colOff>61875</xdr:colOff>
      <xdr:row>106</xdr:row>
      <xdr:rowOff>166650</xdr:rowOff>
    </xdr:from>
    <xdr:to>
      <xdr:col>14</xdr:col>
      <xdr:colOff>0</xdr:colOff>
      <xdr:row>110</xdr:row>
      <xdr:rowOff>172316</xdr:rowOff>
    </xdr:to>
    <xdr:pic>
      <xdr:nvPicPr>
        <xdr:cNvPr id="15" name="Picture 14">
          <a:extLst>
            <a:ext uri="{FF2B5EF4-FFF2-40B4-BE49-F238E27FC236}">
              <a16:creationId xmlns="" xmlns:a16="http://schemas.microsoft.com/office/drawing/2014/main" id="{00000000-0008-0000-0800-00000F000000}"/>
            </a:ext>
          </a:extLst>
        </xdr:cNvPr>
        <xdr:cNvPicPr>
          <a:picLocks noChangeAspect="1"/>
        </xdr:cNvPicPr>
      </xdr:nvPicPr>
      <xdr:blipFill>
        <a:blip xmlns:r="http://schemas.openxmlformats.org/officeDocument/2006/relationships" r:embed="rId1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8788025" y="13339725"/>
          <a:ext cx="804900" cy="805766"/>
        </a:xfrm>
        <a:prstGeom prst="rect">
          <a:avLst/>
        </a:prstGeom>
      </xdr:spPr>
    </xdr:pic>
    <xdr:clientData/>
  </xdr:twoCellAnchor>
  <xdr:twoCellAnchor>
    <xdr:from>
      <xdr:col>18</xdr:col>
      <xdr:colOff>1</xdr:colOff>
      <xdr:row>5</xdr:row>
      <xdr:rowOff>19051</xdr:rowOff>
    </xdr:from>
    <xdr:to>
      <xdr:col>22</xdr:col>
      <xdr:colOff>557121</xdr:colOff>
      <xdr:row>19</xdr:row>
      <xdr:rowOff>67235</xdr:rowOff>
    </xdr:to>
    <xdr:graphicFrame macro="">
      <xdr:nvGraphicFramePr>
        <xdr:cNvPr id="16" name="Chart 15">
          <a:extLst>
            <a:ext uri="{FF2B5EF4-FFF2-40B4-BE49-F238E27FC236}">
              <a16:creationId xmlns=""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0</xdr:colOff>
      <xdr:row>19</xdr:row>
      <xdr:rowOff>100853</xdr:rowOff>
    </xdr:from>
    <xdr:to>
      <xdr:col>24</xdr:col>
      <xdr:colOff>342900</xdr:colOff>
      <xdr:row>32</xdr:row>
      <xdr:rowOff>159919</xdr:rowOff>
    </xdr:to>
    <xdr:graphicFrame macro="">
      <xdr:nvGraphicFramePr>
        <xdr:cNvPr id="17" name="Chart 16">
          <a:extLst>
            <a:ext uri="{FF2B5EF4-FFF2-40B4-BE49-F238E27FC236}">
              <a16:creationId xmlns=""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22</xdr:col>
      <xdr:colOff>302011</xdr:colOff>
      <xdr:row>5</xdr:row>
      <xdr:rowOff>11205</xdr:rowOff>
    </xdr:from>
    <xdr:to>
      <xdr:col>23</xdr:col>
      <xdr:colOff>661870</xdr:colOff>
      <xdr:row>10</xdr:row>
      <xdr:rowOff>10505</xdr:rowOff>
    </xdr:to>
    <xdr:pic>
      <xdr:nvPicPr>
        <xdr:cNvPr id="18" name="Picture 17">
          <a:extLst>
            <a:ext uri="{FF2B5EF4-FFF2-40B4-BE49-F238E27FC236}">
              <a16:creationId xmlns="" xmlns:a16="http://schemas.microsoft.com/office/drawing/2014/main" id="{00000000-0008-0000-0800-000012000000}"/>
            </a:ext>
          </a:extLst>
        </xdr:cNvPr>
        <xdr:cNvPicPr>
          <a:picLocks noChangeAspect="1"/>
        </xdr:cNvPicPr>
      </xdr:nvPicPr>
      <xdr:blipFill>
        <a:blip xmlns:r="http://schemas.openxmlformats.org/officeDocument/2006/relationships" r:embed="rId15"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5532486" y="3297330"/>
          <a:ext cx="1074234" cy="999425"/>
        </a:xfrm>
        <a:prstGeom prst="rect">
          <a:avLst/>
        </a:prstGeom>
      </xdr:spPr>
    </xdr:pic>
    <xdr:clientData/>
  </xdr:twoCellAnchor>
  <xdr:twoCellAnchor editAs="oneCell">
    <xdr:from>
      <xdr:col>23</xdr:col>
      <xdr:colOff>250502</xdr:colOff>
      <xdr:row>7</xdr:row>
      <xdr:rowOff>84889</xdr:rowOff>
    </xdr:from>
    <xdr:to>
      <xdr:col>24</xdr:col>
      <xdr:colOff>592021</xdr:colOff>
      <xdr:row>15</xdr:row>
      <xdr:rowOff>56821</xdr:rowOff>
    </xdr:to>
    <xdr:pic>
      <xdr:nvPicPr>
        <xdr:cNvPr id="19" name="Picture 18">
          <a:extLst>
            <a:ext uri="{FF2B5EF4-FFF2-40B4-BE49-F238E27FC236}">
              <a16:creationId xmlns="" xmlns:a16="http://schemas.microsoft.com/office/drawing/2014/main" id="{00000000-0008-0000-0800-000013000000}"/>
            </a:ext>
          </a:extLst>
        </xdr:cNvPr>
        <xdr:cNvPicPr>
          <a:picLocks noChangeAspect="1"/>
        </xdr:cNvPicPr>
      </xdr:nvPicPr>
      <xdr:blipFill>
        <a:blip xmlns:r="http://schemas.openxmlformats.org/officeDocument/2006/relationships" r:embed="rId1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6195352" y="3771064"/>
          <a:ext cx="1189244" cy="1572132"/>
        </a:xfrm>
        <a:prstGeom prst="rect">
          <a:avLst/>
        </a:prstGeom>
      </xdr:spPr>
    </xdr:pic>
    <xdr:clientData/>
  </xdr:twoCellAnchor>
  <xdr:twoCellAnchor editAs="oneCell">
    <xdr:from>
      <xdr:col>23</xdr:col>
      <xdr:colOff>541841</xdr:colOff>
      <xdr:row>18</xdr:row>
      <xdr:rowOff>116111</xdr:rowOff>
    </xdr:from>
    <xdr:to>
      <xdr:col>24</xdr:col>
      <xdr:colOff>801304</xdr:colOff>
      <xdr:row>25</xdr:row>
      <xdr:rowOff>94591</xdr:rowOff>
    </xdr:to>
    <xdr:pic>
      <xdr:nvPicPr>
        <xdr:cNvPr id="20" name="Picture 19">
          <a:extLst>
            <a:ext uri="{FF2B5EF4-FFF2-40B4-BE49-F238E27FC236}">
              <a16:creationId xmlns="" xmlns:a16="http://schemas.microsoft.com/office/drawing/2014/main" id="{00000000-0008-0000-0800-000014000000}"/>
            </a:ext>
          </a:extLst>
        </xdr:cNvPr>
        <xdr:cNvPicPr>
          <a:picLocks noChangeAspect="1"/>
        </xdr:cNvPicPr>
      </xdr:nvPicPr>
      <xdr:blipFill>
        <a:blip xmlns:r="http://schemas.openxmlformats.org/officeDocument/2006/relationships" r:embed="rId17"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6486691" y="6002561"/>
          <a:ext cx="1107188" cy="1378655"/>
        </a:xfrm>
        <a:prstGeom prst="rect">
          <a:avLst/>
        </a:prstGeom>
      </xdr:spPr>
    </xdr:pic>
    <xdr:clientData/>
  </xdr:twoCellAnchor>
  <xdr:twoCellAnchor editAs="oneCell">
    <xdr:from>
      <xdr:col>22</xdr:col>
      <xdr:colOff>420784</xdr:colOff>
      <xdr:row>13</xdr:row>
      <xdr:rowOff>200024</xdr:rowOff>
    </xdr:from>
    <xdr:to>
      <xdr:col>23</xdr:col>
      <xdr:colOff>665932</xdr:colOff>
      <xdr:row>19</xdr:row>
      <xdr:rowOff>19089</xdr:rowOff>
    </xdr:to>
    <xdr:pic>
      <xdr:nvPicPr>
        <xdr:cNvPr id="21" name="Picture 20">
          <a:extLst>
            <a:ext uri="{FF2B5EF4-FFF2-40B4-BE49-F238E27FC236}">
              <a16:creationId xmlns="" xmlns:a16="http://schemas.microsoft.com/office/drawing/2014/main" id="{00000000-0008-0000-0800-000015000000}"/>
            </a:ext>
          </a:extLst>
        </xdr:cNvPr>
        <xdr:cNvPicPr>
          <a:picLocks noChangeAspect="1"/>
        </xdr:cNvPicPr>
      </xdr:nvPicPr>
      <xdr:blipFill>
        <a:blip xmlns:r="http://schemas.openxmlformats.org/officeDocument/2006/relationships" r:embed="rId18"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5651259" y="5086349"/>
          <a:ext cx="959523" cy="1019215"/>
        </a:xfrm>
        <a:prstGeom prst="rect">
          <a:avLst/>
        </a:prstGeom>
      </xdr:spPr>
    </xdr:pic>
    <xdr:clientData/>
  </xdr:twoCellAnchor>
  <xdr:twoCellAnchor>
    <xdr:from>
      <xdr:col>28</xdr:col>
      <xdr:colOff>22411</xdr:colOff>
      <xdr:row>26</xdr:row>
      <xdr:rowOff>123265</xdr:rowOff>
    </xdr:from>
    <xdr:to>
      <xdr:col>32</xdr:col>
      <xdr:colOff>838200</xdr:colOff>
      <xdr:row>38</xdr:row>
      <xdr:rowOff>190500</xdr:rowOff>
    </xdr:to>
    <xdr:graphicFrame macro="">
      <xdr:nvGraphicFramePr>
        <xdr:cNvPr id="24" name="Chart 23">
          <a:extLst>
            <a:ext uri="{FF2B5EF4-FFF2-40B4-BE49-F238E27FC236}">
              <a16:creationId xmlns="" xmlns:a16="http://schemas.microsoft.com/office/drawing/2014/main" id="{00000000-0008-0000-08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25</xdr:col>
      <xdr:colOff>493060</xdr:colOff>
      <xdr:row>21</xdr:row>
      <xdr:rowOff>2</xdr:rowOff>
    </xdr:from>
    <xdr:to>
      <xdr:col>28</xdr:col>
      <xdr:colOff>220880</xdr:colOff>
      <xdr:row>28</xdr:row>
      <xdr:rowOff>134472</xdr:rowOff>
    </xdr:to>
    <xdr:pic>
      <xdr:nvPicPr>
        <xdr:cNvPr id="25" name="Picture 24">
          <a:extLst>
            <a:ext uri="{FF2B5EF4-FFF2-40B4-BE49-F238E27FC236}">
              <a16:creationId xmlns="" xmlns:a16="http://schemas.microsoft.com/office/drawing/2014/main" id="{00000000-0008-0000-0800-000019000000}"/>
            </a:ext>
          </a:extLst>
        </xdr:cNvPr>
        <xdr:cNvPicPr>
          <a:picLocks noChangeAspect="1"/>
        </xdr:cNvPicPr>
      </xdr:nvPicPr>
      <xdr:blipFill>
        <a:blip xmlns:r="http://schemas.openxmlformats.org/officeDocument/2006/relationships" r:embed="rId20"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93060" y="24174452"/>
          <a:ext cx="1661395" cy="1534645"/>
        </a:xfrm>
        <a:prstGeom prst="rect">
          <a:avLst/>
        </a:prstGeom>
      </xdr:spPr>
    </xdr:pic>
    <xdr:clientData/>
  </xdr:twoCellAnchor>
  <xdr:twoCellAnchor>
    <xdr:from>
      <xdr:col>18</xdr:col>
      <xdr:colOff>19050</xdr:colOff>
      <xdr:row>41</xdr:row>
      <xdr:rowOff>19050</xdr:rowOff>
    </xdr:from>
    <xdr:to>
      <xdr:col>25</xdr:col>
      <xdr:colOff>0</xdr:colOff>
      <xdr:row>56</xdr:row>
      <xdr:rowOff>19050</xdr:rowOff>
    </xdr:to>
    <xdr:graphicFrame macro="">
      <xdr:nvGraphicFramePr>
        <xdr:cNvPr id="29" name="Chart 28">
          <a:extLst>
            <a:ext uri="{FF2B5EF4-FFF2-40B4-BE49-F238E27FC236}">
              <a16:creationId xmlns="" xmlns:a16="http://schemas.microsoft.com/office/drawing/2014/main" id="{00000000-0008-0000-08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oneCellAnchor>
    <xdr:from>
      <xdr:col>18</xdr:col>
      <xdr:colOff>15945</xdr:colOff>
      <xdr:row>56</xdr:row>
      <xdr:rowOff>23380</xdr:rowOff>
    </xdr:from>
    <xdr:ext cx="978477" cy="1063561"/>
    <xdr:sp macro="" textlink="">
      <xdr:nvSpPr>
        <xdr:cNvPr id="30" name="TextBox 29">
          <a:extLst>
            <a:ext uri="{FF2B5EF4-FFF2-40B4-BE49-F238E27FC236}">
              <a16:creationId xmlns="" xmlns:a16="http://schemas.microsoft.com/office/drawing/2014/main" id="{00000000-0008-0000-0800-00001E000000}"/>
            </a:ext>
          </a:extLst>
        </xdr:cNvPr>
        <xdr:cNvSpPr txBox="1"/>
      </xdr:nvSpPr>
      <xdr:spPr>
        <a:xfrm>
          <a:off x="5664270" y="23997805"/>
          <a:ext cx="978477" cy="1063561"/>
        </a:xfrm>
        <a:prstGeom prst="rect">
          <a:avLst/>
        </a:prstGeom>
        <a:solidFill>
          <a:schemeClr val="accent1">
            <a:lumMod val="20000"/>
            <a:lumOff val="80000"/>
          </a:schemeClr>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PH" sz="800" b="1" i="0">
              <a:latin typeface="Arial Narrow" panose="020B0606020202030204" pitchFamily="34" charset="0"/>
            </a:rPr>
            <a:t>Planning Standards</a:t>
          </a:r>
        </a:p>
        <a:p>
          <a:endParaRPr lang="en-PH" sz="800" b="1" i="0">
            <a:latin typeface="Arial Narrow" panose="020B0606020202030204" pitchFamily="34" charset="0"/>
          </a:endParaRPr>
        </a:p>
        <a:p>
          <a:r>
            <a:rPr lang="en-PH" sz="1000">
              <a:latin typeface="Arial Narrow" panose="020B0606020202030204" pitchFamily="34" charset="0"/>
            </a:rPr>
            <a:t>K</a:t>
          </a:r>
          <a:r>
            <a:rPr lang="en-PH" sz="1000" baseline="0">
              <a:latin typeface="Arial Narrow" panose="020B0606020202030204" pitchFamily="34" charset="0"/>
            </a:rPr>
            <a:t> - G1       -   25</a:t>
          </a:r>
        </a:p>
        <a:p>
          <a:r>
            <a:rPr lang="en-PH" sz="1000" baseline="0">
              <a:latin typeface="Arial Narrow" panose="020B0606020202030204" pitchFamily="34" charset="0"/>
            </a:rPr>
            <a:t>G2 - G3     -  40</a:t>
          </a:r>
        </a:p>
        <a:p>
          <a:r>
            <a:rPr lang="en-PH" sz="1000" baseline="0">
              <a:latin typeface="Arial Narrow" panose="020B0606020202030204" pitchFamily="34" charset="0"/>
            </a:rPr>
            <a:t>G4 - G6     -  45</a:t>
          </a:r>
        </a:p>
        <a:p>
          <a:r>
            <a:rPr lang="en-PH" sz="1000" baseline="0">
              <a:latin typeface="Arial Narrow" panose="020B0606020202030204" pitchFamily="34" charset="0"/>
            </a:rPr>
            <a:t>G7 - G10   -  50</a:t>
          </a:r>
        </a:p>
        <a:p>
          <a:r>
            <a:rPr lang="en-PH" sz="1000" baseline="0">
              <a:latin typeface="Arial Narrow" panose="020B0606020202030204" pitchFamily="34" charset="0"/>
            </a:rPr>
            <a:t>G11 - G12 -  40</a:t>
          </a:r>
          <a:endParaRPr lang="en-PH" sz="1000">
            <a:latin typeface="Arial Narrow" panose="020B0606020202030204" pitchFamily="34" charset="0"/>
          </a:endParaRPr>
        </a:p>
      </xdr:txBody>
    </xdr:sp>
    <xdr:clientData/>
  </xdr:oneCellAnchor>
  <xdr:twoCellAnchor editAs="oneCell">
    <xdr:from>
      <xdr:col>18</xdr:col>
      <xdr:colOff>57149</xdr:colOff>
      <xdr:row>61</xdr:row>
      <xdr:rowOff>9525</xdr:rowOff>
    </xdr:from>
    <xdr:to>
      <xdr:col>21</xdr:col>
      <xdr:colOff>550254</xdr:colOff>
      <xdr:row>74</xdr:row>
      <xdr:rowOff>133349</xdr:rowOff>
    </xdr:to>
    <xdr:pic>
      <xdr:nvPicPr>
        <xdr:cNvPr id="31" name="Picture 30">
          <a:extLst>
            <a:ext uri="{FF2B5EF4-FFF2-40B4-BE49-F238E27FC236}">
              <a16:creationId xmlns="" xmlns:a16="http://schemas.microsoft.com/office/drawing/2014/main" id="{00000000-0008-0000-0800-00001F000000}"/>
            </a:ext>
          </a:extLst>
        </xdr:cNvPr>
        <xdr:cNvPicPr>
          <a:picLocks noChangeAspect="1"/>
        </xdr:cNvPicPr>
      </xdr:nvPicPr>
      <xdr:blipFill>
        <a:blip xmlns:r="http://schemas.openxmlformats.org/officeDocument/2006/relationships" r:embed="rId2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420349" y="11439525"/>
          <a:ext cx="2664805" cy="2600324"/>
        </a:xfrm>
        <a:prstGeom prst="rect">
          <a:avLst/>
        </a:prstGeom>
      </xdr:spPr>
    </xdr:pic>
    <xdr:clientData/>
  </xdr:twoCellAnchor>
  <xdr:twoCellAnchor>
    <xdr:from>
      <xdr:col>26</xdr:col>
      <xdr:colOff>19050</xdr:colOff>
      <xdr:row>41</xdr:row>
      <xdr:rowOff>19049</xdr:rowOff>
    </xdr:from>
    <xdr:to>
      <xdr:col>32</xdr:col>
      <xdr:colOff>838200</xdr:colOff>
      <xdr:row>54</xdr:row>
      <xdr:rowOff>171450</xdr:rowOff>
    </xdr:to>
    <xdr:graphicFrame macro="">
      <xdr:nvGraphicFramePr>
        <xdr:cNvPr id="32" name="Chart 31">
          <a:extLst>
            <a:ext uri="{FF2B5EF4-FFF2-40B4-BE49-F238E27FC236}">
              <a16:creationId xmlns="" xmlns:a16="http://schemas.microsoft.com/office/drawing/2014/main" id="{00000000-0008-0000-08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oneCellAnchor>
    <xdr:from>
      <xdr:col>26</xdr:col>
      <xdr:colOff>11724</xdr:colOff>
      <xdr:row>55</xdr:row>
      <xdr:rowOff>6594</xdr:rowOff>
    </xdr:from>
    <xdr:ext cx="1116622" cy="960584"/>
    <xdr:sp macro="" textlink="">
      <xdr:nvSpPr>
        <xdr:cNvPr id="33" name="TextBox 32">
          <a:extLst>
            <a:ext uri="{FF2B5EF4-FFF2-40B4-BE49-F238E27FC236}">
              <a16:creationId xmlns="" xmlns:a16="http://schemas.microsoft.com/office/drawing/2014/main" id="{00000000-0008-0000-0800-000021000000}"/>
            </a:ext>
          </a:extLst>
        </xdr:cNvPr>
        <xdr:cNvSpPr txBox="1"/>
      </xdr:nvSpPr>
      <xdr:spPr>
        <a:xfrm>
          <a:off x="10146324" y="16980144"/>
          <a:ext cx="1116622" cy="960584"/>
        </a:xfrm>
        <a:prstGeom prst="rect">
          <a:avLst/>
        </a:prstGeom>
        <a:solidFill>
          <a:schemeClr val="accent1">
            <a:lumMod val="20000"/>
            <a:lumOff val="80000"/>
          </a:schemeClr>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PH" sz="900" b="1" i="0">
              <a:latin typeface="Arial Narrow" panose="020B0606020202030204" pitchFamily="34" charset="0"/>
            </a:rPr>
            <a:t>Planning Standards</a:t>
          </a:r>
        </a:p>
        <a:p>
          <a:r>
            <a:rPr lang="en-PH" sz="1000">
              <a:latin typeface="Arial Narrow" panose="020B0606020202030204" pitchFamily="34" charset="0"/>
            </a:rPr>
            <a:t>K</a:t>
          </a:r>
          <a:r>
            <a:rPr lang="en-PH" sz="1000" baseline="0">
              <a:latin typeface="Arial Narrow" panose="020B0606020202030204" pitchFamily="34" charset="0"/>
            </a:rPr>
            <a:t> - G1       -   25</a:t>
          </a:r>
        </a:p>
        <a:p>
          <a:r>
            <a:rPr lang="en-PH" sz="1000" baseline="0">
              <a:latin typeface="Arial Narrow" panose="020B0606020202030204" pitchFamily="34" charset="0"/>
            </a:rPr>
            <a:t>G2 - G3     -  40</a:t>
          </a:r>
        </a:p>
        <a:p>
          <a:r>
            <a:rPr lang="en-PH" sz="1000" baseline="0">
              <a:latin typeface="Arial Narrow" panose="020B0606020202030204" pitchFamily="34" charset="0"/>
            </a:rPr>
            <a:t>G4 - G6     -  45</a:t>
          </a:r>
        </a:p>
        <a:p>
          <a:r>
            <a:rPr lang="en-PH" sz="1000" baseline="0">
              <a:latin typeface="Arial Narrow" panose="020B0606020202030204" pitchFamily="34" charset="0"/>
            </a:rPr>
            <a:t>G7 - G10   -  50</a:t>
          </a:r>
        </a:p>
        <a:p>
          <a:r>
            <a:rPr lang="en-PH" sz="1000" baseline="0">
              <a:latin typeface="Arial Narrow" panose="020B0606020202030204" pitchFamily="34" charset="0"/>
            </a:rPr>
            <a:t>G11 - G12 -  40</a:t>
          </a:r>
          <a:endParaRPr lang="en-PH" sz="1000">
            <a:latin typeface="Arial Narrow" panose="020B0606020202030204" pitchFamily="34" charset="0"/>
          </a:endParaRPr>
        </a:p>
      </xdr:txBody>
    </xdr:sp>
    <xdr:clientData/>
  </xdr:oneCellAnchor>
  <xdr:twoCellAnchor editAs="oneCell">
    <xdr:from>
      <xdr:col>26</xdr:col>
      <xdr:colOff>6580</xdr:colOff>
      <xdr:row>65</xdr:row>
      <xdr:rowOff>29310</xdr:rowOff>
    </xdr:from>
    <xdr:to>
      <xdr:col>29</xdr:col>
      <xdr:colOff>113567</xdr:colOff>
      <xdr:row>74</xdr:row>
      <xdr:rowOff>114300</xdr:rowOff>
    </xdr:to>
    <xdr:pic>
      <xdr:nvPicPr>
        <xdr:cNvPr id="34" name="Picture 33">
          <a:extLst>
            <a:ext uri="{FF2B5EF4-FFF2-40B4-BE49-F238E27FC236}">
              <a16:creationId xmlns="" xmlns:a16="http://schemas.microsoft.com/office/drawing/2014/main" id="{00000000-0008-0000-0800-000022000000}"/>
            </a:ext>
          </a:extLst>
        </xdr:cNvPr>
        <xdr:cNvPicPr>
          <a:picLocks noChangeAspect="1"/>
        </xdr:cNvPicPr>
      </xdr:nvPicPr>
      <xdr:blipFill>
        <a:blip xmlns:r="http://schemas.openxmlformats.org/officeDocument/2006/relationships" r:embed="rId2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141180" y="19003110"/>
          <a:ext cx="2278687" cy="1885215"/>
        </a:xfrm>
        <a:prstGeom prst="rect">
          <a:avLst/>
        </a:prstGeom>
      </xdr:spPr>
    </xdr:pic>
    <xdr:clientData/>
  </xdr:twoCellAnchor>
  <xdr:twoCellAnchor>
    <xdr:from>
      <xdr:col>34</xdr:col>
      <xdr:colOff>25595</xdr:colOff>
      <xdr:row>41</xdr:row>
      <xdr:rowOff>29936</xdr:rowOff>
    </xdr:from>
    <xdr:to>
      <xdr:col>36</xdr:col>
      <xdr:colOff>435428</xdr:colOff>
      <xdr:row>54</xdr:row>
      <xdr:rowOff>163286</xdr:rowOff>
    </xdr:to>
    <xdr:graphicFrame macro="">
      <xdr:nvGraphicFramePr>
        <xdr:cNvPr id="35" name="Chart 34">
          <a:extLst>
            <a:ext uri="{FF2B5EF4-FFF2-40B4-BE49-F238E27FC236}">
              <a16:creationId xmlns="" xmlns:a16="http://schemas.microsoft.com/office/drawing/2014/main" id="{00000000-0008-0000-08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36</xdr:col>
      <xdr:colOff>434737</xdr:colOff>
      <xdr:row>41</xdr:row>
      <xdr:rowOff>13607</xdr:rowOff>
    </xdr:from>
    <xdr:to>
      <xdr:col>39</xdr:col>
      <xdr:colOff>732498</xdr:colOff>
      <xdr:row>48</xdr:row>
      <xdr:rowOff>149678</xdr:rowOff>
    </xdr:to>
    <xdr:pic>
      <xdr:nvPicPr>
        <xdr:cNvPr id="36" name="Picture 35">
          <a:extLst>
            <a:ext uri="{FF2B5EF4-FFF2-40B4-BE49-F238E27FC236}">
              <a16:creationId xmlns="" xmlns:a16="http://schemas.microsoft.com/office/drawing/2014/main" id="{00000000-0008-0000-0800-000024000000}"/>
            </a:ext>
          </a:extLst>
        </xdr:cNvPr>
        <xdr:cNvPicPr>
          <a:picLocks noChangeAspect="1"/>
        </xdr:cNvPicPr>
      </xdr:nvPicPr>
      <xdr:blipFill rotWithShape="1">
        <a:blip xmlns:r="http://schemas.openxmlformats.org/officeDocument/2006/relationships" r:embed="rId26">
          <a:clrChange>
            <a:clrFrom>
              <a:srgbClr val="FFFFFF"/>
            </a:clrFrom>
            <a:clrTo>
              <a:srgbClr val="FFFFFF">
                <a:alpha val="0"/>
              </a:srgbClr>
            </a:clrTo>
          </a:clrChange>
          <a:extLst>
            <a:ext uri="{28A0092B-C50C-407E-A947-70E740481C1C}">
              <a14:useLocalDpi xmlns:a14="http://schemas.microsoft.com/office/drawing/2010/main" val="0"/>
            </a:ext>
          </a:extLst>
        </a:blip>
        <a:srcRect b="26282"/>
        <a:stretch/>
      </xdr:blipFill>
      <xdr:spPr>
        <a:xfrm>
          <a:off x="12474337" y="20987657"/>
          <a:ext cx="2478986" cy="1536246"/>
        </a:xfrm>
        <a:prstGeom prst="rect">
          <a:avLst/>
        </a:prstGeom>
      </xdr:spPr>
    </xdr:pic>
    <xdr:clientData/>
  </xdr:twoCellAnchor>
  <xdr:oneCellAnchor>
    <xdr:from>
      <xdr:col>36</xdr:col>
      <xdr:colOff>385021</xdr:colOff>
      <xdr:row>47</xdr:row>
      <xdr:rowOff>48256</xdr:rowOff>
    </xdr:from>
    <xdr:ext cx="849207" cy="311496"/>
    <xdr:sp macro="" textlink="">
      <xdr:nvSpPr>
        <xdr:cNvPr id="37" name="Rectangle 36">
          <a:extLst>
            <a:ext uri="{FF2B5EF4-FFF2-40B4-BE49-F238E27FC236}">
              <a16:creationId xmlns="" xmlns:a16="http://schemas.microsoft.com/office/drawing/2014/main" id="{00000000-0008-0000-0800-000025000000}"/>
            </a:ext>
          </a:extLst>
        </xdr:cNvPr>
        <xdr:cNvSpPr/>
      </xdr:nvSpPr>
      <xdr:spPr>
        <a:xfrm>
          <a:off x="12424621" y="22222456"/>
          <a:ext cx="849207" cy="311496"/>
        </a:xfrm>
        <a:prstGeom prst="rect">
          <a:avLst/>
        </a:prstGeom>
        <a:noFill/>
      </xdr:spPr>
      <xdr:txBody>
        <a:bodyPr wrap="none" lIns="91440" tIns="45720" rIns="91440" bIns="45720">
          <a:spAutoFit/>
        </a:bodyPr>
        <a:lstStyle/>
        <a:p>
          <a:pPr algn="ctr"/>
          <a:r>
            <a:rPr lang="en-US" sz="1400" b="0" i="1" cap="none" spc="0">
              <a:ln w="0"/>
              <a:solidFill>
                <a:schemeClr val="tx1"/>
              </a:solidFill>
              <a:effectLst>
                <a:outerShdw blurRad="38100" dist="19050" dir="2700000" algn="tl" rotWithShape="0">
                  <a:schemeClr val="dk1">
                    <a:alpha val="40000"/>
                  </a:schemeClr>
                </a:outerShdw>
              </a:effectLst>
            </a:rPr>
            <a:t>Standard</a:t>
          </a:r>
          <a:endParaRPr lang="en-US" sz="1600" b="0" i="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37</xdr:col>
      <xdr:colOff>0</xdr:colOff>
      <xdr:row>58</xdr:row>
      <xdr:rowOff>54429</xdr:rowOff>
    </xdr:from>
    <xdr:to>
      <xdr:col>40</xdr:col>
      <xdr:colOff>828674</xdr:colOff>
      <xdr:row>74</xdr:row>
      <xdr:rowOff>136071</xdr:rowOff>
    </xdr:to>
    <xdr:graphicFrame macro="">
      <xdr:nvGraphicFramePr>
        <xdr:cNvPr id="38" name="Chart 37">
          <a:extLst>
            <a:ext uri="{FF2B5EF4-FFF2-40B4-BE49-F238E27FC236}">
              <a16:creationId xmlns="" xmlns:a16="http://schemas.microsoft.com/office/drawing/2014/main" id="{00000000-0008-0000-08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33</xdr:col>
      <xdr:colOff>494496</xdr:colOff>
      <xdr:row>57</xdr:row>
      <xdr:rowOff>98350</xdr:rowOff>
    </xdr:from>
    <xdr:to>
      <xdr:col>36</xdr:col>
      <xdr:colOff>506185</xdr:colOff>
      <xdr:row>66</xdr:row>
      <xdr:rowOff>2396</xdr:rowOff>
    </xdr:to>
    <xdr:pic>
      <xdr:nvPicPr>
        <xdr:cNvPr id="39" name="Picture 38">
          <a:extLst>
            <a:ext uri="{FF2B5EF4-FFF2-40B4-BE49-F238E27FC236}">
              <a16:creationId xmlns="" xmlns:a16="http://schemas.microsoft.com/office/drawing/2014/main" id="{00000000-0008-0000-0800-000027000000}"/>
            </a:ext>
          </a:extLst>
        </xdr:cNvPr>
        <xdr:cNvPicPr>
          <a:picLocks noChangeAspect="1"/>
        </xdr:cNvPicPr>
      </xdr:nvPicPr>
      <xdr:blipFill>
        <a:blip xmlns:r="http://schemas.openxmlformats.org/officeDocument/2006/relationships" r:embed="rId28"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629096" y="24272800"/>
          <a:ext cx="1945264" cy="1704271"/>
        </a:xfrm>
        <a:prstGeom prst="rect">
          <a:avLst/>
        </a:prstGeom>
      </xdr:spPr>
    </xdr:pic>
    <xdr:clientData/>
  </xdr:twoCellAnchor>
  <xdr:twoCellAnchor editAs="oneCell">
    <xdr:from>
      <xdr:col>21</xdr:col>
      <xdr:colOff>654218</xdr:colOff>
      <xdr:row>75</xdr:row>
      <xdr:rowOff>0</xdr:rowOff>
    </xdr:from>
    <xdr:to>
      <xdr:col>23</xdr:col>
      <xdr:colOff>533400</xdr:colOff>
      <xdr:row>83</xdr:row>
      <xdr:rowOff>14721</xdr:rowOff>
    </xdr:to>
    <xdr:pic>
      <xdr:nvPicPr>
        <xdr:cNvPr id="47" name="Picture 46">
          <a:extLst>
            <a:ext uri="{FF2B5EF4-FFF2-40B4-BE49-F238E27FC236}">
              <a16:creationId xmlns="" xmlns:a16="http://schemas.microsoft.com/office/drawing/2014/main" id="{00000000-0008-0000-0800-00002F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5170318" y="16983075"/>
          <a:ext cx="1307932" cy="1310121"/>
        </a:xfrm>
        <a:prstGeom prst="rect">
          <a:avLst/>
        </a:prstGeom>
      </xdr:spPr>
    </xdr:pic>
    <xdr:clientData/>
  </xdr:twoCellAnchor>
  <xdr:twoCellAnchor>
    <xdr:from>
      <xdr:col>17</xdr:col>
      <xdr:colOff>238127</xdr:colOff>
      <xdr:row>84</xdr:row>
      <xdr:rowOff>14263</xdr:rowOff>
    </xdr:from>
    <xdr:to>
      <xdr:col>19</xdr:col>
      <xdr:colOff>334915</xdr:colOff>
      <xdr:row>91</xdr:row>
      <xdr:rowOff>93429</xdr:rowOff>
    </xdr:to>
    <xdr:sp macro="" textlink="">
      <xdr:nvSpPr>
        <xdr:cNvPr id="49" name="Oval 48">
          <a:extLst>
            <a:ext uri="{FF2B5EF4-FFF2-40B4-BE49-F238E27FC236}">
              <a16:creationId xmlns="" xmlns:a16="http://schemas.microsoft.com/office/drawing/2014/main" id="{00000000-0008-0000-0800-000031000000}"/>
            </a:ext>
          </a:extLst>
        </xdr:cNvPr>
        <xdr:cNvSpPr/>
      </xdr:nvSpPr>
      <xdr:spPr>
        <a:xfrm>
          <a:off x="12001502" y="18492763"/>
          <a:ext cx="1420763" cy="1479341"/>
        </a:xfrm>
        <a:prstGeom prst="ellipse">
          <a:avLst/>
        </a:prstGeom>
        <a:blipFill dpi="0" rotWithShape="1">
          <a:blip xmlns:r="http://schemas.openxmlformats.org/officeDocument/2006/relationships" r:embed="rId30">
            <a:extLst>
              <a:ext uri="{28A0092B-C50C-407E-A947-70E740481C1C}">
                <a14:useLocalDpi xmlns:a14="http://schemas.microsoft.com/office/drawing/2010/main" val="0"/>
              </a:ext>
            </a:extLst>
          </a:blip>
          <a:srcRect/>
          <a:stretch>
            <a:fillRect/>
          </a:stretch>
        </a:blip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US" sz="1100"/>
        </a:p>
      </xdr:txBody>
    </xdr:sp>
    <xdr:clientData/>
  </xdr:twoCellAnchor>
  <xdr:twoCellAnchor>
    <xdr:from>
      <xdr:col>21</xdr:col>
      <xdr:colOff>588820</xdr:colOff>
      <xdr:row>92</xdr:row>
      <xdr:rowOff>177834</xdr:rowOff>
    </xdr:from>
    <xdr:to>
      <xdr:col>23</xdr:col>
      <xdr:colOff>561975</xdr:colOff>
      <xdr:row>100</xdr:row>
      <xdr:rowOff>25111</xdr:rowOff>
    </xdr:to>
    <xdr:sp macro="" textlink="">
      <xdr:nvSpPr>
        <xdr:cNvPr id="50" name="Oval 49">
          <a:extLst>
            <a:ext uri="{FF2B5EF4-FFF2-40B4-BE49-F238E27FC236}">
              <a16:creationId xmlns="" xmlns:a16="http://schemas.microsoft.com/office/drawing/2014/main" id="{00000000-0008-0000-0800-000032000000}"/>
            </a:ext>
          </a:extLst>
        </xdr:cNvPr>
        <xdr:cNvSpPr/>
      </xdr:nvSpPr>
      <xdr:spPr>
        <a:xfrm>
          <a:off x="15104920" y="20256534"/>
          <a:ext cx="1401905" cy="1447477"/>
        </a:xfrm>
        <a:prstGeom prst="ellipse">
          <a:avLst/>
        </a:prstGeom>
        <a:blipFill dpi="0" rotWithShape="1">
          <a:blip xmlns:r="http://schemas.openxmlformats.org/officeDocument/2006/relationships" r:embed="rId31">
            <a:extLst>
              <a:ext uri="{28A0092B-C50C-407E-A947-70E740481C1C}">
                <a14:useLocalDpi xmlns:a14="http://schemas.microsoft.com/office/drawing/2010/main" val="0"/>
              </a:ext>
            </a:extLst>
          </a:blip>
          <a:srcRect/>
          <a:stretch>
            <a:fillRect/>
          </a:stretch>
        </a:blip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US" sz="1100"/>
        </a:p>
      </xdr:txBody>
    </xdr:sp>
    <xdr:clientData/>
  </xdr:twoCellAnchor>
  <xdr:twoCellAnchor>
    <xdr:from>
      <xdr:col>21</xdr:col>
      <xdr:colOff>425521</xdr:colOff>
      <xdr:row>83</xdr:row>
      <xdr:rowOff>87494</xdr:rowOff>
    </xdr:from>
    <xdr:to>
      <xdr:col>24</xdr:col>
      <xdr:colOff>292413</xdr:colOff>
      <xdr:row>92</xdr:row>
      <xdr:rowOff>106255</xdr:rowOff>
    </xdr:to>
    <xdr:sp macro="" textlink="">
      <xdr:nvSpPr>
        <xdr:cNvPr id="51" name="Hexagon 50">
          <a:extLst>
            <a:ext uri="{FF2B5EF4-FFF2-40B4-BE49-F238E27FC236}">
              <a16:creationId xmlns="" xmlns:a16="http://schemas.microsoft.com/office/drawing/2014/main" id="{00000000-0008-0000-0800-000033000000}"/>
            </a:ext>
          </a:extLst>
        </xdr:cNvPr>
        <xdr:cNvSpPr/>
      </xdr:nvSpPr>
      <xdr:spPr>
        <a:xfrm>
          <a:off x="14941621" y="18365969"/>
          <a:ext cx="2143367" cy="1818986"/>
        </a:xfrm>
        <a:prstGeom prst="hexagon">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lin ang="5400000" scaled="1"/>
          <a:tileRect/>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18</xdr:col>
      <xdr:colOff>696881</xdr:colOff>
      <xdr:row>88</xdr:row>
      <xdr:rowOff>36736</xdr:rowOff>
    </xdr:from>
    <xdr:to>
      <xdr:col>22</xdr:col>
      <xdr:colOff>95620</xdr:colOff>
      <xdr:row>97</xdr:row>
      <xdr:rowOff>55497</xdr:rowOff>
    </xdr:to>
    <xdr:sp macro="" textlink="">
      <xdr:nvSpPr>
        <xdr:cNvPr id="52" name="Hexagon 51">
          <a:extLst>
            <a:ext uri="{FF2B5EF4-FFF2-40B4-BE49-F238E27FC236}">
              <a16:creationId xmlns="" xmlns:a16="http://schemas.microsoft.com/office/drawing/2014/main" id="{00000000-0008-0000-0800-000034000000}"/>
            </a:ext>
          </a:extLst>
        </xdr:cNvPr>
        <xdr:cNvSpPr/>
      </xdr:nvSpPr>
      <xdr:spPr>
        <a:xfrm>
          <a:off x="12455926" y="19000145"/>
          <a:ext cx="2238921" cy="1889125"/>
        </a:xfrm>
        <a:prstGeom prst="hexagon">
          <a:avLst/>
        </a:prstGeom>
        <a:gradFill flip="none" rotWithShape="1">
          <a:gsLst>
            <a:gs pos="0">
              <a:srgbClr val="F937DD">
                <a:tint val="66000"/>
                <a:satMod val="160000"/>
              </a:srgbClr>
            </a:gs>
            <a:gs pos="50000">
              <a:srgbClr val="F937DD">
                <a:tint val="44500"/>
                <a:satMod val="160000"/>
              </a:srgbClr>
            </a:gs>
            <a:gs pos="100000">
              <a:srgbClr val="F937DD">
                <a:tint val="23500"/>
                <a:satMod val="160000"/>
              </a:srgbClr>
            </a:gs>
          </a:gsLst>
          <a:lin ang="0" scaled="1"/>
          <a:tileRect/>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19</xdr:col>
      <xdr:colOff>21718</xdr:colOff>
      <xdr:row>78</xdr:row>
      <xdr:rowOff>103909</xdr:rowOff>
    </xdr:from>
    <xdr:to>
      <xdr:col>22</xdr:col>
      <xdr:colOff>116649</xdr:colOff>
      <xdr:row>87</xdr:row>
      <xdr:rowOff>132273</xdr:rowOff>
    </xdr:to>
    <xdr:sp macro="" textlink="">
      <xdr:nvSpPr>
        <xdr:cNvPr id="53" name="Hexagon 52">
          <a:extLst>
            <a:ext uri="{FF2B5EF4-FFF2-40B4-BE49-F238E27FC236}">
              <a16:creationId xmlns="" xmlns:a16="http://schemas.microsoft.com/office/drawing/2014/main" id="{00000000-0008-0000-0800-000035000000}"/>
            </a:ext>
          </a:extLst>
        </xdr:cNvPr>
        <xdr:cNvSpPr/>
      </xdr:nvSpPr>
      <xdr:spPr>
        <a:xfrm>
          <a:off x="12490809" y="16989136"/>
          <a:ext cx="2225067" cy="1898728"/>
        </a:xfrm>
        <a:prstGeom prst="hexagon">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18</xdr:col>
      <xdr:colOff>276464</xdr:colOff>
      <xdr:row>94</xdr:row>
      <xdr:rowOff>78599</xdr:rowOff>
    </xdr:from>
    <xdr:to>
      <xdr:col>19</xdr:col>
      <xdr:colOff>171735</xdr:colOff>
      <xdr:row>97</xdr:row>
      <xdr:rowOff>10428</xdr:rowOff>
    </xdr:to>
    <xdr:sp macro="" textlink="">
      <xdr:nvSpPr>
        <xdr:cNvPr id="54" name="Hexagon 53">
          <a:extLst>
            <a:ext uri="{FF2B5EF4-FFF2-40B4-BE49-F238E27FC236}">
              <a16:creationId xmlns="" xmlns:a16="http://schemas.microsoft.com/office/drawing/2014/main" id="{00000000-0008-0000-0800-000036000000}"/>
            </a:ext>
          </a:extLst>
        </xdr:cNvPr>
        <xdr:cNvSpPr/>
      </xdr:nvSpPr>
      <xdr:spPr>
        <a:xfrm>
          <a:off x="12649439" y="20557349"/>
          <a:ext cx="609646" cy="531904"/>
        </a:xfrm>
        <a:prstGeom prst="hexagon">
          <a:avLst/>
        </a:prstGeom>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0" scaled="1"/>
          <a:tileRect/>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24</xdr:col>
      <xdr:colOff>92438</xdr:colOff>
      <xdr:row>89</xdr:row>
      <xdr:rowOff>147991</xdr:rowOff>
    </xdr:from>
    <xdr:to>
      <xdr:col>24</xdr:col>
      <xdr:colOff>695325</xdr:colOff>
      <xdr:row>92</xdr:row>
      <xdr:rowOff>81395</xdr:rowOff>
    </xdr:to>
    <xdr:sp macro="" textlink="">
      <xdr:nvSpPr>
        <xdr:cNvPr id="55" name="Hexagon 54">
          <a:extLst>
            <a:ext uri="{FF2B5EF4-FFF2-40B4-BE49-F238E27FC236}">
              <a16:creationId xmlns="" xmlns:a16="http://schemas.microsoft.com/office/drawing/2014/main" id="{00000000-0008-0000-0800-000037000000}"/>
            </a:ext>
          </a:extLst>
        </xdr:cNvPr>
        <xdr:cNvSpPr/>
      </xdr:nvSpPr>
      <xdr:spPr>
        <a:xfrm>
          <a:off x="16885013" y="19626616"/>
          <a:ext cx="602887" cy="533479"/>
        </a:xfrm>
        <a:prstGeom prst="hexagon">
          <a:avLst/>
        </a:prstGeom>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2700000" scaled="1"/>
          <a:tileRect/>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18</xdr:col>
      <xdr:colOff>329047</xdr:colOff>
      <xdr:row>78</xdr:row>
      <xdr:rowOff>170799</xdr:rowOff>
    </xdr:from>
    <xdr:to>
      <xdr:col>19</xdr:col>
      <xdr:colOff>216750</xdr:colOff>
      <xdr:row>81</xdr:row>
      <xdr:rowOff>86046</xdr:rowOff>
    </xdr:to>
    <xdr:sp macro="" textlink="">
      <xdr:nvSpPr>
        <xdr:cNvPr id="56" name="Hexagon 55">
          <a:extLst>
            <a:ext uri="{FF2B5EF4-FFF2-40B4-BE49-F238E27FC236}">
              <a16:creationId xmlns="" xmlns:a16="http://schemas.microsoft.com/office/drawing/2014/main" id="{00000000-0008-0000-0800-000038000000}"/>
            </a:ext>
          </a:extLst>
        </xdr:cNvPr>
        <xdr:cNvSpPr/>
      </xdr:nvSpPr>
      <xdr:spPr>
        <a:xfrm>
          <a:off x="12088092" y="17056026"/>
          <a:ext cx="597749" cy="538702"/>
        </a:xfrm>
        <a:prstGeom prst="hexagon">
          <a:avLst/>
        </a:prstGeom>
        <a:gradFill flip="none" rotWithShape="1">
          <a:gsLst>
            <a:gs pos="0">
              <a:srgbClr val="F937DD">
                <a:shade val="30000"/>
                <a:satMod val="115000"/>
              </a:srgbClr>
            </a:gs>
            <a:gs pos="50000">
              <a:srgbClr val="F937DD">
                <a:shade val="67500"/>
                <a:satMod val="115000"/>
              </a:srgbClr>
            </a:gs>
            <a:gs pos="100000">
              <a:srgbClr val="F937DD">
                <a:shade val="100000"/>
                <a:satMod val="115000"/>
              </a:srgbClr>
            </a:gs>
          </a:gsLst>
          <a:lin ang="8100000" scaled="1"/>
          <a:tileRect/>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editAs="oneCell">
    <xdr:from>
      <xdr:col>0</xdr:col>
      <xdr:colOff>538284</xdr:colOff>
      <xdr:row>0</xdr:row>
      <xdr:rowOff>0</xdr:rowOff>
    </xdr:from>
    <xdr:to>
      <xdr:col>3</xdr:col>
      <xdr:colOff>564026</xdr:colOff>
      <xdr:row>2</xdr:row>
      <xdr:rowOff>473159</xdr:rowOff>
    </xdr:to>
    <xdr:pic>
      <xdr:nvPicPr>
        <xdr:cNvPr id="57" name="Picture 56">
          <a:hlinkClick xmlns:r="http://schemas.openxmlformats.org/officeDocument/2006/relationships" r:id="rId32" tooltip="Click to go to Home Menu"/>
          <a:extLst>
            <a:ext uri="{FF2B5EF4-FFF2-40B4-BE49-F238E27FC236}">
              <a16:creationId xmlns="" xmlns:a16="http://schemas.microsoft.com/office/drawing/2014/main" id="{00000000-0008-0000-0800-000039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538284" y="0"/>
          <a:ext cx="2168867" cy="1473284"/>
        </a:xfrm>
        <a:prstGeom prst="rect">
          <a:avLst/>
        </a:prstGeom>
      </xdr:spPr>
    </xdr:pic>
    <xdr:clientData/>
  </xdr:twoCellAnchor>
  <xdr:twoCellAnchor editAs="oneCell">
    <xdr:from>
      <xdr:col>8</xdr:col>
      <xdr:colOff>447796</xdr:colOff>
      <xdr:row>0</xdr:row>
      <xdr:rowOff>38835</xdr:rowOff>
    </xdr:from>
    <xdr:to>
      <xdr:col>12</xdr:col>
      <xdr:colOff>432133</xdr:colOff>
      <xdr:row>2</xdr:row>
      <xdr:rowOff>458218</xdr:rowOff>
    </xdr:to>
    <xdr:pic>
      <xdr:nvPicPr>
        <xdr:cNvPr id="58" name="Picture 57">
          <a:hlinkClick xmlns:r="http://schemas.openxmlformats.org/officeDocument/2006/relationships" r:id="rId34" tooltip="Click to input School Data"/>
          <a:extLst>
            <a:ext uri="{FF2B5EF4-FFF2-40B4-BE49-F238E27FC236}">
              <a16:creationId xmlns="" xmlns:a16="http://schemas.microsoft.com/office/drawing/2014/main" id="{00000000-0008-0000-0800-00003A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6043734" y="38835"/>
          <a:ext cx="2841837" cy="1419508"/>
        </a:xfrm>
        <a:prstGeom prst="rect">
          <a:avLst/>
        </a:prstGeom>
      </xdr:spPr>
    </xdr:pic>
    <xdr:clientData/>
  </xdr:twoCellAnchor>
  <xdr:twoCellAnchor editAs="oneCell">
    <xdr:from>
      <xdr:col>19</xdr:col>
      <xdr:colOff>73896</xdr:colOff>
      <xdr:row>0</xdr:row>
      <xdr:rowOff>23202</xdr:rowOff>
    </xdr:from>
    <xdr:to>
      <xdr:col>23</xdr:col>
      <xdr:colOff>66542</xdr:colOff>
      <xdr:row>2</xdr:row>
      <xdr:rowOff>445323</xdr:rowOff>
    </xdr:to>
    <xdr:pic>
      <xdr:nvPicPr>
        <xdr:cNvPr id="59" name="Picture 58">
          <a:hlinkClick xmlns:r="http://schemas.openxmlformats.org/officeDocument/2006/relationships" r:id="rId36" tooltip="Click to go to printable SRC. Use A4 sized paper for printing."/>
          <a:extLst>
            <a:ext uri="{FF2B5EF4-FFF2-40B4-BE49-F238E27FC236}">
              <a16:creationId xmlns="" xmlns:a16="http://schemas.microsoft.com/office/drawing/2014/main" id="{00000000-0008-0000-0800-00003B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13194584" y="23202"/>
          <a:ext cx="2850146" cy="1422246"/>
        </a:xfrm>
        <a:prstGeom prst="rect">
          <a:avLst/>
        </a:prstGeom>
      </xdr:spPr>
    </xdr:pic>
    <xdr:clientData/>
  </xdr:twoCellAnchor>
  <xdr:twoCellAnchor editAs="oneCell">
    <xdr:from>
      <xdr:col>38</xdr:col>
      <xdr:colOff>381001</xdr:colOff>
      <xdr:row>0</xdr:row>
      <xdr:rowOff>31750</xdr:rowOff>
    </xdr:from>
    <xdr:to>
      <xdr:col>41</xdr:col>
      <xdr:colOff>322944</xdr:colOff>
      <xdr:row>2</xdr:row>
      <xdr:rowOff>450573</xdr:rowOff>
    </xdr:to>
    <xdr:pic>
      <xdr:nvPicPr>
        <xdr:cNvPr id="61" name="Picture 60">
          <a:hlinkClick xmlns:r="http://schemas.openxmlformats.org/officeDocument/2006/relationships" r:id="rId38" tooltip="Click to go to printable SRC (Booklet type). Use A4 sized paper for printing."/>
          <a:extLst>
            <a:ext uri="{FF2B5EF4-FFF2-40B4-BE49-F238E27FC236}">
              <a16:creationId xmlns="" xmlns:a16="http://schemas.microsoft.com/office/drawing/2014/main" id="{00000000-0008-0000-0800-00003D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26836689" y="31750"/>
          <a:ext cx="2370818" cy="1418948"/>
        </a:xfrm>
        <a:prstGeom prst="rect">
          <a:avLst/>
        </a:prstGeom>
      </xdr:spPr>
    </xdr:pic>
    <xdr:clientData/>
  </xdr:twoCellAnchor>
  <xdr:twoCellAnchor editAs="oneCell">
    <xdr:from>
      <xdr:col>29</xdr:col>
      <xdr:colOff>0</xdr:colOff>
      <xdr:row>0</xdr:row>
      <xdr:rowOff>0</xdr:rowOff>
    </xdr:from>
    <xdr:to>
      <xdr:col>32</xdr:col>
      <xdr:colOff>119062</xdr:colOff>
      <xdr:row>2</xdr:row>
      <xdr:rowOff>477993</xdr:rowOff>
    </xdr:to>
    <xdr:pic>
      <xdr:nvPicPr>
        <xdr:cNvPr id="62" name="Picture 61">
          <a:hlinkClick xmlns:r="http://schemas.openxmlformats.org/officeDocument/2006/relationships" r:id="rId40" tooltip="Click to go to printable SRC (Brochure type). Use 13&quot; x 8.5&quot; paper for printing."/>
          <a:extLst>
            <a:ext uri="{FF2B5EF4-FFF2-40B4-BE49-F238E27FC236}">
              <a16:creationId xmlns="" xmlns:a16="http://schemas.microsoft.com/office/drawing/2014/main" id="{00000000-0008-0000-0800-00003E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20145375" y="0"/>
          <a:ext cx="2405062" cy="1478118"/>
        </a:xfrm>
        <a:prstGeom prst="rect">
          <a:avLst/>
        </a:prstGeom>
      </xdr:spPr>
    </xdr:pic>
    <xdr:clientData/>
  </xdr:twoCellAnchor>
  <xdr:twoCellAnchor>
    <xdr:from>
      <xdr:col>1</xdr:col>
      <xdr:colOff>381000</xdr:colOff>
      <xdr:row>8</xdr:row>
      <xdr:rowOff>0</xdr:rowOff>
    </xdr:from>
    <xdr:to>
      <xdr:col>6</xdr:col>
      <xdr:colOff>209550</xdr:colOff>
      <xdr:row>12</xdr:row>
      <xdr:rowOff>57150</xdr:rowOff>
    </xdr:to>
    <xdr:graphicFrame macro="">
      <xdr:nvGraphicFramePr>
        <xdr:cNvPr id="63" name="Chart 62">
          <a:extLst>
            <a:ext uri="{FF2B5EF4-FFF2-40B4-BE49-F238E27FC236}">
              <a16:creationId xmlns="" xmlns:a16="http://schemas.microsoft.com/office/drawing/2014/main" id="{00000000-0008-0000-0800-00003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28</xdr:col>
      <xdr:colOff>247650</xdr:colOff>
      <xdr:row>12</xdr:row>
      <xdr:rowOff>96470</xdr:rowOff>
    </xdr:from>
    <xdr:to>
      <xdr:col>32</xdr:col>
      <xdr:colOff>832997</xdr:colOff>
      <xdr:row>21</xdr:row>
      <xdr:rowOff>145119</xdr:rowOff>
    </xdr:to>
    <xdr:graphicFrame macro="">
      <xdr:nvGraphicFramePr>
        <xdr:cNvPr id="64" name="Chart 63">
          <a:extLst>
            <a:ext uri="{FF2B5EF4-FFF2-40B4-BE49-F238E27FC236}">
              <a16:creationId xmlns="" xmlns:a16="http://schemas.microsoft.com/office/drawing/2014/main" id="{00000000-0008-0000-0800-00004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29</xdr:col>
      <xdr:colOff>38100</xdr:colOff>
      <xdr:row>4</xdr:row>
      <xdr:rowOff>838200</xdr:rowOff>
    </xdr:from>
    <xdr:to>
      <xdr:col>32</xdr:col>
      <xdr:colOff>838200</xdr:colOff>
      <xdr:row>12</xdr:row>
      <xdr:rowOff>59954</xdr:rowOff>
    </xdr:to>
    <xdr:grpSp>
      <xdr:nvGrpSpPr>
        <xdr:cNvPr id="65" name="Group 64">
          <a:extLst>
            <a:ext uri="{FF2B5EF4-FFF2-40B4-BE49-F238E27FC236}">
              <a16:creationId xmlns="" xmlns:a16="http://schemas.microsoft.com/office/drawing/2014/main" id="{00000000-0008-0000-0800-000041000000}"/>
            </a:ext>
          </a:extLst>
        </xdr:cNvPr>
        <xdr:cNvGrpSpPr/>
      </xdr:nvGrpSpPr>
      <xdr:grpSpPr>
        <a:xfrm>
          <a:off x="20183475" y="3219450"/>
          <a:ext cx="3086100" cy="1436317"/>
          <a:chOff x="5787370" y="13805858"/>
          <a:chExt cx="4570132" cy="3009782"/>
        </a:xfrm>
      </xdr:grpSpPr>
      <xdr:graphicFrame macro="">
        <xdr:nvGraphicFramePr>
          <xdr:cNvPr id="66" name="Chart 65">
            <a:extLst>
              <a:ext uri="{FF2B5EF4-FFF2-40B4-BE49-F238E27FC236}">
                <a16:creationId xmlns="" xmlns:a16="http://schemas.microsoft.com/office/drawing/2014/main" id="{00000000-0008-0000-0800-000042000000}"/>
              </a:ext>
            </a:extLst>
          </xdr:cNvPr>
          <xdr:cNvGraphicFramePr/>
        </xdr:nvGraphicFramePr>
        <xdr:xfrm>
          <a:off x="5787370" y="14072440"/>
          <a:ext cx="4570132" cy="2743200"/>
        </xdr:xfrm>
        <a:graphic>
          <a:graphicData uri="http://schemas.openxmlformats.org/drawingml/2006/chart">
            <c:chart xmlns:c="http://schemas.openxmlformats.org/drawingml/2006/chart" xmlns:r="http://schemas.openxmlformats.org/officeDocument/2006/relationships" r:id="rId44"/>
          </a:graphicData>
        </a:graphic>
      </xdr:graphicFrame>
      <xdr:graphicFrame macro="">
        <xdr:nvGraphicFramePr>
          <xdr:cNvPr id="67" name="Chart 66">
            <a:extLst>
              <a:ext uri="{FF2B5EF4-FFF2-40B4-BE49-F238E27FC236}">
                <a16:creationId xmlns="" xmlns:a16="http://schemas.microsoft.com/office/drawing/2014/main" id="{00000000-0008-0000-0800-000043000000}"/>
              </a:ext>
            </a:extLst>
          </xdr:cNvPr>
          <xdr:cNvGraphicFramePr/>
        </xdr:nvGraphicFramePr>
        <xdr:xfrm>
          <a:off x="6505414" y="13805858"/>
          <a:ext cx="3782765" cy="2646174"/>
        </xdr:xfrm>
        <a:graphic>
          <a:graphicData uri="http://schemas.openxmlformats.org/drawingml/2006/chart">
            <c:chart xmlns:c="http://schemas.openxmlformats.org/drawingml/2006/chart" xmlns:r="http://schemas.openxmlformats.org/officeDocument/2006/relationships" r:id="rId45"/>
          </a:graphicData>
        </a:graphic>
      </xdr:graphicFrame>
    </xdr:grpSp>
    <xdr:clientData/>
  </xdr:twoCellAnchor>
  <xdr:twoCellAnchor editAs="oneCell">
    <xdr:from>
      <xdr:col>26</xdr:col>
      <xdr:colOff>131109</xdr:colOff>
      <xdr:row>9</xdr:row>
      <xdr:rowOff>186765</xdr:rowOff>
    </xdr:from>
    <xdr:to>
      <xdr:col>28</xdr:col>
      <xdr:colOff>339454</xdr:colOff>
      <xdr:row>21</xdr:row>
      <xdr:rowOff>97117</xdr:rowOff>
    </xdr:to>
    <xdr:pic>
      <xdr:nvPicPr>
        <xdr:cNvPr id="23" name="Picture 22">
          <a:extLst>
            <a:ext uri="{FF2B5EF4-FFF2-40B4-BE49-F238E27FC236}">
              <a16:creationId xmlns="" xmlns:a16="http://schemas.microsoft.com/office/drawing/2014/main" id="{00000000-0008-0000-0800-000017000000}"/>
            </a:ext>
          </a:extLst>
        </xdr:cNvPr>
        <xdr:cNvPicPr>
          <a:picLocks noChangeAspect="1"/>
        </xdr:cNvPicPr>
      </xdr:nvPicPr>
      <xdr:blipFill>
        <a:blip xmlns:r="http://schemas.openxmlformats.org/officeDocument/2006/relationships" r:embed="rId4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8304809" y="4358715"/>
          <a:ext cx="1656145" cy="2424952"/>
        </a:xfrm>
        <a:prstGeom prst="rect">
          <a:avLst/>
        </a:prstGeom>
      </xdr:spPr>
    </xdr:pic>
    <xdr:clientData/>
  </xdr:twoCellAnchor>
  <xdr:twoCellAnchor>
    <xdr:from>
      <xdr:col>33</xdr:col>
      <xdr:colOff>72352</xdr:colOff>
      <xdr:row>77</xdr:row>
      <xdr:rowOff>23812</xdr:rowOff>
    </xdr:from>
    <xdr:to>
      <xdr:col>40</xdr:col>
      <xdr:colOff>785811</xdr:colOff>
      <xdr:row>88</xdr:row>
      <xdr:rowOff>45900</xdr:rowOff>
    </xdr:to>
    <xdr:graphicFrame macro="">
      <xdr:nvGraphicFramePr>
        <xdr:cNvPr id="68" name="Chart 67">
          <a:extLst>
            <a:ext uri="{FF2B5EF4-FFF2-40B4-BE49-F238E27FC236}">
              <a16:creationId xmlns="" xmlns:a16="http://schemas.microsoft.com/office/drawing/2014/main" id="{00000000-0008-0000-0800-00004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33</xdr:col>
      <xdr:colOff>71438</xdr:colOff>
      <xdr:row>88</xdr:row>
      <xdr:rowOff>95250</xdr:rowOff>
    </xdr:from>
    <xdr:to>
      <xdr:col>37</xdr:col>
      <xdr:colOff>452437</xdr:colOff>
      <xdr:row>99</xdr:row>
      <xdr:rowOff>-1</xdr:rowOff>
    </xdr:to>
    <xdr:graphicFrame macro="">
      <xdr:nvGraphicFramePr>
        <xdr:cNvPr id="69" name="Chart 68">
          <a:extLst>
            <a:ext uri="{FF2B5EF4-FFF2-40B4-BE49-F238E27FC236}">
              <a16:creationId xmlns="" xmlns:a16="http://schemas.microsoft.com/office/drawing/2014/main" id="{00000000-0008-0000-08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37</xdr:col>
      <xdr:colOff>523874</xdr:colOff>
      <xdr:row>88</xdr:row>
      <xdr:rowOff>95250</xdr:rowOff>
    </xdr:from>
    <xdr:to>
      <xdr:col>40</xdr:col>
      <xdr:colOff>809624</xdr:colOff>
      <xdr:row>99</xdr:row>
      <xdr:rowOff>23812</xdr:rowOff>
    </xdr:to>
    <xdr:graphicFrame macro="">
      <xdr:nvGraphicFramePr>
        <xdr:cNvPr id="70" name="Chart 69">
          <a:extLst>
            <a:ext uri="{FF2B5EF4-FFF2-40B4-BE49-F238E27FC236}">
              <a16:creationId xmlns="" xmlns:a16="http://schemas.microsoft.com/office/drawing/2014/main" id="{00000000-0008-0000-08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oneCellAnchor>
    <xdr:from>
      <xdr:col>39</xdr:col>
      <xdr:colOff>51350</xdr:colOff>
      <xdr:row>98</xdr:row>
      <xdr:rowOff>119061</xdr:rowOff>
    </xdr:from>
    <xdr:ext cx="1338678" cy="2333625"/>
    <xdr:pic>
      <xdr:nvPicPr>
        <xdr:cNvPr id="45" name="Picture 44">
          <a:extLst>
            <a:ext uri="{FF2B5EF4-FFF2-40B4-BE49-F238E27FC236}">
              <a16:creationId xmlns="" xmlns:a16="http://schemas.microsoft.com/office/drawing/2014/main" id="{00000000-0008-0000-0800-00002D000000}"/>
            </a:ext>
          </a:extLst>
        </xdr:cNvPr>
        <xdr:cNvPicPr>
          <a:picLocks noChangeAspect="1"/>
        </xdr:cNvPicPr>
      </xdr:nvPicPr>
      <xdr:blipFill>
        <a:blip xmlns:r="http://schemas.openxmlformats.org/officeDocument/2006/relationships" r:embed="rId50"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7221413" y="20526374"/>
          <a:ext cx="1338678" cy="2333625"/>
        </a:xfrm>
        <a:prstGeom prst="rect">
          <a:avLst/>
        </a:prstGeom>
      </xdr:spPr>
    </xdr:pic>
    <xdr:clientData/>
  </xdr:oneCellAnchor>
  <xdr:twoCellAnchor editAs="oneCell">
    <xdr:from>
      <xdr:col>38</xdr:col>
      <xdr:colOff>654397</xdr:colOff>
      <xdr:row>28</xdr:row>
      <xdr:rowOff>12457</xdr:rowOff>
    </xdr:from>
    <xdr:to>
      <xdr:col>40</xdr:col>
      <xdr:colOff>787263</xdr:colOff>
      <xdr:row>38</xdr:row>
      <xdr:rowOff>104775</xdr:rowOff>
    </xdr:to>
    <xdr:pic>
      <xdr:nvPicPr>
        <xdr:cNvPr id="71" name="Picture 70">
          <a:extLst>
            <a:ext uri="{FF2B5EF4-FFF2-40B4-BE49-F238E27FC236}">
              <a16:creationId xmlns="" xmlns:a16="http://schemas.microsoft.com/office/drawing/2014/main" id="{00000000-0008-0000-0800-000047000000}"/>
            </a:ext>
          </a:extLst>
        </xdr:cNvPr>
        <xdr:cNvPicPr>
          <a:picLocks noChangeAspect="1"/>
        </xdr:cNvPicPr>
      </xdr:nvPicPr>
      <xdr:blipFill>
        <a:blip xmlns:r="http://schemas.openxmlformats.org/officeDocument/2006/relationships" r:embed="rId51"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7110085" y="7656270"/>
          <a:ext cx="1704491" cy="1997318"/>
        </a:xfrm>
        <a:prstGeom prst="rect">
          <a:avLst/>
        </a:prstGeom>
      </xdr:spPr>
    </xdr:pic>
    <xdr:clientData/>
  </xdr:twoCellAnchor>
  <xdr:twoCellAnchor>
    <xdr:from>
      <xdr:col>34</xdr:col>
      <xdr:colOff>8283</xdr:colOff>
      <xdr:row>5</xdr:row>
      <xdr:rowOff>47624</xdr:rowOff>
    </xdr:from>
    <xdr:to>
      <xdr:col>40</xdr:col>
      <xdr:colOff>785811</xdr:colOff>
      <xdr:row>16</xdr:row>
      <xdr:rowOff>28575</xdr:rowOff>
    </xdr:to>
    <xdr:graphicFrame macro="">
      <xdr:nvGraphicFramePr>
        <xdr:cNvPr id="72" name="Chart 71">
          <a:extLst>
            <a:ext uri="{FF2B5EF4-FFF2-40B4-BE49-F238E27FC236}">
              <a16:creationId xmlns="" xmlns:a16="http://schemas.microsoft.com/office/drawing/2014/main" id="{00000000-0008-0000-0800-00004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34</xdr:col>
      <xdr:colOff>0</xdr:colOff>
      <xdr:row>16</xdr:row>
      <xdr:rowOff>95250</xdr:rowOff>
    </xdr:from>
    <xdr:to>
      <xdr:col>40</xdr:col>
      <xdr:colOff>790141</xdr:colOff>
      <xdr:row>27</xdr:row>
      <xdr:rowOff>161926</xdr:rowOff>
    </xdr:to>
    <xdr:graphicFrame macro="">
      <xdr:nvGraphicFramePr>
        <xdr:cNvPr id="73" name="Chart 72">
          <a:extLst>
            <a:ext uri="{FF2B5EF4-FFF2-40B4-BE49-F238E27FC236}">
              <a16:creationId xmlns="" xmlns:a16="http://schemas.microsoft.com/office/drawing/2014/main" id="{00000000-0008-0000-0800-00004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26</xdr:col>
      <xdr:colOff>0</xdr:colOff>
      <xdr:row>95</xdr:row>
      <xdr:rowOff>9524</xdr:rowOff>
    </xdr:from>
    <xdr:to>
      <xdr:col>29</xdr:col>
      <xdr:colOff>642937</xdr:colOff>
      <xdr:row>111</xdr:row>
      <xdr:rowOff>9524</xdr:rowOff>
    </xdr:to>
    <xdr:graphicFrame macro="">
      <xdr:nvGraphicFramePr>
        <xdr:cNvPr id="74" name="Chart 73">
          <a:extLst>
            <a:ext uri="{FF2B5EF4-FFF2-40B4-BE49-F238E27FC236}">
              <a16:creationId xmlns="" xmlns:a16="http://schemas.microsoft.com/office/drawing/2014/main" id="{00000000-0008-0000-0800-00004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71437</xdr:colOff>
      <xdr:row>41</xdr:row>
      <xdr:rowOff>80963</xdr:rowOff>
    </xdr:from>
    <xdr:to>
      <xdr:col>7</xdr:col>
      <xdr:colOff>0</xdr:colOff>
      <xdr:row>51</xdr:row>
      <xdr:rowOff>157162</xdr:rowOff>
    </xdr:to>
    <xdr:graphicFrame macro="">
      <xdr:nvGraphicFramePr>
        <xdr:cNvPr id="82" name="Chart 81">
          <a:extLst>
            <a:ext uri="{FF2B5EF4-FFF2-40B4-BE49-F238E27FC236}">
              <a16:creationId xmlns="" xmlns:a16="http://schemas.microsoft.com/office/drawing/2014/main" id="{00000000-0008-0000-0800-00005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oneCellAnchor>
    <xdr:from>
      <xdr:col>1</xdr:col>
      <xdr:colOff>404811</xdr:colOff>
      <xdr:row>38</xdr:row>
      <xdr:rowOff>119063</xdr:rowOff>
    </xdr:from>
    <xdr:ext cx="3102721" cy="280205"/>
    <xdr:sp macro="" textlink="">
      <xdr:nvSpPr>
        <xdr:cNvPr id="83" name="Rectangle 82">
          <a:extLst>
            <a:ext uri="{FF2B5EF4-FFF2-40B4-BE49-F238E27FC236}">
              <a16:creationId xmlns="" xmlns:a16="http://schemas.microsoft.com/office/drawing/2014/main" id="{00000000-0008-0000-0800-000053000000}"/>
            </a:ext>
          </a:extLst>
        </xdr:cNvPr>
        <xdr:cNvSpPr/>
      </xdr:nvSpPr>
      <xdr:spPr>
        <a:xfrm>
          <a:off x="1119186" y="9667876"/>
          <a:ext cx="3102721" cy="280205"/>
        </a:xfrm>
        <a:prstGeom prst="rect">
          <a:avLst/>
        </a:prstGeom>
        <a:noFill/>
      </xdr:spPr>
      <xdr:txBody>
        <a:bodyPr wrap="square" lIns="91440" tIns="45720" rIns="91440" bIns="45720">
          <a:spAutoFit/>
        </a:bodyPr>
        <a:lstStyle/>
        <a:p>
          <a:pPr rtl="0"/>
          <a:r>
            <a:rPr lang="en-US" sz="1200" b="0" i="0" baseline="0">
              <a:effectLst/>
              <a:latin typeface="+mn-lt"/>
              <a:ea typeface="+mn-ea"/>
              <a:cs typeface="+mn-cs"/>
            </a:rPr>
            <a:t>Availability of Books by Grade Level</a:t>
          </a:r>
          <a:endParaRPr lang="en-US" sz="6000">
            <a:effectLst/>
          </a:endParaRPr>
        </a:p>
      </xdr:txBody>
    </xdr:sp>
    <xdr:clientData/>
  </xdr:oneCellAnchor>
</xdr:wsDr>
</file>

<file path=xl/drawings/drawing16.xml><?xml version="1.0" encoding="utf-8"?>
<c:userShapes xmlns:c="http://schemas.openxmlformats.org/drawingml/2006/chart">
  <cdr:relSizeAnchor xmlns:cdr="http://schemas.openxmlformats.org/drawingml/2006/chartDrawing">
    <cdr:from>
      <cdr:x>0.13445</cdr:x>
      <cdr:y>0.50649</cdr:y>
    </cdr:from>
    <cdr:to>
      <cdr:x>0.94267</cdr:x>
      <cdr:y>0.5087</cdr:y>
    </cdr:to>
    <cdr:cxnSp macro="">
      <cdr:nvCxnSpPr>
        <cdr:cNvPr id="3" name="Straight Connector 2">
          <a:extLst xmlns:a="http://schemas.openxmlformats.org/drawingml/2006/main">
            <a:ext uri="{FF2B5EF4-FFF2-40B4-BE49-F238E27FC236}">
              <a16:creationId xmlns="" xmlns:a16="http://schemas.microsoft.com/office/drawing/2014/main" id="{00000000-0008-0000-0200-000033000000}"/>
            </a:ext>
          </a:extLst>
        </cdr:cNvPr>
        <cdr:cNvCxnSpPr/>
      </cdr:nvCxnSpPr>
      <cdr:spPr>
        <a:xfrm xmlns:a="http://schemas.openxmlformats.org/drawingml/2006/main">
          <a:off x="209841" y="1297366"/>
          <a:ext cx="1261390" cy="5661"/>
        </a:xfrm>
        <a:prstGeom xmlns:a="http://schemas.openxmlformats.org/drawingml/2006/main" prst="line">
          <a:avLst/>
        </a:prstGeom>
        <a:ln xmlns:a="http://schemas.openxmlformats.org/drawingml/2006/main">
          <a:prstDash val="dash"/>
          <a:headEnd type="none" w="med" len="med"/>
          <a:tailEnd type="none" w="med" len="med"/>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17.xml><?xml version="1.0" encoding="utf-8"?>
<c:userShapes xmlns:c="http://schemas.openxmlformats.org/drawingml/2006/chart">
  <cdr:relSizeAnchor xmlns:cdr="http://schemas.openxmlformats.org/drawingml/2006/chartDrawing">
    <cdr:from>
      <cdr:x>0.12086</cdr:x>
      <cdr:y>0.49899</cdr:y>
    </cdr:from>
    <cdr:to>
      <cdr:x>0.96454</cdr:x>
      <cdr:y>0.5</cdr:y>
    </cdr:to>
    <cdr:cxnSp macro="">
      <cdr:nvCxnSpPr>
        <cdr:cNvPr id="3" name="Straight Connector 2">
          <a:extLst xmlns:a="http://schemas.openxmlformats.org/drawingml/2006/main">
            <a:ext uri="{FF2B5EF4-FFF2-40B4-BE49-F238E27FC236}">
              <a16:creationId xmlns="" xmlns:a16="http://schemas.microsoft.com/office/drawing/2014/main" id="{00000000-0008-0000-0200-00003A000000}"/>
            </a:ext>
          </a:extLst>
        </cdr:cNvPr>
        <cdr:cNvCxnSpPr/>
      </cdr:nvCxnSpPr>
      <cdr:spPr>
        <a:xfrm xmlns:a="http://schemas.openxmlformats.org/drawingml/2006/main">
          <a:off x="324645" y="1967706"/>
          <a:ext cx="2266155" cy="3969"/>
        </a:xfrm>
        <a:prstGeom xmlns:a="http://schemas.openxmlformats.org/drawingml/2006/main" prst="line">
          <a:avLst/>
        </a:prstGeom>
        <a:ln xmlns:a="http://schemas.openxmlformats.org/drawingml/2006/main">
          <a:prstDash val="dash"/>
          <a:headEnd type="none" w="med" len="med"/>
          <a:tailEnd type="none" w="med" len="med"/>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18.xml><?xml version="1.0" encoding="utf-8"?>
<xdr:wsDr xmlns:xdr="http://schemas.openxmlformats.org/drawingml/2006/spreadsheetDrawing" xmlns:a="http://schemas.openxmlformats.org/drawingml/2006/main">
  <xdr:twoCellAnchor editAs="oneCell">
    <xdr:from>
      <xdr:col>0</xdr:col>
      <xdr:colOff>298589</xdr:colOff>
      <xdr:row>0</xdr:row>
      <xdr:rowOff>9524</xdr:rowOff>
    </xdr:from>
    <xdr:to>
      <xdr:col>0</xdr:col>
      <xdr:colOff>824436</xdr:colOff>
      <xdr:row>0</xdr:row>
      <xdr:rowOff>428625</xdr:rowOff>
    </xdr:to>
    <xdr:pic>
      <xdr:nvPicPr>
        <xdr:cNvPr id="4" name="Picture 3">
          <a:hlinkClick xmlns:r="http://schemas.openxmlformats.org/officeDocument/2006/relationships" r:id="rId1" tooltip="Click to go to Home Menu"/>
          <a:extLst>
            <a:ext uri="{FF2B5EF4-FFF2-40B4-BE49-F238E27FC236}">
              <a16:creationId xmlns="" xmlns:a16="http://schemas.microsoft.com/office/drawing/2014/main" id="{00000000-0008-0000-0A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8589" y="9524"/>
          <a:ext cx="525847" cy="419101"/>
        </a:xfrm>
        <a:prstGeom prst="rect">
          <a:avLst/>
        </a:prstGeom>
      </xdr:spPr>
    </xdr:pic>
    <xdr:clientData/>
  </xdr:twoCellAnchor>
  <xdr:twoCellAnchor editAs="oneCell">
    <xdr:from>
      <xdr:col>17</xdr:col>
      <xdr:colOff>265065</xdr:colOff>
      <xdr:row>0</xdr:row>
      <xdr:rowOff>17689</xdr:rowOff>
    </xdr:from>
    <xdr:to>
      <xdr:col>18</xdr:col>
      <xdr:colOff>421655</xdr:colOff>
      <xdr:row>2</xdr:row>
      <xdr:rowOff>453118</xdr:rowOff>
    </xdr:to>
    <xdr:pic>
      <xdr:nvPicPr>
        <xdr:cNvPr id="3" name="Picture 2">
          <a:hlinkClick xmlns:r="http://schemas.openxmlformats.org/officeDocument/2006/relationships" r:id="rId3" tooltip="Click to go to printable SRC. Use A4 sized paper for printing."/>
          <a:extLst>
            <a:ext uri="{FF2B5EF4-FFF2-40B4-BE49-F238E27FC236}">
              <a16:creationId xmlns="" xmlns:a16="http://schemas.microsoft.com/office/drawing/2014/main" id="{00000000-0008-0000-0A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742190" y="17689"/>
          <a:ext cx="781007" cy="8831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-9680</xdr:colOff>
      <xdr:row>16</xdr:row>
      <xdr:rowOff>36988</xdr:rowOff>
    </xdr:from>
    <xdr:to>
      <xdr:col>10</xdr:col>
      <xdr:colOff>14285</xdr:colOff>
      <xdr:row>22</xdr:row>
      <xdr:rowOff>9521</xdr:rowOff>
    </xdr:to>
    <xdr:pic>
      <xdr:nvPicPr>
        <xdr:cNvPr id="2" name="Picture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80" y="5594333"/>
          <a:ext cx="5318551" cy="2219119"/>
        </a:xfrm>
        <a:prstGeom prst="rect">
          <a:avLst/>
        </a:prstGeom>
      </xdr:spPr>
    </xdr:pic>
    <xdr:clientData/>
  </xdr:twoCellAnchor>
  <xdr:twoCellAnchor editAs="oneCell">
    <xdr:from>
      <xdr:col>0</xdr:col>
      <xdr:colOff>312860</xdr:colOff>
      <xdr:row>0</xdr:row>
      <xdr:rowOff>22356</xdr:rowOff>
    </xdr:from>
    <xdr:to>
      <xdr:col>1</xdr:col>
      <xdr:colOff>536094</xdr:colOff>
      <xdr:row>2</xdr:row>
      <xdr:rowOff>197755</xdr:rowOff>
    </xdr:to>
    <xdr:pic>
      <xdr:nvPicPr>
        <xdr:cNvPr id="3" name="Picture 2">
          <a:hlinkClick xmlns:r="http://schemas.openxmlformats.org/officeDocument/2006/relationships" r:id="rId2" tooltip="Click to go to Home Menu"/>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2860" y="22356"/>
          <a:ext cx="829370" cy="573717"/>
        </a:xfrm>
        <a:prstGeom prst="rect">
          <a:avLst/>
        </a:prstGeom>
      </xdr:spPr>
    </xdr:pic>
    <xdr:clientData/>
  </xdr:twoCellAnchor>
  <xdr:twoCellAnchor editAs="oneCell">
    <xdr:from>
      <xdr:col>3</xdr:col>
      <xdr:colOff>122367</xdr:colOff>
      <xdr:row>0</xdr:row>
      <xdr:rowOff>29441</xdr:rowOff>
    </xdr:from>
    <xdr:to>
      <xdr:col>5</xdr:col>
      <xdr:colOff>9532</xdr:colOff>
      <xdr:row>2</xdr:row>
      <xdr:rowOff>189122</xdr:rowOff>
    </xdr:to>
    <xdr:pic>
      <xdr:nvPicPr>
        <xdr:cNvPr id="4" name="Picture 3">
          <a:hlinkClick xmlns:r="http://schemas.openxmlformats.org/officeDocument/2006/relationships" r:id="rId4" tooltip="Click to input School Data"/>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940776" y="29441"/>
          <a:ext cx="1099438" cy="557999"/>
        </a:xfrm>
        <a:prstGeom prst="rect">
          <a:avLst/>
        </a:prstGeom>
      </xdr:spPr>
    </xdr:pic>
    <xdr:clientData/>
  </xdr:twoCellAnchor>
  <xdr:twoCellAnchor editAs="oneCell">
    <xdr:from>
      <xdr:col>6</xdr:col>
      <xdr:colOff>284624</xdr:colOff>
      <xdr:row>0</xdr:row>
      <xdr:rowOff>29683</xdr:rowOff>
    </xdr:from>
    <xdr:to>
      <xdr:col>9</xdr:col>
      <xdr:colOff>182477</xdr:colOff>
      <xdr:row>2</xdr:row>
      <xdr:rowOff>190429</xdr:rowOff>
    </xdr:to>
    <xdr:pic>
      <xdr:nvPicPr>
        <xdr:cNvPr id="5" name="Picture 4">
          <a:hlinkClick xmlns:r="http://schemas.openxmlformats.org/officeDocument/2006/relationships" r:id="rId6" tooltip="Click to go to printable SRC. Use A4 sized paper for printing."/>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921442" y="29683"/>
          <a:ext cx="1118785" cy="559064"/>
        </a:xfrm>
        <a:prstGeom prst="rect">
          <a:avLst/>
        </a:prstGeom>
      </xdr:spPr>
    </xdr:pic>
    <xdr:clientData/>
  </xdr:twoCellAnchor>
  <xdr:twoCellAnchor>
    <xdr:from>
      <xdr:col>4</xdr:col>
      <xdr:colOff>218260</xdr:colOff>
      <xdr:row>19</xdr:row>
      <xdr:rowOff>271565</xdr:rowOff>
    </xdr:from>
    <xdr:to>
      <xdr:col>6</xdr:col>
      <xdr:colOff>305666</xdr:colOff>
      <xdr:row>20</xdr:row>
      <xdr:rowOff>221851</xdr:rowOff>
    </xdr:to>
    <xdr:grpSp>
      <xdr:nvGrpSpPr>
        <xdr:cNvPr id="6" name="Group 5">
          <a:extLst>
            <a:ext uri="{FF2B5EF4-FFF2-40B4-BE49-F238E27FC236}">
              <a16:creationId xmlns="" xmlns:a16="http://schemas.microsoft.com/office/drawing/2014/main" id="{00000000-0008-0000-0100-000006000000}"/>
            </a:ext>
          </a:extLst>
        </xdr:cNvPr>
        <xdr:cNvGrpSpPr/>
      </xdr:nvGrpSpPr>
      <xdr:grpSpPr>
        <a:xfrm>
          <a:off x="2661915" y="6952203"/>
          <a:ext cx="1309234" cy="324717"/>
          <a:chOff x="2331078" y="6925032"/>
          <a:chExt cx="1299679" cy="322627"/>
        </a:xfrm>
      </xdr:grpSpPr>
      <xdr:cxnSp macro="">
        <xdr:nvCxnSpPr>
          <xdr:cNvPr id="7" name="Straight Arrow Connector 6">
            <a:extLst>
              <a:ext uri="{FF2B5EF4-FFF2-40B4-BE49-F238E27FC236}">
                <a16:creationId xmlns="" xmlns:a16="http://schemas.microsoft.com/office/drawing/2014/main" id="{00000000-0008-0000-0100-000007000000}"/>
              </a:ext>
            </a:extLst>
          </xdr:cNvPr>
          <xdr:cNvCxnSpPr/>
        </xdr:nvCxnSpPr>
        <xdr:spPr>
          <a:xfrm flipH="1">
            <a:off x="2331078" y="7016361"/>
            <a:ext cx="210568" cy="104774"/>
          </a:xfrm>
          <a:prstGeom prst="straightConnector1">
            <a:avLst/>
          </a:prstGeom>
          <a:ln>
            <a:solidFill>
              <a:srgbClr val="FF0000"/>
            </a:solidFill>
            <a:headEnd type="none" w="med" len="med"/>
            <a:tailEnd type="triangle"/>
          </a:ln>
        </xdr:spPr>
        <xdr:style>
          <a:lnRef idx="3">
            <a:schemeClr val="dk1"/>
          </a:lnRef>
          <a:fillRef idx="0">
            <a:schemeClr val="dk1"/>
          </a:fillRef>
          <a:effectRef idx="2">
            <a:schemeClr val="dk1"/>
          </a:effectRef>
          <a:fontRef idx="minor">
            <a:schemeClr val="tx1"/>
          </a:fontRef>
        </xdr:style>
      </xdr:cxnSp>
      <xdr:sp macro="" textlink="">
        <xdr:nvSpPr>
          <xdr:cNvPr id="8" name="Rectangle 7">
            <a:extLst>
              <a:ext uri="{FF2B5EF4-FFF2-40B4-BE49-F238E27FC236}">
                <a16:creationId xmlns="" xmlns:a16="http://schemas.microsoft.com/office/drawing/2014/main" id="{00000000-0008-0000-0100-000008000000}"/>
              </a:ext>
            </a:extLst>
          </xdr:cNvPr>
          <xdr:cNvSpPr/>
        </xdr:nvSpPr>
        <xdr:spPr>
          <a:xfrm>
            <a:off x="2533802" y="6925032"/>
            <a:ext cx="1096955" cy="322627"/>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600">
                <a:latin typeface="Arial Narrow" panose="020B0606020202030204" pitchFamily="34" charset="0"/>
              </a:rPr>
              <a:t>Screen Tip</a:t>
            </a:r>
          </a:p>
        </xdr:txBody>
      </xdr:sp>
    </xdr:grpSp>
    <xdr:clientData/>
  </xdr:twoCellAnchor>
  <xdr:twoCellAnchor editAs="oneCell">
    <xdr:from>
      <xdr:col>0</xdr:col>
      <xdr:colOff>0</xdr:colOff>
      <xdr:row>6</xdr:row>
      <xdr:rowOff>8661</xdr:rowOff>
    </xdr:from>
    <xdr:to>
      <xdr:col>9</xdr:col>
      <xdr:colOff>396086</xdr:colOff>
      <xdr:row>14</xdr:row>
      <xdr:rowOff>474520</xdr:rowOff>
    </xdr:to>
    <xdr:pic>
      <xdr:nvPicPr>
        <xdr:cNvPr id="9" name="Picture 8">
          <a:extLst>
            <a:ext uri="{FF2B5EF4-FFF2-40B4-BE49-F238E27FC236}">
              <a16:creationId xmlns="" xmlns:a16="http://schemas.microsoft.com/office/drawing/2014/main" id="{00000000-0008-0000-0100-000009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2523261"/>
          <a:ext cx="5282411" cy="2256559"/>
        </a:xfrm>
        <a:prstGeom prst="rect">
          <a:avLst/>
        </a:prstGeom>
      </xdr:spPr>
    </xdr:pic>
    <xdr:clientData/>
  </xdr:twoCellAnchor>
  <xdr:twoCellAnchor editAs="oneCell">
    <xdr:from>
      <xdr:col>0</xdr:col>
      <xdr:colOff>0</xdr:colOff>
      <xdr:row>25</xdr:row>
      <xdr:rowOff>15298</xdr:rowOff>
    </xdr:from>
    <xdr:to>
      <xdr:col>10</xdr:col>
      <xdr:colOff>17318</xdr:colOff>
      <xdr:row>25</xdr:row>
      <xdr:rowOff>519545</xdr:rowOff>
    </xdr:to>
    <xdr:pic>
      <xdr:nvPicPr>
        <xdr:cNvPr id="10" name="Picture 9">
          <a:extLst>
            <a:ext uri="{FF2B5EF4-FFF2-40B4-BE49-F238E27FC236}">
              <a16:creationId xmlns="" xmlns:a16="http://schemas.microsoft.com/office/drawing/2014/main" id="{00000000-0008-0000-0100-00000A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9473623"/>
          <a:ext cx="5313218" cy="504247"/>
        </a:xfrm>
        <a:prstGeom prst="rect">
          <a:avLst/>
        </a:prstGeom>
      </xdr:spPr>
    </xdr:pic>
    <xdr:clientData/>
  </xdr:twoCellAnchor>
  <xdr:twoCellAnchor editAs="oneCell">
    <xdr:from>
      <xdr:col>1</xdr:col>
      <xdr:colOff>510461</xdr:colOff>
      <xdr:row>47</xdr:row>
      <xdr:rowOff>34636</xdr:rowOff>
    </xdr:from>
    <xdr:to>
      <xdr:col>5</xdr:col>
      <xdr:colOff>588819</xdr:colOff>
      <xdr:row>56</xdr:row>
      <xdr:rowOff>146103</xdr:rowOff>
    </xdr:to>
    <xdr:pic>
      <xdr:nvPicPr>
        <xdr:cNvPr id="11" name="Picture 10">
          <a:extLst>
            <a:ext uri="{FF2B5EF4-FFF2-40B4-BE49-F238E27FC236}">
              <a16:creationId xmlns="" xmlns:a16="http://schemas.microsoft.com/office/drawing/2014/main" id="{00000000-0008-0000-0100-00000B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120061" y="16770061"/>
          <a:ext cx="2516758" cy="1825967"/>
        </a:xfrm>
        <a:prstGeom prst="rect">
          <a:avLst/>
        </a:prstGeom>
      </xdr:spPr>
    </xdr:pic>
    <xdr:clientData/>
  </xdr:twoCellAnchor>
  <xdr:twoCellAnchor editAs="oneCell">
    <xdr:from>
      <xdr:col>1</xdr:col>
      <xdr:colOff>488911</xdr:colOff>
      <xdr:row>29</xdr:row>
      <xdr:rowOff>25705</xdr:rowOff>
    </xdr:from>
    <xdr:to>
      <xdr:col>6</xdr:col>
      <xdr:colOff>359699</xdr:colOff>
      <xdr:row>44</xdr:row>
      <xdr:rowOff>161246</xdr:rowOff>
    </xdr:to>
    <xdr:pic>
      <xdr:nvPicPr>
        <xdr:cNvPr id="12" name="Picture 11">
          <a:extLst>
            <a:ext uri="{FF2B5EF4-FFF2-40B4-BE49-F238E27FC236}">
              <a16:creationId xmlns="" xmlns:a16="http://schemas.microsoft.com/office/drawing/2014/main" id="{00000000-0008-0000-0100-00000C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099825" y="12224274"/>
          <a:ext cx="2925357" cy="31244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417635</xdr:colOff>
      <xdr:row>0</xdr:row>
      <xdr:rowOff>29065</xdr:rowOff>
    </xdr:from>
    <xdr:to>
      <xdr:col>2</xdr:col>
      <xdr:colOff>1524000</xdr:colOff>
      <xdr:row>2</xdr:row>
      <xdr:rowOff>262461</xdr:rowOff>
    </xdr:to>
    <xdr:pic>
      <xdr:nvPicPr>
        <xdr:cNvPr id="4" name="Picture 3">
          <a:hlinkClick xmlns:r="http://schemas.openxmlformats.org/officeDocument/2006/relationships" r:id="rId1" tooltip="Click to input School Data"/>
          <a:extLst>
            <a:ext uri="{FF2B5EF4-FFF2-40B4-BE49-F238E27FC236}">
              <a16:creationId xmlns=""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0154" y="29065"/>
          <a:ext cx="1106365" cy="555781"/>
        </a:xfrm>
        <a:prstGeom prst="rect">
          <a:avLst/>
        </a:prstGeom>
      </xdr:spPr>
    </xdr:pic>
    <xdr:clientData/>
  </xdr:twoCellAnchor>
  <xdr:twoCellAnchor editAs="oneCell">
    <xdr:from>
      <xdr:col>2</xdr:col>
      <xdr:colOff>2447208</xdr:colOff>
      <xdr:row>0</xdr:row>
      <xdr:rowOff>29307</xdr:rowOff>
    </xdr:from>
    <xdr:to>
      <xdr:col>2</xdr:col>
      <xdr:colOff>3555979</xdr:colOff>
      <xdr:row>2</xdr:row>
      <xdr:rowOff>263768</xdr:rowOff>
    </xdr:to>
    <xdr:pic>
      <xdr:nvPicPr>
        <xdr:cNvPr id="5" name="Picture 4">
          <a:hlinkClick xmlns:r="http://schemas.openxmlformats.org/officeDocument/2006/relationships" r:id="rId3" tooltip="Click to go to printable SRC. Use A4 sized paper for printing."/>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39727" y="29307"/>
          <a:ext cx="1108771" cy="556846"/>
        </a:xfrm>
        <a:prstGeom prst="rect">
          <a:avLst/>
        </a:prstGeom>
      </xdr:spPr>
    </xdr:pic>
    <xdr:clientData/>
  </xdr:twoCellAnchor>
  <xdr:twoCellAnchor editAs="oneCell">
    <xdr:from>
      <xdr:col>0</xdr:col>
      <xdr:colOff>426551</xdr:colOff>
      <xdr:row>0</xdr:row>
      <xdr:rowOff>7327</xdr:rowOff>
    </xdr:from>
    <xdr:to>
      <xdr:col>0</xdr:col>
      <xdr:colOff>1298289</xdr:colOff>
      <xdr:row>3</xdr:row>
      <xdr:rowOff>2217</xdr:rowOff>
    </xdr:to>
    <xdr:pic>
      <xdr:nvPicPr>
        <xdr:cNvPr id="6" name="Picture 5">
          <a:hlinkClick xmlns:r="http://schemas.openxmlformats.org/officeDocument/2006/relationships" r:id="rId5" tooltip="Click to go to Home Menu"/>
          <a:extLst>
            <a:ext uri="{FF2B5EF4-FFF2-40B4-BE49-F238E27FC236}">
              <a16:creationId xmlns="" xmlns:a16="http://schemas.microsoft.com/office/drawing/2014/main" id="{00000000-0008-0000-0200-000006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26551" y="7327"/>
          <a:ext cx="871738" cy="603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503360</xdr:colOff>
      <xdr:row>0</xdr:row>
      <xdr:rowOff>29065</xdr:rowOff>
    </xdr:from>
    <xdr:to>
      <xdr:col>5</xdr:col>
      <xdr:colOff>390525</xdr:colOff>
      <xdr:row>2</xdr:row>
      <xdr:rowOff>167211</xdr:rowOff>
    </xdr:to>
    <xdr:pic>
      <xdr:nvPicPr>
        <xdr:cNvPr id="3" name="Picture 2">
          <a:hlinkClick xmlns:r="http://schemas.openxmlformats.org/officeDocument/2006/relationships" r:id="rId1" tooltip="Click to input School Data"/>
          <a:extLst>
            <a:ext uri="{FF2B5EF4-FFF2-40B4-BE49-F238E27FC236}">
              <a16:creationId xmlns=""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32160" y="29065"/>
          <a:ext cx="1106365" cy="557246"/>
        </a:xfrm>
        <a:prstGeom prst="rect">
          <a:avLst/>
        </a:prstGeom>
      </xdr:spPr>
    </xdr:pic>
    <xdr:clientData/>
  </xdr:twoCellAnchor>
  <xdr:twoCellAnchor editAs="oneCell">
    <xdr:from>
      <xdr:col>7</xdr:col>
      <xdr:colOff>532683</xdr:colOff>
      <xdr:row>0</xdr:row>
      <xdr:rowOff>29307</xdr:rowOff>
    </xdr:from>
    <xdr:to>
      <xdr:col>9</xdr:col>
      <xdr:colOff>422254</xdr:colOff>
      <xdr:row>2</xdr:row>
      <xdr:rowOff>168518</xdr:rowOff>
    </xdr:to>
    <xdr:pic>
      <xdr:nvPicPr>
        <xdr:cNvPr id="4" name="Picture 3">
          <a:hlinkClick xmlns:r="http://schemas.openxmlformats.org/officeDocument/2006/relationships" r:id="rId3" tooltip="Click to go to printable SRC. Use A4 sized paper for printing."/>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799883" y="29307"/>
          <a:ext cx="1108771" cy="558311"/>
        </a:xfrm>
        <a:prstGeom prst="rect">
          <a:avLst/>
        </a:prstGeom>
      </xdr:spPr>
    </xdr:pic>
    <xdr:clientData/>
  </xdr:twoCellAnchor>
  <xdr:twoCellAnchor editAs="oneCell">
    <xdr:from>
      <xdr:col>0</xdr:col>
      <xdr:colOff>171450</xdr:colOff>
      <xdr:row>0</xdr:row>
      <xdr:rowOff>28575</xdr:rowOff>
    </xdr:from>
    <xdr:to>
      <xdr:col>1</xdr:col>
      <xdr:colOff>391220</xdr:colOff>
      <xdr:row>2</xdr:row>
      <xdr:rowOff>183192</xdr:rowOff>
    </xdr:to>
    <xdr:pic>
      <xdr:nvPicPr>
        <xdr:cNvPr id="5" name="Picture 4">
          <a:hlinkClick xmlns:r="http://schemas.openxmlformats.org/officeDocument/2006/relationships" r:id="rId5" tooltip="Click to go to Home Menu"/>
          <a:extLst>
            <a:ext uri="{FF2B5EF4-FFF2-40B4-BE49-F238E27FC236}">
              <a16:creationId xmlns="" xmlns:a16="http://schemas.microsoft.com/office/drawing/2014/main" id="{00000000-0008-0000-0300-000005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1450" y="28575"/>
          <a:ext cx="829370" cy="573717"/>
        </a:xfrm>
        <a:prstGeom prst="rect">
          <a:avLst/>
        </a:prstGeom>
      </xdr:spPr>
    </xdr:pic>
    <xdr:clientData/>
  </xdr:twoCellAnchor>
  <xdr:twoCellAnchor editAs="oneCell">
    <xdr:from>
      <xdr:col>0</xdr:col>
      <xdr:colOff>600075</xdr:colOff>
      <xdr:row>3</xdr:row>
      <xdr:rowOff>19050</xdr:rowOff>
    </xdr:from>
    <xdr:to>
      <xdr:col>8</xdr:col>
      <xdr:colOff>428625</xdr:colOff>
      <xdr:row>39</xdr:row>
      <xdr:rowOff>180975</xdr:rowOff>
    </xdr:to>
    <xdr:pic>
      <xdr:nvPicPr>
        <xdr:cNvPr id="2" name="Picture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0075" y="628650"/>
          <a:ext cx="4705350" cy="7019925"/>
        </a:xfrm>
        <a:prstGeom prst="rect">
          <a:avLst/>
        </a:prstGeom>
      </xdr:spPr>
    </xdr:pic>
    <xdr:clientData/>
  </xdr:twoCellAnchor>
  <xdr:twoCellAnchor editAs="oneCell">
    <xdr:from>
      <xdr:col>1</xdr:col>
      <xdr:colOff>7125</xdr:colOff>
      <xdr:row>39</xdr:row>
      <xdr:rowOff>83325</xdr:rowOff>
    </xdr:from>
    <xdr:to>
      <xdr:col>8</xdr:col>
      <xdr:colOff>397650</xdr:colOff>
      <xdr:row>70</xdr:row>
      <xdr:rowOff>73800</xdr:rowOff>
    </xdr:to>
    <xdr:pic>
      <xdr:nvPicPr>
        <xdr:cNvPr id="6" name="Picture 5">
          <a:extLst>
            <a:ext uri="{FF2B5EF4-FFF2-40B4-BE49-F238E27FC236}">
              <a16:creationId xmlns="" xmlns:a16="http://schemas.microsoft.com/office/drawing/2014/main" id="{00000000-0008-0000-0300-00000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16725" y="7550925"/>
          <a:ext cx="4657725" cy="58959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659421</xdr:colOff>
      <xdr:row>0</xdr:row>
      <xdr:rowOff>29066</xdr:rowOff>
    </xdr:from>
    <xdr:to>
      <xdr:col>2</xdr:col>
      <xdr:colOff>981806</xdr:colOff>
      <xdr:row>2</xdr:row>
      <xdr:rowOff>240482</xdr:rowOff>
    </xdr:to>
    <xdr:pic>
      <xdr:nvPicPr>
        <xdr:cNvPr id="3" name="Picture 2">
          <a:hlinkClick xmlns:r="http://schemas.openxmlformats.org/officeDocument/2006/relationships" r:id="rId1" tooltip="Click to input School Data"/>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31729" y="29066"/>
          <a:ext cx="1106365" cy="555781"/>
        </a:xfrm>
        <a:prstGeom prst="rect">
          <a:avLst/>
        </a:prstGeom>
      </xdr:spPr>
    </xdr:pic>
    <xdr:clientData/>
  </xdr:twoCellAnchor>
  <xdr:twoCellAnchor editAs="oneCell">
    <xdr:from>
      <xdr:col>3</xdr:col>
      <xdr:colOff>124571</xdr:colOff>
      <xdr:row>0</xdr:row>
      <xdr:rowOff>29308</xdr:rowOff>
    </xdr:from>
    <xdr:to>
      <xdr:col>4</xdr:col>
      <xdr:colOff>346785</xdr:colOff>
      <xdr:row>2</xdr:row>
      <xdr:rowOff>241789</xdr:rowOff>
    </xdr:to>
    <xdr:pic>
      <xdr:nvPicPr>
        <xdr:cNvPr id="4" name="Picture 3">
          <a:hlinkClick xmlns:r="http://schemas.openxmlformats.org/officeDocument/2006/relationships" r:id="rId3" tooltip="Click to go to printable SRC. Use A4 sized paper for printing."/>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61302" y="29308"/>
          <a:ext cx="1108771" cy="556846"/>
        </a:xfrm>
        <a:prstGeom prst="rect">
          <a:avLst/>
        </a:prstGeom>
      </xdr:spPr>
    </xdr:pic>
    <xdr:clientData/>
  </xdr:twoCellAnchor>
  <xdr:twoCellAnchor editAs="oneCell">
    <xdr:from>
      <xdr:col>0</xdr:col>
      <xdr:colOff>102569</xdr:colOff>
      <xdr:row>0</xdr:row>
      <xdr:rowOff>21981</xdr:rowOff>
    </xdr:from>
    <xdr:to>
      <xdr:col>0</xdr:col>
      <xdr:colOff>931939</xdr:colOff>
      <xdr:row>2</xdr:row>
      <xdr:rowOff>251333</xdr:rowOff>
    </xdr:to>
    <xdr:pic>
      <xdr:nvPicPr>
        <xdr:cNvPr id="5" name="Picture 4">
          <a:hlinkClick xmlns:r="http://schemas.openxmlformats.org/officeDocument/2006/relationships" r:id="rId5" tooltip="Click to go to Home Menu"/>
          <a:extLst>
            <a:ext uri="{FF2B5EF4-FFF2-40B4-BE49-F238E27FC236}">
              <a16:creationId xmlns="" xmlns:a16="http://schemas.microsoft.com/office/drawing/2014/main" id="{00000000-0008-0000-0400-000005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2569" y="21981"/>
          <a:ext cx="829370" cy="57371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40822</xdr:colOff>
      <xdr:row>211</xdr:row>
      <xdr:rowOff>81643</xdr:rowOff>
    </xdr:from>
    <xdr:to>
      <xdr:col>10</xdr:col>
      <xdr:colOff>367393</xdr:colOff>
      <xdr:row>238</xdr:row>
      <xdr:rowOff>142875</xdr:rowOff>
    </xdr:to>
    <xdr:graphicFrame macro="">
      <xdr:nvGraphicFramePr>
        <xdr:cNvPr id="61" name="Chart 60">
          <a:extLst>
            <a:ext uri="{FF2B5EF4-FFF2-40B4-BE49-F238E27FC236}">
              <a16:creationId xmlns="" xmlns:a16="http://schemas.microsoft.com/office/drawing/2014/main" id="{00000000-0008-0000-0500-00003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484184</xdr:colOff>
      <xdr:row>62</xdr:row>
      <xdr:rowOff>47625</xdr:rowOff>
    </xdr:from>
    <xdr:to>
      <xdr:col>8</xdr:col>
      <xdr:colOff>531808</xdr:colOff>
      <xdr:row>89</xdr:row>
      <xdr:rowOff>142875</xdr:rowOff>
    </xdr:to>
    <xdr:graphicFrame macro="">
      <xdr:nvGraphicFramePr>
        <xdr:cNvPr id="4" name="Chart 3">
          <a:extLst>
            <a:ext uri="{FF2B5EF4-FFF2-40B4-BE49-F238E27FC236}">
              <a16:creationId xmlns=""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102941</xdr:colOff>
      <xdr:row>115</xdr:row>
      <xdr:rowOff>15021</xdr:rowOff>
    </xdr:from>
    <xdr:to>
      <xdr:col>10</xdr:col>
      <xdr:colOff>209549</xdr:colOff>
      <xdr:row>133</xdr:row>
      <xdr:rowOff>152400</xdr:rowOff>
    </xdr:to>
    <xdr:graphicFrame macro="">
      <xdr:nvGraphicFramePr>
        <xdr:cNvPr id="5" name="Chart 4">
          <a:extLst>
            <a:ext uri="{FF2B5EF4-FFF2-40B4-BE49-F238E27FC236}">
              <a16:creationId xmlns=""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3</xdr:row>
      <xdr:rowOff>24029</xdr:rowOff>
    </xdr:from>
    <xdr:to>
      <xdr:col>10</xdr:col>
      <xdr:colOff>375818</xdr:colOff>
      <xdr:row>55</xdr:row>
      <xdr:rowOff>37729</xdr:rowOff>
    </xdr:to>
    <xdr:pic>
      <xdr:nvPicPr>
        <xdr:cNvPr id="6" name="Picture 5">
          <a:extLst>
            <a:ext uri="{FF2B5EF4-FFF2-40B4-BE49-F238E27FC236}">
              <a16:creationId xmlns="" xmlns:a16="http://schemas.microsoft.com/office/drawing/2014/main" id="{00000000-0008-0000-05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575" y="938429"/>
          <a:ext cx="6147968" cy="9824450"/>
        </a:xfrm>
        <a:prstGeom prst="rect">
          <a:avLst/>
        </a:prstGeom>
      </xdr:spPr>
    </xdr:pic>
    <xdr:clientData/>
  </xdr:twoCellAnchor>
  <xdr:twoCellAnchor>
    <xdr:from>
      <xdr:col>0</xdr:col>
      <xdr:colOff>206383</xdr:colOff>
      <xdr:row>266</xdr:row>
      <xdr:rowOff>140277</xdr:rowOff>
    </xdr:from>
    <xdr:to>
      <xdr:col>10</xdr:col>
      <xdr:colOff>183173</xdr:colOff>
      <xdr:row>290</xdr:row>
      <xdr:rowOff>31751</xdr:rowOff>
    </xdr:to>
    <xdr:graphicFrame macro="">
      <xdr:nvGraphicFramePr>
        <xdr:cNvPr id="10" name="Chart 9">
          <a:extLst>
            <a:ext uri="{FF2B5EF4-FFF2-40B4-BE49-F238E27FC236}">
              <a16:creationId xmlns=""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374</xdr:row>
      <xdr:rowOff>371475</xdr:rowOff>
    </xdr:from>
    <xdr:to>
      <xdr:col>6</xdr:col>
      <xdr:colOff>447674</xdr:colOff>
      <xdr:row>400</xdr:row>
      <xdr:rowOff>9525</xdr:rowOff>
    </xdr:to>
    <xdr:graphicFrame macro="">
      <xdr:nvGraphicFramePr>
        <xdr:cNvPr id="11" name="Chart 10">
          <a:extLst>
            <a:ext uri="{FF2B5EF4-FFF2-40B4-BE49-F238E27FC236}">
              <a16:creationId xmlns=""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402</xdr:row>
      <xdr:rowOff>36874</xdr:rowOff>
    </xdr:from>
    <xdr:to>
      <xdr:col>8</xdr:col>
      <xdr:colOff>149678</xdr:colOff>
      <xdr:row>416</xdr:row>
      <xdr:rowOff>51116</xdr:rowOff>
    </xdr:to>
    <xdr:graphicFrame macro="">
      <xdr:nvGraphicFramePr>
        <xdr:cNvPr id="12" name="Chart 11">
          <a:extLst>
            <a:ext uri="{FF2B5EF4-FFF2-40B4-BE49-F238E27FC236}">
              <a16:creationId xmlns=""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142873</xdr:colOff>
      <xdr:row>487</xdr:row>
      <xdr:rowOff>123825</xdr:rowOff>
    </xdr:from>
    <xdr:to>
      <xdr:col>10</xdr:col>
      <xdr:colOff>212480</xdr:colOff>
      <xdr:row>513</xdr:row>
      <xdr:rowOff>133350</xdr:rowOff>
    </xdr:to>
    <xdr:graphicFrame macro="">
      <xdr:nvGraphicFramePr>
        <xdr:cNvPr id="15" name="Chart 14">
          <a:extLst>
            <a:ext uri="{FF2B5EF4-FFF2-40B4-BE49-F238E27FC236}">
              <a16:creationId xmlns=""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183353</xdr:colOff>
      <xdr:row>707</xdr:row>
      <xdr:rowOff>152400</xdr:rowOff>
    </xdr:from>
    <xdr:to>
      <xdr:col>5</xdr:col>
      <xdr:colOff>19049</xdr:colOff>
      <xdr:row>731</xdr:row>
      <xdr:rowOff>180976</xdr:rowOff>
    </xdr:to>
    <xdr:graphicFrame macro="">
      <xdr:nvGraphicFramePr>
        <xdr:cNvPr id="50" name="Chart 49">
          <a:extLst>
            <a:ext uri="{FF2B5EF4-FFF2-40B4-BE49-F238E27FC236}">
              <a16:creationId xmlns="" xmlns:a16="http://schemas.microsoft.com/office/drawing/2014/main" id="{00000000-0008-0000-05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361948</xdr:colOff>
      <xdr:row>767</xdr:row>
      <xdr:rowOff>76200</xdr:rowOff>
    </xdr:from>
    <xdr:to>
      <xdr:col>10</xdr:col>
      <xdr:colOff>256442</xdr:colOff>
      <xdr:row>788</xdr:row>
      <xdr:rowOff>19050</xdr:rowOff>
    </xdr:to>
    <xdr:graphicFrame macro="">
      <xdr:nvGraphicFramePr>
        <xdr:cNvPr id="57" name="Chart 56">
          <a:extLst>
            <a:ext uri="{FF2B5EF4-FFF2-40B4-BE49-F238E27FC236}">
              <a16:creationId xmlns="" xmlns:a16="http://schemas.microsoft.com/office/drawing/2014/main" id="{00000000-0008-0000-05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35718</xdr:colOff>
      <xdr:row>68</xdr:row>
      <xdr:rowOff>59534</xdr:rowOff>
    </xdr:from>
    <xdr:to>
      <xdr:col>2</xdr:col>
      <xdr:colOff>146742</xdr:colOff>
      <xdr:row>87</xdr:row>
      <xdr:rowOff>59533</xdr:rowOff>
    </xdr:to>
    <xdr:pic>
      <xdr:nvPicPr>
        <xdr:cNvPr id="55" name="Picture 54">
          <a:extLst>
            <a:ext uri="{FF2B5EF4-FFF2-40B4-BE49-F238E27FC236}">
              <a16:creationId xmlns="" xmlns:a16="http://schemas.microsoft.com/office/drawing/2014/main" id="{00000000-0008-0000-0500-000037000000}"/>
            </a:ext>
          </a:extLst>
        </xdr:cNvPr>
        <xdr:cNvPicPr>
          <a:picLocks noChangeAspect="1"/>
        </xdr:cNvPicPr>
      </xdr:nvPicPr>
      <xdr:blipFill rotWithShape="1">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rcRect r="53414"/>
        <a:stretch/>
      </xdr:blipFill>
      <xdr:spPr>
        <a:xfrm>
          <a:off x="35718" y="13323097"/>
          <a:ext cx="1301649" cy="3619499"/>
        </a:xfrm>
        <a:prstGeom prst="rect">
          <a:avLst/>
        </a:prstGeom>
      </xdr:spPr>
    </xdr:pic>
    <xdr:clientData/>
  </xdr:twoCellAnchor>
  <xdr:twoCellAnchor editAs="oneCell">
    <xdr:from>
      <xdr:col>8</xdr:col>
      <xdr:colOff>83343</xdr:colOff>
      <xdr:row>67</xdr:row>
      <xdr:rowOff>107156</xdr:rowOff>
    </xdr:from>
    <xdr:to>
      <xdr:col>11</xdr:col>
      <xdr:colOff>11905</xdr:colOff>
      <xdr:row>87</xdr:row>
      <xdr:rowOff>56490</xdr:rowOff>
    </xdr:to>
    <xdr:pic>
      <xdr:nvPicPr>
        <xdr:cNvPr id="63" name="Picture 62">
          <a:extLst>
            <a:ext uri="{FF2B5EF4-FFF2-40B4-BE49-F238E27FC236}">
              <a16:creationId xmlns="" xmlns:a16="http://schemas.microsoft.com/office/drawing/2014/main" id="{00000000-0008-0000-0500-00003F000000}"/>
            </a:ext>
          </a:extLst>
        </xdr:cNvPr>
        <xdr:cNvPicPr>
          <a:picLocks noChangeAspect="1"/>
        </xdr:cNvPicPr>
      </xdr:nvPicPr>
      <xdr:blipFill rotWithShape="1">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rcRect l="55122"/>
        <a:stretch/>
      </xdr:blipFill>
      <xdr:spPr>
        <a:xfrm>
          <a:off x="4883943" y="13404056"/>
          <a:ext cx="1328737" cy="3759334"/>
        </a:xfrm>
        <a:prstGeom prst="rect">
          <a:avLst/>
        </a:prstGeom>
      </xdr:spPr>
    </xdr:pic>
    <xdr:clientData/>
  </xdr:twoCellAnchor>
  <xdr:twoCellAnchor editAs="oneCell">
    <xdr:from>
      <xdr:col>0</xdr:col>
      <xdr:colOff>1</xdr:colOff>
      <xdr:row>237</xdr:row>
      <xdr:rowOff>75413</xdr:rowOff>
    </xdr:from>
    <xdr:to>
      <xdr:col>3</xdr:col>
      <xdr:colOff>68209</xdr:colOff>
      <xdr:row>257</xdr:row>
      <xdr:rowOff>15882</xdr:rowOff>
    </xdr:to>
    <xdr:pic>
      <xdr:nvPicPr>
        <xdr:cNvPr id="71" name="Picture 70">
          <a:extLst>
            <a:ext uri="{FF2B5EF4-FFF2-40B4-BE49-F238E27FC236}">
              <a16:creationId xmlns="" xmlns:a16="http://schemas.microsoft.com/office/drawing/2014/main" id="{00000000-0008-0000-0500-000047000000}"/>
            </a:ext>
          </a:extLst>
        </xdr:cNvPr>
        <xdr:cNvPicPr>
          <a:picLocks noChangeAspect="1"/>
        </xdr:cNvPicPr>
      </xdr:nvPicPr>
      <xdr:blipFill>
        <a:blip xmlns:r="http://schemas.openxmlformats.org/officeDocument/2006/relationships" r:embed="rId1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 y="49145038"/>
          <a:ext cx="1877958" cy="3750469"/>
        </a:xfrm>
        <a:prstGeom prst="rect">
          <a:avLst/>
        </a:prstGeom>
      </xdr:spPr>
    </xdr:pic>
    <xdr:clientData/>
  </xdr:twoCellAnchor>
  <xdr:twoCellAnchor editAs="oneCell">
    <xdr:from>
      <xdr:col>4</xdr:col>
      <xdr:colOff>310481</xdr:colOff>
      <xdr:row>393</xdr:row>
      <xdr:rowOff>40299</xdr:rowOff>
    </xdr:from>
    <xdr:to>
      <xdr:col>7</xdr:col>
      <xdr:colOff>136392</xdr:colOff>
      <xdr:row>401</xdr:row>
      <xdr:rowOff>28392</xdr:rowOff>
    </xdr:to>
    <xdr:pic>
      <xdr:nvPicPr>
        <xdr:cNvPr id="73" name="Picture 72">
          <a:extLst>
            <a:ext uri="{FF2B5EF4-FFF2-40B4-BE49-F238E27FC236}">
              <a16:creationId xmlns="" xmlns:a16="http://schemas.microsoft.com/office/drawing/2014/main" id="{00000000-0008-0000-0500-000049000000}"/>
            </a:ext>
          </a:extLst>
        </xdr:cNvPr>
        <xdr:cNvPicPr>
          <a:picLocks noChangeAspect="1"/>
        </xdr:cNvPicPr>
      </xdr:nvPicPr>
      <xdr:blipFill>
        <a:blip xmlns:r="http://schemas.openxmlformats.org/officeDocument/2006/relationships" r:embed="rId1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713712" y="79881780"/>
          <a:ext cx="1628334" cy="1512093"/>
        </a:xfrm>
        <a:prstGeom prst="rect">
          <a:avLst/>
        </a:prstGeom>
      </xdr:spPr>
    </xdr:pic>
    <xdr:clientData/>
  </xdr:twoCellAnchor>
  <xdr:twoCellAnchor editAs="oneCell">
    <xdr:from>
      <xdr:col>7</xdr:col>
      <xdr:colOff>119063</xdr:colOff>
      <xdr:row>396</xdr:row>
      <xdr:rowOff>71439</xdr:rowOff>
    </xdr:from>
    <xdr:to>
      <xdr:col>10</xdr:col>
      <xdr:colOff>319237</xdr:colOff>
      <xdr:row>408</xdr:row>
      <xdr:rowOff>63504</xdr:rowOff>
    </xdr:to>
    <xdr:pic>
      <xdr:nvPicPr>
        <xdr:cNvPr id="75" name="Picture 74">
          <a:extLst>
            <a:ext uri="{FF2B5EF4-FFF2-40B4-BE49-F238E27FC236}">
              <a16:creationId xmlns="" xmlns:a16="http://schemas.microsoft.com/office/drawing/2014/main" id="{00000000-0008-0000-0500-00004B000000}"/>
            </a:ext>
          </a:extLst>
        </xdr:cNvPr>
        <xdr:cNvPicPr>
          <a:picLocks noChangeAspect="1"/>
        </xdr:cNvPicPr>
      </xdr:nvPicPr>
      <xdr:blipFill>
        <a:blip xmlns:r="http://schemas.openxmlformats.org/officeDocument/2006/relationships" r:embed="rId1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86251" y="78033564"/>
          <a:ext cx="1779736" cy="2381250"/>
        </a:xfrm>
        <a:prstGeom prst="rect">
          <a:avLst/>
        </a:prstGeom>
      </xdr:spPr>
    </xdr:pic>
    <xdr:clientData/>
  </xdr:twoCellAnchor>
  <xdr:twoCellAnchor editAs="oneCell">
    <xdr:from>
      <xdr:col>7</xdr:col>
      <xdr:colOff>35719</xdr:colOff>
      <xdr:row>410</xdr:row>
      <xdr:rowOff>142877</xdr:rowOff>
    </xdr:from>
    <xdr:to>
      <xdr:col>10</xdr:col>
      <xdr:colOff>112781</xdr:colOff>
      <xdr:row>421</xdr:row>
      <xdr:rowOff>130969</xdr:rowOff>
    </xdr:to>
    <xdr:pic>
      <xdr:nvPicPr>
        <xdr:cNvPr id="77" name="Picture 76">
          <a:extLst>
            <a:ext uri="{FF2B5EF4-FFF2-40B4-BE49-F238E27FC236}">
              <a16:creationId xmlns="" xmlns:a16="http://schemas.microsoft.com/office/drawing/2014/main" id="{00000000-0008-0000-0500-00004D000000}"/>
            </a:ext>
          </a:extLst>
        </xdr:cNvPr>
        <xdr:cNvPicPr>
          <a:picLocks noChangeAspect="1"/>
        </xdr:cNvPicPr>
      </xdr:nvPicPr>
      <xdr:blipFill>
        <a:blip xmlns:r="http://schemas.openxmlformats.org/officeDocument/2006/relationships" r:embed="rId15"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02907" y="80772002"/>
          <a:ext cx="1664562" cy="2083592"/>
        </a:xfrm>
        <a:prstGeom prst="rect">
          <a:avLst/>
        </a:prstGeom>
      </xdr:spPr>
    </xdr:pic>
    <xdr:clientData/>
  </xdr:twoCellAnchor>
  <xdr:twoCellAnchor editAs="oneCell">
    <xdr:from>
      <xdr:col>3</xdr:col>
      <xdr:colOff>295275</xdr:colOff>
      <xdr:row>416</xdr:row>
      <xdr:rowOff>10869</xdr:rowOff>
    </xdr:from>
    <xdr:to>
      <xdr:col>6</xdr:col>
      <xdr:colOff>309563</xdr:colOff>
      <xdr:row>426</xdr:row>
      <xdr:rowOff>48183</xdr:rowOff>
    </xdr:to>
    <xdr:pic>
      <xdr:nvPicPr>
        <xdr:cNvPr id="79" name="Picture 78">
          <a:extLst>
            <a:ext uri="{FF2B5EF4-FFF2-40B4-BE49-F238E27FC236}">
              <a16:creationId xmlns="" xmlns:a16="http://schemas.microsoft.com/office/drawing/2014/main" id="{00000000-0008-0000-0500-00004F000000}"/>
            </a:ext>
          </a:extLst>
        </xdr:cNvPr>
        <xdr:cNvPicPr>
          <a:picLocks noChangeAspect="1"/>
        </xdr:cNvPicPr>
      </xdr:nvPicPr>
      <xdr:blipFill>
        <a:blip xmlns:r="http://schemas.openxmlformats.org/officeDocument/2006/relationships" r:embed="rId1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84526194"/>
          <a:ext cx="1814513" cy="1942314"/>
        </a:xfrm>
        <a:prstGeom prst="rect">
          <a:avLst/>
        </a:prstGeom>
      </xdr:spPr>
    </xdr:pic>
    <xdr:clientData/>
  </xdr:twoCellAnchor>
  <xdr:twoCellAnchor editAs="oneCell">
    <xdr:from>
      <xdr:col>0</xdr:col>
      <xdr:colOff>277508</xdr:colOff>
      <xdr:row>456</xdr:row>
      <xdr:rowOff>56783</xdr:rowOff>
    </xdr:from>
    <xdr:to>
      <xdr:col>5</xdr:col>
      <xdr:colOff>6693</xdr:colOff>
      <xdr:row>476</xdr:row>
      <xdr:rowOff>11323</xdr:rowOff>
    </xdr:to>
    <xdr:pic>
      <xdr:nvPicPr>
        <xdr:cNvPr id="81" name="Picture 80">
          <a:extLst>
            <a:ext uri="{FF2B5EF4-FFF2-40B4-BE49-F238E27FC236}">
              <a16:creationId xmlns="" xmlns:a16="http://schemas.microsoft.com/office/drawing/2014/main" id="{00000000-0008-0000-0500-000051000000}"/>
            </a:ext>
          </a:extLst>
        </xdr:cNvPr>
        <xdr:cNvPicPr>
          <a:picLocks noChangeAspect="1"/>
        </xdr:cNvPicPr>
      </xdr:nvPicPr>
      <xdr:blipFill>
        <a:blip xmlns:r="http://schemas.openxmlformats.org/officeDocument/2006/relationships" r:embed="rId1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77508" y="91187221"/>
          <a:ext cx="2705748" cy="3764540"/>
        </a:xfrm>
        <a:prstGeom prst="rect">
          <a:avLst/>
        </a:prstGeom>
      </xdr:spPr>
    </xdr:pic>
    <xdr:clientData/>
  </xdr:twoCellAnchor>
  <xdr:twoCellAnchor editAs="oneCell">
    <xdr:from>
      <xdr:col>0</xdr:col>
      <xdr:colOff>0</xdr:colOff>
      <xdr:row>516</xdr:row>
      <xdr:rowOff>86585</xdr:rowOff>
    </xdr:from>
    <xdr:to>
      <xdr:col>5</xdr:col>
      <xdr:colOff>199159</xdr:colOff>
      <xdr:row>531</xdr:row>
      <xdr:rowOff>122303</xdr:rowOff>
    </xdr:to>
    <xdr:pic>
      <xdr:nvPicPr>
        <xdr:cNvPr id="83" name="Picture 82">
          <a:extLst>
            <a:ext uri="{FF2B5EF4-FFF2-40B4-BE49-F238E27FC236}">
              <a16:creationId xmlns="" xmlns:a16="http://schemas.microsoft.com/office/drawing/2014/main" id="{00000000-0008-0000-0500-000053000000}"/>
            </a:ext>
          </a:extLst>
        </xdr:cNvPr>
        <xdr:cNvPicPr>
          <a:picLocks noChangeAspect="1"/>
        </xdr:cNvPicPr>
      </xdr:nvPicPr>
      <xdr:blipFill>
        <a:blip xmlns:r="http://schemas.openxmlformats.org/officeDocument/2006/relationships" r:embed="rId18">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0" y="103831153"/>
          <a:ext cx="3186545" cy="2893218"/>
        </a:xfrm>
        <a:prstGeom prst="rect">
          <a:avLst/>
        </a:prstGeom>
      </xdr:spPr>
    </xdr:pic>
    <xdr:clientData/>
  </xdr:twoCellAnchor>
  <xdr:twoCellAnchor editAs="oneCell">
    <xdr:from>
      <xdr:col>6</xdr:col>
      <xdr:colOff>69055</xdr:colOff>
      <xdr:row>541</xdr:row>
      <xdr:rowOff>154783</xdr:rowOff>
    </xdr:from>
    <xdr:to>
      <xdr:col>10</xdr:col>
      <xdr:colOff>284008</xdr:colOff>
      <xdr:row>557</xdr:row>
      <xdr:rowOff>35719</xdr:rowOff>
    </xdr:to>
    <xdr:pic>
      <xdr:nvPicPr>
        <xdr:cNvPr id="85" name="Picture 84">
          <a:extLst>
            <a:ext uri="{FF2B5EF4-FFF2-40B4-BE49-F238E27FC236}">
              <a16:creationId xmlns="" xmlns:a16="http://schemas.microsoft.com/office/drawing/2014/main" id="{00000000-0008-0000-0500-000055000000}"/>
            </a:ext>
          </a:extLst>
        </xdr:cNvPr>
        <xdr:cNvPicPr>
          <a:picLocks noChangeAspect="1"/>
        </xdr:cNvPicPr>
      </xdr:nvPicPr>
      <xdr:blipFill>
        <a:blip xmlns:r="http://schemas.openxmlformats.org/officeDocument/2006/relationships" r:embed="rId19">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69505" y="107844433"/>
          <a:ext cx="2415228" cy="2928936"/>
        </a:xfrm>
        <a:prstGeom prst="rect">
          <a:avLst/>
        </a:prstGeom>
      </xdr:spPr>
    </xdr:pic>
    <xdr:clientData/>
  </xdr:twoCellAnchor>
  <xdr:twoCellAnchor editAs="oneCell">
    <xdr:from>
      <xdr:col>0</xdr:col>
      <xdr:colOff>28575</xdr:colOff>
      <xdr:row>621</xdr:row>
      <xdr:rowOff>78580</xdr:rowOff>
    </xdr:from>
    <xdr:to>
      <xdr:col>5</xdr:col>
      <xdr:colOff>592687</xdr:colOff>
      <xdr:row>640</xdr:row>
      <xdr:rowOff>138113</xdr:rowOff>
    </xdr:to>
    <xdr:pic>
      <xdr:nvPicPr>
        <xdr:cNvPr id="89" name="Picture 88">
          <a:extLst>
            <a:ext uri="{FF2B5EF4-FFF2-40B4-BE49-F238E27FC236}">
              <a16:creationId xmlns="" xmlns:a16="http://schemas.microsoft.com/office/drawing/2014/main" id="{00000000-0008-0000-0500-000059000000}"/>
            </a:ext>
          </a:extLst>
        </xdr:cNvPr>
        <xdr:cNvPicPr>
          <a:picLocks noChangeAspect="1"/>
        </xdr:cNvPicPr>
      </xdr:nvPicPr>
      <xdr:blipFill>
        <a:blip xmlns:r="http://schemas.openxmlformats.org/officeDocument/2006/relationships" r:embed="rId2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575" y="135295480"/>
          <a:ext cx="3564487" cy="3679033"/>
        </a:xfrm>
        <a:prstGeom prst="rect">
          <a:avLst/>
        </a:prstGeom>
      </xdr:spPr>
    </xdr:pic>
    <xdr:clientData/>
  </xdr:twoCellAnchor>
  <xdr:twoCellAnchor editAs="oneCell">
    <xdr:from>
      <xdr:col>0</xdr:col>
      <xdr:colOff>40823</xdr:colOff>
      <xdr:row>652</xdr:row>
      <xdr:rowOff>15302</xdr:rowOff>
    </xdr:from>
    <xdr:to>
      <xdr:col>6</xdr:col>
      <xdr:colOff>387570</xdr:colOff>
      <xdr:row>668</xdr:row>
      <xdr:rowOff>78828</xdr:rowOff>
    </xdr:to>
    <xdr:pic>
      <xdr:nvPicPr>
        <xdr:cNvPr id="91" name="Picture 90">
          <a:extLst>
            <a:ext uri="{FF2B5EF4-FFF2-40B4-BE49-F238E27FC236}">
              <a16:creationId xmlns="" xmlns:a16="http://schemas.microsoft.com/office/drawing/2014/main" id="{00000000-0008-0000-0500-00005B000000}"/>
            </a:ext>
          </a:extLst>
        </xdr:cNvPr>
        <xdr:cNvPicPr>
          <a:picLocks noChangeAspect="1"/>
        </xdr:cNvPicPr>
      </xdr:nvPicPr>
      <xdr:blipFill>
        <a:blip xmlns:r="http://schemas.openxmlformats.org/officeDocument/2006/relationships" r:embed="rId2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823" y="130685164"/>
          <a:ext cx="3933402" cy="3111526"/>
        </a:xfrm>
        <a:prstGeom prst="rect">
          <a:avLst/>
        </a:prstGeom>
      </xdr:spPr>
    </xdr:pic>
    <xdr:clientData/>
  </xdr:twoCellAnchor>
  <xdr:twoCellAnchor>
    <xdr:from>
      <xdr:col>1</xdr:col>
      <xdr:colOff>35711</xdr:colOff>
      <xdr:row>733</xdr:row>
      <xdr:rowOff>134144</xdr:rowOff>
    </xdr:from>
    <xdr:to>
      <xdr:col>2</xdr:col>
      <xdr:colOff>571492</xdr:colOff>
      <xdr:row>733</xdr:row>
      <xdr:rowOff>134144</xdr:rowOff>
    </xdr:to>
    <xdr:cxnSp macro="">
      <xdr:nvCxnSpPr>
        <xdr:cNvPr id="134" name="Straight Connector 133">
          <a:extLst>
            <a:ext uri="{FF2B5EF4-FFF2-40B4-BE49-F238E27FC236}">
              <a16:creationId xmlns="" xmlns:a16="http://schemas.microsoft.com/office/drawing/2014/main" id="{00000000-0008-0000-0500-000086000000}"/>
            </a:ext>
          </a:extLst>
        </xdr:cNvPr>
        <xdr:cNvCxnSpPr/>
      </xdr:nvCxnSpPr>
      <xdr:spPr>
        <a:xfrm>
          <a:off x="632059" y="157130992"/>
          <a:ext cx="1132129" cy="0"/>
        </a:xfrm>
        <a:prstGeom prst="line">
          <a:avLst/>
        </a:prstGeom>
        <a:ln>
          <a:prstDash val="dash"/>
          <a:headEnd type="none" w="med" len="med"/>
          <a:tailEnd type="none" w="med" len="med"/>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4</xdr:col>
      <xdr:colOff>293076</xdr:colOff>
      <xdr:row>717</xdr:row>
      <xdr:rowOff>5495</xdr:rowOff>
    </xdr:from>
    <xdr:to>
      <xdr:col>10</xdr:col>
      <xdr:colOff>369589</xdr:colOff>
      <xdr:row>732</xdr:row>
      <xdr:rowOff>88839</xdr:rowOff>
    </xdr:to>
    <xdr:pic>
      <xdr:nvPicPr>
        <xdr:cNvPr id="137" name="Picture 136">
          <a:extLst>
            <a:ext uri="{FF2B5EF4-FFF2-40B4-BE49-F238E27FC236}">
              <a16:creationId xmlns="" xmlns:a16="http://schemas.microsoft.com/office/drawing/2014/main" id="{00000000-0008-0000-0500-000089000000}"/>
            </a:ext>
          </a:extLst>
        </xdr:cNvPr>
        <xdr:cNvPicPr>
          <a:picLocks noChangeAspect="1"/>
        </xdr:cNvPicPr>
      </xdr:nvPicPr>
      <xdr:blipFill>
        <a:blip xmlns:r="http://schemas.openxmlformats.org/officeDocument/2006/relationships" r:embed="rId2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696307" y="143305457"/>
          <a:ext cx="3483532" cy="2940844"/>
        </a:xfrm>
        <a:prstGeom prst="rect">
          <a:avLst/>
        </a:prstGeom>
      </xdr:spPr>
    </xdr:pic>
    <xdr:clientData/>
  </xdr:twoCellAnchor>
  <xdr:twoCellAnchor editAs="oneCell">
    <xdr:from>
      <xdr:col>0</xdr:col>
      <xdr:colOff>0</xdr:colOff>
      <xdr:row>781</xdr:row>
      <xdr:rowOff>83344</xdr:rowOff>
    </xdr:from>
    <xdr:to>
      <xdr:col>9</xdr:col>
      <xdr:colOff>188599</xdr:colOff>
      <xdr:row>805</xdr:row>
      <xdr:rowOff>128012</xdr:rowOff>
    </xdr:to>
    <xdr:pic>
      <xdr:nvPicPr>
        <xdr:cNvPr id="139" name="Picture 138">
          <a:extLst>
            <a:ext uri="{FF2B5EF4-FFF2-40B4-BE49-F238E27FC236}">
              <a16:creationId xmlns="" xmlns:a16="http://schemas.microsoft.com/office/drawing/2014/main" id="{00000000-0008-0000-0500-00008B000000}"/>
            </a:ext>
          </a:extLst>
        </xdr:cNvPr>
        <xdr:cNvPicPr>
          <a:picLocks noChangeAspect="1"/>
        </xdr:cNvPicPr>
      </xdr:nvPicPr>
      <xdr:blipFill>
        <a:blip xmlns:r="http://schemas.openxmlformats.org/officeDocument/2006/relationships" r:embed="rId2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0" y="164984907"/>
          <a:ext cx="5546412" cy="4616668"/>
        </a:xfrm>
        <a:prstGeom prst="rect">
          <a:avLst/>
        </a:prstGeom>
      </xdr:spPr>
    </xdr:pic>
    <xdr:clientData/>
  </xdr:twoCellAnchor>
  <xdr:twoCellAnchor>
    <xdr:from>
      <xdr:col>3</xdr:col>
      <xdr:colOff>309561</xdr:colOff>
      <xdr:row>449</xdr:row>
      <xdr:rowOff>95250</xdr:rowOff>
    </xdr:from>
    <xdr:to>
      <xdr:col>11</xdr:col>
      <xdr:colOff>10584</xdr:colOff>
      <xdr:row>467</xdr:row>
      <xdr:rowOff>142874</xdr:rowOff>
    </xdr:to>
    <xdr:graphicFrame macro="">
      <xdr:nvGraphicFramePr>
        <xdr:cNvPr id="56" name="Chart 55">
          <a:extLst>
            <a:ext uri="{FF2B5EF4-FFF2-40B4-BE49-F238E27FC236}">
              <a16:creationId xmlns="" xmlns:a16="http://schemas.microsoft.com/office/drawing/2014/main" id="{00000000-0008-0000-0500-00003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49864</xdr:colOff>
      <xdr:row>595</xdr:row>
      <xdr:rowOff>114300</xdr:rowOff>
    </xdr:from>
    <xdr:to>
      <xdr:col>10</xdr:col>
      <xdr:colOff>234461</xdr:colOff>
      <xdr:row>613</xdr:row>
      <xdr:rowOff>47625</xdr:rowOff>
    </xdr:to>
    <xdr:graphicFrame macro="">
      <xdr:nvGraphicFramePr>
        <xdr:cNvPr id="58" name="Chart 57">
          <a:extLst>
            <a:ext uri="{FF2B5EF4-FFF2-40B4-BE49-F238E27FC236}">
              <a16:creationId xmlns="" xmlns:a16="http://schemas.microsoft.com/office/drawing/2014/main" id="{00000000-0008-0000-05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14654</xdr:colOff>
      <xdr:row>679</xdr:row>
      <xdr:rowOff>110156</xdr:rowOff>
    </xdr:from>
    <xdr:to>
      <xdr:col>10</xdr:col>
      <xdr:colOff>256442</xdr:colOff>
      <xdr:row>696</xdr:row>
      <xdr:rowOff>106394</xdr:rowOff>
    </xdr:to>
    <xdr:graphicFrame macro="">
      <xdr:nvGraphicFramePr>
        <xdr:cNvPr id="59" name="Chart 58">
          <a:extLst>
            <a:ext uri="{FF2B5EF4-FFF2-40B4-BE49-F238E27FC236}">
              <a16:creationId xmlns="" xmlns:a16="http://schemas.microsoft.com/office/drawing/2014/main" id="{00000000-0008-0000-05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106024</xdr:colOff>
      <xdr:row>173</xdr:row>
      <xdr:rowOff>329046</xdr:rowOff>
    </xdr:from>
    <xdr:to>
      <xdr:col>10</xdr:col>
      <xdr:colOff>300403</xdr:colOff>
      <xdr:row>186</xdr:row>
      <xdr:rowOff>77932</xdr:rowOff>
    </xdr:to>
    <xdr:graphicFrame macro="">
      <xdr:nvGraphicFramePr>
        <xdr:cNvPr id="42" name="Chart 41">
          <a:extLst>
            <a:ext uri="{FF2B5EF4-FFF2-40B4-BE49-F238E27FC236}">
              <a16:creationId xmlns="" xmlns:a16="http://schemas.microsoft.com/office/drawing/2014/main" id="{00000000-0008-0000-05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oneCellAnchor>
    <xdr:from>
      <xdr:col>0</xdr:col>
      <xdr:colOff>103909</xdr:colOff>
      <xdr:row>613</xdr:row>
      <xdr:rowOff>147205</xdr:rowOff>
    </xdr:from>
    <xdr:ext cx="978477" cy="960456"/>
    <xdr:sp macro="" textlink="">
      <xdr:nvSpPr>
        <xdr:cNvPr id="2" name="TextBox 1">
          <a:extLst>
            <a:ext uri="{FF2B5EF4-FFF2-40B4-BE49-F238E27FC236}">
              <a16:creationId xmlns="" xmlns:a16="http://schemas.microsoft.com/office/drawing/2014/main" id="{00000000-0008-0000-0500-000002000000}"/>
            </a:ext>
          </a:extLst>
        </xdr:cNvPr>
        <xdr:cNvSpPr txBox="1"/>
      </xdr:nvSpPr>
      <xdr:spPr>
        <a:xfrm>
          <a:off x="103909" y="122046038"/>
          <a:ext cx="978477" cy="960456"/>
        </a:xfrm>
        <a:prstGeom prst="rect">
          <a:avLst/>
        </a:prstGeom>
        <a:solidFill>
          <a:schemeClr val="accent1">
            <a:lumMod val="20000"/>
            <a:lumOff val="80000"/>
          </a:schemeClr>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PH" sz="700" b="1" i="0">
              <a:latin typeface="Arial Narrow" panose="020B0606020202030204" pitchFamily="34" charset="0"/>
            </a:rPr>
            <a:t>Planning Standards</a:t>
          </a:r>
        </a:p>
        <a:p>
          <a:endParaRPr lang="en-PH" sz="700" b="1" i="0">
            <a:latin typeface="Arial Narrow" panose="020B0606020202030204" pitchFamily="34" charset="0"/>
          </a:endParaRPr>
        </a:p>
        <a:p>
          <a:r>
            <a:rPr lang="en-PH" sz="900">
              <a:latin typeface="Arial Narrow" panose="020B0606020202030204" pitchFamily="34" charset="0"/>
            </a:rPr>
            <a:t>K</a:t>
          </a:r>
          <a:r>
            <a:rPr lang="en-PH" sz="900" baseline="0">
              <a:latin typeface="Arial Narrow" panose="020B0606020202030204" pitchFamily="34" charset="0"/>
            </a:rPr>
            <a:t> - G1       -   25</a:t>
          </a:r>
        </a:p>
        <a:p>
          <a:r>
            <a:rPr lang="en-PH" sz="900" baseline="0">
              <a:latin typeface="Arial Narrow" panose="020B0606020202030204" pitchFamily="34" charset="0"/>
            </a:rPr>
            <a:t>G2 - G3     -  40</a:t>
          </a:r>
        </a:p>
        <a:p>
          <a:r>
            <a:rPr lang="en-PH" sz="900" baseline="0">
              <a:latin typeface="Arial Narrow" panose="020B0606020202030204" pitchFamily="34" charset="0"/>
            </a:rPr>
            <a:t>G4 - G6     -  45</a:t>
          </a:r>
        </a:p>
        <a:p>
          <a:r>
            <a:rPr lang="en-PH" sz="900" baseline="0">
              <a:latin typeface="Arial Narrow" panose="020B0606020202030204" pitchFamily="34" charset="0"/>
            </a:rPr>
            <a:t>G7 - G10   -  50</a:t>
          </a:r>
        </a:p>
        <a:p>
          <a:r>
            <a:rPr lang="en-PH" sz="900" baseline="0">
              <a:latin typeface="Arial Narrow" panose="020B0606020202030204" pitchFamily="34" charset="0"/>
            </a:rPr>
            <a:t>G11 - G12 -  40</a:t>
          </a:r>
          <a:endParaRPr lang="en-PH" sz="900">
            <a:latin typeface="Arial Narrow" panose="020B0606020202030204" pitchFamily="34" charset="0"/>
          </a:endParaRPr>
        </a:p>
      </xdr:txBody>
    </xdr:sp>
    <xdr:clientData/>
  </xdr:oneCellAnchor>
  <xdr:oneCellAnchor>
    <xdr:from>
      <xdr:col>0</xdr:col>
      <xdr:colOff>119230</xdr:colOff>
      <xdr:row>696</xdr:row>
      <xdr:rowOff>96582</xdr:rowOff>
    </xdr:from>
    <xdr:ext cx="978477" cy="960456"/>
    <xdr:sp macro="" textlink="">
      <xdr:nvSpPr>
        <xdr:cNvPr id="47" name="TextBox 46">
          <a:extLst>
            <a:ext uri="{FF2B5EF4-FFF2-40B4-BE49-F238E27FC236}">
              <a16:creationId xmlns="" xmlns:a16="http://schemas.microsoft.com/office/drawing/2014/main" id="{00000000-0008-0000-0500-00002F000000}"/>
            </a:ext>
          </a:extLst>
        </xdr:cNvPr>
        <xdr:cNvSpPr txBox="1"/>
      </xdr:nvSpPr>
      <xdr:spPr>
        <a:xfrm>
          <a:off x="119230" y="137891582"/>
          <a:ext cx="978477" cy="960456"/>
        </a:xfrm>
        <a:prstGeom prst="rect">
          <a:avLst/>
        </a:prstGeom>
        <a:solidFill>
          <a:schemeClr val="accent1">
            <a:lumMod val="20000"/>
            <a:lumOff val="80000"/>
          </a:schemeClr>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PH" sz="700" b="1" i="0">
              <a:latin typeface="Arial Narrow" panose="020B0606020202030204" pitchFamily="34" charset="0"/>
            </a:rPr>
            <a:t>Planning Standards</a:t>
          </a:r>
        </a:p>
        <a:p>
          <a:endParaRPr lang="en-PH" sz="700" b="1" i="0">
            <a:latin typeface="Arial Narrow" panose="020B0606020202030204" pitchFamily="34" charset="0"/>
          </a:endParaRPr>
        </a:p>
        <a:p>
          <a:r>
            <a:rPr lang="en-PH" sz="900">
              <a:latin typeface="Arial Narrow" panose="020B0606020202030204" pitchFamily="34" charset="0"/>
            </a:rPr>
            <a:t>K</a:t>
          </a:r>
          <a:r>
            <a:rPr lang="en-PH" sz="900" baseline="0">
              <a:latin typeface="Arial Narrow" panose="020B0606020202030204" pitchFamily="34" charset="0"/>
            </a:rPr>
            <a:t> - G1       -   25</a:t>
          </a:r>
        </a:p>
        <a:p>
          <a:r>
            <a:rPr lang="en-PH" sz="900" baseline="0">
              <a:latin typeface="Arial Narrow" panose="020B0606020202030204" pitchFamily="34" charset="0"/>
            </a:rPr>
            <a:t>G2 - G3     -  40</a:t>
          </a:r>
        </a:p>
        <a:p>
          <a:r>
            <a:rPr lang="en-PH" sz="900" baseline="0">
              <a:latin typeface="Arial Narrow" panose="020B0606020202030204" pitchFamily="34" charset="0"/>
            </a:rPr>
            <a:t>G4 - G6     -  45</a:t>
          </a:r>
        </a:p>
        <a:p>
          <a:r>
            <a:rPr lang="en-PH" sz="900" baseline="0">
              <a:latin typeface="Arial Narrow" panose="020B0606020202030204" pitchFamily="34" charset="0"/>
            </a:rPr>
            <a:t>G7 - G10   -  50</a:t>
          </a:r>
        </a:p>
        <a:p>
          <a:r>
            <a:rPr lang="en-PH" sz="900" baseline="0">
              <a:latin typeface="Arial Narrow" panose="020B0606020202030204" pitchFamily="34" charset="0"/>
            </a:rPr>
            <a:t>G11 - G12 -  40</a:t>
          </a:r>
          <a:endParaRPr lang="en-PH" sz="900">
            <a:latin typeface="Arial Narrow" panose="020B0606020202030204" pitchFamily="34" charset="0"/>
          </a:endParaRPr>
        </a:p>
      </xdr:txBody>
    </xdr:sp>
    <xdr:clientData/>
  </xdr:oneCellAnchor>
  <xdr:twoCellAnchor editAs="oneCell">
    <xdr:from>
      <xdr:col>0</xdr:col>
      <xdr:colOff>83677</xdr:colOff>
      <xdr:row>0</xdr:row>
      <xdr:rowOff>8658</xdr:rowOff>
    </xdr:from>
    <xdr:to>
      <xdr:col>0</xdr:col>
      <xdr:colOff>514635</xdr:colOff>
      <xdr:row>0</xdr:row>
      <xdr:rowOff>439616</xdr:rowOff>
    </xdr:to>
    <xdr:pic>
      <xdr:nvPicPr>
        <xdr:cNvPr id="48" name="Picture 47">
          <a:hlinkClick xmlns:r="http://schemas.openxmlformats.org/officeDocument/2006/relationships" r:id="rId28" tooltip="Click to go to Home Menu"/>
          <a:extLst>
            <a:ext uri="{FF2B5EF4-FFF2-40B4-BE49-F238E27FC236}">
              <a16:creationId xmlns="" xmlns:a16="http://schemas.microsoft.com/office/drawing/2014/main" id="{00000000-0008-0000-0500-000030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83677" y="8658"/>
          <a:ext cx="430958" cy="430958"/>
        </a:xfrm>
        <a:prstGeom prst="rect">
          <a:avLst/>
        </a:prstGeom>
      </xdr:spPr>
    </xdr:pic>
    <xdr:clientData/>
  </xdr:twoCellAnchor>
  <xdr:twoCellAnchor editAs="oneCell">
    <xdr:from>
      <xdr:col>0</xdr:col>
      <xdr:colOff>179294</xdr:colOff>
      <xdr:row>149</xdr:row>
      <xdr:rowOff>69271</xdr:rowOff>
    </xdr:from>
    <xdr:to>
      <xdr:col>3</xdr:col>
      <xdr:colOff>360286</xdr:colOff>
      <xdr:row>167</xdr:row>
      <xdr:rowOff>102891</xdr:rowOff>
    </xdr:to>
    <xdr:pic>
      <xdr:nvPicPr>
        <xdr:cNvPr id="7" name="Picture 6">
          <a:extLst>
            <a:ext uri="{FF2B5EF4-FFF2-40B4-BE49-F238E27FC236}">
              <a16:creationId xmlns="" xmlns:a16="http://schemas.microsoft.com/office/drawing/2014/main" id="{00000000-0008-0000-0500-000007000000}"/>
            </a:ext>
          </a:extLst>
        </xdr:cNvPr>
        <xdr:cNvPicPr>
          <a:picLocks noChangeAspect="1"/>
        </xdr:cNvPicPr>
      </xdr:nvPicPr>
      <xdr:blipFill>
        <a:blip xmlns:r="http://schemas.openxmlformats.org/officeDocument/2006/relationships" r:embed="rId3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79294" y="29285044"/>
          <a:ext cx="1999401" cy="3393347"/>
        </a:xfrm>
        <a:prstGeom prst="rect">
          <a:avLst/>
        </a:prstGeom>
      </xdr:spPr>
    </xdr:pic>
    <xdr:clientData/>
  </xdr:twoCellAnchor>
  <xdr:twoCellAnchor editAs="oneCell">
    <xdr:from>
      <xdr:col>9</xdr:col>
      <xdr:colOff>21981</xdr:colOff>
      <xdr:row>0</xdr:row>
      <xdr:rowOff>58615</xdr:rowOff>
    </xdr:from>
    <xdr:to>
      <xdr:col>10</xdr:col>
      <xdr:colOff>385313</xdr:colOff>
      <xdr:row>2</xdr:row>
      <xdr:rowOff>424220</xdr:rowOff>
    </xdr:to>
    <xdr:pic>
      <xdr:nvPicPr>
        <xdr:cNvPr id="43" name="Picture 42">
          <a:hlinkClick xmlns:r="http://schemas.openxmlformats.org/officeDocument/2006/relationships" r:id="rId31" tooltip="Click to input School Data"/>
          <a:extLst>
            <a:ext uri="{FF2B5EF4-FFF2-40B4-BE49-F238E27FC236}">
              <a16:creationId xmlns="" xmlns:a16="http://schemas.microsoft.com/office/drawing/2014/main" id="{00000000-0008-0000-0500-00002B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5429250" y="58615"/>
          <a:ext cx="766313" cy="819874"/>
        </a:xfrm>
        <a:prstGeom prst="rect">
          <a:avLst/>
        </a:prstGeom>
      </xdr:spPr>
    </xdr:pic>
    <xdr:clientData/>
  </xdr:twoCellAnchor>
  <xdr:oneCellAnchor>
    <xdr:from>
      <xdr:col>6</xdr:col>
      <xdr:colOff>73270</xdr:colOff>
      <xdr:row>850</xdr:row>
      <xdr:rowOff>34855</xdr:rowOff>
    </xdr:from>
    <xdr:ext cx="2158164" cy="3832295"/>
    <xdr:pic>
      <xdr:nvPicPr>
        <xdr:cNvPr id="65" name="Picture 64">
          <a:extLst>
            <a:ext uri="{FF2B5EF4-FFF2-40B4-BE49-F238E27FC236}">
              <a16:creationId xmlns="" xmlns:a16="http://schemas.microsoft.com/office/drawing/2014/main" id="{00000000-0008-0000-0500-000041000000}"/>
            </a:ext>
          </a:extLst>
        </xdr:cNvPr>
        <xdr:cNvPicPr>
          <a:picLocks noChangeAspect="1"/>
        </xdr:cNvPicPr>
      </xdr:nvPicPr>
      <xdr:blipFill>
        <a:blip xmlns:r="http://schemas.openxmlformats.org/officeDocument/2006/relationships" r:embed="rId3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3720" y="169998955"/>
          <a:ext cx="2158164" cy="3832295"/>
        </a:xfrm>
        <a:prstGeom prst="rect">
          <a:avLst/>
        </a:prstGeom>
      </xdr:spPr>
    </xdr:pic>
    <xdr:clientData/>
  </xdr:oneCellAnchor>
  <xdr:twoCellAnchor>
    <xdr:from>
      <xdr:col>0</xdr:col>
      <xdr:colOff>104775</xdr:colOff>
      <xdr:row>134</xdr:row>
      <xdr:rowOff>66676</xdr:rowOff>
    </xdr:from>
    <xdr:to>
      <xdr:col>10</xdr:col>
      <xdr:colOff>211383</xdr:colOff>
      <xdr:row>149</xdr:row>
      <xdr:rowOff>47626</xdr:rowOff>
    </xdr:to>
    <xdr:graphicFrame macro="">
      <xdr:nvGraphicFramePr>
        <xdr:cNvPr id="52" name="Chart 51">
          <a:extLst>
            <a:ext uri="{FF2B5EF4-FFF2-40B4-BE49-F238E27FC236}">
              <a16:creationId xmlns="" xmlns:a16="http://schemas.microsoft.com/office/drawing/2014/main" id="{00000000-0008-0000-05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0</xdr:col>
      <xdr:colOff>0</xdr:colOff>
      <xdr:row>903</xdr:row>
      <xdr:rowOff>103909</xdr:rowOff>
    </xdr:from>
    <xdr:to>
      <xdr:col>11</xdr:col>
      <xdr:colOff>0</xdr:colOff>
      <xdr:row>936</xdr:row>
      <xdr:rowOff>69273</xdr:rowOff>
    </xdr:to>
    <xdr:pic>
      <xdr:nvPicPr>
        <xdr:cNvPr id="9" name="Picture 8">
          <a:extLst>
            <a:ext uri="{FF2B5EF4-FFF2-40B4-BE49-F238E27FC236}">
              <a16:creationId xmlns="" xmlns:a16="http://schemas.microsoft.com/office/drawing/2014/main" id="{00000000-0008-0000-0500-000009000000}"/>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0" y="182862682"/>
          <a:ext cx="6251864" cy="6251864"/>
        </a:xfrm>
        <a:prstGeom prst="rect">
          <a:avLst/>
        </a:prstGeom>
      </xdr:spPr>
    </xdr:pic>
    <xdr:clientData/>
  </xdr:twoCellAnchor>
  <xdr:twoCellAnchor editAs="oneCell">
    <xdr:from>
      <xdr:col>7</xdr:col>
      <xdr:colOff>121227</xdr:colOff>
      <xdr:row>926</xdr:row>
      <xdr:rowOff>69273</xdr:rowOff>
    </xdr:from>
    <xdr:to>
      <xdr:col>9</xdr:col>
      <xdr:colOff>261505</xdr:colOff>
      <xdr:row>933</xdr:row>
      <xdr:rowOff>88323</xdr:rowOff>
    </xdr:to>
    <xdr:pic>
      <xdr:nvPicPr>
        <xdr:cNvPr id="14" name="Picture 13">
          <a:extLst>
            <a:ext uri="{FF2B5EF4-FFF2-40B4-BE49-F238E27FC236}">
              <a16:creationId xmlns="" xmlns:a16="http://schemas.microsoft.com/office/drawing/2014/main" id="{00000000-0008-0000-0500-00000E00000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4321752" y="185111448"/>
          <a:ext cx="1340428" cy="1352550"/>
        </a:xfrm>
        <a:prstGeom prst="rect">
          <a:avLst/>
        </a:prstGeom>
      </xdr:spPr>
    </xdr:pic>
    <xdr:clientData/>
  </xdr:twoCellAnchor>
  <xdr:twoCellAnchor editAs="oneCell">
    <xdr:from>
      <xdr:col>3</xdr:col>
      <xdr:colOff>403415</xdr:colOff>
      <xdr:row>350</xdr:row>
      <xdr:rowOff>42087</xdr:rowOff>
    </xdr:from>
    <xdr:to>
      <xdr:col>8</xdr:col>
      <xdr:colOff>178337</xdr:colOff>
      <xdr:row>364</xdr:row>
      <xdr:rowOff>168240</xdr:rowOff>
    </xdr:to>
    <xdr:pic>
      <xdr:nvPicPr>
        <xdr:cNvPr id="62" name="Picture 61">
          <a:extLst>
            <a:ext uri="{FF2B5EF4-FFF2-40B4-BE49-F238E27FC236}">
              <a16:creationId xmlns="" xmlns:a16="http://schemas.microsoft.com/office/drawing/2014/main" id="{00000000-0008-0000-0500-00003E000000}"/>
            </a:ext>
          </a:extLst>
        </xdr:cNvPr>
        <xdr:cNvPicPr>
          <a:picLocks noChangeAspect="1"/>
        </xdr:cNvPicPr>
      </xdr:nvPicPr>
      <xdr:blipFill>
        <a:blip xmlns:r="http://schemas.openxmlformats.org/officeDocument/2006/relationships" r:embed="rId37">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8768" y="71177028"/>
          <a:ext cx="2800510" cy="2793153"/>
        </a:xfrm>
        <a:prstGeom prst="rect">
          <a:avLst/>
        </a:prstGeom>
      </xdr:spPr>
    </xdr:pic>
    <xdr:clientData/>
  </xdr:twoCellAnchor>
  <xdr:twoCellAnchor editAs="oneCell">
    <xdr:from>
      <xdr:col>0</xdr:col>
      <xdr:colOff>24381</xdr:colOff>
      <xdr:row>354</xdr:row>
      <xdr:rowOff>41731</xdr:rowOff>
    </xdr:from>
    <xdr:to>
      <xdr:col>4</xdr:col>
      <xdr:colOff>11205</xdr:colOff>
      <xdr:row>366</xdr:row>
      <xdr:rowOff>153531</xdr:rowOff>
    </xdr:to>
    <xdr:pic>
      <xdr:nvPicPr>
        <xdr:cNvPr id="68" name="Picture 67">
          <a:extLst>
            <a:ext uri="{FF2B5EF4-FFF2-40B4-BE49-F238E27FC236}">
              <a16:creationId xmlns="" xmlns:a16="http://schemas.microsoft.com/office/drawing/2014/main" id="{00000000-0008-0000-0500-000044000000}"/>
            </a:ext>
          </a:extLst>
        </xdr:cNvPr>
        <xdr:cNvPicPr>
          <a:picLocks noChangeAspect="1"/>
        </xdr:cNvPicPr>
      </xdr:nvPicPr>
      <xdr:blipFill>
        <a:blip xmlns:r="http://schemas.openxmlformats.org/officeDocument/2006/relationships" r:embed="rId38">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1" y="71938672"/>
          <a:ext cx="2407295" cy="2397800"/>
        </a:xfrm>
        <a:prstGeom prst="rect">
          <a:avLst/>
        </a:prstGeom>
      </xdr:spPr>
    </xdr:pic>
    <xdr:clientData/>
  </xdr:twoCellAnchor>
  <xdr:twoCellAnchor editAs="oneCell">
    <xdr:from>
      <xdr:col>7</xdr:col>
      <xdr:colOff>109024</xdr:colOff>
      <xdr:row>357</xdr:row>
      <xdr:rowOff>71080</xdr:rowOff>
    </xdr:from>
    <xdr:to>
      <xdr:col>10</xdr:col>
      <xdr:colOff>383350</xdr:colOff>
      <xdr:row>367</xdr:row>
      <xdr:rowOff>47953</xdr:rowOff>
    </xdr:to>
    <xdr:pic>
      <xdr:nvPicPr>
        <xdr:cNvPr id="69" name="Picture 68">
          <a:extLst>
            <a:ext uri="{FF2B5EF4-FFF2-40B4-BE49-F238E27FC236}">
              <a16:creationId xmlns="" xmlns:a16="http://schemas.microsoft.com/office/drawing/2014/main" id="{00000000-0008-0000-0500-000045000000}"/>
            </a:ext>
          </a:extLst>
        </xdr:cNvPr>
        <xdr:cNvPicPr>
          <a:picLocks noChangeAspect="1"/>
        </xdr:cNvPicPr>
      </xdr:nvPicPr>
      <xdr:blipFill>
        <a:blip xmlns:r="http://schemas.openxmlformats.org/officeDocument/2006/relationships" r:embed="rId39"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344848" y="72539521"/>
          <a:ext cx="1887973" cy="1881873"/>
        </a:xfrm>
        <a:prstGeom prst="rect">
          <a:avLst/>
        </a:prstGeom>
      </xdr:spPr>
    </xdr:pic>
    <xdr:clientData/>
  </xdr:twoCellAnchor>
  <xdr:twoCellAnchor>
    <xdr:from>
      <xdr:col>1</xdr:col>
      <xdr:colOff>590550</xdr:colOff>
      <xdr:row>65</xdr:row>
      <xdr:rowOff>152400</xdr:rowOff>
    </xdr:from>
    <xdr:to>
      <xdr:col>8</xdr:col>
      <xdr:colOff>533400</xdr:colOff>
      <xdr:row>70</xdr:row>
      <xdr:rowOff>114300</xdr:rowOff>
    </xdr:to>
    <xdr:graphicFrame macro="">
      <xdr:nvGraphicFramePr>
        <xdr:cNvPr id="64" name="Chart 63">
          <a:extLst>
            <a:ext uri="{FF2B5EF4-FFF2-40B4-BE49-F238E27FC236}">
              <a16:creationId xmlns="" xmlns:a16="http://schemas.microsoft.com/office/drawing/2014/main" id="{00000000-0008-0000-0500-00004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4</xdr:col>
      <xdr:colOff>23812</xdr:colOff>
      <xdr:row>432</xdr:row>
      <xdr:rowOff>119061</xdr:rowOff>
    </xdr:from>
    <xdr:to>
      <xdr:col>11</xdr:col>
      <xdr:colOff>23812</xdr:colOff>
      <xdr:row>449</xdr:row>
      <xdr:rowOff>10583</xdr:rowOff>
    </xdr:to>
    <xdr:grpSp>
      <xdr:nvGrpSpPr>
        <xdr:cNvPr id="70" name="Group 69">
          <a:extLst>
            <a:ext uri="{FF2B5EF4-FFF2-40B4-BE49-F238E27FC236}">
              <a16:creationId xmlns="" xmlns:a16="http://schemas.microsoft.com/office/drawing/2014/main" id="{00000000-0008-0000-0500-000046000000}"/>
            </a:ext>
          </a:extLst>
        </xdr:cNvPr>
        <xdr:cNvGrpSpPr/>
      </xdr:nvGrpSpPr>
      <xdr:grpSpPr>
        <a:xfrm>
          <a:off x="2492692" y="83626641"/>
          <a:ext cx="3909060" cy="3114782"/>
          <a:chOff x="5787370" y="13785660"/>
          <a:chExt cx="4578070" cy="3029980"/>
        </a:xfrm>
      </xdr:grpSpPr>
      <xdr:graphicFrame macro="">
        <xdr:nvGraphicFramePr>
          <xdr:cNvPr id="72" name="Chart 71">
            <a:extLst>
              <a:ext uri="{FF2B5EF4-FFF2-40B4-BE49-F238E27FC236}">
                <a16:creationId xmlns="" xmlns:a16="http://schemas.microsoft.com/office/drawing/2014/main" id="{00000000-0008-0000-0500-000048000000}"/>
              </a:ext>
            </a:extLst>
          </xdr:cNvPr>
          <xdr:cNvGraphicFramePr/>
        </xdr:nvGraphicFramePr>
        <xdr:xfrm>
          <a:off x="5787370" y="14072440"/>
          <a:ext cx="4570132" cy="2743200"/>
        </xdr:xfrm>
        <a:graphic>
          <a:graphicData uri="http://schemas.openxmlformats.org/drawingml/2006/chart">
            <c:chart xmlns:c="http://schemas.openxmlformats.org/drawingml/2006/chart" xmlns:r="http://schemas.openxmlformats.org/officeDocument/2006/relationships" r:id="rId41"/>
          </a:graphicData>
        </a:graphic>
      </xdr:graphicFrame>
      <xdr:graphicFrame macro="">
        <xdr:nvGraphicFramePr>
          <xdr:cNvPr id="74" name="Chart 73">
            <a:extLst>
              <a:ext uri="{FF2B5EF4-FFF2-40B4-BE49-F238E27FC236}">
                <a16:creationId xmlns="" xmlns:a16="http://schemas.microsoft.com/office/drawing/2014/main" id="{00000000-0008-0000-0500-00004A000000}"/>
              </a:ext>
            </a:extLst>
          </xdr:cNvPr>
          <xdr:cNvGraphicFramePr/>
        </xdr:nvGraphicFramePr>
        <xdr:xfrm>
          <a:off x="6190470" y="13785660"/>
          <a:ext cx="4174970" cy="2883071"/>
        </xdr:xfrm>
        <a:graphic>
          <a:graphicData uri="http://schemas.openxmlformats.org/drawingml/2006/chart">
            <c:chart xmlns:c="http://schemas.openxmlformats.org/drawingml/2006/chart" xmlns:r="http://schemas.openxmlformats.org/officeDocument/2006/relationships" r:id="rId42"/>
          </a:graphicData>
        </a:graphic>
      </xdr:graphicFrame>
    </xdr:grpSp>
    <xdr:clientData/>
  </xdr:twoCellAnchor>
  <xdr:twoCellAnchor>
    <xdr:from>
      <xdr:col>0</xdr:col>
      <xdr:colOff>0</xdr:colOff>
      <xdr:row>833</xdr:row>
      <xdr:rowOff>190499</xdr:rowOff>
    </xdr:from>
    <xdr:to>
      <xdr:col>6</xdr:col>
      <xdr:colOff>0</xdr:colOff>
      <xdr:row>848</xdr:row>
      <xdr:rowOff>248477</xdr:rowOff>
    </xdr:to>
    <xdr:graphicFrame macro="">
      <xdr:nvGraphicFramePr>
        <xdr:cNvPr id="66" name="Chart 65">
          <a:extLst>
            <a:ext uri="{FF2B5EF4-FFF2-40B4-BE49-F238E27FC236}">
              <a16:creationId xmlns="" xmlns:a16="http://schemas.microsoft.com/office/drawing/2014/main" id="{00000000-0008-0000-0500-00004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871</xdr:row>
      <xdr:rowOff>240195</xdr:rowOff>
    </xdr:from>
    <xdr:to>
      <xdr:col>10</xdr:col>
      <xdr:colOff>314738</xdr:colOff>
      <xdr:row>886</xdr:row>
      <xdr:rowOff>33130</xdr:rowOff>
    </xdr:to>
    <xdr:graphicFrame macro="">
      <xdr:nvGraphicFramePr>
        <xdr:cNvPr id="76" name="Chart 75">
          <a:extLst>
            <a:ext uri="{FF2B5EF4-FFF2-40B4-BE49-F238E27FC236}">
              <a16:creationId xmlns="" xmlns:a16="http://schemas.microsoft.com/office/drawing/2014/main" id="{00000000-0008-0000-0500-00004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1</xdr:colOff>
      <xdr:row>887</xdr:row>
      <xdr:rowOff>66262</xdr:rowOff>
    </xdr:from>
    <xdr:to>
      <xdr:col>5</xdr:col>
      <xdr:colOff>8283</xdr:colOff>
      <xdr:row>899</xdr:row>
      <xdr:rowOff>49696</xdr:rowOff>
    </xdr:to>
    <xdr:graphicFrame macro="">
      <xdr:nvGraphicFramePr>
        <xdr:cNvPr id="78" name="Chart 77">
          <a:extLst>
            <a:ext uri="{FF2B5EF4-FFF2-40B4-BE49-F238E27FC236}">
              <a16:creationId xmlns="" xmlns:a16="http://schemas.microsoft.com/office/drawing/2014/main" id="{00000000-0008-0000-0500-00004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5</xdr:col>
      <xdr:colOff>198783</xdr:colOff>
      <xdr:row>887</xdr:row>
      <xdr:rowOff>66261</xdr:rowOff>
    </xdr:from>
    <xdr:to>
      <xdr:col>11</xdr:col>
      <xdr:colOff>0</xdr:colOff>
      <xdr:row>899</xdr:row>
      <xdr:rowOff>82826</xdr:rowOff>
    </xdr:to>
    <xdr:graphicFrame macro="">
      <xdr:nvGraphicFramePr>
        <xdr:cNvPr id="80" name="Chart 79">
          <a:extLst>
            <a:ext uri="{FF2B5EF4-FFF2-40B4-BE49-F238E27FC236}">
              <a16:creationId xmlns="" xmlns:a16="http://schemas.microsoft.com/office/drawing/2014/main" id="{00000000-0008-0000-0500-00005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8283</xdr:colOff>
      <xdr:row>557</xdr:row>
      <xdr:rowOff>157369</xdr:rowOff>
    </xdr:from>
    <xdr:to>
      <xdr:col>11</xdr:col>
      <xdr:colOff>0</xdr:colOff>
      <xdr:row>573</xdr:row>
      <xdr:rowOff>66261</xdr:rowOff>
    </xdr:to>
    <xdr:graphicFrame macro="">
      <xdr:nvGraphicFramePr>
        <xdr:cNvPr id="67" name="Chart 66">
          <a:extLst>
            <a:ext uri="{FF2B5EF4-FFF2-40B4-BE49-F238E27FC236}">
              <a16:creationId xmlns="" xmlns:a16="http://schemas.microsoft.com/office/drawing/2014/main" id="{00000000-0008-0000-0500-00004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574</xdr:row>
      <xdr:rowOff>55288</xdr:rowOff>
    </xdr:from>
    <xdr:to>
      <xdr:col>11</xdr:col>
      <xdr:colOff>11206</xdr:colOff>
      <xdr:row>589</xdr:row>
      <xdr:rowOff>168234</xdr:rowOff>
    </xdr:to>
    <xdr:graphicFrame macro="">
      <xdr:nvGraphicFramePr>
        <xdr:cNvPr id="82" name="Chart 81">
          <a:extLst>
            <a:ext uri="{FF2B5EF4-FFF2-40B4-BE49-F238E27FC236}">
              <a16:creationId xmlns="" xmlns:a16="http://schemas.microsoft.com/office/drawing/2014/main" id="{00000000-0008-0000-0500-00005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95249</xdr:colOff>
      <xdr:row>186</xdr:row>
      <xdr:rowOff>190499</xdr:rowOff>
    </xdr:from>
    <xdr:to>
      <xdr:col>10</xdr:col>
      <xdr:colOff>294409</xdr:colOff>
      <xdr:row>197</xdr:row>
      <xdr:rowOff>181841</xdr:rowOff>
    </xdr:to>
    <xdr:graphicFrame macro="">
      <xdr:nvGraphicFramePr>
        <xdr:cNvPr id="84" name="Chart 83">
          <a:extLst>
            <a:ext uri="{FF2B5EF4-FFF2-40B4-BE49-F238E27FC236}">
              <a16:creationId xmlns="" xmlns:a16="http://schemas.microsoft.com/office/drawing/2014/main" id="{00000000-0008-0000-0500-00005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259773</xdr:colOff>
      <xdr:row>926</xdr:row>
      <xdr:rowOff>3105</xdr:rowOff>
    </xdr:from>
    <xdr:to>
      <xdr:col>7</xdr:col>
      <xdr:colOff>502227</xdr:colOff>
      <xdr:row>933</xdr:row>
      <xdr:rowOff>135445</xdr:rowOff>
    </xdr:to>
    <xdr:grpSp>
      <xdr:nvGrpSpPr>
        <xdr:cNvPr id="19" name="Group 18">
          <a:extLst>
            <a:ext uri="{FF2B5EF4-FFF2-40B4-BE49-F238E27FC236}">
              <a16:creationId xmlns="" xmlns:a16="http://schemas.microsoft.com/office/drawing/2014/main" id="{00000000-0008-0000-0500-000013000000}"/>
            </a:ext>
          </a:extLst>
        </xdr:cNvPr>
        <xdr:cNvGrpSpPr/>
      </xdr:nvGrpSpPr>
      <xdr:grpSpPr>
        <a:xfrm>
          <a:off x="259773" y="179751285"/>
          <a:ext cx="4562994" cy="1412500"/>
          <a:chOff x="259773" y="184874696"/>
          <a:chExt cx="4424795" cy="1465840"/>
        </a:xfrm>
      </xdr:grpSpPr>
      <xdr:sp macro="" textlink="">
        <xdr:nvSpPr>
          <xdr:cNvPr id="13" name="Freeform 12">
            <a:extLst>
              <a:ext uri="{FF2B5EF4-FFF2-40B4-BE49-F238E27FC236}">
                <a16:creationId xmlns="" xmlns:a16="http://schemas.microsoft.com/office/drawing/2014/main" id="{00000000-0008-0000-0500-00000D000000}"/>
              </a:ext>
            </a:extLst>
          </xdr:cNvPr>
          <xdr:cNvSpPr/>
        </xdr:nvSpPr>
        <xdr:spPr>
          <a:xfrm>
            <a:off x="259773" y="184906227"/>
            <a:ext cx="3671454" cy="1420091"/>
          </a:xfrm>
          <a:custGeom>
            <a:avLst/>
            <a:gdLst>
              <a:gd name="connsiteX0" fmla="*/ 0 w 3671454"/>
              <a:gd name="connsiteY0" fmla="*/ 710046 h 1420091"/>
              <a:gd name="connsiteX1" fmla="*/ 0 w 3671454"/>
              <a:gd name="connsiteY1" fmla="*/ 1420091 h 1420091"/>
              <a:gd name="connsiteX2" fmla="*/ 2251363 w 3671454"/>
              <a:gd name="connsiteY2" fmla="*/ 1420091 h 1420091"/>
              <a:gd name="connsiteX3" fmla="*/ 3671454 w 3671454"/>
              <a:gd name="connsiteY3" fmla="*/ 0 h 1420091"/>
              <a:gd name="connsiteX4" fmla="*/ 770659 w 3671454"/>
              <a:gd name="connsiteY4" fmla="*/ 0 h 1420091"/>
              <a:gd name="connsiteX5" fmla="*/ 0 w 3671454"/>
              <a:gd name="connsiteY5" fmla="*/ 710046 h 142009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671454" h="1420091">
                <a:moveTo>
                  <a:pt x="0" y="710046"/>
                </a:moveTo>
                <a:lnTo>
                  <a:pt x="0" y="1420091"/>
                </a:lnTo>
                <a:lnTo>
                  <a:pt x="2251363" y="1420091"/>
                </a:lnTo>
                <a:lnTo>
                  <a:pt x="3671454" y="0"/>
                </a:lnTo>
                <a:lnTo>
                  <a:pt x="770659" y="0"/>
                </a:lnTo>
                <a:lnTo>
                  <a:pt x="0" y="710046"/>
                </a:lnTo>
                <a:close/>
              </a:path>
            </a:pathLst>
          </a:custGeom>
          <a:gradFill flip="none" rotWithShape="1">
            <a:gsLst>
              <a:gs pos="0">
                <a:schemeClr val="bg2">
                  <a:lumMod val="50000"/>
                  <a:shade val="30000"/>
                  <a:satMod val="115000"/>
                </a:schemeClr>
              </a:gs>
              <a:gs pos="50000">
                <a:schemeClr val="bg2">
                  <a:lumMod val="50000"/>
                  <a:shade val="67500"/>
                  <a:satMod val="115000"/>
                </a:schemeClr>
              </a:gs>
              <a:gs pos="100000">
                <a:schemeClr val="bg2">
                  <a:lumMod val="50000"/>
                  <a:shade val="100000"/>
                  <a:satMod val="115000"/>
                </a:scheme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 xmlns:a16="http://schemas.microsoft.com/office/drawing/2014/main" id="{00000000-0008-0000-0500-000008000000}"/>
              </a:ext>
            </a:extLst>
          </xdr:cNvPr>
          <xdr:cNvSpPr/>
        </xdr:nvSpPr>
        <xdr:spPr>
          <a:xfrm>
            <a:off x="1524317" y="184874696"/>
            <a:ext cx="1904367" cy="530658"/>
          </a:xfrm>
          <a:prstGeom prst="rect">
            <a:avLst/>
          </a:prstGeom>
          <a:noFill/>
        </xdr:spPr>
        <xdr:txBody>
          <a:bodyPr wrap="none" lIns="91440" tIns="45720" rIns="91440" bIns="45720">
            <a:spAutoFit/>
          </a:bodyPr>
          <a:lstStyle/>
          <a:p>
            <a:pPr algn="ctr"/>
            <a:r>
              <a:rPr lang="en-US" sz="2800" b="0" cap="none" spc="0">
                <a:ln w="0"/>
                <a:solidFill>
                  <a:schemeClr val="bg1"/>
                </a:solidFill>
                <a:effectLst/>
              </a:rPr>
              <a:t>Maka-Diyos</a:t>
            </a:r>
          </a:p>
        </xdr:txBody>
      </xdr:sp>
      <xdr:sp macro="" textlink="">
        <xdr:nvSpPr>
          <xdr:cNvPr id="90" name="Rectangle 89">
            <a:extLst>
              <a:ext uri="{FF2B5EF4-FFF2-40B4-BE49-F238E27FC236}">
                <a16:creationId xmlns="" xmlns:a16="http://schemas.microsoft.com/office/drawing/2014/main" id="{00000000-0008-0000-0500-00005A000000}"/>
              </a:ext>
            </a:extLst>
          </xdr:cNvPr>
          <xdr:cNvSpPr/>
        </xdr:nvSpPr>
        <xdr:spPr>
          <a:xfrm>
            <a:off x="1653970" y="185186423"/>
            <a:ext cx="1645067" cy="530658"/>
          </a:xfrm>
          <a:prstGeom prst="rect">
            <a:avLst/>
          </a:prstGeom>
          <a:noFill/>
        </xdr:spPr>
        <xdr:txBody>
          <a:bodyPr wrap="none" lIns="91440" tIns="45720" rIns="91440" bIns="45720">
            <a:spAutoFit/>
          </a:bodyPr>
          <a:lstStyle/>
          <a:p>
            <a:pPr algn="ctr"/>
            <a:r>
              <a:rPr lang="en-US" sz="2800" b="0" cap="none" spc="0">
                <a:ln w="0"/>
                <a:solidFill>
                  <a:schemeClr val="bg1"/>
                </a:solidFill>
                <a:effectLst/>
              </a:rPr>
              <a:t>Maka-Tao</a:t>
            </a:r>
          </a:p>
        </xdr:txBody>
      </xdr:sp>
      <xdr:sp macro="" textlink="">
        <xdr:nvSpPr>
          <xdr:cNvPr id="18" name="Freeform 17">
            <a:extLst>
              <a:ext uri="{FF2B5EF4-FFF2-40B4-BE49-F238E27FC236}">
                <a16:creationId xmlns="" xmlns:a16="http://schemas.microsoft.com/office/drawing/2014/main" id="{00000000-0008-0000-0500-000012000000}"/>
              </a:ext>
            </a:extLst>
          </xdr:cNvPr>
          <xdr:cNvSpPr/>
        </xdr:nvSpPr>
        <xdr:spPr>
          <a:xfrm>
            <a:off x="2658341" y="185304545"/>
            <a:ext cx="2026227" cy="1013114"/>
          </a:xfrm>
          <a:custGeom>
            <a:avLst/>
            <a:gdLst>
              <a:gd name="connsiteX0" fmla="*/ 857250 w 2026227"/>
              <a:gd name="connsiteY0" fmla="*/ 0 h 1013114"/>
              <a:gd name="connsiteX1" fmla="*/ 2026227 w 2026227"/>
              <a:gd name="connsiteY1" fmla="*/ 1013114 h 1013114"/>
              <a:gd name="connsiteX2" fmla="*/ 181841 w 2026227"/>
              <a:gd name="connsiteY2" fmla="*/ 1013114 h 1013114"/>
              <a:gd name="connsiteX3" fmla="*/ 0 w 2026227"/>
              <a:gd name="connsiteY3" fmla="*/ 874569 h 1013114"/>
              <a:gd name="connsiteX4" fmla="*/ 857250 w 2026227"/>
              <a:gd name="connsiteY4" fmla="*/ 0 h 101311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26227" h="1013114">
                <a:moveTo>
                  <a:pt x="857250" y="0"/>
                </a:moveTo>
                <a:lnTo>
                  <a:pt x="2026227" y="1013114"/>
                </a:lnTo>
                <a:lnTo>
                  <a:pt x="181841" y="1013114"/>
                </a:lnTo>
                <a:lnTo>
                  <a:pt x="0" y="874569"/>
                </a:lnTo>
                <a:lnTo>
                  <a:pt x="857250" y="0"/>
                </a:lnTo>
                <a:close/>
              </a:path>
            </a:pathLst>
          </a:custGeom>
          <a:gradFill flip="none" rotWithShape="1">
            <a:gsLst>
              <a:gs pos="0">
                <a:schemeClr val="tx2">
                  <a:lumMod val="75000"/>
                  <a:shade val="30000"/>
                  <a:satMod val="115000"/>
                </a:schemeClr>
              </a:gs>
              <a:gs pos="50000">
                <a:schemeClr val="tx2">
                  <a:lumMod val="75000"/>
                  <a:shade val="67500"/>
                  <a:satMod val="115000"/>
                </a:schemeClr>
              </a:gs>
              <a:gs pos="100000">
                <a:schemeClr val="tx2">
                  <a:lumMod val="75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Rectangle 91">
            <a:extLst>
              <a:ext uri="{FF2B5EF4-FFF2-40B4-BE49-F238E27FC236}">
                <a16:creationId xmlns="" xmlns:a16="http://schemas.microsoft.com/office/drawing/2014/main" id="{00000000-0008-0000-0500-00005C000000}"/>
              </a:ext>
            </a:extLst>
          </xdr:cNvPr>
          <xdr:cNvSpPr/>
        </xdr:nvSpPr>
        <xdr:spPr>
          <a:xfrm>
            <a:off x="1242352" y="185506810"/>
            <a:ext cx="2468304" cy="530658"/>
          </a:xfrm>
          <a:prstGeom prst="rect">
            <a:avLst/>
          </a:prstGeom>
          <a:noFill/>
        </xdr:spPr>
        <xdr:txBody>
          <a:bodyPr wrap="none" lIns="91440" tIns="45720" rIns="91440" bIns="45720">
            <a:spAutoFit/>
          </a:bodyPr>
          <a:lstStyle/>
          <a:p>
            <a:pPr algn="ctr"/>
            <a:r>
              <a:rPr lang="en-US" sz="2800" b="0" cap="none" spc="0">
                <a:ln w="0"/>
                <a:solidFill>
                  <a:schemeClr val="bg1"/>
                </a:solidFill>
                <a:effectLst/>
              </a:rPr>
              <a:t>Maka-Kalikasan</a:t>
            </a:r>
          </a:p>
        </xdr:txBody>
      </xdr:sp>
      <xdr:sp macro="" textlink="">
        <xdr:nvSpPr>
          <xdr:cNvPr id="96" name="Rectangle 95">
            <a:extLst>
              <a:ext uri="{FF2B5EF4-FFF2-40B4-BE49-F238E27FC236}">
                <a16:creationId xmlns="" xmlns:a16="http://schemas.microsoft.com/office/drawing/2014/main" id="{00000000-0008-0000-0500-000060000000}"/>
              </a:ext>
            </a:extLst>
          </xdr:cNvPr>
          <xdr:cNvSpPr/>
        </xdr:nvSpPr>
        <xdr:spPr>
          <a:xfrm>
            <a:off x="1487963" y="185809878"/>
            <a:ext cx="1977081" cy="530658"/>
          </a:xfrm>
          <a:prstGeom prst="rect">
            <a:avLst/>
          </a:prstGeom>
          <a:noFill/>
        </xdr:spPr>
        <xdr:txBody>
          <a:bodyPr wrap="none" lIns="91440" tIns="45720" rIns="91440" bIns="45720">
            <a:spAutoFit/>
          </a:bodyPr>
          <a:lstStyle/>
          <a:p>
            <a:pPr algn="ctr"/>
            <a:r>
              <a:rPr lang="en-US" sz="2800" b="0" cap="none" spc="0">
                <a:ln w="0"/>
                <a:solidFill>
                  <a:schemeClr val="bg1"/>
                </a:solidFill>
                <a:effectLst/>
              </a:rPr>
              <a:t>Maka-Bansa</a:t>
            </a:r>
          </a:p>
        </xdr:txBody>
      </xdr:sp>
    </xdr:grpSp>
    <xdr:clientData/>
  </xdr:twoCellAnchor>
  <xdr:oneCellAnchor>
    <xdr:from>
      <xdr:col>3</xdr:col>
      <xdr:colOff>263967</xdr:colOff>
      <xdr:row>173</xdr:row>
      <xdr:rowOff>72379</xdr:rowOff>
    </xdr:from>
    <xdr:ext cx="2402837" cy="280205"/>
    <xdr:sp macro="" textlink="">
      <xdr:nvSpPr>
        <xdr:cNvPr id="20" name="Rectangle 19">
          <a:extLst>
            <a:ext uri="{FF2B5EF4-FFF2-40B4-BE49-F238E27FC236}">
              <a16:creationId xmlns="" xmlns:a16="http://schemas.microsoft.com/office/drawing/2014/main" id="{00000000-0008-0000-0500-000014000000}"/>
            </a:ext>
          </a:extLst>
        </xdr:cNvPr>
        <xdr:cNvSpPr/>
      </xdr:nvSpPr>
      <xdr:spPr>
        <a:xfrm>
          <a:off x="2056399" y="33903447"/>
          <a:ext cx="2402837" cy="280205"/>
        </a:xfrm>
        <a:prstGeom prst="rect">
          <a:avLst/>
        </a:prstGeom>
        <a:noFill/>
      </xdr:spPr>
      <xdr:txBody>
        <a:bodyPr wrap="none" lIns="91440" tIns="45720" rIns="91440" bIns="45720">
          <a:spAutoFit/>
        </a:bodyPr>
        <a:lstStyle/>
        <a:p>
          <a:pPr rtl="0"/>
          <a:r>
            <a:rPr lang="en-US" sz="1200" b="0" i="0" baseline="0">
              <a:effectLst/>
              <a:latin typeface="+mn-lt"/>
              <a:ea typeface="+mn-ea"/>
              <a:cs typeface="+mn-cs"/>
            </a:rPr>
            <a:t>Availability of Books by Grade Level</a:t>
          </a:r>
          <a:endParaRPr lang="en-US" sz="6000">
            <a:effectLst/>
          </a:endParaRPr>
        </a:p>
      </xdr:txBody>
    </xdr:sp>
    <xdr:clientData/>
  </xdr:oneCellAnchor>
</xdr:wsDr>
</file>

<file path=xl/drawings/drawing7.xml><?xml version="1.0" encoding="utf-8"?>
<c:userShapes xmlns:c="http://schemas.openxmlformats.org/drawingml/2006/chart">
  <cdr:relSizeAnchor xmlns:cdr="http://schemas.openxmlformats.org/drawingml/2006/chartDrawing">
    <cdr:from>
      <cdr:x>0.15189</cdr:x>
      <cdr:y>0.51711</cdr:y>
    </cdr:from>
    <cdr:to>
      <cdr:x>0.96011</cdr:x>
      <cdr:y>0.51932</cdr:y>
    </cdr:to>
    <cdr:cxnSp macro="">
      <cdr:nvCxnSpPr>
        <cdr:cNvPr id="3" name="Straight Connector 2">
          <a:extLst xmlns:a="http://schemas.openxmlformats.org/drawingml/2006/main">
            <a:ext uri="{FF2B5EF4-FFF2-40B4-BE49-F238E27FC236}">
              <a16:creationId xmlns="" xmlns:a16="http://schemas.microsoft.com/office/drawing/2014/main" id="{00000000-0008-0000-0200-000033000000}"/>
            </a:ext>
          </a:extLst>
        </cdr:cNvPr>
        <cdr:cNvCxnSpPr/>
      </cdr:nvCxnSpPr>
      <cdr:spPr>
        <a:xfrm xmlns:a="http://schemas.openxmlformats.org/drawingml/2006/main">
          <a:off x="407988" y="2039146"/>
          <a:ext cx="2170908" cy="8728"/>
        </a:xfrm>
        <a:prstGeom xmlns:a="http://schemas.openxmlformats.org/drawingml/2006/main" prst="line">
          <a:avLst/>
        </a:prstGeom>
        <a:ln xmlns:a="http://schemas.openxmlformats.org/drawingml/2006/main">
          <a:prstDash val="dash"/>
          <a:headEnd type="none" w="med" len="med"/>
          <a:tailEnd type="none" w="med" len="med"/>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0.12086</cdr:x>
      <cdr:y>0.49899</cdr:y>
    </cdr:from>
    <cdr:to>
      <cdr:x>0.96454</cdr:x>
      <cdr:y>0.5</cdr:y>
    </cdr:to>
    <cdr:cxnSp macro="">
      <cdr:nvCxnSpPr>
        <cdr:cNvPr id="3" name="Straight Connector 2">
          <a:extLst xmlns:a="http://schemas.openxmlformats.org/drawingml/2006/main">
            <a:ext uri="{FF2B5EF4-FFF2-40B4-BE49-F238E27FC236}">
              <a16:creationId xmlns="" xmlns:a16="http://schemas.microsoft.com/office/drawing/2014/main" id="{00000000-0008-0000-0200-00003A000000}"/>
            </a:ext>
          </a:extLst>
        </cdr:cNvPr>
        <cdr:cNvCxnSpPr/>
      </cdr:nvCxnSpPr>
      <cdr:spPr>
        <a:xfrm xmlns:a="http://schemas.openxmlformats.org/drawingml/2006/main">
          <a:off x="324645" y="1967706"/>
          <a:ext cx="2266155" cy="3969"/>
        </a:xfrm>
        <a:prstGeom xmlns:a="http://schemas.openxmlformats.org/drawingml/2006/main" prst="line">
          <a:avLst/>
        </a:prstGeom>
        <a:ln xmlns:a="http://schemas.openxmlformats.org/drawingml/2006/main">
          <a:prstDash val="dash"/>
          <a:headEnd type="none" w="med" len="med"/>
          <a:tailEnd type="none" w="med" len="med"/>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9.xml><?xml version="1.0" encoding="utf-8"?>
<xdr:wsDr xmlns:xdr="http://schemas.openxmlformats.org/drawingml/2006/spreadsheetDrawing" xmlns:a="http://schemas.openxmlformats.org/drawingml/2006/main">
  <xdr:twoCellAnchor>
    <xdr:from>
      <xdr:col>1</xdr:col>
      <xdr:colOff>229707</xdr:colOff>
      <xdr:row>3</xdr:row>
      <xdr:rowOff>17318</xdr:rowOff>
    </xdr:from>
    <xdr:to>
      <xdr:col>5</xdr:col>
      <xdr:colOff>542501</xdr:colOff>
      <xdr:row>23</xdr:row>
      <xdr:rowOff>94335</xdr:rowOff>
    </xdr:to>
    <xdr:graphicFrame macro="">
      <xdr:nvGraphicFramePr>
        <xdr:cNvPr id="2" name="Chart 1">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14203</xdr:colOff>
      <xdr:row>8</xdr:row>
      <xdr:rowOff>75410</xdr:rowOff>
    </xdr:from>
    <xdr:to>
      <xdr:col>1</xdr:col>
      <xdr:colOff>308365</xdr:colOff>
      <xdr:row>21</xdr:row>
      <xdr:rowOff>195006</xdr:rowOff>
    </xdr:to>
    <xdr:pic>
      <xdr:nvPicPr>
        <xdr:cNvPr id="3" name="Picture 2">
          <a:extLst>
            <a:ext uri="{FF2B5EF4-FFF2-40B4-BE49-F238E27FC236}">
              <a16:creationId xmlns="" xmlns:a16="http://schemas.microsoft.com/office/drawing/2014/main" id="{00000000-0008-0000-06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4203" y="1715367"/>
          <a:ext cx="873945" cy="2703769"/>
        </a:xfrm>
        <a:prstGeom prst="rect">
          <a:avLst/>
        </a:prstGeom>
      </xdr:spPr>
    </xdr:pic>
    <xdr:clientData/>
  </xdr:twoCellAnchor>
  <xdr:twoCellAnchor editAs="oneCell">
    <xdr:from>
      <xdr:col>5</xdr:col>
      <xdr:colOff>373933</xdr:colOff>
      <xdr:row>8</xdr:row>
      <xdr:rowOff>7816</xdr:rowOff>
    </xdr:from>
    <xdr:to>
      <xdr:col>7</xdr:col>
      <xdr:colOff>54812</xdr:colOff>
      <xdr:row>22</xdr:row>
      <xdr:rowOff>35805</xdr:rowOff>
    </xdr:to>
    <xdr:pic>
      <xdr:nvPicPr>
        <xdr:cNvPr id="4" name="Picture 3">
          <a:extLst>
            <a:ext uri="{FF2B5EF4-FFF2-40B4-BE49-F238E27FC236}">
              <a16:creationId xmlns="" xmlns:a16="http://schemas.microsoft.com/office/drawing/2014/main" id="{00000000-0008-0000-06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72846" y="1647773"/>
          <a:ext cx="840444" cy="2810945"/>
        </a:xfrm>
        <a:prstGeom prst="rect">
          <a:avLst/>
        </a:prstGeom>
      </xdr:spPr>
    </xdr:pic>
    <xdr:clientData/>
  </xdr:twoCellAnchor>
  <xdr:twoCellAnchor editAs="oneCell">
    <xdr:from>
      <xdr:col>0</xdr:col>
      <xdr:colOff>331910</xdr:colOff>
      <xdr:row>0</xdr:row>
      <xdr:rowOff>21979</xdr:rowOff>
    </xdr:from>
    <xdr:to>
      <xdr:col>2</xdr:col>
      <xdr:colOff>92582</xdr:colOff>
      <xdr:row>3</xdr:row>
      <xdr:rowOff>12674</xdr:rowOff>
    </xdr:to>
    <xdr:pic>
      <xdr:nvPicPr>
        <xdr:cNvPr id="5" name="Picture 4">
          <a:hlinkClick xmlns:r="http://schemas.openxmlformats.org/officeDocument/2006/relationships" r:id="rId4" tooltip="Click to go to Home Menu"/>
          <a:extLst>
            <a:ext uri="{FF2B5EF4-FFF2-40B4-BE49-F238E27FC236}">
              <a16:creationId xmlns="" xmlns:a16="http://schemas.microsoft.com/office/drawing/2014/main" id="{00000000-0008-0000-06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1910" y="21979"/>
          <a:ext cx="920237" cy="636738"/>
        </a:xfrm>
        <a:prstGeom prst="rect">
          <a:avLst/>
        </a:prstGeom>
      </xdr:spPr>
    </xdr:pic>
    <xdr:clientData/>
  </xdr:twoCellAnchor>
  <xdr:twoCellAnchor editAs="oneCell">
    <xdr:from>
      <xdr:col>3</xdr:col>
      <xdr:colOff>217610</xdr:colOff>
      <xdr:row>0</xdr:row>
      <xdr:rowOff>29066</xdr:rowOff>
    </xdr:from>
    <xdr:to>
      <xdr:col>5</xdr:col>
      <xdr:colOff>270196</xdr:colOff>
      <xdr:row>2</xdr:row>
      <xdr:rowOff>211424</xdr:rowOff>
    </xdr:to>
    <xdr:pic>
      <xdr:nvPicPr>
        <xdr:cNvPr id="6" name="Picture 5">
          <a:hlinkClick xmlns:r="http://schemas.openxmlformats.org/officeDocument/2006/relationships" r:id="rId6" tooltip="Click to input School Data"/>
          <a:extLst>
            <a:ext uri="{FF2B5EF4-FFF2-40B4-BE49-F238E27FC236}">
              <a16:creationId xmlns="" xmlns:a16="http://schemas.microsoft.com/office/drawing/2014/main" id="{00000000-0008-0000-0600-000006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56958" y="29066"/>
          <a:ext cx="1212151" cy="613054"/>
        </a:xfrm>
        <a:prstGeom prst="rect">
          <a:avLst/>
        </a:prstGeom>
      </xdr:spPr>
    </xdr:pic>
    <xdr:clientData/>
  </xdr:twoCellAnchor>
  <xdr:twoCellAnchor editAs="oneCell">
    <xdr:from>
      <xdr:col>7</xdr:col>
      <xdr:colOff>30763</xdr:colOff>
      <xdr:row>0</xdr:row>
      <xdr:rowOff>29308</xdr:rowOff>
    </xdr:from>
    <xdr:to>
      <xdr:col>8</xdr:col>
      <xdr:colOff>598432</xdr:colOff>
      <xdr:row>2</xdr:row>
      <xdr:rowOff>212836</xdr:rowOff>
    </xdr:to>
    <xdr:pic>
      <xdr:nvPicPr>
        <xdr:cNvPr id="7" name="Picture 6">
          <a:hlinkClick xmlns:r="http://schemas.openxmlformats.org/officeDocument/2006/relationships" r:id="rId8" tooltip="Click to go to printable SRC. Use A4 sized paper for printing."/>
          <a:extLst>
            <a:ext uri="{FF2B5EF4-FFF2-40B4-BE49-F238E27FC236}">
              <a16:creationId xmlns="" xmlns:a16="http://schemas.microsoft.com/office/drawing/2014/main" id="{00000000-0008-0000-0600-000007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89241" y="29308"/>
          <a:ext cx="1213713" cy="614224"/>
        </a:xfrm>
        <a:prstGeom prst="rect">
          <a:avLst/>
        </a:prstGeom>
      </xdr:spPr>
    </xdr:pic>
    <xdr:clientData/>
  </xdr:twoCellAnchor>
  <xdr:twoCellAnchor editAs="oneCell">
    <xdr:from>
      <xdr:col>10</xdr:col>
      <xdr:colOff>321786</xdr:colOff>
      <xdr:row>0</xdr:row>
      <xdr:rowOff>27008</xdr:rowOff>
    </xdr:from>
    <xdr:to>
      <xdr:col>12</xdr:col>
      <xdr:colOff>155986</xdr:colOff>
      <xdr:row>2</xdr:row>
      <xdr:rowOff>207066</xdr:rowOff>
    </xdr:to>
    <xdr:pic>
      <xdr:nvPicPr>
        <xdr:cNvPr id="8" name="Picture 7">
          <a:hlinkClick xmlns:r="http://schemas.openxmlformats.org/officeDocument/2006/relationships" r:id="rId10" tooltip="Click to go to printable SRC (Brochure type). Use 13&quot; x 8.5&quot; paper for printing."/>
          <a:extLst>
            <a:ext uri="{FF2B5EF4-FFF2-40B4-BE49-F238E27FC236}">
              <a16:creationId xmlns="" xmlns:a16="http://schemas.microsoft.com/office/drawing/2014/main" id="{00000000-0008-0000-0600-000008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119612" y="27008"/>
          <a:ext cx="993765" cy="610754"/>
        </a:xfrm>
        <a:prstGeom prst="rect">
          <a:avLst/>
        </a:prstGeom>
      </xdr:spPr>
    </xdr:pic>
    <xdr:clientData/>
  </xdr:twoCellAnchor>
  <xdr:twoCellAnchor editAs="oneCell">
    <xdr:from>
      <xdr:col>14</xdr:col>
      <xdr:colOff>40450</xdr:colOff>
      <xdr:row>0</xdr:row>
      <xdr:rowOff>27008</xdr:rowOff>
    </xdr:from>
    <xdr:to>
      <xdr:col>15</xdr:col>
      <xdr:colOff>164542</xdr:colOff>
      <xdr:row>2</xdr:row>
      <xdr:rowOff>207066</xdr:rowOff>
    </xdr:to>
    <xdr:pic>
      <xdr:nvPicPr>
        <xdr:cNvPr id="9" name="Picture 8">
          <a:hlinkClick xmlns:r="http://schemas.openxmlformats.org/officeDocument/2006/relationships" r:id="rId12" tooltip="Click to go to printable SRC (Tarpaulin layout). You need to copy and paste it to MS Paint or other photo editing software to convert to picture format (ex. JPEG). Tarp size is 6ft x 4ft. "/>
          <a:extLst>
            <a:ext uri="{FF2B5EF4-FFF2-40B4-BE49-F238E27FC236}">
              <a16:creationId xmlns="" xmlns:a16="http://schemas.microsoft.com/office/drawing/2014/main" id="{00000000-0008-0000-0600-000009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7875798" y="27008"/>
          <a:ext cx="993765" cy="610754"/>
        </a:xfrm>
        <a:prstGeom prst="rect">
          <a:avLst/>
        </a:prstGeom>
      </xdr:spPr>
    </xdr:pic>
    <xdr:clientData/>
  </xdr:twoCellAnchor>
  <xdr:oneCellAnchor>
    <xdr:from>
      <xdr:col>13</xdr:col>
      <xdr:colOff>537128</xdr:colOff>
      <xdr:row>24</xdr:row>
      <xdr:rowOff>143403</xdr:rowOff>
    </xdr:from>
    <xdr:ext cx="1396447" cy="2479700"/>
    <xdr:pic>
      <xdr:nvPicPr>
        <xdr:cNvPr id="14" name="Picture 13">
          <a:extLst>
            <a:ext uri="{FF2B5EF4-FFF2-40B4-BE49-F238E27FC236}">
              <a16:creationId xmlns="" xmlns:a16="http://schemas.microsoft.com/office/drawing/2014/main" id="{00000000-0008-0000-0600-00000E000000}"/>
            </a:ext>
          </a:extLst>
        </xdr:cNvPr>
        <xdr:cNvPicPr>
          <a:picLocks noChangeAspect="1"/>
        </xdr:cNvPicPr>
      </xdr:nvPicPr>
      <xdr:blipFill>
        <a:blip xmlns:r="http://schemas.openxmlformats.org/officeDocument/2006/relationships" r:embed="rId1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8053" y="5001153"/>
          <a:ext cx="1396447" cy="2479700"/>
        </a:xfrm>
        <a:prstGeom prst="rect">
          <a:avLst/>
        </a:prstGeom>
      </xdr:spPr>
    </xdr:pic>
    <xdr:clientData/>
  </xdr:oneCellAnchor>
  <xdr:twoCellAnchor>
    <xdr:from>
      <xdr:col>0</xdr:col>
      <xdr:colOff>0</xdr:colOff>
      <xdr:row>48</xdr:row>
      <xdr:rowOff>143764</xdr:rowOff>
    </xdr:from>
    <xdr:to>
      <xdr:col>6</xdr:col>
      <xdr:colOff>561974</xdr:colOff>
      <xdr:row>61</xdr:row>
      <xdr:rowOff>149679</xdr:rowOff>
    </xdr:to>
    <xdr:graphicFrame macro="">
      <xdr:nvGraphicFramePr>
        <xdr:cNvPr id="16" name="Chart 15">
          <a:extLst>
            <a:ext uri="{FF2B5EF4-FFF2-40B4-BE49-F238E27FC236}">
              <a16:creationId xmlns="" xmlns:a16="http://schemas.microsoft.com/office/drawing/2014/main" i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25595</xdr:colOff>
      <xdr:row>37</xdr:row>
      <xdr:rowOff>29936</xdr:rowOff>
    </xdr:from>
    <xdr:to>
      <xdr:col>11</xdr:col>
      <xdr:colOff>538370</xdr:colOff>
      <xdr:row>50</xdr:row>
      <xdr:rowOff>163286</xdr:rowOff>
    </xdr:to>
    <xdr:graphicFrame macro="">
      <xdr:nvGraphicFramePr>
        <xdr:cNvPr id="18" name="Chart 17">
          <a:extLst>
            <a:ext uri="{FF2B5EF4-FFF2-40B4-BE49-F238E27FC236}">
              <a16:creationId xmlns="" xmlns:a16="http://schemas.microsoft.com/office/drawing/2014/main" id="{00000000-0008-0000-06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11</xdr:col>
      <xdr:colOff>434737</xdr:colOff>
      <xdr:row>37</xdr:row>
      <xdr:rowOff>13607</xdr:rowOff>
    </xdr:from>
    <xdr:to>
      <xdr:col>16</xdr:col>
      <xdr:colOff>1794</xdr:colOff>
      <xdr:row>44</xdr:row>
      <xdr:rowOff>149678</xdr:rowOff>
    </xdr:to>
    <xdr:pic>
      <xdr:nvPicPr>
        <xdr:cNvPr id="19" name="Picture 18">
          <a:extLst>
            <a:ext uri="{FF2B5EF4-FFF2-40B4-BE49-F238E27FC236}">
              <a16:creationId xmlns="" xmlns:a16="http://schemas.microsoft.com/office/drawing/2014/main" id="{00000000-0008-0000-0600-000013000000}"/>
            </a:ext>
          </a:extLst>
        </xdr:cNvPr>
        <xdr:cNvPicPr>
          <a:picLocks noChangeAspect="1"/>
        </xdr:cNvPicPr>
      </xdr:nvPicPr>
      <xdr:blipFill rotWithShape="1">
        <a:blip xmlns:r="http://schemas.openxmlformats.org/officeDocument/2006/relationships" r:embed="rId17">
          <a:clrChange>
            <a:clrFrom>
              <a:srgbClr val="FFFFFF"/>
            </a:clrFrom>
            <a:clrTo>
              <a:srgbClr val="FFFFFF">
                <a:alpha val="0"/>
              </a:srgbClr>
            </a:clrTo>
          </a:clrChange>
          <a:extLst>
            <a:ext uri="{28A0092B-C50C-407E-A947-70E740481C1C}">
              <a14:useLocalDpi xmlns:a14="http://schemas.microsoft.com/office/drawing/2010/main" val="0"/>
            </a:ext>
          </a:extLst>
        </a:blip>
        <a:srcRect b="26282"/>
        <a:stretch/>
      </xdr:blipFill>
      <xdr:spPr>
        <a:xfrm>
          <a:off x="6870916" y="7688036"/>
          <a:ext cx="2490192" cy="1564821"/>
        </a:xfrm>
        <a:prstGeom prst="rect">
          <a:avLst/>
        </a:prstGeom>
      </xdr:spPr>
    </xdr:pic>
    <xdr:clientData/>
  </xdr:twoCellAnchor>
  <xdr:oneCellAnchor>
    <xdr:from>
      <xdr:col>11</xdr:col>
      <xdr:colOff>385021</xdr:colOff>
      <xdr:row>43</xdr:row>
      <xdr:rowOff>48256</xdr:rowOff>
    </xdr:from>
    <xdr:ext cx="849207" cy="311496"/>
    <xdr:sp macro="" textlink="">
      <xdr:nvSpPr>
        <xdr:cNvPr id="20" name="Rectangle 19">
          <a:extLst>
            <a:ext uri="{FF2B5EF4-FFF2-40B4-BE49-F238E27FC236}">
              <a16:creationId xmlns="" xmlns:a16="http://schemas.microsoft.com/office/drawing/2014/main" id="{00000000-0008-0000-0600-000014000000}"/>
            </a:ext>
          </a:extLst>
        </xdr:cNvPr>
        <xdr:cNvSpPr/>
      </xdr:nvSpPr>
      <xdr:spPr>
        <a:xfrm>
          <a:off x="6821200" y="8947327"/>
          <a:ext cx="849207" cy="311496"/>
        </a:xfrm>
        <a:prstGeom prst="rect">
          <a:avLst/>
        </a:prstGeom>
        <a:noFill/>
      </xdr:spPr>
      <xdr:txBody>
        <a:bodyPr wrap="none" lIns="91440" tIns="45720" rIns="91440" bIns="45720">
          <a:spAutoFit/>
        </a:bodyPr>
        <a:lstStyle/>
        <a:p>
          <a:pPr algn="ctr"/>
          <a:r>
            <a:rPr lang="en-US" sz="1400" b="0" i="1" cap="none" spc="0">
              <a:ln w="0"/>
              <a:solidFill>
                <a:schemeClr val="tx1"/>
              </a:solidFill>
              <a:effectLst>
                <a:outerShdw blurRad="38100" dist="19050" dir="2700000" algn="tl" rotWithShape="0">
                  <a:schemeClr val="dk1">
                    <a:alpha val="40000"/>
                  </a:schemeClr>
                </a:outerShdw>
              </a:effectLst>
            </a:rPr>
            <a:t>Standard</a:t>
          </a:r>
          <a:endParaRPr lang="en-US" sz="1600" b="0" i="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12</xdr:col>
      <xdr:colOff>1</xdr:colOff>
      <xdr:row>54</xdr:row>
      <xdr:rowOff>54429</xdr:rowOff>
    </xdr:from>
    <xdr:to>
      <xdr:col>15</xdr:col>
      <xdr:colOff>561244</xdr:colOff>
      <xdr:row>70</xdr:row>
      <xdr:rowOff>136071</xdr:rowOff>
    </xdr:to>
    <xdr:graphicFrame macro="">
      <xdr:nvGraphicFramePr>
        <xdr:cNvPr id="21" name="Chart 20">
          <a:extLst>
            <a:ext uri="{FF2B5EF4-FFF2-40B4-BE49-F238E27FC236}">
              <a16:creationId xmlns="" xmlns:a16="http://schemas.microsoft.com/office/drawing/2014/main" id="{00000000-0008-0000-06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8</xdr:col>
      <xdr:colOff>544194</xdr:colOff>
      <xdr:row>53</xdr:row>
      <xdr:rowOff>98350</xdr:rowOff>
    </xdr:from>
    <xdr:to>
      <xdr:col>12</xdr:col>
      <xdr:colOff>92293</xdr:colOff>
      <xdr:row>62</xdr:row>
      <xdr:rowOff>2397</xdr:rowOff>
    </xdr:to>
    <xdr:pic>
      <xdr:nvPicPr>
        <xdr:cNvPr id="22" name="Picture 21">
          <a:extLst>
            <a:ext uri="{FF2B5EF4-FFF2-40B4-BE49-F238E27FC236}">
              <a16:creationId xmlns="" xmlns:a16="http://schemas.microsoft.com/office/drawing/2014/main" id="{00000000-0008-0000-0600-000016000000}"/>
            </a:ext>
          </a:extLst>
        </xdr:cNvPr>
        <xdr:cNvPicPr>
          <a:picLocks noChangeAspect="1"/>
        </xdr:cNvPicPr>
      </xdr:nvPicPr>
      <xdr:blipFill>
        <a:blip xmlns:r="http://schemas.openxmlformats.org/officeDocument/2006/relationships" r:embed="rId19"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248716" y="10724937"/>
          <a:ext cx="1933490" cy="1693090"/>
        </a:xfrm>
        <a:prstGeom prst="rect">
          <a:avLst/>
        </a:prstGeom>
      </xdr:spPr>
    </xdr:pic>
    <xdr:clientData/>
  </xdr:twoCellAnchor>
  <xdr:twoCellAnchor>
    <xdr:from>
      <xdr:col>0</xdr:col>
      <xdr:colOff>1</xdr:colOff>
      <xdr:row>71</xdr:row>
      <xdr:rowOff>27215</xdr:rowOff>
    </xdr:from>
    <xdr:to>
      <xdr:col>6</xdr:col>
      <xdr:colOff>565978</xdr:colOff>
      <xdr:row>89</xdr:row>
      <xdr:rowOff>54429</xdr:rowOff>
    </xdr:to>
    <xdr:graphicFrame macro="">
      <xdr:nvGraphicFramePr>
        <xdr:cNvPr id="23" name="Chart 22">
          <a:extLst>
            <a:ext uri="{FF2B5EF4-FFF2-40B4-BE49-F238E27FC236}">
              <a16:creationId xmlns="" xmlns:a16="http://schemas.microsoft.com/office/drawing/2014/main" id="{00000000-0008-0000-06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19050</xdr:colOff>
      <xdr:row>71</xdr:row>
      <xdr:rowOff>19050</xdr:rowOff>
    </xdr:from>
    <xdr:to>
      <xdr:col>15</xdr:col>
      <xdr:colOff>561975</xdr:colOff>
      <xdr:row>85</xdr:row>
      <xdr:rowOff>190500</xdr:rowOff>
    </xdr:to>
    <xdr:graphicFrame macro="">
      <xdr:nvGraphicFramePr>
        <xdr:cNvPr id="24" name="Chart 23">
          <a:extLst>
            <a:ext uri="{FF2B5EF4-FFF2-40B4-BE49-F238E27FC236}">
              <a16:creationId xmlns="" xmlns:a16="http://schemas.microsoft.com/office/drawing/2014/main" id="{00000000-0008-0000-06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oneCellAnchor>
    <xdr:from>
      <xdr:col>9</xdr:col>
      <xdr:colOff>15945</xdr:colOff>
      <xdr:row>86</xdr:row>
      <xdr:rowOff>23380</xdr:rowOff>
    </xdr:from>
    <xdr:ext cx="978477" cy="1063561"/>
    <xdr:sp macro="" textlink="">
      <xdr:nvSpPr>
        <xdr:cNvPr id="25" name="TextBox 24">
          <a:extLst>
            <a:ext uri="{FF2B5EF4-FFF2-40B4-BE49-F238E27FC236}">
              <a16:creationId xmlns="" xmlns:a16="http://schemas.microsoft.com/office/drawing/2014/main" id="{00000000-0008-0000-0600-000019000000}"/>
            </a:ext>
          </a:extLst>
        </xdr:cNvPr>
        <xdr:cNvSpPr txBox="1"/>
      </xdr:nvSpPr>
      <xdr:spPr>
        <a:xfrm>
          <a:off x="5245170" y="17416030"/>
          <a:ext cx="978477" cy="1063561"/>
        </a:xfrm>
        <a:prstGeom prst="rect">
          <a:avLst/>
        </a:prstGeom>
        <a:solidFill>
          <a:schemeClr val="accent1">
            <a:lumMod val="20000"/>
            <a:lumOff val="80000"/>
          </a:schemeClr>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PH" sz="800" b="1" i="0">
              <a:latin typeface="Arial Narrow" panose="020B0606020202030204" pitchFamily="34" charset="0"/>
            </a:rPr>
            <a:t>Planning Standards</a:t>
          </a:r>
        </a:p>
        <a:p>
          <a:endParaRPr lang="en-PH" sz="800" b="1" i="0">
            <a:latin typeface="Arial Narrow" panose="020B0606020202030204" pitchFamily="34" charset="0"/>
          </a:endParaRPr>
        </a:p>
        <a:p>
          <a:r>
            <a:rPr lang="en-PH" sz="1000">
              <a:latin typeface="Arial Narrow" panose="020B0606020202030204" pitchFamily="34" charset="0"/>
            </a:rPr>
            <a:t>K</a:t>
          </a:r>
          <a:r>
            <a:rPr lang="en-PH" sz="1000" baseline="0">
              <a:latin typeface="Arial Narrow" panose="020B0606020202030204" pitchFamily="34" charset="0"/>
            </a:rPr>
            <a:t> - G1       -   25</a:t>
          </a:r>
        </a:p>
        <a:p>
          <a:r>
            <a:rPr lang="en-PH" sz="1000" baseline="0">
              <a:latin typeface="Arial Narrow" panose="020B0606020202030204" pitchFamily="34" charset="0"/>
            </a:rPr>
            <a:t>G2 - G3     -  40</a:t>
          </a:r>
        </a:p>
        <a:p>
          <a:r>
            <a:rPr lang="en-PH" sz="1000" baseline="0">
              <a:latin typeface="Arial Narrow" panose="020B0606020202030204" pitchFamily="34" charset="0"/>
            </a:rPr>
            <a:t>G4 - G6     -  45</a:t>
          </a:r>
        </a:p>
        <a:p>
          <a:r>
            <a:rPr lang="en-PH" sz="1000" baseline="0">
              <a:latin typeface="Arial Narrow" panose="020B0606020202030204" pitchFamily="34" charset="0"/>
            </a:rPr>
            <a:t>G7 - G10   -  50</a:t>
          </a:r>
        </a:p>
        <a:p>
          <a:r>
            <a:rPr lang="en-PH" sz="1000" baseline="0">
              <a:latin typeface="Arial Narrow" panose="020B0606020202030204" pitchFamily="34" charset="0"/>
            </a:rPr>
            <a:t>G11 - G12 -  40</a:t>
          </a:r>
          <a:endParaRPr lang="en-PH" sz="1000">
            <a:latin typeface="Arial Narrow" panose="020B0606020202030204" pitchFamily="34" charset="0"/>
          </a:endParaRPr>
        </a:p>
      </xdr:txBody>
    </xdr:sp>
    <xdr:clientData/>
  </xdr:oneCellAnchor>
  <xdr:twoCellAnchor editAs="oneCell">
    <xdr:from>
      <xdr:col>8</xdr:col>
      <xdr:colOff>585581</xdr:colOff>
      <xdr:row>91</xdr:row>
      <xdr:rowOff>9525</xdr:rowOff>
    </xdr:from>
    <xdr:to>
      <xdr:col>13</xdr:col>
      <xdr:colOff>556706</xdr:colOff>
      <xdr:row>104</xdr:row>
      <xdr:rowOff>133349</xdr:rowOff>
    </xdr:to>
    <xdr:pic>
      <xdr:nvPicPr>
        <xdr:cNvPr id="26" name="Picture 25">
          <a:extLst>
            <a:ext uri="{FF2B5EF4-FFF2-40B4-BE49-F238E27FC236}">
              <a16:creationId xmlns="" xmlns:a16="http://schemas.microsoft.com/office/drawing/2014/main" id="{00000000-0008-0000-0600-00001A000000}"/>
            </a:ext>
          </a:extLst>
        </xdr:cNvPr>
        <xdr:cNvPicPr>
          <a:picLocks noChangeAspect="1"/>
        </xdr:cNvPicPr>
      </xdr:nvPicPr>
      <xdr:blipFill>
        <a:blip xmlns:r="http://schemas.openxmlformats.org/officeDocument/2006/relationships" r:embed="rId2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290103" y="18239547"/>
          <a:ext cx="2654690" cy="2707998"/>
        </a:xfrm>
        <a:prstGeom prst="rect">
          <a:avLst/>
        </a:prstGeom>
      </xdr:spPr>
    </xdr:pic>
    <xdr:clientData/>
  </xdr:twoCellAnchor>
  <xdr:twoCellAnchor>
    <xdr:from>
      <xdr:col>0</xdr:col>
      <xdr:colOff>1</xdr:colOff>
      <xdr:row>105</xdr:row>
      <xdr:rowOff>19051</xdr:rowOff>
    </xdr:from>
    <xdr:to>
      <xdr:col>4</xdr:col>
      <xdr:colOff>327337</xdr:colOff>
      <xdr:row>119</xdr:row>
      <xdr:rowOff>67235</xdr:rowOff>
    </xdr:to>
    <xdr:graphicFrame macro="">
      <xdr:nvGraphicFramePr>
        <xdr:cNvPr id="27" name="Chart 26">
          <a:extLst>
            <a:ext uri="{FF2B5EF4-FFF2-40B4-BE49-F238E27FC236}">
              <a16:creationId xmlns="" xmlns:a16="http://schemas.microsoft.com/office/drawing/2014/main" id="{00000000-0008-0000-06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0</xdr:colOff>
      <xdr:row>119</xdr:row>
      <xdr:rowOff>100853</xdr:rowOff>
    </xdr:from>
    <xdr:to>
      <xdr:col>6</xdr:col>
      <xdr:colOff>22412</xdr:colOff>
      <xdr:row>132</xdr:row>
      <xdr:rowOff>159919</xdr:rowOff>
    </xdr:to>
    <xdr:graphicFrame macro="">
      <xdr:nvGraphicFramePr>
        <xdr:cNvPr id="28" name="Chart 27">
          <a:extLst>
            <a:ext uri="{FF2B5EF4-FFF2-40B4-BE49-F238E27FC236}">
              <a16:creationId xmlns="" xmlns:a16="http://schemas.microsoft.com/office/drawing/2014/main" id="{00000000-0008-0000-06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3</xdr:col>
      <xdr:colOff>540136</xdr:colOff>
      <xdr:row>105</xdr:row>
      <xdr:rowOff>11205</xdr:rowOff>
    </xdr:from>
    <xdr:to>
      <xdr:col>5</xdr:col>
      <xdr:colOff>468648</xdr:colOff>
      <xdr:row>110</xdr:row>
      <xdr:rowOff>10505</xdr:rowOff>
    </xdr:to>
    <xdr:pic>
      <xdr:nvPicPr>
        <xdr:cNvPr id="29" name="Picture 28">
          <a:extLst>
            <a:ext uri="{FF2B5EF4-FFF2-40B4-BE49-F238E27FC236}">
              <a16:creationId xmlns="" xmlns:a16="http://schemas.microsoft.com/office/drawing/2014/main" id="{00000000-0008-0000-0600-00001D000000}"/>
            </a:ext>
          </a:extLst>
        </xdr:cNvPr>
        <xdr:cNvPicPr>
          <a:picLocks noChangeAspect="1"/>
        </xdr:cNvPicPr>
      </xdr:nvPicPr>
      <xdr:blipFill>
        <a:blip xmlns:r="http://schemas.openxmlformats.org/officeDocument/2006/relationships" r:embed="rId25"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8254" y="21380823"/>
          <a:ext cx="1093923" cy="1007829"/>
        </a:xfrm>
        <a:prstGeom prst="rect">
          <a:avLst/>
        </a:prstGeom>
      </xdr:spPr>
    </xdr:pic>
    <xdr:clientData/>
  </xdr:twoCellAnchor>
  <xdr:twoCellAnchor editAs="oneCell">
    <xdr:from>
      <xdr:col>5</xdr:col>
      <xdr:colOff>2852</xdr:colOff>
      <xdr:row>107</xdr:row>
      <xdr:rowOff>84889</xdr:rowOff>
    </xdr:from>
    <xdr:to>
      <xdr:col>7</xdr:col>
      <xdr:colOff>46375</xdr:colOff>
      <xdr:row>115</xdr:row>
      <xdr:rowOff>56821</xdr:rowOff>
    </xdr:to>
    <xdr:pic>
      <xdr:nvPicPr>
        <xdr:cNvPr id="30" name="Picture 29">
          <a:extLst>
            <a:ext uri="{FF2B5EF4-FFF2-40B4-BE49-F238E27FC236}">
              <a16:creationId xmlns="" xmlns:a16="http://schemas.microsoft.com/office/drawing/2014/main" id="{00000000-0008-0000-0600-00001E000000}"/>
            </a:ext>
          </a:extLst>
        </xdr:cNvPr>
        <xdr:cNvPicPr>
          <a:picLocks noChangeAspect="1"/>
        </xdr:cNvPicPr>
      </xdr:nvPicPr>
      <xdr:blipFill>
        <a:blip xmlns:r="http://schemas.openxmlformats.org/officeDocument/2006/relationships" r:embed="rId2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916381" y="21857918"/>
          <a:ext cx="1208935" cy="1585579"/>
        </a:xfrm>
        <a:prstGeom prst="rect">
          <a:avLst/>
        </a:prstGeom>
      </xdr:spPr>
    </xdr:pic>
    <xdr:clientData/>
  </xdr:twoCellAnchor>
  <xdr:twoCellAnchor editAs="oneCell">
    <xdr:from>
      <xdr:col>5</xdr:col>
      <xdr:colOff>237041</xdr:colOff>
      <xdr:row>119</xdr:row>
      <xdr:rowOff>1811</xdr:rowOff>
    </xdr:from>
    <xdr:to>
      <xdr:col>7</xdr:col>
      <xdr:colOff>198508</xdr:colOff>
      <xdr:row>125</xdr:row>
      <xdr:rowOff>180317</xdr:rowOff>
    </xdr:to>
    <xdr:pic>
      <xdr:nvPicPr>
        <xdr:cNvPr id="31" name="Picture 30">
          <a:extLst>
            <a:ext uri="{FF2B5EF4-FFF2-40B4-BE49-F238E27FC236}">
              <a16:creationId xmlns="" xmlns:a16="http://schemas.microsoft.com/office/drawing/2014/main" id="{00000000-0008-0000-0600-00001F000000}"/>
            </a:ext>
          </a:extLst>
        </xdr:cNvPr>
        <xdr:cNvPicPr>
          <a:picLocks noChangeAspect="1"/>
        </xdr:cNvPicPr>
      </xdr:nvPicPr>
      <xdr:blipFill>
        <a:blip xmlns:r="http://schemas.openxmlformats.org/officeDocument/2006/relationships" r:embed="rId27"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150570" y="24195311"/>
          <a:ext cx="1126879" cy="1388740"/>
        </a:xfrm>
        <a:prstGeom prst="rect">
          <a:avLst/>
        </a:prstGeom>
      </xdr:spPr>
    </xdr:pic>
    <xdr:clientData/>
  </xdr:twoCellAnchor>
  <xdr:twoCellAnchor editAs="oneCell">
    <xdr:from>
      <xdr:col>4</xdr:col>
      <xdr:colOff>173134</xdr:colOff>
      <xdr:row>114</xdr:row>
      <xdr:rowOff>-1</xdr:rowOff>
    </xdr:from>
    <xdr:to>
      <xdr:col>5</xdr:col>
      <xdr:colOff>558436</xdr:colOff>
      <xdr:row>119</xdr:row>
      <xdr:rowOff>19089</xdr:rowOff>
    </xdr:to>
    <xdr:pic>
      <xdr:nvPicPr>
        <xdr:cNvPr id="32" name="Picture 31">
          <a:extLst>
            <a:ext uri="{FF2B5EF4-FFF2-40B4-BE49-F238E27FC236}">
              <a16:creationId xmlns="" xmlns:a16="http://schemas.microsoft.com/office/drawing/2014/main" id="{00000000-0008-0000-0600-000020000000}"/>
            </a:ext>
          </a:extLst>
        </xdr:cNvPr>
        <xdr:cNvPicPr>
          <a:picLocks noChangeAspect="1"/>
        </xdr:cNvPicPr>
      </xdr:nvPicPr>
      <xdr:blipFill>
        <a:blip xmlns:r="http://schemas.openxmlformats.org/officeDocument/2006/relationships" r:embed="rId28"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03958" y="23184970"/>
          <a:ext cx="968007" cy="1027619"/>
        </a:xfrm>
        <a:prstGeom prst="rect">
          <a:avLst/>
        </a:prstGeom>
      </xdr:spPr>
    </xdr:pic>
    <xdr:clientData/>
  </xdr:twoCellAnchor>
  <xdr:twoCellAnchor>
    <xdr:from>
      <xdr:col>11</xdr:col>
      <xdr:colOff>235323</xdr:colOff>
      <xdr:row>112</xdr:row>
      <xdr:rowOff>190500</xdr:rowOff>
    </xdr:from>
    <xdr:to>
      <xdr:col>15</xdr:col>
      <xdr:colOff>574950</xdr:colOff>
      <xdr:row>122</xdr:row>
      <xdr:rowOff>179295</xdr:rowOff>
    </xdr:to>
    <xdr:graphicFrame macro="">
      <xdr:nvGraphicFramePr>
        <xdr:cNvPr id="33" name="Chart 32">
          <a:extLst>
            <a:ext uri="{FF2B5EF4-FFF2-40B4-BE49-F238E27FC236}">
              <a16:creationId xmlns="" xmlns:a16="http://schemas.microsoft.com/office/drawing/2014/main" id="{00000000-0008-0000-06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8</xdr:col>
      <xdr:colOff>551040</xdr:colOff>
      <xdr:row>109</xdr:row>
      <xdr:rowOff>123265</xdr:rowOff>
    </xdr:from>
    <xdr:to>
      <xdr:col>11</xdr:col>
      <xdr:colOff>372904</xdr:colOff>
      <xdr:row>121</xdr:row>
      <xdr:rowOff>33617</xdr:rowOff>
    </xdr:to>
    <xdr:pic>
      <xdr:nvPicPr>
        <xdr:cNvPr id="34" name="Picture 33">
          <a:extLst>
            <a:ext uri="{FF2B5EF4-FFF2-40B4-BE49-F238E27FC236}">
              <a16:creationId xmlns="" xmlns:a16="http://schemas.microsoft.com/office/drawing/2014/main" id="{00000000-0008-0000-0600-000022000000}"/>
            </a:ext>
          </a:extLst>
        </xdr:cNvPr>
        <xdr:cNvPicPr>
          <a:picLocks noChangeAspect="1"/>
        </xdr:cNvPicPr>
      </xdr:nvPicPr>
      <xdr:blipFill>
        <a:blip xmlns:r="http://schemas.openxmlformats.org/officeDocument/2006/relationships" r:embed="rId30"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255562" y="21931374"/>
          <a:ext cx="1627472" cy="2295743"/>
        </a:xfrm>
        <a:prstGeom prst="rect">
          <a:avLst/>
        </a:prstGeom>
      </xdr:spPr>
    </xdr:pic>
    <xdr:clientData/>
  </xdr:twoCellAnchor>
  <xdr:twoCellAnchor>
    <xdr:from>
      <xdr:col>11</xdr:col>
      <xdr:colOff>22411</xdr:colOff>
      <xdr:row>126</xdr:row>
      <xdr:rowOff>123265</xdr:rowOff>
    </xdr:from>
    <xdr:to>
      <xdr:col>15</xdr:col>
      <xdr:colOff>560294</xdr:colOff>
      <xdr:row>138</xdr:row>
      <xdr:rowOff>190500</xdr:rowOff>
    </xdr:to>
    <xdr:graphicFrame macro="">
      <xdr:nvGraphicFramePr>
        <xdr:cNvPr id="35" name="Chart 34">
          <a:extLst>
            <a:ext uri="{FF2B5EF4-FFF2-40B4-BE49-F238E27FC236}">
              <a16:creationId xmlns="" xmlns:a16="http://schemas.microsoft.com/office/drawing/2014/main" id="{00000000-0008-0000-06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8</xdr:col>
      <xdr:colOff>551041</xdr:colOff>
      <xdr:row>121</xdr:row>
      <xdr:rowOff>2</xdr:rowOff>
    </xdr:from>
    <xdr:to>
      <xdr:col>11</xdr:col>
      <xdr:colOff>400380</xdr:colOff>
      <xdr:row>128</xdr:row>
      <xdr:rowOff>134473</xdr:rowOff>
    </xdr:to>
    <xdr:pic>
      <xdr:nvPicPr>
        <xdr:cNvPr id="36" name="Picture 35">
          <a:extLst>
            <a:ext uri="{FF2B5EF4-FFF2-40B4-BE49-F238E27FC236}">
              <a16:creationId xmlns="" xmlns:a16="http://schemas.microsoft.com/office/drawing/2014/main" id="{00000000-0008-0000-0600-000024000000}"/>
            </a:ext>
          </a:extLst>
        </xdr:cNvPr>
        <xdr:cNvPicPr>
          <a:picLocks noChangeAspect="1"/>
        </xdr:cNvPicPr>
      </xdr:nvPicPr>
      <xdr:blipFill>
        <a:blip xmlns:r="http://schemas.openxmlformats.org/officeDocument/2006/relationships" r:embed="rId3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255563" y="24193502"/>
          <a:ext cx="1654947" cy="1525949"/>
        </a:xfrm>
        <a:prstGeom prst="rect">
          <a:avLst/>
        </a:prstGeom>
      </xdr:spPr>
    </xdr:pic>
    <xdr:clientData/>
  </xdr:twoCellAnchor>
  <xdr:twoCellAnchor editAs="oneCell">
    <xdr:from>
      <xdr:col>0</xdr:col>
      <xdr:colOff>11207</xdr:colOff>
      <xdr:row>139</xdr:row>
      <xdr:rowOff>11206</xdr:rowOff>
    </xdr:from>
    <xdr:to>
      <xdr:col>7</xdr:col>
      <xdr:colOff>612913</xdr:colOff>
      <xdr:row>161</xdr:row>
      <xdr:rowOff>42023</xdr:rowOff>
    </xdr:to>
    <xdr:pic>
      <xdr:nvPicPr>
        <xdr:cNvPr id="37" name="Picture 36">
          <a:extLst>
            <a:ext uri="{FF2B5EF4-FFF2-40B4-BE49-F238E27FC236}">
              <a16:creationId xmlns="" xmlns:a16="http://schemas.microsoft.com/office/drawing/2014/main" id="{00000000-0008-0000-0600-000025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1207" y="27824206"/>
          <a:ext cx="4660184" cy="4445447"/>
        </a:xfrm>
        <a:prstGeom prst="rect">
          <a:avLst/>
        </a:prstGeom>
      </xdr:spPr>
    </xdr:pic>
    <xdr:clientData/>
  </xdr:twoCellAnchor>
  <xdr:twoCellAnchor editAs="oneCell">
    <xdr:from>
      <xdr:col>5</xdr:col>
      <xdr:colOff>401375</xdr:colOff>
      <xdr:row>154</xdr:row>
      <xdr:rowOff>72549</xdr:rowOff>
    </xdr:from>
    <xdr:to>
      <xdr:col>7</xdr:col>
      <xdr:colOff>179115</xdr:colOff>
      <xdr:row>159</xdr:row>
      <xdr:rowOff>41022</xdr:rowOff>
    </xdr:to>
    <xdr:pic>
      <xdr:nvPicPr>
        <xdr:cNvPr id="38" name="Picture 37">
          <a:extLst>
            <a:ext uri="{FF2B5EF4-FFF2-40B4-BE49-F238E27FC236}">
              <a16:creationId xmlns="" xmlns:a16="http://schemas.microsoft.com/office/drawing/2014/main" id="{00000000-0008-0000-0600-000026000000}"/>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3300288" y="31008092"/>
          <a:ext cx="937305" cy="962386"/>
        </a:xfrm>
        <a:prstGeom prst="rect">
          <a:avLst/>
        </a:prstGeom>
      </xdr:spPr>
    </xdr:pic>
    <xdr:clientData/>
  </xdr:twoCellAnchor>
  <xdr:twoCellAnchor editAs="oneCell">
    <xdr:from>
      <xdr:col>8</xdr:col>
      <xdr:colOff>25366</xdr:colOff>
      <xdr:row>139</xdr:row>
      <xdr:rowOff>40693</xdr:rowOff>
    </xdr:from>
    <xdr:to>
      <xdr:col>15</xdr:col>
      <xdr:colOff>556177</xdr:colOff>
      <xdr:row>164</xdr:row>
      <xdr:rowOff>177252</xdr:rowOff>
    </xdr:to>
    <xdr:pic>
      <xdr:nvPicPr>
        <xdr:cNvPr id="41" name="Picture 40">
          <a:extLst>
            <a:ext uri="{FF2B5EF4-FFF2-40B4-BE49-F238E27FC236}">
              <a16:creationId xmlns="" xmlns:a16="http://schemas.microsoft.com/office/drawing/2014/main" id="{00000000-0008-0000-0600-000029000000}"/>
            </a:ext>
          </a:extLst>
        </xdr:cNvPr>
        <xdr:cNvPicPr>
          <a:picLocks noChangeAspect="1"/>
        </xdr:cNvPicPr>
      </xdr:nvPicPr>
      <xdr:blipFill>
        <a:blip xmlns:r="http://schemas.openxmlformats.org/officeDocument/2006/relationships" r:embed="rId3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740241" y="28053718"/>
          <a:ext cx="4664661" cy="5184809"/>
        </a:xfrm>
        <a:prstGeom prst="rect">
          <a:avLst/>
        </a:prstGeom>
      </xdr:spPr>
    </xdr:pic>
    <xdr:clientData/>
  </xdr:twoCellAnchor>
  <xdr:twoCellAnchor>
    <xdr:from>
      <xdr:col>12</xdr:col>
      <xdr:colOff>1885</xdr:colOff>
      <xdr:row>158</xdr:row>
      <xdr:rowOff>35381</xdr:rowOff>
    </xdr:from>
    <xdr:to>
      <xdr:col>15</xdr:col>
      <xdr:colOff>359227</xdr:colOff>
      <xdr:row>167</xdr:row>
      <xdr:rowOff>49025</xdr:rowOff>
    </xdr:to>
    <xdr:sp macro="" textlink="">
      <xdr:nvSpPr>
        <xdr:cNvPr id="44" name="Hexagon 43">
          <a:extLst>
            <a:ext uri="{FF2B5EF4-FFF2-40B4-BE49-F238E27FC236}">
              <a16:creationId xmlns="" xmlns:a16="http://schemas.microsoft.com/office/drawing/2014/main" id="{00000000-0008-0000-0600-00002C000000}"/>
            </a:ext>
          </a:extLst>
        </xdr:cNvPr>
        <xdr:cNvSpPr/>
      </xdr:nvSpPr>
      <xdr:spPr>
        <a:xfrm>
          <a:off x="7023171" y="32406774"/>
          <a:ext cx="2112663" cy="1850608"/>
        </a:xfrm>
        <a:prstGeom prst="hexagon">
          <a:avLst/>
        </a:prstGeom>
        <a:gradFill flip="none" rotWithShape="1">
          <a:gsLst>
            <a:gs pos="0">
              <a:srgbClr val="F937DD">
                <a:tint val="66000"/>
                <a:satMod val="160000"/>
              </a:srgbClr>
            </a:gs>
            <a:gs pos="50000">
              <a:srgbClr val="F937DD">
                <a:tint val="44500"/>
                <a:satMod val="160000"/>
              </a:srgbClr>
            </a:gs>
            <a:gs pos="100000">
              <a:srgbClr val="F937DD">
                <a:tint val="23500"/>
                <a:satMod val="160000"/>
              </a:srgbClr>
            </a:gs>
          </a:gsLst>
          <a:path path="circle">
            <a:fillToRect l="100000" t="100000"/>
          </a:path>
          <a:tileRect r="-100000" b="-100000"/>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9</xdr:col>
      <xdr:colOff>72642</xdr:colOff>
      <xdr:row>162</xdr:row>
      <xdr:rowOff>182338</xdr:rowOff>
    </xdr:from>
    <xdr:to>
      <xdr:col>13</xdr:col>
      <xdr:colOff>130627</xdr:colOff>
      <xdr:row>171</xdr:row>
      <xdr:rowOff>195982</xdr:rowOff>
    </xdr:to>
    <xdr:sp macro="" textlink="">
      <xdr:nvSpPr>
        <xdr:cNvPr id="66" name="Hexagon 65">
          <a:extLst>
            <a:ext uri="{FF2B5EF4-FFF2-40B4-BE49-F238E27FC236}">
              <a16:creationId xmlns="" xmlns:a16="http://schemas.microsoft.com/office/drawing/2014/main" id="{00000000-0008-0000-0600-000042000000}"/>
            </a:ext>
          </a:extLst>
        </xdr:cNvPr>
        <xdr:cNvSpPr/>
      </xdr:nvSpPr>
      <xdr:spPr>
        <a:xfrm>
          <a:off x="5338606" y="33370159"/>
          <a:ext cx="2112664" cy="1850609"/>
        </a:xfrm>
        <a:prstGeom prst="hexagon">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path path="circle">
            <a:fillToRect t="100000" r="100000"/>
          </a:path>
          <a:tileRect l="-100000" b="-100000"/>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9</xdr:col>
      <xdr:colOff>59035</xdr:colOff>
      <xdr:row>153</xdr:row>
      <xdr:rowOff>106138</xdr:rowOff>
    </xdr:from>
    <xdr:to>
      <xdr:col>13</xdr:col>
      <xdr:colOff>117020</xdr:colOff>
      <xdr:row>162</xdr:row>
      <xdr:rowOff>119782</xdr:rowOff>
    </xdr:to>
    <xdr:sp macro="" textlink="">
      <xdr:nvSpPr>
        <xdr:cNvPr id="67" name="Hexagon 66">
          <a:extLst>
            <a:ext uri="{FF2B5EF4-FFF2-40B4-BE49-F238E27FC236}">
              <a16:creationId xmlns="" xmlns:a16="http://schemas.microsoft.com/office/drawing/2014/main" id="{00000000-0008-0000-0600-000043000000}"/>
            </a:ext>
          </a:extLst>
        </xdr:cNvPr>
        <xdr:cNvSpPr/>
      </xdr:nvSpPr>
      <xdr:spPr>
        <a:xfrm>
          <a:off x="5324999" y="31456995"/>
          <a:ext cx="2112664" cy="1850608"/>
        </a:xfrm>
        <a:prstGeom prst="hexagon">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12</xdr:col>
      <xdr:colOff>253276</xdr:colOff>
      <xdr:row>153</xdr:row>
      <xdr:rowOff>185060</xdr:rowOff>
    </xdr:from>
    <xdr:to>
      <xdr:col>14</xdr:col>
      <xdr:colOff>242620</xdr:colOff>
      <xdr:row>157</xdr:row>
      <xdr:rowOff>190500</xdr:rowOff>
    </xdr:to>
    <xdr:sp macro="" textlink="">
      <xdr:nvSpPr>
        <xdr:cNvPr id="68" name="Hexagon 67">
          <a:extLst>
            <a:ext uri="{FF2B5EF4-FFF2-40B4-BE49-F238E27FC236}">
              <a16:creationId xmlns="" xmlns:a16="http://schemas.microsoft.com/office/drawing/2014/main" id="{00000000-0008-0000-0600-000044000000}"/>
            </a:ext>
          </a:extLst>
        </xdr:cNvPr>
        <xdr:cNvSpPr/>
      </xdr:nvSpPr>
      <xdr:spPr>
        <a:xfrm>
          <a:off x="7343189" y="30822430"/>
          <a:ext cx="867301" cy="800570"/>
        </a:xfrm>
        <a:prstGeom prst="hexagon">
          <a:avLst/>
        </a:prstGeom>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0" scaled="1"/>
          <a:tileRect/>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12</xdr:col>
      <xdr:colOff>285814</xdr:colOff>
      <xdr:row>167</xdr:row>
      <xdr:rowOff>111700</xdr:rowOff>
    </xdr:from>
    <xdr:to>
      <xdr:col>14</xdr:col>
      <xdr:colOff>275158</xdr:colOff>
      <xdr:row>171</xdr:row>
      <xdr:rowOff>117140</xdr:rowOff>
    </xdr:to>
    <xdr:sp macro="" textlink="">
      <xdr:nvSpPr>
        <xdr:cNvPr id="69" name="Hexagon 68">
          <a:extLst>
            <a:ext uri="{FF2B5EF4-FFF2-40B4-BE49-F238E27FC236}">
              <a16:creationId xmlns="" xmlns:a16="http://schemas.microsoft.com/office/drawing/2014/main" id="{00000000-0008-0000-0600-000045000000}"/>
            </a:ext>
          </a:extLst>
        </xdr:cNvPr>
        <xdr:cNvSpPr/>
      </xdr:nvSpPr>
      <xdr:spPr>
        <a:xfrm>
          <a:off x="7375727" y="33532026"/>
          <a:ext cx="867301" cy="800571"/>
        </a:xfrm>
        <a:prstGeom prst="hexagon">
          <a:avLst/>
        </a:prstGeom>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2700000" scaled="1"/>
          <a:tileRect/>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8</xdr:col>
      <xdr:colOff>207064</xdr:colOff>
      <xdr:row>160</xdr:row>
      <xdr:rowOff>157846</xdr:rowOff>
    </xdr:from>
    <xdr:to>
      <xdr:col>9</xdr:col>
      <xdr:colOff>491100</xdr:colOff>
      <xdr:row>164</xdr:row>
      <xdr:rowOff>163286</xdr:rowOff>
    </xdr:to>
    <xdr:sp macro="" textlink="">
      <xdr:nvSpPr>
        <xdr:cNvPr id="70" name="Hexagon 69">
          <a:extLst>
            <a:ext uri="{FF2B5EF4-FFF2-40B4-BE49-F238E27FC236}">
              <a16:creationId xmlns="" xmlns:a16="http://schemas.microsoft.com/office/drawing/2014/main" id="{00000000-0008-0000-0600-000046000000}"/>
            </a:ext>
          </a:extLst>
        </xdr:cNvPr>
        <xdr:cNvSpPr/>
      </xdr:nvSpPr>
      <xdr:spPr>
        <a:xfrm>
          <a:off x="4911586" y="32186694"/>
          <a:ext cx="930079" cy="800570"/>
        </a:xfrm>
        <a:prstGeom prst="hexagon">
          <a:avLst/>
        </a:prstGeom>
        <a:gradFill flip="none" rotWithShape="1">
          <a:gsLst>
            <a:gs pos="0">
              <a:srgbClr val="F937DD">
                <a:shade val="30000"/>
                <a:satMod val="115000"/>
              </a:srgbClr>
            </a:gs>
            <a:gs pos="50000">
              <a:srgbClr val="F937DD">
                <a:shade val="67500"/>
                <a:satMod val="115000"/>
              </a:srgbClr>
            </a:gs>
            <a:gs pos="100000">
              <a:srgbClr val="F937DD">
                <a:shade val="100000"/>
                <a:satMod val="115000"/>
              </a:srgbClr>
            </a:gs>
          </a:gsLst>
          <a:lin ang="8100000" scaled="1"/>
          <a:tileRect/>
        </a:gra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9</xdr:col>
      <xdr:colOff>9525</xdr:colOff>
      <xdr:row>173</xdr:row>
      <xdr:rowOff>9526</xdr:rowOff>
    </xdr:from>
    <xdr:to>
      <xdr:col>15</xdr:col>
      <xdr:colOff>579191</xdr:colOff>
      <xdr:row>186</xdr:row>
      <xdr:rowOff>4581</xdr:rowOff>
    </xdr:to>
    <xdr:graphicFrame macro="">
      <xdr:nvGraphicFramePr>
        <xdr:cNvPr id="72" name="Chart 71">
          <a:extLst>
            <a:ext uri="{FF2B5EF4-FFF2-40B4-BE49-F238E27FC236}">
              <a16:creationId xmlns="" xmlns:a16="http://schemas.microsoft.com/office/drawing/2014/main" id="{00000000-0008-0000-0600-00004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9</xdr:col>
      <xdr:colOff>11359</xdr:colOff>
      <xdr:row>186</xdr:row>
      <xdr:rowOff>32605</xdr:rowOff>
    </xdr:from>
    <xdr:to>
      <xdr:col>16</xdr:col>
      <xdr:colOff>0</xdr:colOff>
      <xdr:row>196</xdr:row>
      <xdr:rowOff>114300</xdr:rowOff>
    </xdr:to>
    <xdr:graphicFrame macro="">
      <xdr:nvGraphicFramePr>
        <xdr:cNvPr id="73" name="Chart 72">
          <a:extLst>
            <a:ext uri="{FF2B5EF4-FFF2-40B4-BE49-F238E27FC236}">
              <a16:creationId xmlns="" xmlns:a16="http://schemas.microsoft.com/office/drawing/2014/main" id="{00000000-0008-0000-0600-00004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8</xdr:col>
      <xdr:colOff>511351</xdr:colOff>
      <xdr:row>195</xdr:row>
      <xdr:rowOff>47624</xdr:rowOff>
    </xdr:from>
    <xdr:to>
      <xdr:col>10</xdr:col>
      <xdr:colOff>523627</xdr:colOff>
      <xdr:row>206</xdr:row>
      <xdr:rowOff>190500</xdr:rowOff>
    </xdr:to>
    <xdr:pic>
      <xdr:nvPicPr>
        <xdr:cNvPr id="74" name="Picture 73">
          <a:extLst>
            <a:ext uri="{FF2B5EF4-FFF2-40B4-BE49-F238E27FC236}">
              <a16:creationId xmlns="" xmlns:a16="http://schemas.microsoft.com/office/drawing/2014/main" id="{00000000-0008-0000-0600-00004A000000}"/>
            </a:ext>
          </a:extLst>
        </xdr:cNvPr>
        <xdr:cNvPicPr>
          <a:picLocks noChangeAspect="1"/>
        </xdr:cNvPicPr>
      </xdr:nvPicPr>
      <xdr:blipFill>
        <a:blip xmlns:r="http://schemas.openxmlformats.org/officeDocument/2006/relationships" r:embed="rId38">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215873" y="39033863"/>
          <a:ext cx="1238102" cy="2329485"/>
        </a:xfrm>
        <a:prstGeom prst="rect">
          <a:avLst/>
        </a:prstGeom>
      </xdr:spPr>
    </xdr:pic>
    <xdr:clientData/>
  </xdr:twoCellAnchor>
  <xdr:twoCellAnchor>
    <xdr:from>
      <xdr:col>0</xdr:col>
      <xdr:colOff>19050</xdr:colOff>
      <xdr:row>207</xdr:row>
      <xdr:rowOff>19049</xdr:rowOff>
    </xdr:from>
    <xdr:to>
      <xdr:col>6</xdr:col>
      <xdr:colOff>561975</xdr:colOff>
      <xdr:row>220</xdr:row>
      <xdr:rowOff>171450</xdr:rowOff>
    </xdr:to>
    <xdr:graphicFrame macro="">
      <xdr:nvGraphicFramePr>
        <xdr:cNvPr id="75" name="Chart 74">
          <a:extLst>
            <a:ext uri="{FF2B5EF4-FFF2-40B4-BE49-F238E27FC236}">
              <a16:creationId xmlns="" xmlns:a16="http://schemas.microsoft.com/office/drawing/2014/main" id="{00000000-0008-0000-0600-00004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oneCellAnchor>
    <xdr:from>
      <xdr:col>0</xdr:col>
      <xdr:colOff>11724</xdr:colOff>
      <xdr:row>221</xdr:row>
      <xdr:rowOff>6594</xdr:rowOff>
    </xdr:from>
    <xdr:ext cx="1116622" cy="960584"/>
    <xdr:sp macro="" textlink="">
      <xdr:nvSpPr>
        <xdr:cNvPr id="76" name="TextBox 75">
          <a:extLst>
            <a:ext uri="{FF2B5EF4-FFF2-40B4-BE49-F238E27FC236}">
              <a16:creationId xmlns="" xmlns:a16="http://schemas.microsoft.com/office/drawing/2014/main" id="{00000000-0008-0000-0600-00004C000000}"/>
            </a:ext>
          </a:extLst>
        </xdr:cNvPr>
        <xdr:cNvSpPr txBox="1"/>
      </xdr:nvSpPr>
      <xdr:spPr>
        <a:xfrm>
          <a:off x="11724" y="44187940"/>
          <a:ext cx="1116622" cy="960584"/>
        </a:xfrm>
        <a:prstGeom prst="rect">
          <a:avLst/>
        </a:prstGeom>
        <a:solidFill>
          <a:schemeClr val="accent1">
            <a:lumMod val="20000"/>
            <a:lumOff val="80000"/>
          </a:schemeClr>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PH" sz="900" b="1" i="0">
              <a:latin typeface="Arial Narrow" panose="020B0606020202030204" pitchFamily="34" charset="0"/>
            </a:rPr>
            <a:t>Planning Standards</a:t>
          </a:r>
        </a:p>
        <a:p>
          <a:r>
            <a:rPr lang="en-PH" sz="1000">
              <a:latin typeface="Arial Narrow" panose="020B0606020202030204" pitchFamily="34" charset="0"/>
            </a:rPr>
            <a:t>K</a:t>
          </a:r>
          <a:r>
            <a:rPr lang="en-PH" sz="1000" baseline="0">
              <a:latin typeface="Arial Narrow" panose="020B0606020202030204" pitchFamily="34" charset="0"/>
            </a:rPr>
            <a:t> - G1       -   25</a:t>
          </a:r>
        </a:p>
        <a:p>
          <a:r>
            <a:rPr lang="en-PH" sz="1000" baseline="0">
              <a:latin typeface="Arial Narrow" panose="020B0606020202030204" pitchFamily="34" charset="0"/>
            </a:rPr>
            <a:t>G2 - G3     -  40</a:t>
          </a:r>
        </a:p>
        <a:p>
          <a:r>
            <a:rPr lang="en-PH" sz="1000" baseline="0">
              <a:latin typeface="Arial Narrow" panose="020B0606020202030204" pitchFamily="34" charset="0"/>
            </a:rPr>
            <a:t>G4 - G6     -  45</a:t>
          </a:r>
        </a:p>
        <a:p>
          <a:r>
            <a:rPr lang="en-PH" sz="1000" baseline="0">
              <a:latin typeface="Arial Narrow" panose="020B0606020202030204" pitchFamily="34" charset="0"/>
            </a:rPr>
            <a:t>G7 - G10   -  50</a:t>
          </a:r>
        </a:p>
        <a:p>
          <a:r>
            <a:rPr lang="en-PH" sz="1000" baseline="0">
              <a:latin typeface="Arial Narrow" panose="020B0606020202030204" pitchFamily="34" charset="0"/>
            </a:rPr>
            <a:t>G11 - G12 -  40</a:t>
          </a:r>
          <a:endParaRPr lang="en-PH" sz="1000">
            <a:latin typeface="Arial Narrow" panose="020B0606020202030204" pitchFamily="34" charset="0"/>
          </a:endParaRPr>
        </a:p>
      </xdr:txBody>
    </xdr:sp>
    <xdr:clientData/>
  </xdr:oneCellAnchor>
  <xdr:twoCellAnchor editAs="oneCell">
    <xdr:from>
      <xdr:col>0</xdr:col>
      <xdr:colOff>6580</xdr:colOff>
      <xdr:row>231</xdr:row>
      <xdr:rowOff>29310</xdr:rowOff>
    </xdr:from>
    <xdr:to>
      <xdr:col>3</xdr:col>
      <xdr:colOff>542192</xdr:colOff>
      <xdr:row>240</xdr:row>
      <xdr:rowOff>190500</xdr:rowOff>
    </xdr:to>
    <xdr:pic>
      <xdr:nvPicPr>
        <xdr:cNvPr id="77" name="Picture 76">
          <a:extLst>
            <a:ext uri="{FF2B5EF4-FFF2-40B4-BE49-F238E27FC236}">
              <a16:creationId xmlns="" xmlns:a16="http://schemas.microsoft.com/office/drawing/2014/main" id="{00000000-0008-0000-0600-00004D000000}"/>
            </a:ext>
          </a:extLst>
        </xdr:cNvPr>
        <xdr:cNvPicPr>
          <a:picLocks noChangeAspect="1"/>
        </xdr:cNvPicPr>
      </xdr:nvPicPr>
      <xdr:blipFill>
        <a:blip xmlns:r="http://schemas.openxmlformats.org/officeDocument/2006/relationships" r:embed="rId40"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580" y="46320810"/>
          <a:ext cx="2272093" cy="1868363"/>
        </a:xfrm>
        <a:prstGeom prst="rect">
          <a:avLst/>
        </a:prstGeom>
      </xdr:spPr>
    </xdr:pic>
    <xdr:clientData/>
  </xdr:twoCellAnchor>
  <xdr:twoCellAnchor editAs="oneCell">
    <xdr:from>
      <xdr:col>4</xdr:col>
      <xdr:colOff>35280</xdr:colOff>
      <xdr:row>264</xdr:row>
      <xdr:rowOff>12457</xdr:rowOff>
    </xdr:from>
    <xdr:to>
      <xdr:col>6</xdr:col>
      <xdr:colOff>568196</xdr:colOff>
      <xdr:row>274</xdr:row>
      <xdr:rowOff>95250</xdr:rowOff>
    </xdr:to>
    <xdr:pic>
      <xdr:nvPicPr>
        <xdr:cNvPr id="82" name="Picture 81">
          <a:extLst>
            <a:ext uri="{FF2B5EF4-FFF2-40B4-BE49-F238E27FC236}">
              <a16:creationId xmlns="" xmlns:a16="http://schemas.microsoft.com/office/drawing/2014/main" id="{00000000-0008-0000-0600-000052000000}"/>
            </a:ext>
          </a:extLst>
        </xdr:cNvPr>
        <xdr:cNvPicPr>
          <a:picLocks noChangeAspect="1"/>
        </xdr:cNvPicPr>
      </xdr:nvPicPr>
      <xdr:blipFill>
        <a:blip xmlns:r="http://schemas.openxmlformats.org/officeDocument/2006/relationships" r:embed="rId41"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9380" y="53114332"/>
          <a:ext cx="1694966" cy="2092568"/>
        </a:xfrm>
        <a:prstGeom prst="rect">
          <a:avLst/>
        </a:prstGeom>
      </xdr:spPr>
    </xdr:pic>
    <xdr:clientData/>
  </xdr:twoCellAnchor>
  <xdr:twoCellAnchor editAs="oneCell">
    <xdr:from>
      <xdr:col>11</xdr:col>
      <xdr:colOff>409575</xdr:colOff>
      <xdr:row>270</xdr:row>
      <xdr:rowOff>12457</xdr:rowOff>
    </xdr:from>
    <xdr:to>
      <xdr:col>13</xdr:col>
      <xdr:colOff>523874</xdr:colOff>
      <xdr:row>274</xdr:row>
      <xdr:rowOff>193432</xdr:rowOff>
    </xdr:to>
    <xdr:pic>
      <xdr:nvPicPr>
        <xdr:cNvPr id="86" name="Picture 85">
          <a:extLst>
            <a:ext uri="{FF2B5EF4-FFF2-40B4-BE49-F238E27FC236}">
              <a16:creationId xmlns="" xmlns:a16="http://schemas.microsoft.com/office/drawing/2014/main" id="{00000000-0008-0000-0600-000056000000}"/>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6776671" y="53945938"/>
          <a:ext cx="986204" cy="979609"/>
        </a:xfrm>
        <a:prstGeom prst="rect">
          <a:avLst/>
        </a:prstGeom>
      </xdr:spPr>
    </xdr:pic>
    <xdr:clientData/>
  </xdr:twoCellAnchor>
  <xdr:twoCellAnchor editAs="oneCell">
    <xdr:from>
      <xdr:col>10</xdr:col>
      <xdr:colOff>7327</xdr:colOff>
      <xdr:row>270</xdr:row>
      <xdr:rowOff>95193</xdr:rowOff>
    </xdr:from>
    <xdr:to>
      <xdr:col>11</xdr:col>
      <xdr:colOff>308262</xdr:colOff>
      <xdr:row>274</xdr:row>
      <xdr:rowOff>167516</xdr:rowOff>
    </xdr:to>
    <xdr:pic>
      <xdr:nvPicPr>
        <xdr:cNvPr id="87" name="Picture 86">
          <a:extLst>
            <a:ext uri="{FF2B5EF4-FFF2-40B4-BE49-F238E27FC236}">
              <a16:creationId xmlns="" xmlns:a16="http://schemas.microsoft.com/office/drawing/2014/main" id="{00000000-0008-0000-0600-000057000000}"/>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5795596" y="54028674"/>
          <a:ext cx="879761" cy="872289"/>
        </a:xfrm>
        <a:prstGeom prst="rect">
          <a:avLst/>
        </a:prstGeom>
      </xdr:spPr>
    </xdr:pic>
    <xdr:clientData/>
  </xdr:twoCellAnchor>
  <xdr:twoCellAnchor editAs="oneCell">
    <xdr:from>
      <xdr:col>14</xdr:col>
      <xdr:colOff>61875</xdr:colOff>
      <xdr:row>270</xdr:row>
      <xdr:rowOff>166650</xdr:rowOff>
    </xdr:from>
    <xdr:to>
      <xdr:col>15</xdr:col>
      <xdr:colOff>1</xdr:colOff>
      <xdr:row>274</xdr:row>
      <xdr:rowOff>162791</xdr:rowOff>
    </xdr:to>
    <xdr:pic>
      <xdr:nvPicPr>
        <xdr:cNvPr id="88" name="Picture 87">
          <a:extLst>
            <a:ext uri="{FF2B5EF4-FFF2-40B4-BE49-F238E27FC236}">
              <a16:creationId xmlns="" xmlns:a16="http://schemas.microsoft.com/office/drawing/2014/main" id="{00000000-0008-0000-0600-000058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7910475" y="54554400"/>
          <a:ext cx="804900" cy="804900"/>
        </a:xfrm>
        <a:prstGeom prst="rect">
          <a:avLst/>
        </a:prstGeom>
      </xdr:spPr>
    </xdr:pic>
    <xdr:clientData/>
  </xdr:twoCellAnchor>
  <xdr:twoCellAnchor>
    <xdr:from>
      <xdr:col>9</xdr:col>
      <xdr:colOff>89646</xdr:colOff>
      <xdr:row>207</xdr:row>
      <xdr:rowOff>22414</xdr:rowOff>
    </xdr:from>
    <xdr:to>
      <xdr:col>15</xdr:col>
      <xdr:colOff>560294</xdr:colOff>
      <xdr:row>224</xdr:row>
      <xdr:rowOff>33618</xdr:rowOff>
    </xdr:to>
    <xdr:graphicFrame macro="">
      <xdr:nvGraphicFramePr>
        <xdr:cNvPr id="61" name="Chart 60">
          <a:extLst>
            <a:ext uri="{FF2B5EF4-FFF2-40B4-BE49-F238E27FC236}">
              <a16:creationId xmlns="" xmlns:a16="http://schemas.microsoft.com/office/drawing/2014/main" id="{00000000-0008-0000-0600-00003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editAs="oneCell">
    <xdr:from>
      <xdr:col>8</xdr:col>
      <xdr:colOff>470289</xdr:colOff>
      <xdr:row>223</xdr:row>
      <xdr:rowOff>83424</xdr:rowOff>
    </xdr:from>
    <xdr:to>
      <xdr:col>11</xdr:col>
      <xdr:colOff>439298</xdr:colOff>
      <xdr:row>240</xdr:row>
      <xdr:rowOff>189586</xdr:rowOff>
    </xdr:to>
    <xdr:pic>
      <xdr:nvPicPr>
        <xdr:cNvPr id="79" name="Picture 78">
          <a:extLst>
            <a:ext uri="{FF2B5EF4-FFF2-40B4-BE49-F238E27FC236}">
              <a16:creationId xmlns="" xmlns:a16="http://schemas.microsoft.com/office/drawing/2014/main" id="{00000000-0008-0000-0600-00004F000000}"/>
            </a:ext>
          </a:extLst>
        </xdr:cNvPr>
        <xdr:cNvPicPr>
          <a:picLocks noChangeAspect="1"/>
        </xdr:cNvPicPr>
      </xdr:nvPicPr>
      <xdr:blipFill>
        <a:blip xmlns:r="http://schemas.openxmlformats.org/officeDocument/2006/relationships" r:embed="rId46">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100904" y="44660424"/>
          <a:ext cx="1771750" cy="3527835"/>
        </a:xfrm>
        <a:prstGeom prst="rect">
          <a:avLst/>
        </a:prstGeom>
      </xdr:spPr>
    </xdr:pic>
    <xdr:clientData/>
  </xdr:twoCellAnchor>
  <xdr:twoCellAnchor>
    <xdr:from>
      <xdr:col>1</xdr:col>
      <xdr:colOff>459440</xdr:colOff>
      <xdr:row>5</xdr:row>
      <xdr:rowOff>123265</xdr:rowOff>
    </xdr:from>
    <xdr:to>
      <xdr:col>5</xdr:col>
      <xdr:colOff>571500</xdr:colOff>
      <xdr:row>10</xdr:row>
      <xdr:rowOff>29136</xdr:rowOff>
    </xdr:to>
    <xdr:graphicFrame macro="">
      <xdr:nvGraphicFramePr>
        <xdr:cNvPr id="62" name="Chart 61">
          <a:extLst>
            <a:ext uri="{FF2B5EF4-FFF2-40B4-BE49-F238E27FC236}">
              <a16:creationId xmlns="" xmlns:a16="http://schemas.microsoft.com/office/drawing/2014/main" id="{00000000-0008-0000-0600-00003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11</xdr:col>
      <xdr:colOff>33618</xdr:colOff>
      <xdr:row>104</xdr:row>
      <xdr:rowOff>112057</xdr:rowOff>
    </xdr:from>
    <xdr:to>
      <xdr:col>15</xdr:col>
      <xdr:colOff>566894</xdr:colOff>
      <xdr:row>112</xdr:row>
      <xdr:rowOff>168089</xdr:rowOff>
    </xdr:to>
    <xdr:grpSp>
      <xdr:nvGrpSpPr>
        <xdr:cNvPr id="63" name="Group 62">
          <a:extLst>
            <a:ext uri="{FF2B5EF4-FFF2-40B4-BE49-F238E27FC236}">
              <a16:creationId xmlns="" xmlns:a16="http://schemas.microsoft.com/office/drawing/2014/main" id="{00000000-0008-0000-0600-00003F000000}"/>
            </a:ext>
          </a:extLst>
        </xdr:cNvPr>
        <xdr:cNvGrpSpPr/>
      </xdr:nvGrpSpPr>
      <xdr:grpSpPr>
        <a:xfrm>
          <a:off x="6558243" y="21076582"/>
          <a:ext cx="2857376" cy="1656232"/>
          <a:chOff x="5787370" y="13805858"/>
          <a:chExt cx="4570132" cy="3009782"/>
        </a:xfrm>
      </xdr:grpSpPr>
      <xdr:graphicFrame macro="">
        <xdr:nvGraphicFramePr>
          <xdr:cNvPr id="64" name="Chart 63">
            <a:extLst>
              <a:ext uri="{FF2B5EF4-FFF2-40B4-BE49-F238E27FC236}">
                <a16:creationId xmlns="" xmlns:a16="http://schemas.microsoft.com/office/drawing/2014/main" id="{00000000-0008-0000-0600-000040000000}"/>
              </a:ext>
            </a:extLst>
          </xdr:cNvPr>
          <xdr:cNvGraphicFramePr/>
        </xdr:nvGraphicFramePr>
        <xdr:xfrm>
          <a:off x="5787370" y="14072440"/>
          <a:ext cx="4570132" cy="2743200"/>
        </xdr:xfrm>
        <a:graphic>
          <a:graphicData uri="http://schemas.openxmlformats.org/drawingml/2006/chart">
            <c:chart xmlns:c="http://schemas.openxmlformats.org/drawingml/2006/chart" xmlns:r="http://schemas.openxmlformats.org/officeDocument/2006/relationships" r:id="rId48"/>
          </a:graphicData>
        </a:graphic>
      </xdr:graphicFrame>
      <xdr:graphicFrame macro="">
        <xdr:nvGraphicFramePr>
          <xdr:cNvPr id="65" name="Chart 64">
            <a:extLst>
              <a:ext uri="{FF2B5EF4-FFF2-40B4-BE49-F238E27FC236}">
                <a16:creationId xmlns="" xmlns:a16="http://schemas.microsoft.com/office/drawing/2014/main" id="{00000000-0008-0000-0600-000041000000}"/>
              </a:ext>
            </a:extLst>
          </xdr:cNvPr>
          <xdr:cNvGraphicFramePr/>
        </xdr:nvGraphicFramePr>
        <xdr:xfrm>
          <a:off x="6505414" y="13805858"/>
          <a:ext cx="3782765" cy="2646174"/>
        </xdr:xfrm>
        <a:graphic>
          <a:graphicData uri="http://schemas.openxmlformats.org/drawingml/2006/chart">
            <c:chart xmlns:c="http://schemas.openxmlformats.org/drawingml/2006/chart" xmlns:r="http://schemas.openxmlformats.org/officeDocument/2006/relationships" r:id="rId49"/>
          </a:graphicData>
        </a:graphic>
      </xdr:graphicFrame>
    </xdr:grpSp>
    <xdr:clientData/>
  </xdr:twoCellAnchor>
  <xdr:twoCellAnchor>
    <xdr:from>
      <xdr:col>9</xdr:col>
      <xdr:colOff>9525</xdr:colOff>
      <xdr:row>3</xdr:row>
      <xdr:rowOff>0</xdr:rowOff>
    </xdr:from>
    <xdr:to>
      <xdr:col>15</xdr:col>
      <xdr:colOff>552451</xdr:colOff>
      <xdr:row>13</xdr:row>
      <xdr:rowOff>76199</xdr:rowOff>
    </xdr:to>
    <xdr:graphicFrame macro="">
      <xdr:nvGraphicFramePr>
        <xdr:cNvPr id="71" name="Chart 70">
          <a:extLst>
            <a:ext uri="{FF2B5EF4-FFF2-40B4-BE49-F238E27FC236}">
              <a16:creationId xmlns="" xmlns:a16="http://schemas.microsoft.com/office/drawing/2014/main" id="{00000000-0008-0000-0600-00004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9</xdr:col>
      <xdr:colOff>9525</xdr:colOff>
      <xdr:row>13</xdr:row>
      <xdr:rowOff>142876</xdr:rowOff>
    </xdr:from>
    <xdr:to>
      <xdr:col>12</xdr:col>
      <xdr:colOff>182033</xdr:colOff>
      <xdr:row>23</xdr:row>
      <xdr:rowOff>190500</xdr:rowOff>
    </xdr:to>
    <xdr:graphicFrame macro="">
      <xdr:nvGraphicFramePr>
        <xdr:cNvPr id="78" name="Chart 77">
          <a:extLst>
            <a:ext uri="{FF2B5EF4-FFF2-40B4-BE49-F238E27FC236}">
              <a16:creationId xmlns="" xmlns:a16="http://schemas.microsoft.com/office/drawing/2014/main" id="{00000000-0008-0000-0600-00004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12</xdr:col>
      <xdr:colOff>198783</xdr:colOff>
      <xdr:row>13</xdr:row>
      <xdr:rowOff>142876</xdr:rowOff>
    </xdr:from>
    <xdr:to>
      <xdr:col>15</xdr:col>
      <xdr:colOff>561975</xdr:colOff>
      <xdr:row>23</xdr:row>
      <xdr:rowOff>190500</xdr:rowOff>
    </xdr:to>
    <xdr:graphicFrame macro="">
      <xdr:nvGraphicFramePr>
        <xdr:cNvPr id="83" name="Chart 82">
          <a:extLst>
            <a:ext uri="{FF2B5EF4-FFF2-40B4-BE49-F238E27FC236}">
              <a16:creationId xmlns="" xmlns:a16="http://schemas.microsoft.com/office/drawing/2014/main" id="{00000000-0008-0000-0600-00005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8284</xdr:colOff>
      <xdr:row>241</xdr:row>
      <xdr:rowOff>47624</xdr:rowOff>
    </xdr:from>
    <xdr:to>
      <xdr:col>6</xdr:col>
      <xdr:colOff>542925</xdr:colOff>
      <xdr:row>252</xdr:row>
      <xdr:rowOff>28575</xdr:rowOff>
    </xdr:to>
    <xdr:graphicFrame macro="">
      <xdr:nvGraphicFramePr>
        <xdr:cNvPr id="84" name="Chart 83">
          <a:extLst>
            <a:ext uri="{FF2B5EF4-FFF2-40B4-BE49-F238E27FC236}">
              <a16:creationId xmlns="" xmlns:a16="http://schemas.microsoft.com/office/drawing/2014/main" id="{00000000-0008-0000-0600-00005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0</xdr:colOff>
      <xdr:row>252</xdr:row>
      <xdr:rowOff>95250</xdr:rowOff>
    </xdr:from>
    <xdr:to>
      <xdr:col>6</xdr:col>
      <xdr:colOff>546666</xdr:colOff>
      <xdr:row>263</xdr:row>
      <xdr:rowOff>161926</xdr:rowOff>
    </xdr:to>
    <xdr:graphicFrame macro="">
      <xdr:nvGraphicFramePr>
        <xdr:cNvPr id="85" name="Chart 84">
          <a:extLst>
            <a:ext uri="{FF2B5EF4-FFF2-40B4-BE49-F238E27FC236}">
              <a16:creationId xmlns="" xmlns:a16="http://schemas.microsoft.com/office/drawing/2014/main" id="{00000000-0008-0000-0600-00005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191</xdr:row>
      <xdr:rowOff>9524</xdr:rowOff>
    </xdr:from>
    <xdr:to>
      <xdr:col>3</xdr:col>
      <xdr:colOff>523875</xdr:colOff>
      <xdr:row>206</xdr:row>
      <xdr:rowOff>200024</xdr:rowOff>
    </xdr:to>
    <xdr:graphicFrame macro="">
      <xdr:nvGraphicFramePr>
        <xdr:cNvPr id="89" name="Chart 88">
          <a:extLst>
            <a:ext uri="{FF2B5EF4-FFF2-40B4-BE49-F238E27FC236}">
              <a16:creationId xmlns="" xmlns:a16="http://schemas.microsoft.com/office/drawing/2014/main" id="{00000000-0008-0000-0600-00005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211232</xdr:colOff>
      <xdr:row>154</xdr:row>
      <xdr:rowOff>23647</xdr:rowOff>
    </xdr:from>
    <xdr:to>
      <xdr:col>5</xdr:col>
      <xdr:colOff>457200</xdr:colOff>
      <xdr:row>159</xdr:row>
      <xdr:rowOff>104464</xdr:rowOff>
    </xdr:to>
    <xdr:grpSp>
      <xdr:nvGrpSpPr>
        <xdr:cNvPr id="80" name="Group 79">
          <a:extLst>
            <a:ext uri="{FF2B5EF4-FFF2-40B4-BE49-F238E27FC236}">
              <a16:creationId xmlns="" xmlns:a16="http://schemas.microsoft.com/office/drawing/2014/main" id="{00000000-0008-0000-0600-000050000000}"/>
            </a:ext>
          </a:extLst>
        </xdr:cNvPr>
        <xdr:cNvGrpSpPr/>
      </xdr:nvGrpSpPr>
      <xdr:grpSpPr>
        <a:xfrm>
          <a:off x="211232" y="31084672"/>
          <a:ext cx="3151093" cy="1080942"/>
          <a:chOff x="259773" y="184861321"/>
          <a:chExt cx="4424795" cy="1517868"/>
        </a:xfrm>
      </xdr:grpSpPr>
      <xdr:sp macro="" textlink="">
        <xdr:nvSpPr>
          <xdr:cNvPr id="81" name="Freeform 80">
            <a:extLst>
              <a:ext uri="{FF2B5EF4-FFF2-40B4-BE49-F238E27FC236}">
                <a16:creationId xmlns="" xmlns:a16="http://schemas.microsoft.com/office/drawing/2014/main" id="{00000000-0008-0000-0600-000051000000}"/>
              </a:ext>
            </a:extLst>
          </xdr:cNvPr>
          <xdr:cNvSpPr/>
        </xdr:nvSpPr>
        <xdr:spPr>
          <a:xfrm>
            <a:off x="259773" y="184906227"/>
            <a:ext cx="3671454" cy="1420091"/>
          </a:xfrm>
          <a:custGeom>
            <a:avLst/>
            <a:gdLst>
              <a:gd name="connsiteX0" fmla="*/ 0 w 3671454"/>
              <a:gd name="connsiteY0" fmla="*/ 710046 h 1420091"/>
              <a:gd name="connsiteX1" fmla="*/ 0 w 3671454"/>
              <a:gd name="connsiteY1" fmla="*/ 1420091 h 1420091"/>
              <a:gd name="connsiteX2" fmla="*/ 2251363 w 3671454"/>
              <a:gd name="connsiteY2" fmla="*/ 1420091 h 1420091"/>
              <a:gd name="connsiteX3" fmla="*/ 3671454 w 3671454"/>
              <a:gd name="connsiteY3" fmla="*/ 0 h 1420091"/>
              <a:gd name="connsiteX4" fmla="*/ 770659 w 3671454"/>
              <a:gd name="connsiteY4" fmla="*/ 0 h 1420091"/>
              <a:gd name="connsiteX5" fmla="*/ 0 w 3671454"/>
              <a:gd name="connsiteY5" fmla="*/ 710046 h 142009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671454" h="1420091">
                <a:moveTo>
                  <a:pt x="0" y="710046"/>
                </a:moveTo>
                <a:lnTo>
                  <a:pt x="0" y="1420091"/>
                </a:lnTo>
                <a:lnTo>
                  <a:pt x="2251363" y="1420091"/>
                </a:lnTo>
                <a:lnTo>
                  <a:pt x="3671454" y="0"/>
                </a:lnTo>
                <a:lnTo>
                  <a:pt x="770659" y="0"/>
                </a:lnTo>
                <a:lnTo>
                  <a:pt x="0" y="710046"/>
                </a:lnTo>
                <a:close/>
              </a:path>
            </a:pathLst>
          </a:custGeom>
          <a:gradFill flip="none" rotWithShape="1">
            <a:gsLst>
              <a:gs pos="0">
                <a:schemeClr val="bg2">
                  <a:lumMod val="50000"/>
                  <a:shade val="30000"/>
                  <a:satMod val="115000"/>
                </a:schemeClr>
              </a:gs>
              <a:gs pos="50000">
                <a:schemeClr val="bg2">
                  <a:lumMod val="50000"/>
                  <a:shade val="67500"/>
                  <a:satMod val="115000"/>
                </a:schemeClr>
              </a:gs>
              <a:gs pos="100000">
                <a:schemeClr val="bg2">
                  <a:lumMod val="50000"/>
                  <a:shade val="100000"/>
                  <a:satMod val="115000"/>
                </a:schemeClr>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0" name="Rectangle 89">
            <a:extLst>
              <a:ext uri="{FF2B5EF4-FFF2-40B4-BE49-F238E27FC236}">
                <a16:creationId xmlns="" xmlns:a16="http://schemas.microsoft.com/office/drawing/2014/main" id="{00000000-0008-0000-0600-00005A000000}"/>
              </a:ext>
            </a:extLst>
          </xdr:cNvPr>
          <xdr:cNvSpPr/>
        </xdr:nvSpPr>
        <xdr:spPr>
          <a:xfrm>
            <a:off x="1484372" y="184861321"/>
            <a:ext cx="1984259" cy="569311"/>
          </a:xfrm>
          <a:prstGeom prst="rect">
            <a:avLst/>
          </a:prstGeom>
          <a:noFill/>
        </xdr:spPr>
        <xdr:txBody>
          <a:bodyPr wrap="none" lIns="91440" tIns="45720" rIns="91440" bIns="45720">
            <a:spAutoFit/>
          </a:bodyPr>
          <a:lstStyle/>
          <a:p>
            <a:pPr algn="ctr"/>
            <a:r>
              <a:rPr lang="en-US" sz="2000" b="0" cap="none" spc="0">
                <a:ln w="0"/>
                <a:solidFill>
                  <a:schemeClr val="bg1"/>
                </a:solidFill>
                <a:effectLst/>
              </a:rPr>
              <a:t>Maka-Diyos</a:t>
            </a:r>
          </a:p>
        </xdr:txBody>
      </xdr:sp>
      <xdr:sp macro="" textlink="">
        <xdr:nvSpPr>
          <xdr:cNvPr id="91" name="Rectangle 90">
            <a:extLst>
              <a:ext uri="{FF2B5EF4-FFF2-40B4-BE49-F238E27FC236}">
                <a16:creationId xmlns="" xmlns:a16="http://schemas.microsoft.com/office/drawing/2014/main" id="{00000000-0008-0000-0600-00005B000000}"/>
              </a:ext>
            </a:extLst>
          </xdr:cNvPr>
          <xdr:cNvSpPr/>
        </xdr:nvSpPr>
        <xdr:spPr>
          <a:xfrm>
            <a:off x="1614434" y="185186423"/>
            <a:ext cx="1724140" cy="569311"/>
          </a:xfrm>
          <a:prstGeom prst="rect">
            <a:avLst/>
          </a:prstGeom>
          <a:noFill/>
        </xdr:spPr>
        <xdr:txBody>
          <a:bodyPr wrap="none" lIns="91440" tIns="45720" rIns="91440" bIns="45720">
            <a:spAutoFit/>
          </a:bodyPr>
          <a:lstStyle/>
          <a:p>
            <a:pPr algn="ctr"/>
            <a:r>
              <a:rPr lang="en-US" sz="2000" b="0" cap="none" spc="0">
                <a:ln w="0"/>
                <a:solidFill>
                  <a:schemeClr val="bg1"/>
                </a:solidFill>
                <a:effectLst/>
              </a:rPr>
              <a:t>Maka-Tao</a:t>
            </a:r>
          </a:p>
        </xdr:txBody>
      </xdr:sp>
      <xdr:sp macro="" textlink="">
        <xdr:nvSpPr>
          <xdr:cNvPr id="92" name="Freeform 91">
            <a:extLst>
              <a:ext uri="{FF2B5EF4-FFF2-40B4-BE49-F238E27FC236}">
                <a16:creationId xmlns="" xmlns:a16="http://schemas.microsoft.com/office/drawing/2014/main" id="{00000000-0008-0000-0600-00005C000000}"/>
              </a:ext>
            </a:extLst>
          </xdr:cNvPr>
          <xdr:cNvSpPr/>
        </xdr:nvSpPr>
        <xdr:spPr>
          <a:xfrm>
            <a:off x="2658341" y="185304545"/>
            <a:ext cx="2026227" cy="1013114"/>
          </a:xfrm>
          <a:custGeom>
            <a:avLst/>
            <a:gdLst>
              <a:gd name="connsiteX0" fmla="*/ 857250 w 2026227"/>
              <a:gd name="connsiteY0" fmla="*/ 0 h 1013114"/>
              <a:gd name="connsiteX1" fmla="*/ 2026227 w 2026227"/>
              <a:gd name="connsiteY1" fmla="*/ 1013114 h 1013114"/>
              <a:gd name="connsiteX2" fmla="*/ 181841 w 2026227"/>
              <a:gd name="connsiteY2" fmla="*/ 1013114 h 1013114"/>
              <a:gd name="connsiteX3" fmla="*/ 0 w 2026227"/>
              <a:gd name="connsiteY3" fmla="*/ 874569 h 1013114"/>
              <a:gd name="connsiteX4" fmla="*/ 857250 w 2026227"/>
              <a:gd name="connsiteY4" fmla="*/ 0 h 101311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26227" h="1013114">
                <a:moveTo>
                  <a:pt x="857250" y="0"/>
                </a:moveTo>
                <a:lnTo>
                  <a:pt x="2026227" y="1013114"/>
                </a:lnTo>
                <a:lnTo>
                  <a:pt x="181841" y="1013114"/>
                </a:lnTo>
                <a:lnTo>
                  <a:pt x="0" y="874569"/>
                </a:lnTo>
                <a:lnTo>
                  <a:pt x="857250" y="0"/>
                </a:lnTo>
                <a:close/>
              </a:path>
            </a:pathLst>
          </a:custGeom>
          <a:gradFill flip="none" rotWithShape="1">
            <a:gsLst>
              <a:gs pos="0">
                <a:schemeClr val="tx2">
                  <a:lumMod val="75000"/>
                  <a:shade val="30000"/>
                  <a:satMod val="115000"/>
                </a:schemeClr>
              </a:gs>
              <a:gs pos="50000">
                <a:schemeClr val="tx2">
                  <a:lumMod val="75000"/>
                  <a:shade val="67500"/>
                  <a:satMod val="115000"/>
                </a:schemeClr>
              </a:gs>
              <a:gs pos="100000">
                <a:schemeClr val="tx2">
                  <a:lumMod val="75000"/>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Rectangle 92">
            <a:extLst>
              <a:ext uri="{FF2B5EF4-FFF2-40B4-BE49-F238E27FC236}">
                <a16:creationId xmlns="" xmlns:a16="http://schemas.microsoft.com/office/drawing/2014/main" id="{00000000-0008-0000-0600-00005D000000}"/>
              </a:ext>
            </a:extLst>
          </xdr:cNvPr>
          <xdr:cNvSpPr/>
        </xdr:nvSpPr>
        <xdr:spPr>
          <a:xfrm>
            <a:off x="1201520" y="185493435"/>
            <a:ext cx="2549967" cy="569311"/>
          </a:xfrm>
          <a:prstGeom prst="rect">
            <a:avLst/>
          </a:prstGeom>
          <a:noFill/>
        </xdr:spPr>
        <xdr:txBody>
          <a:bodyPr wrap="none" lIns="91440" tIns="45720" rIns="91440" bIns="45720">
            <a:spAutoFit/>
          </a:bodyPr>
          <a:lstStyle/>
          <a:p>
            <a:pPr algn="ctr"/>
            <a:r>
              <a:rPr lang="en-US" sz="2000" b="0" cap="none" spc="0">
                <a:ln w="0"/>
                <a:solidFill>
                  <a:schemeClr val="bg1"/>
                </a:solidFill>
                <a:effectLst/>
              </a:rPr>
              <a:t>Maka-Kalikasan</a:t>
            </a:r>
          </a:p>
        </xdr:txBody>
      </xdr:sp>
      <xdr:sp macro="" textlink="">
        <xdr:nvSpPr>
          <xdr:cNvPr id="94" name="Rectangle 93">
            <a:extLst>
              <a:ext uri="{FF2B5EF4-FFF2-40B4-BE49-F238E27FC236}">
                <a16:creationId xmlns="" xmlns:a16="http://schemas.microsoft.com/office/drawing/2014/main" id="{00000000-0008-0000-0600-00005E000000}"/>
              </a:ext>
            </a:extLst>
          </xdr:cNvPr>
          <xdr:cNvSpPr/>
        </xdr:nvSpPr>
        <xdr:spPr>
          <a:xfrm>
            <a:off x="1447865" y="185809878"/>
            <a:ext cx="2057279" cy="569311"/>
          </a:xfrm>
          <a:prstGeom prst="rect">
            <a:avLst/>
          </a:prstGeom>
          <a:noFill/>
        </xdr:spPr>
        <xdr:txBody>
          <a:bodyPr wrap="none" lIns="91440" tIns="45720" rIns="91440" bIns="45720">
            <a:spAutoFit/>
          </a:bodyPr>
          <a:lstStyle/>
          <a:p>
            <a:pPr algn="ctr"/>
            <a:r>
              <a:rPr lang="en-US" sz="2000" b="0" cap="none" spc="0">
                <a:ln w="0"/>
                <a:solidFill>
                  <a:schemeClr val="bg1"/>
                </a:solidFill>
                <a:effectLst/>
              </a:rPr>
              <a:t>Maka-Bansa</a:t>
            </a:r>
          </a:p>
        </xdr:txBody>
      </xdr:sp>
    </xdr:grpSp>
    <xdr:clientData/>
  </xdr:twoCellAnchor>
  <xdr:twoCellAnchor>
    <xdr:from>
      <xdr:col>0</xdr:col>
      <xdr:colOff>1</xdr:colOff>
      <xdr:row>38</xdr:row>
      <xdr:rowOff>57150</xdr:rowOff>
    </xdr:from>
    <xdr:to>
      <xdr:col>6</xdr:col>
      <xdr:colOff>552450</xdr:colOff>
      <xdr:row>48</xdr:row>
      <xdr:rowOff>47624</xdr:rowOff>
    </xdr:to>
    <xdr:graphicFrame macro="">
      <xdr:nvGraphicFramePr>
        <xdr:cNvPr id="95" name="Chart 94">
          <a:extLst>
            <a:ext uri="{FF2B5EF4-FFF2-40B4-BE49-F238E27FC236}">
              <a16:creationId xmlns="" xmlns:a16="http://schemas.microsoft.com/office/drawing/2014/main" id="{00000000-0008-0000-0600-00005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oneCellAnchor>
    <xdr:from>
      <xdr:col>1</xdr:col>
      <xdr:colOff>466725</xdr:colOff>
      <xdr:row>37</xdr:row>
      <xdr:rowOff>9525</xdr:rowOff>
    </xdr:from>
    <xdr:ext cx="2402837" cy="280205"/>
    <xdr:sp macro="" textlink="">
      <xdr:nvSpPr>
        <xdr:cNvPr id="96" name="Rectangle 95">
          <a:extLst>
            <a:ext uri="{FF2B5EF4-FFF2-40B4-BE49-F238E27FC236}">
              <a16:creationId xmlns="" xmlns:a16="http://schemas.microsoft.com/office/drawing/2014/main" id="{00000000-0008-0000-0600-000060000000}"/>
            </a:ext>
          </a:extLst>
        </xdr:cNvPr>
        <xdr:cNvSpPr/>
      </xdr:nvSpPr>
      <xdr:spPr>
        <a:xfrm>
          <a:off x="1047750" y="7515225"/>
          <a:ext cx="2402837" cy="280205"/>
        </a:xfrm>
        <a:prstGeom prst="rect">
          <a:avLst/>
        </a:prstGeom>
        <a:noFill/>
      </xdr:spPr>
      <xdr:txBody>
        <a:bodyPr wrap="none" lIns="91440" tIns="45720" rIns="91440" bIns="45720">
          <a:spAutoFit/>
        </a:bodyPr>
        <a:lstStyle/>
        <a:p>
          <a:pPr rtl="0"/>
          <a:r>
            <a:rPr lang="en-US" sz="1200" b="0" i="0" baseline="0">
              <a:effectLst/>
              <a:latin typeface="+mn-lt"/>
              <a:ea typeface="+mn-ea"/>
              <a:cs typeface="+mn-cs"/>
            </a:rPr>
            <a:t>Availability of Books by Grade Level</a:t>
          </a:r>
          <a:endParaRPr lang="en-US" sz="6000">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ln w="19050" cap="flat" cmpd="sng" algn="ctr">
          <a:solidFill>
            <a:schemeClr val="dk1"/>
          </a:solidFill>
          <a:prstDash val="dash"/>
          <a:round/>
          <a:headEnd type="none" w="med" len="med"/>
          <a:tailEnd type="none" w="med" len="med"/>
        </a:ln>
      </a:spPr>
      <a:bodyPr/>
      <a:lstStyle/>
      <a:style>
        <a:lnRef idx="0">
          <a:scrgbClr r="0" g="0" b="0"/>
        </a:lnRef>
        <a:fillRef idx="0">
          <a:scrgbClr r="0" g="0" b="0"/>
        </a:fillRef>
        <a:effectRef idx="0">
          <a:scrgbClr r="0" g="0" b="0"/>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showGridLines="0" showRowColHeaders="0" zoomScale="110" zoomScaleNormal="110" workbookViewId="0">
      <pane xSplit="16" ySplit="20" topLeftCell="Q21" activePane="bottomRight" state="frozen"/>
      <selection pane="topRight" activeCell="Q1" sqref="Q1"/>
      <selection pane="bottomLeft" activeCell="A21" sqref="A21"/>
      <selection pane="bottomRight" activeCell="O1" sqref="O1"/>
    </sheetView>
  </sheetViews>
  <sheetFormatPr defaultColWidth="9.109375" defaultRowHeight="15" customHeight="1" zeroHeight="1"/>
  <cols>
    <col min="1" max="1" width="33.33203125" customWidth="1"/>
    <col min="2" max="2" width="0.5546875" customWidth="1"/>
    <col min="3" max="6" width="9.109375" customWidth="1"/>
    <col min="7" max="7" width="0.5546875" customWidth="1"/>
    <col min="8" max="8" width="5.44140625" customWidth="1"/>
    <col min="9" max="9" width="0.5546875" customWidth="1"/>
    <col min="10" max="13" width="9.109375" customWidth="1"/>
    <col min="14" max="14" width="14.44140625" customWidth="1"/>
    <col min="15" max="15" width="16.88671875" customWidth="1"/>
    <col min="16" max="16" width="2.33203125" style="49" customWidth="1"/>
    <col min="17" max="16384" width="9.109375" style="49"/>
  </cols>
  <sheetData>
    <row r="1" spans="1:15" s="47" customFormat="1" ht="22.5" customHeight="1">
      <c r="A1" s="445" t="str">
        <f>"eSRC -"&amp;" "&amp;Data!C5</f>
        <v>eSRC - MERIDA VOCATIONAL SCHOOL</v>
      </c>
      <c r="B1" s="446"/>
      <c r="C1" s="446"/>
      <c r="D1" s="446"/>
      <c r="E1" s="446"/>
      <c r="F1" s="446"/>
      <c r="G1" s="446"/>
      <c r="H1" s="446"/>
      <c r="I1" s="446"/>
      <c r="J1" s="446"/>
      <c r="K1" s="446"/>
      <c r="L1" s="446"/>
      <c r="M1" s="446"/>
      <c r="N1" s="146" t="s">
        <v>744</v>
      </c>
      <c r="O1" s="147" t="s">
        <v>562</v>
      </c>
    </row>
    <row r="2" spans="1:15" s="48" customFormat="1" ht="17.25" customHeight="1">
      <c r="A2" s="55"/>
      <c r="B2" s="56"/>
      <c r="C2" s="56"/>
      <c r="D2" s="56"/>
      <c r="E2" s="56"/>
      <c r="F2" s="56"/>
      <c r="G2" s="56"/>
      <c r="H2" s="56"/>
      <c r="I2" s="56"/>
      <c r="J2" s="56"/>
      <c r="K2" s="56"/>
      <c r="L2" s="56"/>
      <c r="M2" s="56"/>
      <c r="N2" s="56"/>
      <c r="O2" s="57"/>
    </row>
    <row r="3" spans="1:15" s="48" customFormat="1" ht="17.25" customHeight="1">
      <c r="A3" s="55"/>
      <c r="B3" s="56"/>
      <c r="C3" s="56"/>
      <c r="D3" s="56"/>
      <c r="E3" s="56"/>
      <c r="F3" s="56"/>
      <c r="G3" s="56"/>
      <c r="H3" s="56"/>
      <c r="I3" s="56"/>
      <c r="J3" s="56"/>
      <c r="K3" s="56"/>
      <c r="L3" s="56"/>
      <c r="M3" s="56"/>
      <c r="N3" s="56"/>
      <c r="O3" s="57"/>
    </row>
    <row r="4" spans="1:15" s="48" customFormat="1" ht="17.25" customHeight="1">
      <c r="A4" s="55"/>
      <c r="B4" s="56"/>
      <c r="C4" s="56"/>
      <c r="D4" s="56"/>
      <c r="E4" s="56"/>
      <c r="F4" s="56"/>
      <c r="G4" s="56"/>
      <c r="H4" s="56"/>
      <c r="I4" s="56"/>
      <c r="J4" s="56"/>
      <c r="K4" s="56"/>
      <c r="L4" s="56"/>
      <c r="M4" s="56"/>
      <c r="N4" s="56"/>
      <c r="O4" s="57"/>
    </row>
    <row r="5" spans="1:15" ht="3.75" customHeight="1">
      <c r="A5" s="58"/>
      <c r="B5" s="60"/>
      <c r="C5" s="60"/>
      <c r="D5" s="60"/>
      <c r="E5" s="60"/>
      <c r="F5" s="60"/>
      <c r="G5" s="59"/>
      <c r="H5" s="59"/>
      <c r="I5" s="60"/>
      <c r="J5" s="60"/>
      <c r="K5" s="60"/>
      <c r="L5" s="60"/>
      <c r="M5" s="60"/>
      <c r="N5" s="59"/>
      <c r="O5" s="57"/>
    </row>
    <row r="6" spans="1:15" ht="21.75" customHeight="1">
      <c r="A6" s="58"/>
      <c r="B6" s="60"/>
      <c r="C6" s="60"/>
      <c r="D6" s="60"/>
      <c r="E6" s="60"/>
      <c r="F6" s="60"/>
      <c r="G6" s="56"/>
      <c r="H6" s="59"/>
      <c r="I6" s="60"/>
      <c r="J6" s="60"/>
      <c r="K6" s="60"/>
      <c r="L6" s="60"/>
      <c r="M6" s="60"/>
      <c r="N6" s="56"/>
      <c r="O6" s="57"/>
    </row>
    <row r="7" spans="1:15" ht="21.75" customHeight="1">
      <c r="A7" s="58"/>
      <c r="B7" s="60"/>
      <c r="C7" s="60"/>
      <c r="D7" s="60"/>
      <c r="E7" s="60"/>
      <c r="F7" s="60"/>
      <c r="G7" s="56"/>
      <c r="H7" s="59"/>
      <c r="I7" s="60"/>
      <c r="J7" s="60"/>
      <c r="K7" s="60"/>
      <c r="L7" s="60"/>
      <c r="M7" s="60"/>
      <c r="N7" s="56"/>
      <c r="O7" s="57"/>
    </row>
    <row r="8" spans="1:15" ht="21.75" customHeight="1">
      <c r="A8" s="58"/>
      <c r="B8" s="60"/>
      <c r="C8" s="60"/>
      <c r="D8" s="60"/>
      <c r="E8" s="60"/>
      <c r="F8" s="60"/>
      <c r="G8" s="56"/>
      <c r="H8" s="59"/>
      <c r="I8" s="60"/>
      <c r="J8" s="60"/>
      <c r="K8" s="60"/>
      <c r="L8" s="60"/>
      <c r="M8" s="60"/>
      <c r="N8" s="56"/>
      <c r="O8" s="57"/>
    </row>
    <row r="9" spans="1:15" ht="21.75" customHeight="1">
      <c r="A9" s="58"/>
      <c r="B9" s="60"/>
      <c r="C9" s="60"/>
      <c r="D9" s="60"/>
      <c r="E9" s="60"/>
      <c r="F9" s="60"/>
      <c r="G9" s="56"/>
      <c r="H9" s="59"/>
      <c r="I9" s="60"/>
      <c r="J9" s="60"/>
      <c r="K9" s="60"/>
      <c r="L9" s="60"/>
      <c r="M9" s="60"/>
      <c r="N9" s="56"/>
      <c r="O9" s="57"/>
    </row>
    <row r="10" spans="1:15" ht="21.75" customHeight="1">
      <c r="A10" s="58"/>
      <c r="B10" s="60"/>
      <c r="C10" s="60"/>
      <c r="D10" s="60"/>
      <c r="E10" s="60"/>
      <c r="F10" s="60"/>
      <c r="G10" s="56"/>
      <c r="H10" s="59"/>
      <c r="I10" s="60"/>
      <c r="J10" s="60"/>
      <c r="K10" s="60"/>
      <c r="L10" s="60"/>
      <c r="M10" s="60"/>
      <c r="N10" s="56"/>
      <c r="O10" s="57"/>
    </row>
    <row r="11" spans="1:15" ht="21.75" customHeight="1">
      <c r="A11" s="58"/>
      <c r="B11" s="60"/>
      <c r="C11" s="60"/>
      <c r="D11" s="60"/>
      <c r="E11" s="60"/>
      <c r="F11" s="60"/>
      <c r="G11" s="56"/>
      <c r="H11" s="59"/>
      <c r="I11" s="60"/>
      <c r="J11" s="60"/>
      <c r="K11" s="60"/>
      <c r="L11" s="60"/>
      <c r="M11" s="60"/>
      <c r="N11" s="56"/>
      <c r="O11" s="57"/>
    </row>
    <row r="12" spans="1:15" ht="21.75" customHeight="1">
      <c r="A12" s="64"/>
      <c r="B12" s="64"/>
      <c r="C12" s="64"/>
      <c r="D12" s="64"/>
      <c r="E12" s="64"/>
      <c r="F12" s="61"/>
      <c r="G12" s="62"/>
      <c r="H12" s="63"/>
      <c r="I12" s="61"/>
      <c r="J12" s="61"/>
      <c r="K12" s="69"/>
      <c r="L12" s="69"/>
      <c r="M12" s="69"/>
      <c r="N12" s="69"/>
      <c r="O12" s="69"/>
    </row>
    <row r="13" spans="1:15" ht="9" hidden="1" customHeight="1">
      <c r="A13" s="64"/>
      <c r="B13" s="63"/>
      <c r="C13" s="62"/>
      <c r="D13" s="62"/>
      <c r="E13" s="62"/>
      <c r="F13" s="62"/>
      <c r="G13" s="62"/>
      <c r="H13" s="63"/>
      <c r="I13" s="63"/>
      <c r="J13" s="62"/>
      <c r="K13" s="62"/>
      <c r="L13" s="62"/>
      <c r="M13" s="62"/>
      <c r="N13" s="62"/>
      <c r="O13" s="65"/>
    </row>
    <row r="14" spans="1:15" ht="9" hidden="1" customHeight="1">
      <c r="A14" s="64"/>
      <c r="B14" s="63"/>
      <c r="C14" s="63"/>
      <c r="D14" s="63"/>
      <c r="E14" s="63"/>
      <c r="F14" s="63"/>
      <c r="G14" s="63"/>
      <c r="H14" s="63"/>
      <c r="I14" s="63"/>
      <c r="J14" s="63"/>
      <c r="K14" s="63"/>
      <c r="L14" s="63"/>
      <c r="M14" s="63"/>
      <c r="N14" s="63"/>
      <c r="O14" s="65"/>
    </row>
    <row r="15" spans="1:15" ht="18" customHeight="1">
      <c r="A15" s="64"/>
      <c r="B15" s="64"/>
      <c r="C15" s="64"/>
      <c r="D15" s="64"/>
      <c r="E15" s="64"/>
      <c r="F15" s="64"/>
      <c r="G15" s="64"/>
      <c r="H15" s="66"/>
      <c r="I15" s="64"/>
      <c r="J15" s="64"/>
      <c r="K15" s="64"/>
      <c r="L15" s="64"/>
      <c r="M15" s="64"/>
      <c r="N15" s="64"/>
      <c r="O15" s="70"/>
    </row>
    <row r="16" spans="1:15" ht="18" customHeight="1">
      <c r="A16" s="64"/>
      <c r="B16" s="64"/>
      <c r="C16" s="64"/>
      <c r="D16" s="64"/>
      <c r="E16" s="64"/>
      <c r="F16" s="64"/>
      <c r="G16" s="64"/>
      <c r="H16" s="66"/>
      <c r="I16" s="64"/>
      <c r="J16" s="64"/>
      <c r="K16" s="64"/>
      <c r="L16" s="64"/>
      <c r="M16" s="64"/>
      <c r="N16" s="64"/>
      <c r="O16" s="70"/>
    </row>
    <row r="17" spans="1:15" ht="18" customHeight="1">
      <c r="A17" s="67"/>
      <c r="B17" s="68"/>
      <c r="C17" s="68"/>
      <c r="D17" s="68"/>
      <c r="E17" s="68"/>
      <c r="F17" s="68"/>
      <c r="G17" s="68"/>
      <c r="H17" s="66"/>
      <c r="I17" s="68"/>
      <c r="J17" s="68"/>
      <c r="K17" s="68"/>
      <c r="L17" s="68"/>
      <c r="M17" s="68"/>
      <c r="N17" s="68"/>
      <c r="O17" s="65"/>
    </row>
    <row r="18" spans="1:15" ht="12" customHeight="1">
      <c r="A18" s="67"/>
      <c r="B18" s="63"/>
      <c r="C18" s="63"/>
      <c r="D18" s="63"/>
      <c r="E18" s="63"/>
      <c r="F18" s="63"/>
      <c r="G18" s="63"/>
      <c r="H18" s="63"/>
      <c r="I18" s="63"/>
      <c r="J18" s="63"/>
      <c r="K18" s="63"/>
      <c r="L18" s="63"/>
      <c r="M18" s="63"/>
      <c r="N18" s="63"/>
      <c r="O18" s="65"/>
    </row>
    <row r="19" spans="1:15" ht="12" customHeight="1">
      <c r="A19" s="58"/>
      <c r="B19" s="59"/>
      <c r="C19" s="59"/>
      <c r="D19" s="59"/>
      <c r="E19" s="59"/>
      <c r="F19" s="59"/>
      <c r="G19" s="59"/>
      <c r="H19" s="59"/>
      <c r="I19" s="59"/>
      <c r="J19" s="59"/>
      <c r="K19" s="59"/>
      <c r="L19" s="59"/>
      <c r="M19" s="59"/>
      <c r="N19" s="59"/>
      <c r="O19" s="57"/>
    </row>
    <row r="20" spans="1:15" ht="14.4">
      <c r="A20" s="442"/>
      <c r="B20" s="443"/>
      <c r="C20" s="443"/>
      <c r="D20" s="443"/>
      <c r="E20" s="443"/>
      <c r="F20" s="443"/>
      <c r="G20" s="443"/>
      <c r="H20" s="443"/>
      <c r="I20" s="443"/>
      <c r="J20" s="443"/>
      <c r="K20" s="443"/>
      <c r="L20" s="443"/>
      <c r="M20" s="443"/>
      <c r="N20" s="443"/>
      <c r="O20" s="444"/>
    </row>
    <row r="21" spans="1:15" ht="14.4"/>
    <row r="22" spans="1:15" ht="14.4"/>
    <row r="23" spans="1:15" ht="14.4"/>
    <row r="24" spans="1:15" ht="14.4"/>
    <row r="25" spans="1:15" ht="14.4"/>
    <row r="26" spans="1:15" ht="14.4"/>
    <row r="27" spans="1:15" ht="14.4"/>
    <row r="28" spans="1:15" ht="14.4"/>
    <row r="29" spans="1:15" ht="14.4"/>
    <row r="30" spans="1:15" ht="14.4"/>
    <row r="31" spans="1:15" ht="14.4"/>
    <row r="32" spans="1:15" ht="14.4"/>
    <row r="33" ht="14.4"/>
    <row r="34" ht="14.4"/>
    <row r="35" ht="14.4"/>
    <row r="36" ht="14.4"/>
    <row r="37" ht="14.4"/>
    <row r="38" ht="14.4"/>
    <row r="39" ht="14.4"/>
    <row r="40" ht="14.4"/>
    <row r="41" ht="14.4"/>
  </sheetData>
  <sheetProtection algorithmName="SHA-512" hashValue="za5sL4/x/MNX7NI2MSZhMu/VQ312lgfC2WnJ1ClFG/MAYCDihO0l3ge/G16SUJE6RDyOY/d4ThpDEdmiKuVAqw==" saltValue="Z95dK8Y1RTDultf4HqAzlQ==" spinCount="100000" sheet="1" objects="1" scenarios="1"/>
  <mergeCells count="2">
    <mergeCell ref="A20:O20"/>
    <mergeCell ref="A1:M1"/>
  </mergeCells>
  <dataValidations count="1">
    <dataValidation type="list" allowBlank="1" showInputMessage="1" showErrorMessage="1" promptTitle="Language for SRC" prompt="Please select from the drop-down list the language you would like to use in your SRC." sqref="O1">
      <formula1>LANGUAGE</formula1>
    </dataValidation>
  </dataValidations>
  <pageMargins left="0.7" right="0.7" top="0.75" bottom="0.75" header="0.3" footer="0.3"/>
  <pageSetup paperSize="9" scale="88" orientation="landscape"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367"/>
  <sheetViews>
    <sheetView topLeftCell="AK1" zoomScale="85" zoomScaleNormal="85" workbookViewId="0">
      <selection activeCell="B1346" sqref="B1346:B1350"/>
    </sheetView>
  </sheetViews>
  <sheetFormatPr defaultColWidth="9.109375" defaultRowHeight="14.4"/>
  <cols>
    <col min="1" max="1" width="16" style="353" bestFit="1" customWidth="1"/>
    <col min="2" max="2" width="46.109375" style="353" customWidth="1"/>
    <col min="3" max="3" width="21.6640625" style="353" customWidth="1"/>
    <col min="4" max="4" width="23.109375" style="353" customWidth="1"/>
    <col min="5" max="6" width="20.33203125" style="353" customWidth="1"/>
    <col min="7" max="9" width="21.6640625" style="353" customWidth="1"/>
    <col min="10" max="10" width="35" style="353" customWidth="1"/>
    <col min="11" max="11" width="21.44140625" style="353" customWidth="1"/>
    <col min="12" max="22" width="12" style="353" customWidth="1"/>
    <col min="23" max="23" width="13.33203125" style="353" customWidth="1"/>
    <col min="24" max="29" width="12.5546875" style="353" customWidth="1"/>
    <col min="30" max="35" width="8.44140625" style="353" customWidth="1"/>
    <col min="36" max="40" width="9.33203125" style="353" customWidth="1"/>
    <col min="41" max="41" width="9.109375" style="353"/>
    <col min="42" max="42" width="36.33203125" style="353" bestFit="1" customWidth="1"/>
    <col min="43" max="43" width="18.109375" style="353" bestFit="1" customWidth="1"/>
    <col min="44" max="64" width="9.109375" style="353"/>
    <col min="65" max="66" width="14.88671875" style="353" customWidth="1"/>
    <col min="67" max="75" width="9.109375" style="353"/>
    <col min="76" max="76" width="10.33203125" style="353" customWidth="1"/>
    <col min="77" max="92" width="9.109375" style="353"/>
    <col min="93" max="95" width="19.6640625" style="353" customWidth="1"/>
    <col min="96" max="100" width="22.44140625" style="353" customWidth="1"/>
    <col min="101" max="102" width="9.109375" style="353"/>
    <col min="103" max="103" width="18.109375" style="353" customWidth="1"/>
    <col min="104" max="106" width="9.109375" style="353"/>
    <col min="107" max="108" width="9.109375" style="375"/>
    <col min="109" max="109" width="32" style="353" customWidth="1"/>
    <col min="110" max="16384" width="9.109375" style="353"/>
  </cols>
  <sheetData>
    <row r="1" spans="1:123">
      <c r="A1" s="356" t="s">
        <v>78</v>
      </c>
      <c r="L1" s="353" t="s">
        <v>220</v>
      </c>
      <c r="M1" s="353" t="s">
        <v>221</v>
      </c>
      <c r="N1" s="353" t="s">
        <v>222</v>
      </c>
      <c r="Q1" s="353" t="s">
        <v>217</v>
      </c>
      <c r="R1" s="353" t="s">
        <v>223</v>
      </c>
      <c r="S1" s="353" t="s">
        <v>224</v>
      </c>
      <c r="T1" s="353" t="s">
        <v>222</v>
      </c>
      <c r="X1" s="353" t="s">
        <v>225</v>
      </c>
      <c r="Y1" s="353" t="s">
        <v>226</v>
      </c>
      <c r="Z1" s="353" t="s">
        <v>222</v>
      </c>
      <c r="AD1" s="353" t="s">
        <v>234</v>
      </c>
      <c r="AE1" s="353" t="s">
        <v>233</v>
      </c>
      <c r="AF1" s="353" t="s">
        <v>222</v>
      </c>
      <c r="AJ1" s="353" t="s">
        <v>663</v>
      </c>
      <c r="AK1" s="353" t="s">
        <v>664</v>
      </c>
      <c r="AM1" s="353" t="s">
        <v>665</v>
      </c>
      <c r="AN1" s="353" t="s">
        <v>666</v>
      </c>
      <c r="AP1" s="353" t="s">
        <v>669</v>
      </c>
      <c r="BI1" s="353" t="s">
        <v>755</v>
      </c>
      <c r="BN1" s="353" t="s">
        <v>200</v>
      </c>
      <c r="CA1" s="353" t="s">
        <v>787</v>
      </c>
      <c r="DA1" s="375" t="s">
        <v>878</v>
      </c>
      <c r="DB1" s="375" t="s">
        <v>879</v>
      </c>
      <c r="DC1" s="375" t="s">
        <v>880</v>
      </c>
      <c r="DD1" s="375" t="s">
        <v>881</v>
      </c>
      <c r="DE1" s="375" t="s">
        <v>222</v>
      </c>
      <c r="DF1" s="375"/>
      <c r="DG1" s="375"/>
      <c r="DK1" s="376" t="s">
        <v>882</v>
      </c>
      <c r="DL1" s="376" t="s">
        <v>883</v>
      </c>
      <c r="DM1" s="376" t="s">
        <v>884</v>
      </c>
      <c r="DN1" s="376" t="s">
        <v>885</v>
      </c>
      <c r="DO1" s="376" t="s">
        <v>222</v>
      </c>
      <c r="DP1" s="376"/>
      <c r="DQ1" s="376"/>
      <c r="DR1" s="376"/>
      <c r="DS1" s="376"/>
    </row>
    <row r="2" spans="1:123">
      <c r="B2" s="353" t="s">
        <v>23</v>
      </c>
      <c r="C2" s="353" t="s">
        <v>24</v>
      </c>
      <c r="L2" s="357" t="s">
        <v>5</v>
      </c>
      <c r="M2" s="353" t="str">
        <f>IF(COUNT(Data!F166:G166)&gt;0,(AVERAGE(Data!F166:G166)),"")</f>
        <v/>
      </c>
      <c r="N2" s="353" t="str">
        <f>IF(COUNT(M2)&gt;0,ROW(),"")</f>
        <v/>
      </c>
      <c r="O2" s="353" t="str">
        <f>IFERROR(INDEX($L$1:$L$16,SMALL($N$2:$N$16,ROW(O1)),1),"")</f>
        <v>Grade 7</v>
      </c>
      <c r="P2" s="353">
        <f>IFERROR(INDEX($M$1:$M$16,SMALL($N$2:$N$16,ROW(P1)),1),"")</f>
        <v>90.64500000000001</v>
      </c>
      <c r="Q2" s="353">
        <f>IF(P2=MAX($P$2:$P$16),P2,0)</f>
        <v>0</v>
      </c>
      <c r="R2" s="357" t="s">
        <v>5</v>
      </c>
      <c r="S2" s="353" t="str">
        <f t="shared" ref="S2:S9" si="0">IF(AND(ISNUMBER(B114),ISNUMBER(C114)),ROUND(B114/C114,0),"")</f>
        <v/>
      </c>
      <c r="T2" s="353" t="str">
        <f>IF(COUNT(S2)&gt;0,ROW(),"")</f>
        <v/>
      </c>
      <c r="U2" s="353" t="str">
        <f t="shared" ref="U2:U14" si="1">IFERROR(INDEX($R$1:$R$14,SMALL($T$2:$T$14,ROW(U1)),1),"")</f>
        <v>Grade 7</v>
      </c>
      <c r="V2" s="353">
        <f t="shared" ref="V2:V14" si="2">IFERROR(INDEX($S$1:$S$14,SMALL($T$2:$T$14,ROW(V1)),1),"")</f>
        <v>40</v>
      </c>
      <c r="X2" s="357" t="s">
        <v>5</v>
      </c>
      <c r="Y2" s="353" t="str">
        <f t="shared" ref="Y2:Y9" si="3">IF(BZ114="","",BZ114)</f>
        <v/>
      </c>
      <c r="Z2" s="353" t="str">
        <f>IF(COUNT(Y2)&gt;0,ROW(),"")</f>
        <v/>
      </c>
      <c r="AA2" s="353" t="str">
        <f>IFERROR(INDEX($X$1:$X$14,SMALL($Z$2:$Z$14,ROW(AA1)),1),"")</f>
        <v>Grade 7</v>
      </c>
      <c r="AB2" s="353">
        <f t="shared" ref="AB2:AB14" si="4">IFERROR(INDEX($Y$1:$Y$14,SMALL($Z$2:$Z$14,ROW(AB1)),1),"")</f>
        <v>61</v>
      </c>
      <c r="AD2" s="357" t="s">
        <v>5</v>
      </c>
      <c r="AE2" s="346" t="str">
        <f>IF(B18="","",AVERAGE(B18:K18))</f>
        <v/>
      </c>
      <c r="AF2" s="353" t="str">
        <f>IF(COUNT(AE2)&gt;0,ROW(),"")</f>
        <v/>
      </c>
      <c r="AG2" s="353" t="str">
        <f>IFERROR(INDEX($AD$1:$AD$16,SMALL($AF$2:$AF$16,ROW(AG1)),1),"")</f>
        <v>Grade 7</v>
      </c>
      <c r="AH2" s="346">
        <f>IFERROR(INDEX($AE$1:$AE$16,SMALL($AF$2:$AF$16,ROW(AH1)),1),"")</f>
        <v>0.78571428571428559</v>
      </c>
      <c r="AJ2" s="357" t="str">
        <f t="shared" ref="AJ2:AJ11" si="5">IF(A153="","",INDEX($A$153:$A$162,MATCH(G153,$F$153:$F$162,0)))</f>
        <v>ENROLMENT</v>
      </c>
      <c r="AK2" s="349" t="e">
        <f t="shared" ref="AK2:AK11" si="6">IF(A153="","",INDEX($C$153:$C$162,MATCH(H153,$A$153:$A$162,0)))</f>
        <v>#N/A</v>
      </c>
      <c r="AL2" s="346"/>
      <c r="AM2" s="353" t="e">
        <f>IF(B99="","",INDEX($A$99:$A$102,MATCH(E99,$D$99:$D$102,0)))</f>
        <v>#N/A</v>
      </c>
      <c r="AN2" s="346" t="e">
        <f>IF(D99="","",INDEX($B$99:$B$102,MATCH(E99,$D$99:$D$102,0)))</f>
        <v>#N/A</v>
      </c>
      <c r="AO2" s="346"/>
      <c r="AP2" s="353" t="str">
        <f t="shared" ref="AP2:AP16" si="7">IF(A174="","",INDEX($A$174:$A$188,MATCH(E174,$D$174:$D$188,0)))</f>
        <v/>
      </c>
      <c r="AQ2" s="349" t="str">
        <f t="shared" ref="AQ2:AQ16" si="8">IF(A174="","",INDEX($C$174:$C$188,MATCH(F174,$A$174:$A$188,0)))</f>
        <v/>
      </c>
      <c r="BI2" s="353" t="s">
        <v>756</v>
      </c>
      <c r="BM2" s="358"/>
      <c r="BN2" s="350" t="s">
        <v>764</v>
      </c>
      <c r="BO2" s="350" t="s">
        <v>764</v>
      </c>
      <c r="BP2" s="358"/>
      <c r="BQ2" s="358"/>
      <c r="BR2" s="358"/>
      <c r="BS2" s="358"/>
      <c r="BT2" s="358"/>
      <c r="DA2" s="357" t="s">
        <v>6</v>
      </c>
      <c r="DB2" s="349" t="str">
        <f>IF(B90="","",B90)</f>
        <v/>
      </c>
      <c r="DC2" s="349" t="str">
        <f>IF(C90="","",C90)</f>
        <v/>
      </c>
      <c r="DD2" s="349" t="str">
        <f>IF(D90="","",D90)</f>
        <v/>
      </c>
      <c r="DE2" s="375" t="str">
        <f>IF(COUNT(DB2:DD2)&gt;0,ROW(),"")</f>
        <v/>
      </c>
      <c r="DF2" s="375" t="str">
        <f>IFERROR(INDEX($DA$1:$DA$13,SMALL($DE$2:$DE$13,ROW(DF1)),1),"")</f>
        <v>Grade 7</v>
      </c>
      <c r="DG2" s="349">
        <f>IFERROR(INDEX($DB$1:$DB$13,SMALL($DE$2:$DE$13,ROW(DG1)),1),"")</f>
        <v>17.582417582417584</v>
      </c>
      <c r="DH2" s="349">
        <f>IFERROR(INDEX($DC$1:$DC$13,SMALL($DE$2:$DE$13,ROW(DH1)),1),"")</f>
        <v>74.72527472527473</v>
      </c>
      <c r="DI2" s="349">
        <f>IFERROR(INDEX($DD$1:$DD$13,SMALL($DE$2:$DE$13,ROW(DI1)),1),"")</f>
        <v>7.6923076923076925</v>
      </c>
      <c r="DK2" s="357" t="s">
        <v>6</v>
      </c>
      <c r="DL2" s="349" t="str">
        <f>IF(J90="","",J90)</f>
        <v/>
      </c>
      <c r="DM2" s="349" t="str">
        <f>IF(K90="","",K90)</f>
        <v/>
      </c>
      <c r="DN2" s="349" t="str">
        <f>IF(L90="","",L90)</f>
        <v/>
      </c>
      <c r="DO2" s="376" t="str">
        <f>IF(COUNT(DL2:DN2)&gt;0,ROW(),"")</f>
        <v/>
      </c>
      <c r="DP2" s="376" t="str">
        <f>IFERROR(INDEX($DK$1:$DK$13,SMALL($DO$2:$DO$13,ROW(DP1)),1),"")</f>
        <v>Grade 7</v>
      </c>
      <c r="DQ2" s="349">
        <f>IFERROR(INDEX($DL$1:$DL$13,SMALL($DO$2:$DO$13,ROW(DQ1)),1),"")</f>
        <v>30.219780219780219</v>
      </c>
      <c r="DR2" s="349">
        <f>IFERROR(INDEX($DM$1:$DM$13,SMALL($DO$2:$DO$13,ROW(DR1)),1),"")</f>
        <v>52.197802197802204</v>
      </c>
      <c r="DS2" s="349">
        <f>IFERROR(INDEX($DN$1:$DN$13,SMALL($DO$2:$DO$13,ROW(DS1)),1),"")</f>
        <v>17.582417582417584</v>
      </c>
    </row>
    <row r="3" spans="1:123">
      <c r="A3" s="353" t="str">
        <f>"SY"&amp;" "&amp;Data!C11</f>
        <v>SY 2016-2017</v>
      </c>
      <c r="B3" s="353">
        <f>AH215</f>
        <v>671</v>
      </c>
      <c r="C3" s="353">
        <f>AI215</f>
        <v>619</v>
      </c>
      <c r="D3" s="353">
        <f>IF(SUM(B3:C3)&gt;0,SUM(B3:C3),"")</f>
        <v>1290</v>
      </c>
      <c r="F3" s="353" t="str">
        <f>IF(B5=B4,"maintained",IF(B5&gt;B4,"increased","decreased"))</f>
        <v>increased</v>
      </c>
      <c r="G3" s="353" t="str">
        <f>IF(C5=C4,"maintained",IF(C5&gt;C4,"increased","decreased"))</f>
        <v>increased</v>
      </c>
      <c r="H3" s="353" t="str">
        <f>IF(F3=G3,"and","while")</f>
        <v>and</v>
      </c>
      <c r="L3" s="357" t="s">
        <v>6</v>
      </c>
      <c r="M3" s="353" t="str">
        <f>IF(COUNT(Data!F167:G167)&gt;0,(AVERAGE(Data!F167:G167)),"")</f>
        <v/>
      </c>
      <c r="N3" s="353" t="str">
        <f t="shared" ref="N3:N16" si="9">IF(COUNT(M3)&gt;0,ROW(),"")</f>
        <v/>
      </c>
      <c r="O3" s="353" t="str">
        <f t="shared" ref="O3:O16" si="10">IFERROR(INDEX($L$1:$L$16,SMALL($N$2:$N$16,ROW(O2)),1),"")</f>
        <v>Grade 8</v>
      </c>
      <c r="P3" s="353">
        <f t="shared" ref="P3:P16" si="11">IFERROR(INDEX($M$1:$M$16,SMALL($N$2:$N$16,ROW(P2)),1),"")</f>
        <v>93.544999999999987</v>
      </c>
      <c r="Q3" s="353">
        <f t="shared" ref="Q3:Q16" si="12">IF(P3=MAX($P$2:$P$16),P3,0)</f>
        <v>0</v>
      </c>
      <c r="R3" s="357" t="s">
        <v>6</v>
      </c>
      <c r="S3" s="353" t="str">
        <f t="shared" si="0"/>
        <v/>
      </c>
      <c r="T3" s="353" t="str">
        <f t="shared" ref="T3:T14" si="13">IF(COUNT(S3)&gt;0,ROW(),"")</f>
        <v/>
      </c>
      <c r="U3" s="353" t="str">
        <f t="shared" si="1"/>
        <v>Grade 8</v>
      </c>
      <c r="V3" s="353">
        <f t="shared" si="2"/>
        <v>31</v>
      </c>
      <c r="X3" s="357" t="s">
        <v>6</v>
      </c>
      <c r="Y3" s="353" t="str">
        <f t="shared" si="3"/>
        <v/>
      </c>
      <c r="Z3" s="353" t="str">
        <f t="shared" ref="Z3:Z14" si="14">IF(COUNT(Y3)&gt;0,ROW(),"")</f>
        <v/>
      </c>
      <c r="AA3" s="353" t="str">
        <f t="shared" ref="AA3:AA14" si="15">IFERROR(INDEX($X$1:$X$14,SMALL($Z$2:$Z$14,ROW(AA2)),1),"")</f>
        <v>Grade 8</v>
      </c>
      <c r="AB3" s="353">
        <f t="shared" si="4"/>
        <v>51</v>
      </c>
      <c r="AD3" s="357" t="s">
        <v>6</v>
      </c>
      <c r="AE3" s="346" t="str">
        <f t="shared" ref="AE3:AE16" si="16">IF(B19="","",AVERAGE(B19:K19))</f>
        <v/>
      </c>
      <c r="AF3" s="353" t="str">
        <f t="shared" ref="AF3:AF16" si="17">IF(COUNT(AE3)&gt;0,ROW(),"")</f>
        <v/>
      </c>
      <c r="AG3" s="353" t="str">
        <f t="shared" ref="AG3:AG16" si="18">IFERROR(INDEX($AD$1:$AD$16,SMALL($AF$2:$AF$16,ROW(AG2)),1),"")</f>
        <v>Grade 8</v>
      </c>
      <c r="AH3" s="346">
        <f t="shared" ref="AH3:AH16" si="19">IFERROR(INDEX($AE$1:$AE$16,SMALL($AF$2:$AF$16,ROW(AH2)),1),"")</f>
        <v>0.48451730418943545</v>
      </c>
      <c r="AJ3" s="357" t="e">
        <f t="shared" si="5"/>
        <v>#N/A</v>
      </c>
      <c r="AK3" s="349" t="e">
        <f t="shared" si="6"/>
        <v>#N/A</v>
      </c>
      <c r="AL3" s="346"/>
      <c r="AM3" s="353" t="e">
        <f>IF(B100="","",INDEX($A$99:$A$102,MATCH(E100,$D$99:$D$102,0)))</f>
        <v>#N/A</v>
      </c>
      <c r="AN3" s="346" t="e">
        <f>IF(D100="","",INDEX($B$99:$B$102,MATCH(E100,$D$99:$D$102,0)))</f>
        <v>#N/A</v>
      </c>
      <c r="AO3" s="346"/>
      <c r="AP3" s="353" t="str">
        <f t="shared" si="7"/>
        <v/>
      </c>
      <c r="AQ3" s="349" t="str">
        <f t="shared" si="8"/>
        <v/>
      </c>
      <c r="BI3" s="353" t="s">
        <v>200</v>
      </c>
      <c r="BN3" s="353" t="s">
        <v>765</v>
      </c>
      <c r="BO3" s="353" t="s">
        <v>765</v>
      </c>
      <c r="CA3" s="353" t="s">
        <v>562</v>
      </c>
      <c r="DA3" s="357" t="s">
        <v>7</v>
      </c>
      <c r="DB3" s="349" t="str">
        <f t="shared" ref="DB3:DB13" si="20">IF(B91="","",B91)</f>
        <v/>
      </c>
      <c r="DC3" s="349" t="str">
        <f t="shared" ref="DC3:DC13" si="21">IF(C91="","",C91)</f>
        <v/>
      </c>
      <c r="DD3" s="349" t="str">
        <f t="shared" ref="DD3:DD13" si="22">IF(D91="","",D91)</f>
        <v/>
      </c>
      <c r="DE3" s="375" t="str">
        <f t="shared" ref="DE3:DE13" si="23">IF(COUNT(DB3:DD3)&gt;0,ROW(),"")</f>
        <v/>
      </c>
      <c r="DF3" s="375" t="str">
        <f t="shared" ref="DF3:DF13" si="24">IFERROR(INDEX($DA$1:$DA$13,SMALL($DE$2:$DE$13,ROW(DF2)),1),"")</f>
        <v>Grade 8</v>
      </c>
      <c r="DG3" s="349">
        <f t="shared" ref="DG3:DG13" si="25">IFERROR(INDEX($DB$1:$DB$13,SMALL($DE$2:$DE$13,ROW(DG2)),1),"")</f>
        <v>38.032786885245898</v>
      </c>
      <c r="DH3" s="349">
        <f t="shared" ref="DH3:DH13" si="26">IFERROR(INDEX($DC$1:$DC$13,SMALL($DE$2:$DE$13,ROW(DH2)),1),"")</f>
        <v>60.327868852459019</v>
      </c>
      <c r="DI3" s="349">
        <f t="shared" ref="DI3:DI13" si="27">IFERROR(INDEX($DD$1:$DD$13,SMALL($DE$2:$DE$13,ROW(DI2)),1),"")</f>
        <v>1.639344262295082</v>
      </c>
      <c r="DK3" s="357" t="s">
        <v>7</v>
      </c>
      <c r="DL3" s="349" t="str">
        <f t="shared" ref="DL3:DL13" si="28">IF(J91="","",J91)</f>
        <v/>
      </c>
      <c r="DM3" s="349" t="str">
        <f t="shared" ref="DM3:DM13" si="29">IF(K91="","",K91)</f>
        <v/>
      </c>
      <c r="DN3" s="349" t="str">
        <f t="shared" ref="DN3:DN13" si="30">IF(L91="","",L91)</f>
        <v/>
      </c>
      <c r="DO3" s="376" t="str">
        <f t="shared" ref="DO3:DO13" si="31">IF(COUNT(DL3:DN3)&gt;0,ROW(),"")</f>
        <v/>
      </c>
      <c r="DP3" s="376" t="str">
        <f t="shared" ref="DP3:DP13" si="32">IFERROR(INDEX($DK$1:$DK$13,SMALL($DO$2:$DO$13,ROW(DP2)),1),"")</f>
        <v>Grade 8</v>
      </c>
      <c r="DQ3" s="349">
        <f t="shared" ref="DQ3:DQ13" si="33">IFERROR(INDEX($DL$1:$DL$13,SMALL($DO$2:$DO$13,ROW(DQ2)),1),"")</f>
        <v>23.278688524590162</v>
      </c>
      <c r="DR3" s="349">
        <f t="shared" ref="DR3:DR13" si="34">IFERROR(INDEX($DM$1:$DM$13,SMALL($DO$2:$DO$13,ROW(DR2)),1),"")</f>
        <v>64.918032786885249</v>
      </c>
      <c r="DS3" s="349">
        <f t="shared" ref="DS3:DS13" si="35">IFERROR(INDEX($DN$1:$DN$13,SMALL($DO$2:$DO$13,ROW(DS2)),1),"")</f>
        <v>11.803278688524591</v>
      </c>
    </row>
    <row r="4" spans="1:123">
      <c r="A4" s="353" t="str">
        <f>"SY"&amp;" "&amp;Data!E11</f>
        <v>SY 2017-2018</v>
      </c>
      <c r="B4" s="353">
        <f>AH216</f>
        <v>741</v>
      </c>
      <c r="C4" s="353">
        <f>AI216</f>
        <v>677</v>
      </c>
      <c r="D4" s="353">
        <f>IF(SUM(B4:C4)&gt;0,SUM(B4:C4),"")</f>
        <v>1418</v>
      </c>
      <c r="L4" s="357" t="s">
        <v>7</v>
      </c>
      <c r="M4" s="353" t="str">
        <f>IF(COUNT(Data!F168:G168)&gt;0,(AVERAGE(Data!F168:G168)),"")</f>
        <v/>
      </c>
      <c r="N4" s="353" t="str">
        <f t="shared" si="9"/>
        <v/>
      </c>
      <c r="O4" s="353" t="str">
        <f t="shared" si="10"/>
        <v>Grade 9</v>
      </c>
      <c r="P4" s="353">
        <f t="shared" si="11"/>
        <v>93.05</v>
      </c>
      <c r="Q4" s="353">
        <f t="shared" si="12"/>
        <v>0</v>
      </c>
      <c r="R4" s="357" t="s">
        <v>7</v>
      </c>
      <c r="S4" s="353" t="str">
        <f t="shared" si="0"/>
        <v/>
      </c>
      <c r="T4" s="353" t="str">
        <f t="shared" si="13"/>
        <v/>
      </c>
      <c r="U4" s="353" t="str">
        <f t="shared" si="1"/>
        <v>Grade 9</v>
      </c>
      <c r="V4" s="353">
        <f t="shared" si="2"/>
        <v>22</v>
      </c>
      <c r="X4" s="357" t="s">
        <v>7</v>
      </c>
      <c r="Y4" s="353" t="str">
        <f t="shared" si="3"/>
        <v/>
      </c>
      <c r="Z4" s="353" t="str">
        <f t="shared" si="14"/>
        <v/>
      </c>
      <c r="AA4" s="353" t="str">
        <f t="shared" si="15"/>
        <v>Grade 9</v>
      </c>
      <c r="AB4" s="353">
        <f t="shared" si="4"/>
        <v>49</v>
      </c>
      <c r="AD4" s="357" t="s">
        <v>7</v>
      </c>
      <c r="AE4" s="346" t="str">
        <f t="shared" si="16"/>
        <v/>
      </c>
      <c r="AF4" s="353" t="str">
        <f t="shared" si="17"/>
        <v/>
      </c>
      <c r="AG4" s="353" t="str">
        <f t="shared" si="18"/>
        <v>Grade 9</v>
      </c>
      <c r="AH4" s="346">
        <f t="shared" si="19"/>
        <v>0.88708951866846608</v>
      </c>
      <c r="AJ4" s="357" t="str">
        <f t="shared" si="5"/>
        <v>ENROLMENT</v>
      </c>
      <c r="AK4" s="349" t="e">
        <f t="shared" si="6"/>
        <v>#N/A</v>
      </c>
      <c r="AL4" s="346"/>
      <c r="AM4" s="353" t="e">
        <f>IF(B101="","",INDEX($A$99:$A$102,MATCH(E101,$D$99:$D$102,0)))</f>
        <v>#N/A</v>
      </c>
      <c r="AN4" s="346" t="e">
        <f>IF(D101="","",INDEX($B$99:$B$102,MATCH(E101,$D$99:$D$102,0)))</f>
        <v>#N/A</v>
      </c>
      <c r="AO4" s="346"/>
      <c r="AP4" s="353" t="str">
        <f t="shared" si="7"/>
        <v/>
      </c>
      <c r="AQ4" s="349" t="str">
        <f t="shared" si="8"/>
        <v/>
      </c>
      <c r="BI4" s="353" t="s">
        <v>757</v>
      </c>
      <c r="BN4" s="353" t="s">
        <v>766</v>
      </c>
      <c r="BO4" s="353" t="s">
        <v>766</v>
      </c>
      <c r="CA4" s="353" t="s">
        <v>802</v>
      </c>
      <c r="DA4" s="357" t="s">
        <v>8</v>
      </c>
      <c r="DB4" s="349" t="str">
        <f t="shared" si="20"/>
        <v/>
      </c>
      <c r="DC4" s="349" t="str">
        <f t="shared" si="21"/>
        <v/>
      </c>
      <c r="DD4" s="349" t="str">
        <f t="shared" si="22"/>
        <v/>
      </c>
      <c r="DE4" s="375" t="str">
        <f t="shared" si="23"/>
        <v/>
      </c>
      <c r="DF4" s="375" t="str">
        <f t="shared" si="24"/>
        <v>Grade 9</v>
      </c>
      <c r="DG4" s="349">
        <f t="shared" si="25"/>
        <v>34.412955465587039</v>
      </c>
      <c r="DH4" s="349">
        <f t="shared" si="26"/>
        <v>61.53846153846154</v>
      </c>
      <c r="DI4" s="349">
        <f t="shared" si="27"/>
        <v>4.048582995951417</v>
      </c>
      <c r="DK4" s="357" t="s">
        <v>8</v>
      </c>
      <c r="DL4" s="349" t="str">
        <f t="shared" si="28"/>
        <v/>
      </c>
      <c r="DM4" s="349" t="str">
        <f t="shared" si="29"/>
        <v/>
      </c>
      <c r="DN4" s="349" t="str">
        <f t="shared" si="30"/>
        <v/>
      </c>
      <c r="DO4" s="376" t="str">
        <f t="shared" si="31"/>
        <v/>
      </c>
      <c r="DP4" s="376" t="str">
        <f t="shared" si="32"/>
        <v>Grade 9</v>
      </c>
      <c r="DQ4" s="349">
        <f t="shared" si="33"/>
        <v>35.222672064777328</v>
      </c>
      <c r="DR4" s="349">
        <f t="shared" si="34"/>
        <v>64.372469635627525</v>
      </c>
      <c r="DS4" s="349">
        <f t="shared" si="35"/>
        <v>0.40485829959514169</v>
      </c>
    </row>
    <row r="5" spans="1:123">
      <c r="A5" s="353" t="str">
        <f>"SY"&amp;" "&amp;Data!G11</f>
        <v>SY 2018-2019</v>
      </c>
      <c r="B5" s="353">
        <f>IF(AH217="","",AH217)</f>
        <v>772</v>
      </c>
      <c r="C5" s="353">
        <f>AI217</f>
        <v>733</v>
      </c>
      <c r="D5" s="353">
        <f>IF(SUM(B5:C5)&gt;0,SUM(B5:C5),"")</f>
        <v>1505</v>
      </c>
      <c r="L5" s="357" t="s">
        <v>8</v>
      </c>
      <c r="M5" s="353" t="str">
        <f>IF(COUNT(Data!F169:G169)&gt;0,(AVERAGE(Data!F169:G169)),"")</f>
        <v/>
      </c>
      <c r="N5" s="353" t="str">
        <f t="shared" si="9"/>
        <v/>
      </c>
      <c r="O5" s="353" t="str">
        <f t="shared" si="10"/>
        <v>Grade 10</v>
      </c>
      <c r="P5" s="353">
        <f t="shared" si="11"/>
        <v>94.67</v>
      </c>
      <c r="Q5" s="353">
        <f t="shared" si="12"/>
        <v>0</v>
      </c>
      <c r="R5" s="357" t="s">
        <v>8</v>
      </c>
      <c r="S5" s="353" t="str">
        <f t="shared" si="0"/>
        <v/>
      </c>
      <c r="T5" s="353" t="str">
        <f t="shared" si="13"/>
        <v/>
      </c>
      <c r="U5" s="353" t="str">
        <f t="shared" si="1"/>
        <v>Grade 10</v>
      </c>
      <c r="V5" s="353">
        <f t="shared" si="2"/>
        <v>17</v>
      </c>
      <c r="X5" s="357" t="s">
        <v>8</v>
      </c>
      <c r="Y5" s="353" t="str">
        <f t="shared" si="3"/>
        <v/>
      </c>
      <c r="Z5" s="353" t="str">
        <f t="shared" si="14"/>
        <v/>
      </c>
      <c r="AA5" s="353" t="str">
        <f t="shared" si="15"/>
        <v>Grade 10</v>
      </c>
      <c r="AB5" s="353">
        <f t="shared" si="4"/>
        <v>44</v>
      </c>
      <c r="AD5" s="357" t="s">
        <v>8</v>
      </c>
      <c r="AE5" s="346" t="str">
        <f t="shared" si="16"/>
        <v/>
      </c>
      <c r="AF5" s="353" t="str">
        <f t="shared" si="17"/>
        <v/>
      </c>
      <c r="AG5" s="353" t="str">
        <f t="shared" si="18"/>
        <v>Grade 10</v>
      </c>
      <c r="AH5" s="346">
        <f t="shared" si="19"/>
        <v>0.60030165912518862</v>
      </c>
      <c r="AJ5" s="357" t="str">
        <f t="shared" si="5"/>
        <v>ENROLMENT</v>
      </c>
      <c r="AK5" s="349" t="e">
        <f t="shared" si="6"/>
        <v>#N/A</v>
      </c>
      <c r="AL5" s="346"/>
      <c r="AM5" s="353" t="str">
        <f>IF(B102="","",INDEX($A$99:$A$102,MATCH(E102,$D$99:$D$102,0)))</f>
        <v/>
      </c>
      <c r="AN5" s="346" t="str">
        <f>IF(D102="","",INDEX($B$99:$B$102,MATCH(E102,$D$99:$D$102,0)))</f>
        <v/>
      </c>
      <c r="AO5" s="346"/>
      <c r="AP5" s="353" t="str">
        <f t="shared" si="7"/>
        <v/>
      </c>
      <c r="AQ5" s="349" t="str">
        <f t="shared" si="8"/>
        <v/>
      </c>
      <c r="BI5" s="353" t="s">
        <v>758</v>
      </c>
      <c r="CA5" s="353" t="s">
        <v>792</v>
      </c>
      <c r="DA5" s="357" t="s">
        <v>9</v>
      </c>
      <c r="DB5" s="349" t="str">
        <f t="shared" si="20"/>
        <v/>
      </c>
      <c r="DC5" s="349" t="str">
        <f t="shared" si="21"/>
        <v/>
      </c>
      <c r="DD5" s="349" t="str">
        <f t="shared" si="22"/>
        <v/>
      </c>
      <c r="DE5" s="375" t="str">
        <f t="shared" si="23"/>
        <v/>
      </c>
      <c r="DF5" s="375" t="str">
        <f t="shared" si="24"/>
        <v>Grade 10</v>
      </c>
      <c r="DG5" s="349">
        <f t="shared" si="25"/>
        <v>47.058823529411761</v>
      </c>
      <c r="DH5" s="349">
        <f t="shared" si="26"/>
        <v>47.511312217194565</v>
      </c>
      <c r="DI5" s="349">
        <f t="shared" si="27"/>
        <v>5.4298642533936654</v>
      </c>
      <c r="DK5" s="357" t="s">
        <v>9</v>
      </c>
      <c r="DL5" s="349" t="str">
        <f t="shared" si="28"/>
        <v/>
      </c>
      <c r="DM5" s="349" t="str">
        <f t="shared" si="29"/>
        <v/>
      </c>
      <c r="DN5" s="349" t="str">
        <f t="shared" si="30"/>
        <v/>
      </c>
      <c r="DO5" s="376" t="str">
        <f t="shared" si="31"/>
        <v/>
      </c>
      <c r="DP5" s="376" t="str">
        <f t="shared" si="32"/>
        <v>Grade 10</v>
      </c>
      <c r="DQ5" s="349">
        <f t="shared" si="33"/>
        <v>42.081447963800905</v>
      </c>
      <c r="DR5" s="349">
        <f t="shared" si="34"/>
        <v>52.036199095022631</v>
      </c>
      <c r="DS5" s="349">
        <f t="shared" si="35"/>
        <v>5.8823529411764701</v>
      </c>
    </row>
    <row r="6" spans="1:123">
      <c r="L6" s="357" t="s">
        <v>9</v>
      </c>
      <c r="M6" s="353" t="str">
        <f>IF(COUNT(Data!F170:G170)&gt;0,(AVERAGE(Data!F170:G170)),"")</f>
        <v/>
      </c>
      <c r="N6" s="353" t="str">
        <f t="shared" si="9"/>
        <v/>
      </c>
      <c r="O6" s="353" t="str">
        <f t="shared" si="10"/>
        <v>Grade 11</v>
      </c>
      <c r="P6" s="353">
        <f t="shared" si="11"/>
        <v>88.265000000000001</v>
      </c>
      <c r="Q6" s="353">
        <f t="shared" si="12"/>
        <v>0</v>
      </c>
      <c r="R6" s="357" t="s">
        <v>9</v>
      </c>
      <c r="S6" s="353" t="str">
        <f t="shared" si="0"/>
        <v/>
      </c>
      <c r="T6" s="353" t="str">
        <f t="shared" si="13"/>
        <v/>
      </c>
      <c r="U6" s="353" t="str">
        <f t="shared" si="1"/>
        <v>Grade 11</v>
      </c>
      <c r="V6" s="353">
        <f t="shared" si="2"/>
        <v>35</v>
      </c>
      <c r="X6" s="357" t="s">
        <v>9</v>
      </c>
      <c r="Y6" s="353" t="str">
        <f t="shared" si="3"/>
        <v/>
      </c>
      <c r="Z6" s="353" t="str">
        <f t="shared" si="14"/>
        <v/>
      </c>
      <c r="AA6" s="353" t="str">
        <f t="shared" si="15"/>
        <v>Grade 11</v>
      </c>
      <c r="AB6" s="353">
        <f t="shared" si="4"/>
        <v>52</v>
      </c>
      <c r="AD6" s="357" t="s">
        <v>9</v>
      </c>
      <c r="AE6" s="346" t="str">
        <f t="shared" si="16"/>
        <v/>
      </c>
      <c r="AF6" s="353" t="str">
        <f t="shared" si="17"/>
        <v/>
      </c>
      <c r="AG6" s="353" t="str">
        <f t="shared" si="18"/>
        <v>Grade 11</v>
      </c>
      <c r="AH6" s="346">
        <f t="shared" si="19"/>
        <v>0.19645732689210949</v>
      </c>
      <c r="AJ6" s="357" t="str">
        <f t="shared" si="5"/>
        <v>ENROLMENT</v>
      </c>
      <c r="AK6" s="349" t="e">
        <f t="shared" si="6"/>
        <v>#N/A</v>
      </c>
      <c r="AL6" s="346"/>
      <c r="AO6" s="346"/>
      <c r="AP6" s="353" t="str">
        <f t="shared" si="7"/>
        <v/>
      </c>
      <c r="AQ6" s="349" t="str">
        <f t="shared" si="8"/>
        <v/>
      </c>
      <c r="BI6" s="353" t="s">
        <v>202</v>
      </c>
      <c r="CA6" s="353" t="s">
        <v>793</v>
      </c>
      <c r="DA6" s="357" t="s">
        <v>10</v>
      </c>
      <c r="DB6" s="349" t="str">
        <f t="shared" si="20"/>
        <v/>
      </c>
      <c r="DC6" s="349" t="str">
        <f t="shared" si="21"/>
        <v/>
      </c>
      <c r="DD6" s="349" t="str">
        <f t="shared" si="22"/>
        <v/>
      </c>
      <c r="DE6" s="375" t="str">
        <f t="shared" si="23"/>
        <v/>
      </c>
      <c r="DF6" s="375" t="str">
        <f t="shared" si="24"/>
        <v>Grade 11</v>
      </c>
      <c r="DG6" s="349">
        <f t="shared" si="25"/>
        <v>50.24154589371981</v>
      </c>
      <c r="DH6" s="349">
        <f t="shared" si="26"/>
        <v>25.120772946859905</v>
      </c>
      <c r="DI6" s="349">
        <f t="shared" si="27"/>
        <v>24.637681159420293</v>
      </c>
      <c r="DK6" s="357" t="s">
        <v>10</v>
      </c>
      <c r="DL6" s="349" t="str">
        <f t="shared" si="28"/>
        <v/>
      </c>
      <c r="DM6" s="349" t="str">
        <f t="shared" si="29"/>
        <v/>
      </c>
      <c r="DN6" s="349" t="str">
        <f t="shared" si="30"/>
        <v/>
      </c>
      <c r="DO6" s="376" t="str">
        <f t="shared" si="31"/>
        <v/>
      </c>
      <c r="DP6" s="376" t="str">
        <f t="shared" si="32"/>
        <v>Grade 11</v>
      </c>
      <c r="DQ6" s="349">
        <f t="shared" si="33"/>
        <v>30.434782608695656</v>
      </c>
      <c r="DR6" s="349">
        <f t="shared" si="34"/>
        <v>49.75845410628019</v>
      </c>
      <c r="DS6" s="349">
        <f t="shared" si="35"/>
        <v>19.806763285024154</v>
      </c>
    </row>
    <row r="7" spans="1:123">
      <c r="A7" s="343" t="s">
        <v>79</v>
      </c>
      <c r="L7" s="357" t="s">
        <v>10</v>
      </c>
      <c r="M7" s="353" t="str">
        <f>IF(COUNT(Data!F171:G171)&gt;0,(AVERAGE(Data!F171:G171)),"")</f>
        <v/>
      </c>
      <c r="N7" s="353" t="str">
        <f t="shared" si="9"/>
        <v/>
      </c>
      <c r="O7" s="353" t="str">
        <f t="shared" si="10"/>
        <v>Grade 12</v>
      </c>
      <c r="P7" s="353">
        <f t="shared" si="11"/>
        <v>98.384999999999991</v>
      </c>
      <c r="Q7" s="353">
        <f t="shared" si="12"/>
        <v>98.384999999999991</v>
      </c>
      <c r="R7" s="357" t="s">
        <v>10</v>
      </c>
      <c r="S7" s="353" t="str">
        <f t="shared" si="0"/>
        <v/>
      </c>
      <c r="T7" s="353" t="str">
        <f t="shared" si="13"/>
        <v/>
      </c>
      <c r="U7" s="353" t="str">
        <f t="shared" si="1"/>
        <v>Grade 12</v>
      </c>
      <c r="V7" s="353">
        <f t="shared" si="2"/>
        <v>20</v>
      </c>
      <c r="X7" s="357" t="s">
        <v>10</v>
      </c>
      <c r="Y7" s="353" t="str">
        <f t="shared" si="3"/>
        <v/>
      </c>
      <c r="Z7" s="353" t="str">
        <f t="shared" si="14"/>
        <v/>
      </c>
      <c r="AA7" s="353" t="str">
        <f t="shared" si="15"/>
        <v>Grade 12</v>
      </c>
      <c r="AB7" s="353">
        <f t="shared" si="4"/>
        <v>40</v>
      </c>
      <c r="AD7" s="357" t="s">
        <v>10</v>
      </c>
      <c r="AE7" s="346" t="str">
        <f t="shared" si="16"/>
        <v/>
      </c>
      <c r="AF7" s="353" t="str">
        <f t="shared" si="17"/>
        <v/>
      </c>
      <c r="AG7" s="353" t="str">
        <f t="shared" si="18"/>
        <v>Grade 12</v>
      </c>
      <c r="AH7" s="346">
        <f t="shared" si="19"/>
        <v>0.13112491373360938</v>
      </c>
      <c r="AJ7" s="357" t="str">
        <f t="shared" si="5"/>
        <v>ENROLMENT</v>
      </c>
      <c r="AK7" s="349" t="e">
        <f t="shared" si="6"/>
        <v>#N/A</v>
      </c>
      <c r="AL7" s="346"/>
      <c r="AO7" s="346"/>
      <c r="AP7" s="353" t="str">
        <f t="shared" si="7"/>
        <v/>
      </c>
      <c r="AQ7" s="349" t="str">
        <f t="shared" si="8"/>
        <v/>
      </c>
      <c r="BA7" s="343" t="s">
        <v>79</v>
      </c>
      <c r="BI7" s="353" t="s">
        <v>753</v>
      </c>
      <c r="CA7" s="353" t="s">
        <v>798</v>
      </c>
      <c r="DA7" s="357" t="s">
        <v>11</v>
      </c>
      <c r="DB7" s="349" t="str">
        <f t="shared" si="20"/>
        <v/>
      </c>
      <c r="DC7" s="349" t="str">
        <f t="shared" si="21"/>
        <v/>
      </c>
      <c r="DD7" s="349" t="str">
        <f t="shared" si="22"/>
        <v/>
      </c>
      <c r="DE7" s="375" t="str">
        <f t="shared" si="23"/>
        <v/>
      </c>
      <c r="DF7" s="375" t="str">
        <f t="shared" si="24"/>
        <v>Grade 12</v>
      </c>
      <c r="DG7" s="349">
        <f t="shared" si="25"/>
        <v>26.086956521739129</v>
      </c>
      <c r="DH7" s="349">
        <f t="shared" si="26"/>
        <v>40.993788819875775</v>
      </c>
      <c r="DI7" s="349">
        <f t="shared" si="27"/>
        <v>32.919254658385093</v>
      </c>
      <c r="DK7" s="357" t="s">
        <v>11</v>
      </c>
      <c r="DL7" s="349" t="str">
        <f t="shared" si="28"/>
        <v/>
      </c>
      <c r="DM7" s="349" t="str">
        <f t="shared" si="29"/>
        <v/>
      </c>
      <c r="DN7" s="349" t="str">
        <f t="shared" si="30"/>
        <v/>
      </c>
      <c r="DO7" s="376" t="str">
        <f t="shared" si="31"/>
        <v/>
      </c>
      <c r="DP7" s="376" t="str">
        <f t="shared" si="32"/>
        <v>Grade 12</v>
      </c>
      <c r="DQ7" s="349">
        <f t="shared" si="33"/>
        <v>77.018633540372676</v>
      </c>
      <c r="DR7" s="349">
        <f t="shared" si="34"/>
        <v>13.043478260869565</v>
      </c>
      <c r="DS7" s="349">
        <f t="shared" si="35"/>
        <v>9.9378881987577632</v>
      </c>
    </row>
    <row r="8" spans="1:123">
      <c r="B8" s="353" t="s">
        <v>23</v>
      </c>
      <c r="C8" s="353" t="s">
        <v>24</v>
      </c>
      <c r="F8" s="353">
        <f>IF(F10="","",F10-F9)</f>
        <v>114</v>
      </c>
      <c r="G8" s="353">
        <f>IF(G10="","",G10-G9)</f>
        <v>58</v>
      </c>
      <c r="L8" s="357" t="s">
        <v>11</v>
      </c>
      <c r="M8" s="353" t="str">
        <f>IF(COUNT(Data!F172:G172)&gt;0,(AVERAGE(Data!F172:G172)),"")</f>
        <v/>
      </c>
      <c r="N8" s="353" t="str">
        <f t="shared" si="9"/>
        <v/>
      </c>
      <c r="O8" s="353" t="str">
        <f t="shared" si="10"/>
        <v/>
      </c>
      <c r="P8" s="353" t="str">
        <f t="shared" si="11"/>
        <v/>
      </c>
      <c r="Q8" s="353">
        <f t="shared" si="12"/>
        <v>0</v>
      </c>
      <c r="R8" s="357" t="s">
        <v>11</v>
      </c>
      <c r="S8" s="353" t="str">
        <f t="shared" si="0"/>
        <v/>
      </c>
      <c r="T8" s="353" t="str">
        <f t="shared" si="13"/>
        <v/>
      </c>
      <c r="U8" s="353" t="str">
        <f t="shared" si="1"/>
        <v/>
      </c>
      <c r="V8" s="353" t="str">
        <f t="shared" si="2"/>
        <v/>
      </c>
      <c r="X8" s="357" t="s">
        <v>11</v>
      </c>
      <c r="Y8" s="353" t="str">
        <f t="shared" si="3"/>
        <v/>
      </c>
      <c r="Z8" s="353" t="str">
        <f t="shared" si="14"/>
        <v/>
      </c>
      <c r="AA8" s="353" t="str">
        <f t="shared" si="15"/>
        <v/>
      </c>
      <c r="AB8" s="353" t="str">
        <f t="shared" si="4"/>
        <v/>
      </c>
      <c r="AD8" s="357" t="s">
        <v>11</v>
      </c>
      <c r="AE8" s="346" t="str">
        <f t="shared" si="16"/>
        <v/>
      </c>
      <c r="AF8" s="353" t="str">
        <f t="shared" si="17"/>
        <v/>
      </c>
      <c r="AG8" s="353" t="str">
        <f t="shared" si="18"/>
        <v/>
      </c>
      <c r="AH8" s="346" t="str">
        <f t="shared" si="19"/>
        <v/>
      </c>
      <c r="AJ8" s="357" t="str">
        <f t="shared" si="5"/>
        <v>ENROLMENT</v>
      </c>
      <c r="AK8" s="349" t="e">
        <f t="shared" si="6"/>
        <v>#N/A</v>
      </c>
      <c r="AL8" s="346"/>
      <c r="AO8" s="346"/>
      <c r="AP8" s="353" t="str">
        <f t="shared" si="7"/>
        <v/>
      </c>
      <c r="AQ8" s="349" t="str">
        <f t="shared" si="8"/>
        <v/>
      </c>
      <c r="BB8" s="353" t="s">
        <v>23</v>
      </c>
      <c r="BC8" s="353" t="s">
        <v>24</v>
      </c>
      <c r="BF8" s="353">
        <f>IF(BF10="","",BF10-BF9)</f>
        <v>926</v>
      </c>
      <c r="BG8" s="353">
        <f>IF(BG10="","",BG10-BG9)</f>
        <v>943</v>
      </c>
      <c r="BI8" s="353" t="s">
        <v>204</v>
      </c>
      <c r="CA8" s="353" t="s">
        <v>564</v>
      </c>
      <c r="DA8" s="357" t="s">
        <v>12</v>
      </c>
      <c r="DB8" s="349">
        <f t="shared" si="20"/>
        <v>17.582417582417584</v>
      </c>
      <c r="DC8" s="349">
        <f t="shared" si="21"/>
        <v>74.72527472527473</v>
      </c>
      <c r="DD8" s="349">
        <f t="shared" si="22"/>
        <v>7.6923076923076925</v>
      </c>
      <c r="DE8" s="375">
        <f t="shared" si="23"/>
        <v>8</v>
      </c>
      <c r="DF8" s="375" t="str">
        <f t="shared" si="24"/>
        <v/>
      </c>
      <c r="DG8" s="349" t="str">
        <f t="shared" si="25"/>
        <v/>
      </c>
      <c r="DH8" s="349" t="str">
        <f t="shared" si="26"/>
        <v/>
      </c>
      <c r="DI8" s="349" t="str">
        <f t="shared" si="27"/>
        <v/>
      </c>
      <c r="DK8" s="357" t="s">
        <v>12</v>
      </c>
      <c r="DL8" s="349">
        <f t="shared" si="28"/>
        <v>30.219780219780219</v>
      </c>
      <c r="DM8" s="349">
        <f t="shared" si="29"/>
        <v>52.197802197802204</v>
      </c>
      <c r="DN8" s="349">
        <f t="shared" si="30"/>
        <v>17.582417582417584</v>
      </c>
      <c r="DO8" s="376">
        <f t="shared" si="31"/>
        <v>8</v>
      </c>
      <c r="DP8" s="376" t="str">
        <f t="shared" si="32"/>
        <v/>
      </c>
      <c r="DQ8" s="349" t="str">
        <f t="shared" si="33"/>
        <v/>
      </c>
      <c r="DR8" s="349" t="str">
        <f t="shared" si="34"/>
        <v/>
      </c>
      <c r="DS8" s="349" t="str">
        <f t="shared" si="35"/>
        <v/>
      </c>
    </row>
    <row r="9" spans="1:123">
      <c r="A9" s="353" t="s">
        <v>29</v>
      </c>
      <c r="B9" s="353">
        <f>Data!B50</f>
        <v>17</v>
      </c>
      <c r="C9" s="353">
        <f>Data!C50</f>
        <v>2</v>
      </c>
      <c r="D9" s="353">
        <f>IF(OR(ISNUMBER(B9),ISNUMBER(C9)),SUM(B9,C9),"")</f>
        <v>19</v>
      </c>
      <c r="F9" s="353">
        <f>B11</f>
        <v>658</v>
      </c>
      <c r="G9" s="353">
        <f>C11</f>
        <v>675</v>
      </c>
      <c r="L9" s="357" t="s">
        <v>810</v>
      </c>
      <c r="M9" s="353" t="str">
        <f>IF(COUNT(Data!F173:G173)&gt;0,(AVERAGE(Data!F173:G173)),"")</f>
        <v/>
      </c>
      <c r="N9" s="353" t="str">
        <f t="shared" si="9"/>
        <v/>
      </c>
      <c r="O9" s="353" t="str">
        <f t="shared" si="10"/>
        <v/>
      </c>
      <c r="P9" s="353" t="str">
        <f t="shared" si="11"/>
        <v/>
      </c>
      <c r="Q9" s="353">
        <f t="shared" si="12"/>
        <v>0</v>
      </c>
      <c r="R9" s="357" t="s">
        <v>12</v>
      </c>
      <c r="S9" s="353">
        <f t="shared" si="0"/>
        <v>40</v>
      </c>
      <c r="T9" s="353">
        <f t="shared" si="13"/>
        <v>9</v>
      </c>
      <c r="U9" s="353" t="str">
        <f t="shared" si="1"/>
        <v/>
      </c>
      <c r="V9" s="353" t="str">
        <f t="shared" si="2"/>
        <v/>
      </c>
      <c r="X9" s="357" t="s">
        <v>12</v>
      </c>
      <c r="Y9" s="353">
        <f t="shared" si="3"/>
        <v>61</v>
      </c>
      <c r="Z9" s="353">
        <f t="shared" si="14"/>
        <v>9</v>
      </c>
      <c r="AA9" s="353" t="str">
        <f t="shared" si="15"/>
        <v/>
      </c>
      <c r="AB9" s="353" t="str">
        <f t="shared" si="4"/>
        <v/>
      </c>
      <c r="AD9" s="357" t="s">
        <v>810</v>
      </c>
      <c r="AE9" s="346" t="str">
        <f t="shared" si="16"/>
        <v/>
      </c>
      <c r="AF9" s="353" t="str">
        <f t="shared" si="17"/>
        <v/>
      </c>
      <c r="AG9" s="353" t="str">
        <f t="shared" si="18"/>
        <v/>
      </c>
      <c r="AH9" s="346" t="str">
        <f t="shared" si="19"/>
        <v/>
      </c>
      <c r="AJ9" s="357" t="str">
        <f t="shared" si="5"/>
        <v>ENROLMENT</v>
      </c>
      <c r="AK9" s="349" t="e">
        <f t="shared" si="6"/>
        <v>#N/A</v>
      </c>
      <c r="AL9" s="346"/>
      <c r="AO9" s="346"/>
      <c r="AP9" s="353" t="str">
        <f t="shared" si="7"/>
        <v/>
      </c>
      <c r="AQ9" s="353" t="str">
        <f t="shared" si="8"/>
        <v/>
      </c>
      <c r="BA9" s="353" t="s">
        <v>674</v>
      </c>
      <c r="BB9" s="353">
        <f>Data!$O$50</f>
        <v>27</v>
      </c>
      <c r="BC9" s="353">
        <f>Data!$P$50</f>
        <v>21</v>
      </c>
      <c r="BD9" s="353">
        <f>IF(OR(ISNUMBER(BB9),ISNUMBER(BC9)),SUM(BB9,BC9),"")</f>
        <v>48</v>
      </c>
      <c r="BF9" s="353">
        <f>BB11</f>
        <v>616</v>
      </c>
      <c r="BG9" s="353">
        <f>BC11</f>
        <v>525</v>
      </c>
      <c r="CA9" s="353" t="s">
        <v>791</v>
      </c>
      <c r="DA9" s="357" t="s">
        <v>13</v>
      </c>
      <c r="DB9" s="349">
        <f t="shared" si="20"/>
        <v>38.032786885245898</v>
      </c>
      <c r="DC9" s="349">
        <f t="shared" si="21"/>
        <v>60.327868852459019</v>
      </c>
      <c r="DD9" s="349">
        <f t="shared" si="22"/>
        <v>1.639344262295082</v>
      </c>
      <c r="DE9" s="375">
        <f t="shared" si="23"/>
        <v>9</v>
      </c>
      <c r="DF9" s="375" t="str">
        <f t="shared" si="24"/>
        <v/>
      </c>
      <c r="DG9" s="349" t="str">
        <f t="shared" si="25"/>
        <v/>
      </c>
      <c r="DH9" s="349" t="str">
        <f t="shared" si="26"/>
        <v/>
      </c>
      <c r="DI9" s="349" t="str">
        <f t="shared" si="27"/>
        <v/>
      </c>
      <c r="DK9" s="357" t="s">
        <v>13</v>
      </c>
      <c r="DL9" s="349">
        <f t="shared" si="28"/>
        <v>23.278688524590162</v>
      </c>
      <c r="DM9" s="349">
        <f t="shared" si="29"/>
        <v>64.918032786885249</v>
      </c>
      <c r="DN9" s="349">
        <f t="shared" si="30"/>
        <v>11.803278688524591</v>
      </c>
      <c r="DO9" s="376">
        <f t="shared" si="31"/>
        <v>9</v>
      </c>
      <c r="DP9" s="376" t="str">
        <f t="shared" si="32"/>
        <v/>
      </c>
      <c r="DQ9" s="349" t="str">
        <f t="shared" si="33"/>
        <v/>
      </c>
      <c r="DR9" s="349" t="str">
        <f t="shared" si="34"/>
        <v/>
      </c>
      <c r="DS9" s="349" t="str">
        <f t="shared" si="35"/>
        <v/>
      </c>
    </row>
    <row r="10" spans="1:123">
      <c r="A10" s="353" t="s">
        <v>28</v>
      </c>
      <c r="B10" s="353">
        <f>Data!D50</f>
        <v>83</v>
      </c>
      <c r="C10" s="353">
        <f>Data!E50</f>
        <v>43</v>
      </c>
      <c r="D10" s="353">
        <f>IF(OR(ISNUMBER(B10),ISNUMBER(C10)),SUM(B10,C10),"")</f>
        <v>126</v>
      </c>
      <c r="F10" s="353">
        <f>IF(F9="","",SUM(B9:B13))</f>
        <v>772</v>
      </c>
      <c r="G10" s="353">
        <f>IF(G9="","",SUM(C9:C13))</f>
        <v>733</v>
      </c>
      <c r="L10" s="357" t="s">
        <v>811</v>
      </c>
      <c r="M10" s="353" t="str">
        <f>IF(COUNT(Data!F174:G174)&gt;0,(AVERAGE(Data!F174:G174)),"")</f>
        <v/>
      </c>
      <c r="N10" s="353" t="str">
        <f t="shared" si="9"/>
        <v/>
      </c>
      <c r="O10" s="353" t="str">
        <f t="shared" si="10"/>
        <v/>
      </c>
      <c r="P10" s="353" t="str">
        <f t="shared" si="11"/>
        <v/>
      </c>
      <c r="Q10" s="353">
        <f t="shared" si="12"/>
        <v>0</v>
      </c>
      <c r="R10" s="357" t="s">
        <v>13</v>
      </c>
      <c r="S10" s="353">
        <f t="shared" ref="S10:S15" si="36">IF(AND(ISNUMBER(B122),ISNUMBER(C122)),ROUND(B122/C122,0),"")</f>
        <v>31</v>
      </c>
      <c r="T10" s="353">
        <f t="shared" si="13"/>
        <v>10</v>
      </c>
      <c r="U10" s="353" t="str">
        <f t="shared" si="1"/>
        <v/>
      </c>
      <c r="V10" s="353" t="str">
        <f t="shared" si="2"/>
        <v/>
      </c>
      <c r="X10" s="357" t="s">
        <v>13</v>
      </c>
      <c r="Y10" s="353">
        <f>IF(BZ122="","",BZ122)</f>
        <v>51</v>
      </c>
      <c r="Z10" s="353">
        <f t="shared" si="14"/>
        <v>10</v>
      </c>
      <c r="AA10" s="353" t="str">
        <f t="shared" si="15"/>
        <v/>
      </c>
      <c r="AB10" s="353" t="str">
        <f t="shared" si="4"/>
        <v/>
      </c>
      <c r="AD10" s="357" t="s">
        <v>811</v>
      </c>
      <c r="AE10" s="346" t="str">
        <f t="shared" si="16"/>
        <v/>
      </c>
      <c r="AF10" s="353" t="str">
        <f t="shared" si="17"/>
        <v/>
      </c>
      <c r="AG10" s="353" t="str">
        <f t="shared" si="18"/>
        <v/>
      </c>
      <c r="AH10" s="346" t="str">
        <f t="shared" si="19"/>
        <v/>
      </c>
      <c r="AJ10" s="357" t="str">
        <f t="shared" si="5"/>
        <v>ENROLMENT</v>
      </c>
      <c r="AK10" s="349" t="e">
        <f t="shared" si="6"/>
        <v>#N/A</v>
      </c>
      <c r="AL10" s="346"/>
      <c r="AO10" s="346"/>
      <c r="AP10" s="353" t="str">
        <f t="shared" si="7"/>
        <v/>
      </c>
      <c r="AQ10" s="353" t="str">
        <f t="shared" si="8"/>
        <v/>
      </c>
      <c r="BA10" s="353" t="s">
        <v>675</v>
      </c>
      <c r="BB10" s="353">
        <f>Data!$Q$50</f>
        <v>127</v>
      </c>
      <c r="BC10" s="353">
        <f>Data!$R$50</f>
        <v>187</v>
      </c>
      <c r="BD10" s="409">
        <f t="shared" ref="BD10:BD13" si="37">IF(OR(ISNUMBER(BB10),ISNUMBER(BC10)),SUM(BB10,BC10),"")</f>
        <v>314</v>
      </c>
      <c r="BF10" s="353">
        <f>IF(BF9="","",SUM(BB9:BB13))</f>
        <v>1542</v>
      </c>
      <c r="BG10" s="353">
        <f>IF(BG9="","",SUM(BC9:BC13))</f>
        <v>1468</v>
      </c>
      <c r="CA10" s="353" t="s">
        <v>800</v>
      </c>
      <c r="DA10" s="357" t="s">
        <v>14</v>
      </c>
      <c r="DB10" s="349">
        <f t="shared" si="20"/>
        <v>34.412955465587039</v>
      </c>
      <c r="DC10" s="349">
        <f t="shared" si="21"/>
        <v>61.53846153846154</v>
      </c>
      <c r="DD10" s="349">
        <f t="shared" si="22"/>
        <v>4.048582995951417</v>
      </c>
      <c r="DE10" s="375">
        <f t="shared" si="23"/>
        <v>10</v>
      </c>
      <c r="DF10" s="375" t="str">
        <f t="shared" si="24"/>
        <v/>
      </c>
      <c r="DG10" s="349" t="str">
        <f t="shared" si="25"/>
        <v/>
      </c>
      <c r="DH10" s="349" t="str">
        <f t="shared" si="26"/>
        <v/>
      </c>
      <c r="DI10" s="349" t="str">
        <f t="shared" si="27"/>
        <v/>
      </c>
      <c r="DK10" s="357" t="s">
        <v>14</v>
      </c>
      <c r="DL10" s="349">
        <f t="shared" si="28"/>
        <v>35.222672064777328</v>
      </c>
      <c r="DM10" s="349">
        <f t="shared" si="29"/>
        <v>64.372469635627525</v>
      </c>
      <c r="DN10" s="349">
        <f t="shared" si="30"/>
        <v>0.40485829959514169</v>
      </c>
      <c r="DO10" s="376">
        <f t="shared" si="31"/>
        <v>10</v>
      </c>
      <c r="DP10" s="376" t="str">
        <f t="shared" si="32"/>
        <v/>
      </c>
      <c r="DQ10" s="349" t="str">
        <f t="shared" si="33"/>
        <v/>
      </c>
      <c r="DR10" s="349" t="str">
        <f t="shared" si="34"/>
        <v/>
      </c>
      <c r="DS10" s="349" t="str">
        <f t="shared" si="35"/>
        <v/>
      </c>
    </row>
    <row r="11" spans="1:123">
      <c r="A11" s="353" t="s">
        <v>95</v>
      </c>
      <c r="B11" s="353">
        <f>Data!F50</f>
        <v>658</v>
      </c>
      <c r="C11" s="353">
        <f>Data!G50</f>
        <v>675</v>
      </c>
      <c r="D11" s="353">
        <f>IF(OR(ISNUMBER(B11),ISNUMBER(C11)),SUM(B11,C11),"")</f>
        <v>1333</v>
      </c>
      <c r="F11" s="345">
        <f>IF(AND(ISNUMBER(F9),ISNUMBER(F10)),ROUND(100-(F9/F10*100),2),"")</f>
        <v>14.77</v>
      </c>
      <c r="G11" s="345">
        <f>IF(AND(ISNUMBER(G9),ISNUMBER(G10)),ROUND(100-(G9/G10*100),2),"")</f>
        <v>7.91</v>
      </c>
      <c r="L11" s="357" t="s">
        <v>12</v>
      </c>
      <c r="M11" s="353">
        <f>IF(COUNT(Data!F175:G175)&gt;0,(AVERAGE(Data!F175:G175)),"")</f>
        <v>90.64500000000001</v>
      </c>
      <c r="N11" s="353">
        <f t="shared" si="9"/>
        <v>11</v>
      </c>
      <c r="O11" s="353" t="str">
        <f t="shared" si="10"/>
        <v/>
      </c>
      <c r="P11" s="353" t="str">
        <f t="shared" si="11"/>
        <v/>
      </c>
      <c r="Q11" s="353">
        <f t="shared" si="12"/>
        <v>0</v>
      </c>
      <c r="R11" s="357" t="s">
        <v>14</v>
      </c>
      <c r="S11" s="353">
        <f t="shared" si="36"/>
        <v>22</v>
      </c>
      <c r="T11" s="353">
        <f t="shared" si="13"/>
        <v>11</v>
      </c>
      <c r="U11" s="353" t="str">
        <f t="shared" si="1"/>
        <v/>
      </c>
      <c r="V11" s="353" t="str">
        <f t="shared" si="2"/>
        <v/>
      </c>
      <c r="X11" s="357" t="s">
        <v>14</v>
      </c>
      <c r="Y11" s="353">
        <f>IF(BZ123="","",BZ123)</f>
        <v>49</v>
      </c>
      <c r="Z11" s="353">
        <f t="shared" si="14"/>
        <v>11</v>
      </c>
      <c r="AA11" s="353" t="str">
        <f t="shared" si="15"/>
        <v/>
      </c>
      <c r="AB11" s="353" t="str">
        <f t="shared" si="4"/>
        <v/>
      </c>
      <c r="AD11" s="357" t="s">
        <v>12</v>
      </c>
      <c r="AE11" s="346">
        <f t="shared" si="16"/>
        <v>0.78571428571428559</v>
      </c>
      <c r="AF11" s="353">
        <f t="shared" si="17"/>
        <v>11</v>
      </c>
      <c r="AG11" s="353" t="str">
        <f t="shared" si="18"/>
        <v/>
      </c>
      <c r="AH11" s="346" t="str">
        <f t="shared" si="19"/>
        <v/>
      </c>
      <c r="AJ11" s="357" t="str">
        <f t="shared" si="5"/>
        <v>ENROLMENT</v>
      </c>
      <c r="AK11" s="349" t="e">
        <f t="shared" si="6"/>
        <v>#N/A</v>
      </c>
      <c r="AL11" s="346"/>
      <c r="AO11" s="346"/>
      <c r="AP11" s="353" t="str">
        <f t="shared" si="7"/>
        <v/>
      </c>
      <c r="AQ11" s="353" t="str">
        <f t="shared" si="8"/>
        <v/>
      </c>
      <c r="BA11" s="353" t="s">
        <v>95</v>
      </c>
      <c r="BB11" s="353">
        <f>Data!$S$50</f>
        <v>616</v>
      </c>
      <c r="BC11" s="353">
        <f>Data!$T$50</f>
        <v>525</v>
      </c>
      <c r="BD11" s="409">
        <f t="shared" si="37"/>
        <v>1141</v>
      </c>
      <c r="BF11" s="345">
        <f>IF(AND(ISNUMBER(BF9),ISNUMBER(BF10)),ROUND(100-(BF9/BF10*100),2),"")</f>
        <v>60.05</v>
      </c>
      <c r="BG11" s="345">
        <f>IF(AND(ISNUMBER(BG9),ISNUMBER(BG10)),ROUND(100-(BG9/BG10*100),2),"")</f>
        <v>64.239999999999995</v>
      </c>
      <c r="CA11" s="353" t="s">
        <v>789</v>
      </c>
      <c r="DA11" s="357" t="s">
        <v>15</v>
      </c>
      <c r="DB11" s="349">
        <f t="shared" si="20"/>
        <v>47.058823529411761</v>
      </c>
      <c r="DC11" s="349">
        <f t="shared" si="21"/>
        <v>47.511312217194565</v>
      </c>
      <c r="DD11" s="349">
        <f t="shared" si="22"/>
        <v>5.4298642533936654</v>
      </c>
      <c r="DE11" s="375">
        <f t="shared" si="23"/>
        <v>11</v>
      </c>
      <c r="DF11" s="375" t="str">
        <f t="shared" si="24"/>
        <v/>
      </c>
      <c r="DG11" s="349" t="str">
        <f t="shared" si="25"/>
        <v/>
      </c>
      <c r="DH11" s="349" t="str">
        <f t="shared" si="26"/>
        <v/>
      </c>
      <c r="DI11" s="349" t="str">
        <f t="shared" si="27"/>
        <v/>
      </c>
      <c r="DK11" s="357" t="s">
        <v>15</v>
      </c>
      <c r="DL11" s="349">
        <f t="shared" si="28"/>
        <v>42.081447963800905</v>
      </c>
      <c r="DM11" s="349">
        <f t="shared" si="29"/>
        <v>52.036199095022631</v>
      </c>
      <c r="DN11" s="349">
        <f t="shared" si="30"/>
        <v>5.8823529411764701</v>
      </c>
      <c r="DO11" s="376">
        <f t="shared" si="31"/>
        <v>11</v>
      </c>
      <c r="DP11" s="376" t="str">
        <f t="shared" si="32"/>
        <v/>
      </c>
      <c r="DQ11" s="349" t="str">
        <f t="shared" si="33"/>
        <v/>
      </c>
      <c r="DR11" s="349" t="str">
        <f t="shared" si="34"/>
        <v/>
      </c>
      <c r="DS11" s="349" t="str">
        <f t="shared" si="35"/>
        <v/>
      </c>
    </row>
    <row r="12" spans="1:123">
      <c r="A12" s="353" t="s">
        <v>94</v>
      </c>
      <c r="B12" s="353">
        <f>Data!H50</f>
        <v>13</v>
      </c>
      <c r="C12" s="353">
        <f>Data!I50</f>
        <v>12</v>
      </c>
      <c r="L12" s="357" t="s">
        <v>13</v>
      </c>
      <c r="M12" s="353">
        <f>IF(COUNT(Data!F176:G176)&gt;0,(AVERAGE(Data!F176:G176)),"")</f>
        <v>93.544999999999987</v>
      </c>
      <c r="N12" s="353">
        <f t="shared" si="9"/>
        <v>12</v>
      </c>
      <c r="O12" s="353" t="str">
        <f t="shared" si="10"/>
        <v/>
      </c>
      <c r="P12" s="353" t="str">
        <f t="shared" si="11"/>
        <v/>
      </c>
      <c r="Q12" s="353">
        <f t="shared" si="12"/>
        <v>0</v>
      </c>
      <c r="R12" s="357" t="s">
        <v>15</v>
      </c>
      <c r="S12" s="353">
        <f t="shared" si="36"/>
        <v>17</v>
      </c>
      <c r="T12" s="353">
        <f t="shared" si="13"/>
        <v>12</v>
      </c>
      <c r="U12" s="353" t="str">
        <f t="shared" si="1"/>
        <v/>
      </c>
      <c r="V12" s="353" t="str">
        <f t="shared" si="2"/>
        <v/>
      </c>
      <c r="X12" s="357" t="s">
        <v>15</v>
      </c>
      <c r="Y12" s="353">
        <f>IF(BZ124="","",BZ124)</f>
        <v>44</v>
      </c>
      <c r="Z12" s="353">
        <f t="shared" si="14"/>
        <v>12</v>
      </c>
      <c r="AA12" s="353" t="str">
        <f t="shared" si="15"/>
        <v/>
      </c>
      <c r="AB12" s="353" t="str">
        <f t="shared" si="4"/>
        <v/>
      </c>
      <c r="AD12" s="357" t="s">
        <v>13</v>
      </c>
      <c r="AE12" s="346">
        <f t="shared" si="16"/>
        <v>0.48451730418943545</v>
      </c>
      <c r="AF12" s="353">
        <f t="shared" si="17"/>
        <v>12</v>
      </c>
      <c r="AG12" s="353" t="str">
        <f t="shared" si="18"/>
        <v/>
      </c>
      <c r="AH12" s="346" t="str">
        <f t="shared" si="19"/>
        <v/>
      </c>
      <c r="AK12" s="357"/>
      <c r="AL12" s="346"/>
      <c r="AM12" s="353" t="str">
        <f>IF(COUNT(AL12)&gt;0,ROW(),"")</f>
        <v/>
      </c>
      <c r="AN12" s="353" t="str">
        <f>IFERROR(INDEX($AD$1:$AD$15,SMALL($AF$2:$AF$15,ROW(AN11)),1),"")</f>
        <v/>
      </c>
      <c r="AO12" s="346" t="str">
        <f>IFERROR(INDEX($AE$1:$AE$15,SMALL($AF$2:$AF$15,ROW(AO11)),1),"")</f>
        <v/>
      </c>
      <c r="AP12" s="353" t="str">
        <f t="shared" si="7"/>
        <v/>
      </c>
      <c r="AQ12" s="353" t="str">
        <f t="shared" si="8"/>
        <v/>
      </c>
      <c r="BA12" s="353" t="s">
        <v>676</v>
      </c>
      <c r="BB12" s="353">
        <f>Data!$U$50</f>
        <v>1</v>
      </c>
      <c r="BC12" s="353">
        <f>Data!$V$50</f>
        <v>1</v>
      </c>
      <c r="BD12" s="409">
        <f t="shared" si="37"/>
        <v>2</v>
      </c>
      <c r="BE12" s="409"/>
      <c r="CA12" s="353" t="s">
        <v>803</v>
      </c>
      <c r="DA12" s="357" t="s">
        <v>16</v>
      </c>
      <c r="DB12" s="349">
        <f t="shared" si="20"/>
        <v>50.24154589371981</v>
      </c>
      <c r="DC12" s="349">
        <f t="shared" si="21"/>
        <v>25.120772946859905</v>
      </c>
      <c r="DD12" s="349">
        <f t="shared" si="22"/>
        <v>24.637681159420293</v>
      </c>
      <c r="DE12" s="375">
        <f t="shared" si="23"/>
        <v>12</v>
      </c>
      <c r="DF12" s="375" t="str">
        <f t="shared" si="24"/>
        <v/>
      </c>
      <c r="DG12" s="349" t="str">
        <f t="shared" si="25"/>
        <v/>
      </c>
      <c r="DH12" s="349" t="str">
        <f t="shared" si="26"/>
        <v/>
      </c>
      <c r="DI12" s="349" t="str">
        <f t="shared" si="27"/>
        <v/>
      </c>
      <c r="DK12" s="357" t="s">
        <v>16</v>
      </c>
      <c r="DL12" s="349">
        <f t="shared" si="28"/>
        <v>30.434782608695656</v>
      </c>
      <c r="DM12" s="349">
        <f t="shared" si="29"/>
        <v>49.75845410628019</v>
      </c>
      <c r="DN12" s="349">
        <f t="shared" si="30"/>
        <v>19.806763285024154</v>
      </c>
      <c r="DO12" s="376">
        <f t="shared" si="31"/>
        <v>12</v>
      </c>
      <c r="DP12" s="376" t="str">
        <f t="shared" si="32"/>
        <v/>
      </c>
      <c r="DQ12" s="349" t="str">
        <f t="shared" si="33"/>
        <v/>
      </c>
      <c r="DR12" s="349" t="str">
        <f t="shared" si="34"/>
        <v/>
      </c>
      <c r="DS12" s="349" t="str">
        <f t="shared" si="35"/>
        <v/>
      </c>
    </row>
    <row r="13" spans="1:123">
      <c r="A13" s="353" t="s">
        <v>93</v>
      </c>
      <c r="B13" s="353">
        <f>Data!J50</f>
        <v>1</v>
      </c>
      <c r="C13" s="353">
        <f>Data!K50</f>
        <v>1</v>
      </c>
      <c r="L13" s="357" t="s">
        <v>14</v>
      </c>
      <c r="M13" s="353">
        <f>IF(COUNT(Data!F177:G177)&gt;0,(AVERAGE(Data!F177:G177)),"")</f>
        <v>93.05</v>
      </c>
      <c r="N13" s="353">
        <f t="shared" si="9"/>
        <v>13</v>
      </c>
      <c r="O13" s="353" t="str">
        <f t="shared" si="10"/>
        <v/>
      </c>
      <c r="P13" s="353" t="str">
        <f t="shared" si="11"/>
        <v/>
      </c>
      <c r="Q13" s="353">
        <f t="shared" si="12"/>
        <v>0</v>
      </c>
      <c r="R13" s="357" t="s">
        <v>16</v>
      </c>
      <c r="S13" s="353">
        <f t="shared" si="36"/>
        <v>35</v>
      </c>
      <c r="T13" s="353">
        <f t="shared" si="13"/>
        <v>13</v>
      </c>
      <c r="U13" s="353" t="str">
        <f t="shared" si="1"/>
        <v/>
      </c>
      <c r="V13" s="353" t="str">
        <f t="shared" si="2"/>
        <v/>
      </c>
      <c r="X13" s="357" t="s">
        <v>16</v>
      </c>
      <c r="Y13" s="353">
        <f>IF(BZ125="","",BZ125)</f>
        <v>52</v>
      </c>
      <c r="Z13" s="353">
        <f t="shared" si="14"/>
        <v>13</v>
      </c>
      <c r="AA13" s="353" t="str">
        <f t="shared" si="15"/>
        <v/>
      </c>
      <c r="AB13" s="353" t="str">
        <f t="shared" si="4"/>
        <v/>
      </c>
      <c r="AD13" s="357" t="s">
        <v>14</v>
      </c>
      <c r="AE13" s="346">
        <f t="shared" si="16"/>
        <v>0.88708951866846608</v>
      </c>
      <c r="AF13" s="353">
        <f t="shared" si="17"/>
        <v>13</v>
      </c>
      <c r="AG13" s="353" t="str">
        <f t="shared" si="18"/>
        <v/>
      </c>
      <c r="AH13" s="346" t="str">
        <f t="shared" si="19"/>
        <v/>
      </c>
      <c r="AK13" s="357"/>
      <c r="AL13" s="346"/>
      <c r="AM13" s="353" t="str">
        <f>IF(COUNT(AL13)&gt;0,ROW(),"")</f>
        <v/>
      </c>
      <c r="AN13" s="353" t="str">
        <f>IFERROR(INDEX($AD$1:$AD$15,SMALL($AF$2:$AF$15,ROW(AN12)),1),"")</f>
        <v/>
      </c>
      <c r="AO13" s="346" t="str">
        <f>IFERROR(INDEX($AE$1:$AE$15,SMALL($AF$2:$AF$15,ROW(AO12)),1),"")</f>
        <v/>
      </c>
      <c r="AP13" s="353" t="str">
        <f t="shared" si="7"/>
        <v/>
      </c>
      <c r="AQ13" s="353" t="str">
        <f t="shared" si="8"/>
        <v/>
      </c>
      <c r="BB13" s="353">
        <f>IF(SUM(BB9:BB12)&lt;1,"",SUM(BB9:BB12))</f>
        <v>771</v>
      </c>
      <c r="BC13" s="409">
        <f>IF(SUM(BC9:BC12)&lt;1,"",SUM(BC9:BC12))</f>
        <v>734</v>
      </c>
      <c r="BD13" s="409">
        <f t="shared" si="37"/>
        <v>1505</v>
      </c>
      <c r="BE13" s="409">
        <f>IF(AND(ISNUMBER(D5),ISNUMBER(BD13)),D5-BD13,"")</f>
        <v>0</v>
      </c>
      <c r="CA13" s="353" t="s">
        <v>796</v>
      </c>
      <c r="DA13" s="357" t="s">
        <v>17</v>
      </c>
      <c r="DB13" s="349">
        <f t="shared" si="20"/>
        <v>26.086956521739129</v>
      </c>
      <c r="DC13" s="349">
        <f t="shared" si="21"/>
        <v>40.993788819875775</v>
      </c>
      <c r="DD13" s="349">
        <f t="shared" si="22"/>
        <v>32.919254658385093</v>
      </c>
      <c r="DE13" s="375">
        <f t="shared" si="23"/>
        <v>13</v>
      </c>
      <c r="DF13" s="375" t="str">
        <f t="shared" si="24"/>
        <v/>
      </c>
      <c r="DG13" s="349" t="str">
        <f t="shared" si="25"/>
        <v/>
      </c>
      <c r="DH13" s="349" t="str">
        <f t="shared" si="26"/>
        <v/>
      </c>
      <c r="DI13" s="349" t="str">
        <f t="shared" si="27"/>
        <v/>
      </c>
      <c r="DK13" s="357" t="s">
        <v>17</v>
      </c>
      <c r="DL13" s="349">
        <f t="shared" si="28"/>
        <v>77.018633540372676</v>
      </c>
      <c r="DM13" s="349">
        <f t="shared" si="29"/>
        <v>13.043478260869565</v>
      </c>
      <c r="DN13" s="349">
        <f t="shared" si="30"/>
        <v>9.9378881987577632</v>
      </c>
      <c r="DO13" s="376">
        <f t="shared" si="31"/>
        <v>13</v>
      </c>
      <c r="DP13" s="376" t="str">
        <f t="shared" si="32"/>
        <v/>
      </c>
      <c r="DQ13" s="349" t="str">
        <f t="shared" si="33"/>
        <v/>
      </c>
      <c r="DR13" s="349" t="str">
        <f t="shared" si="34"/>
        <v/>
      </c>
      <c r="DS13" s="349" t="str">
        <f t="shared" si="35"/>
        <v/>
      </c>
    </row>
    <row r="14" spans="1:123">
      <c r="D14" s="353">
        <f>IF(OR(ISNUMBER(D9),ISNUMBER(D10),ISNUMBER(D11),ISNUMBER(D12),ISNUMBER(D13)),SUM(D9:D13),"")</f>
        <v>1478</v>
      </c>
      <c r="E14" s="353">
        <f>IF(AND(ISNUMBER(D5),ISNUMBER(D14)),D5-D14,"")</f>
        <v>27</v>
      </c>
      <c r="L14" s="357" t="s">
        <v>15</v>
      </c>
      <c r="M14" s="353">
        <f>IF(COUNT(Data!F178:G178)&gt;0,(AVERAGE(Data!F178:G178)),"")</f>
        <v>94.67</v>
      </c>
      <c r="N14" s="353">
        <f t="shared" si="9"/>
        <v>14</v>
      </c>
      <c r="O14" s="353" t="str">
        <f t="shared" si="10"/>
        <v/>
      </c>
      <c r="P14" s="353" t="str">
        <f t="shared" si="11"/>
        <v/>
      </c>
      <c r="Q14" s="353">
        <f t="shared" si="12"/>
        <v>0</v>
      </c>
      <c r="R14" s="357" t="s">
        <v>17</v>
      </c>
      <c r="S14" s="353">
        <f t="shared" si="36"/>
        <v>20</v>
      </c>
      <c r="T14" s="353">
        <f t="shared" si="13"/>
        <v>14</v>
      </c>
      <c r="U14" s="353" t="str">
        <f t="shared" si="1"/>
        <v/>
      </c>
      <c r="V14" s="353" t="str">
        <f t="shared" si="2"/>
        <v/>
      </c>
      <c r="X14" s="357" t="s">
        <v>17</v>
      </c>
      <c r="Y14" s="353">
        <f>IF(BZ126="","",BZ126)</f>
        <v>40</v>
      </c>
      <c r="Z14" s="353">
        <f t="shared" si="14"/>
        <v>14</v>
      </c>
      <c r="AA14" s="353" t="str">
        <f t="shared" si="15"/>
        <v/>
      </c>
      <c r="AB14" s="353" t="str">
        <f t="shared" si="4"/>
        <v/>
      </c>
      <c r="AC14" s="357"/>
      <c r="AD14" s="357" t="s">
        <v>15</v>
      </c>
      <c r="AE14" s="346">
        <f t="shared" si="16"/>
        <v>0.60030165912518862</v>
      </c>
      <c r="AF14" s="353">
        <f t="shared" si="17"/>
        <v>14</v>
      </c>
      <c r="AG14" s="353" t="str">
        <f t="shared" si="18"/>
        <v/>
      </c>
      <c r="AH14" s="346" t="str">
        <f t="shared" si="19"/>
        <v/>
      </c>
      <c r="AK14" s="357"/>
      <c r="AL14" s="346"/>
      <c r="AM14" s="353" t="str">
        <f>IF(COUNT(AL14)&gt;0,ROW(),"")</f>
        <v/>
      </c>
      <c r="AN14" s="353" t="str">
        <f>IFERROR(INDEX($AD$1:$AD$15,SMALL($AF$2:$AF$15,ROW(AN13)),1),"")</f>
        <v/>
      </c>
      <c r="AO14" s="346" t="str">
        <f>IFERROR(INDEX($AE$1:$AE$15,SMALL($AF$2:$AF$15,ROW(AO13)),1),"")</f>
        <v/>
      </c>
      <c r="AP14" s="353" t="str">
        <f t="shared" si="7"/>
        <v/>
      </c>
      <c r="AQ14" s="353" t="str">
        <f t="shared" si="8"/>
        <v/>
      </c>
      <c r="CA14" s="353" t="s">
        <v>797</v>
      </c>
      <c r="DA14" s="357"/>
      <c r="DB14" s="375"/>
      <c r="DE14" s="375"/>
      <c r="DF14" s="375"/>
      <c r="DG14" s="375"/>
    </row>
    <row r="15" spans="1:123">
      <c r="A15" s="343" t="s">
        <v>80</v>
      </c>
      <c r="L15" s="357" t="s">
        <v>16</v>
      </c>
      <c r="M15" s="353">
        <f>IF(COUNT(Data!F179:G179)&gt;0,(AVERAGE(Data!F179:G179)),"")</f>
        <v>88.265000000000001</v>
      </c>
      <c r="N15" s="353">
        <f t="shared" si="9"/>
        <v>15</v>
      </c>
      <c r="O15" s="353" t="str">
        <f t="shared" si="10"/>
        <v/>
      </c>
      <c r="P15" s="353" t="str">
        <f t="shared" si="11"/>
        <v/>
      </c>
      <c r="Q15" s="353">
        <f t="shared" si="12"/>
        <v>0</v>
      </c>
      <c r="R15" s="357"/>
      <c r="S15" s="353" t="str">
        <f t="shared" si="36"/>
        <v/>
      </c>
      <c r="T15" s="353" t="str">
        <f>IF(COUNT(S15)&gt;0,ROW(),"")</f>
        <v/>
      </c>
      <c r="U15" s="353" t="str">
        <f>IFERROR(INDEX($R$1:$R$15,SMALL($T$2:$T$15,ROW(U14)),1),"")</f>
        <v/>
      </c>
      <c r="V15" s="353" t="str">
        <f>IFERROR(INDEX($S$1:$S$15,SMALL($T$2:$T$15,ROW(V14)),1),"")</f>
        <v/>
      </c>
      <c r="AC15" s="357"/>
      <c r="AD15" s="357" t="s">
        <v>16</v>
      </c>
      <c r="AE15" s="346">
        <f t="shared" si="16"/>
        <v>0.19645732689210949</v>
      </c>
      <c r="AF15" s="353">
        <f t="shared" si="17"/>
        <v>15</v>
      </c>
      <c r="AG15" s="353" t="str">
        <f t="shared" si="18"/>
        <v/>
      </c>
      <c r="AH15" s="346" t="str">
        <f t="shared" si="19"/>
        <v/>
      </c>
      <c r="AK15" s="357"/>
      <c r="AL15" s="346"/>
      <c r="AM15" s="353" t="str">
        <f>IF(COUNT(AL15)&gt;0,ROW(),"")</f>
        <v/>
      </c>
      <c r="AN15" s="353" t="str">
        <f>IFERROR(INDEX($AD$1:$AD$15,SMALL($AF$2:$AF$15,ROW(AN14)),1),"")</f>
        <v/>
      </c>
      <c r="AO15" s="346" t="str">
        <f>IFERROR(INDEX($AE$1:$AE$15,SMALL($AF$2:$AF$15,ROW(AO14)),1),"")</f>
        <v/>
      </c>
      <c r="AP15" s="353" t="str">
        <f t="shared" si="7"/>
        <v/>
      </c>
      <c r="AQ15" s="353" t="str">
        <f t="shared" si="8"/>
        <v/>
      </c>
      <c r="CA15" s="353" t="s">
        <v>790</v>
      </c>
    </row>
    <row r="16" spans="1:123">
      <c r="A16" s="677" t="s">
        <v>2</v>
      </c>
      <c r="B16" s="677" t="s">
        <v>92</v>
      </c>
      <c r="C16" s="677"/>
      <c r="D16" s="677"/>
      <c r="E16" s="677"/>
      <c r="F16" s="677"/>
      <c r="G16" s="677"/>
      <c r="H16" s="677"/>
      <c r="I16" s="677"/>
      <c r="J16" s="343"/>
      <c r="L16" s="353" t="s">
        <v>17</v>
      </c>
      <c r="M16" s="353">
        <f>IF(COUNT(Data!F180:G180)&gt;0,(AVERAGE(Data!F180:G180)),"")</f>
        <v>98.384999999999991</v>
      </c>
      <c r="N16" s="353">
        <f t="shared" si="9"/>
        <v>16</v>
      </c>
      <c r="O16" s="353" t="str">
        <f t="shared" si="10"/>
        <v/>
      </c>
      <c r="P16" s="353" t="str">
        <f t="shared" si="11"/>
        <v/>
      </c>
      <c r="Q16" s="353">
        <f t="shared" si="12"/>
        <v>0</v>
      </c>
      <c r="AC16" s="357"/>
      <c r="AD16" s="353" t="s">
        <v>17</v>
      </c>
      <c r="AE16" s="346">
        <f t="shared" si="16"/>
        <v>0.13112491373360938</v>
      </c>
      <c r="AF16" s="353">
        <f t="shared" si="17"/>
        <v>16</v>
      </c>
      <c r="AG16" s="353" t="str">
        <f t="shared" si="18"/>
        <v/>
      </c>
      <c r="AH16" s="346" t="str">
        <f t="shared" si="19"/>
        <v/>
      </c>
      <c r="AP16" s="353" t="str">
        <f t="shared" si="7"/>
        <v/>
      </c>
      <c r="AQ16" s="353" t="str">
        <f t="shared" si="8"/>
        <v/>
      </c>
      <c r="CA16" s="353" t="s">
        <v>801</v>
      </c>
    </row>
    <row r="17" spans="1:79">
      <c r="A17" s="677"/>
      <c r="B17" s="343" t="s">
        <v>52</v>
      </c>
      <c r="C17" s="343" t="s">
        <v>54</v>
      </c>
      <c r="D17" s="343" t="s">
        <v>81</v>
      </c>
      <c r="E17" s="343" t="s">
        <v>53</v>
      </c>
      <c r="F17" s="343" t="s">
        <v>82</v>
      </c>
      <c r="G17" s="343" t="s">
        <v>83</v>
      </c>
      <c r="H17" s="343" t="s">
        <v>84</v>
      </c>
      <c r="I17" s="343" t="s">
        <v>85</v>
      </c>
      <c r="J17" s="343" t="s">
        <v>339</v>
      </c>
      <c r="K17" s="343" t="s">
        <v>490</v>
      </c>
      <c r="L17" s="343" t="s">
        <v>232</v>
      </c>
      <c r="M17" s="353" t="s">
        <v>491</v>
      </c>
      <c r="O17" s="353" t="s">
        <v>219</v>
      </c>
      <c r="P17" s="353" t="s">
        <v>242</v>
      </c>
      <c r="T17" s="353" t="s">
        <v>219</v>
      </c>
      <c r="U17" s="343" t="s">
        <v>242</v>
      </c>
      <c r="V17" s="343"/>
      <c r="W17" s="343"/>
      <c r="X17" s="343"/>
      <c r="Y17" s="343"/>
      <c r="Z17" s="343"/>
      <c r="AA17" s="353">
        <v>1</v>
      </c>
      <c r="AB17" s="343"/>
      <c r="AC17" s="343"/>
      <c r="AD17" s="343"/>
      <c r="AE17" s="343"/>
      <c r="AF17" s="343"/>
      <c r="CA17" s="353" t="s">
        <v>805</v>
      </c>
    </row>
    <row r="18" spans="1:79">
      <c r="A18" s="357" t="s">
        <v>5</v>
      </c>
      <c r="B18" s="344" t="str">
        <f>IF(AND(ISNUMBER(Data!B54),ISNUMBER($M18)),Data!B54/$M18,"")</f>
        <v/>
      </c>
      <c r="C18" s="344" t="str">
        <f>IF(AND(ISNUMBER(Data!C54),ISNUMBER($M18)),Data!C54/$M18,"")</f>
        <v/>
      </c>
      <c r="D18" s="344" t="str">
        <f>IF(AND(ISNUMBER(Data!D54),ISNUMBER($M18)),Data!D54/$M18,"")</f>
        <v/>
      </c>
      <c r="E18" s="344" t="str">
        <f>IF(AND(ISNUMBER(Data!E54),ISNUMBER($M18)),Data!E54/$M18,"")</f>
        <v/>
      </c>
      <c r="F18" s="344" t="str">
        <f>IF(AND(ISNUMBER(Data!F54),ISNUMBER($M18)),Data!F54/$M18,"")</f>
        <v/>
      </c>
      <c r="G18" s="344" t="str">
        <f>IF(AND(ISNUMBER(Data!G54),ISNUMBER($M18)),Data!G54/$M18,"")</f>
        <v/>
      </c>
      <c r="H18" s="344" t="str">
        <f>IF(AND(ISNUMBER(Data!H54),ISNUMBER($M18)),Data!H54/$M18,"")</f>
        <v/>
      </c>
      <c r="I18" s="344" t="str">
        <f>IF(AND(ISNUMBER(Data!I54),ISNUMBER($M18)),Data!I54/$M18,"")</f>
        <v/>
      </c>
      <c r="J18" s="344" t="str">
        <f>IF(AND(ISNUMBER(Data!J54),ISNUMBER($M18)),Data!J54/$M18,"")</f>
        <v/>
      </c>
      <c r="K18" s="344" t="str">
        <f>IF(AND(ISNUMBER(Data!K54),ISNUMBER($M18)),Data!K54/$M18,"")</f>
        <v/>
      </c>
      <c r="L18" s="346" t="str">
        <f>IF(SUM(B18:K18)&lt;0.001,"",AVERAGE(B18:K18))</f>
        <v/>
      </c>
      <c r="M18" s="399">
        <f>SUM(E$217:F$217)</f>
        <v>0</v>
      </c>
      <c r="O18" s="353" t="str">
        <f>IF(L18="","",RANK(L18,$L$18:$L$32)+COUNTIF($L18:L$18,L18)-1)</f>
        <v/>
      </c>
      <c r="P18" s="347">
        <v>1</v>
      </c>
      <c r="Q18" s="353" t="str">
        <f t="shared" ref="Q18:Q32" si="38">IFERROR(INDEX($A$18:$A$32,MATCH(P18,$O$18:$O$32,0)),"")</f>
        <v>Grade 9</v>
      </c>
      <c r="R18" s="346" t="str">
        <f>B$17</f>
        <v>English</v>
      </c>
      <c r="S18" s="346">
        <f>B$33</f>
        <v>0.43920265780730899</v>
      </c>
      <c r="T18" s="353">
        <f>IF(S18="","",RANK(S18,$S$18:$S$32)+COUNTIF($S$18:S18,S18)-1)</f>
        <v>5</v>
      </c>
      <c r="U18" s="347">
        <f>IF(T18="","",1)</f>
        <v>1</v>
      </c>
      <c r="V18" s="353" t="str">
        <f t="shared" ref="V18:V27" si="39">IF(T18="","",INDEX($R$18:$R$28,MATCH(U18,$T$18:$T$28,0)))</f>
        <v>MAPEH</v>
      </c>
      <c r="W18" s="349">
        <f t="shared" ref="W18:W27" si="40">IF(U18="","",INDEX($S$18:$S$28,MATCH(V18,$R$18:$R$28,0)))</f>
        <v>1.5554817275747508</v>
      </c>
      <c r="X18" s="349">
        <f>IF(W18="","",ROUND(W18*100,2))</f>
        <v>155.55000000000001</v>
      </c>
      <c r="Z18" s="353" t="str">
        <f t="shared" ref="Z18:Z26" si="41">IF(J18="","",RANK(J18,$J$18:$J$31))</f>
        <v/>
      </c>
      <c r="AA18" s="353" t="str">
        <f>IFERROR(INDEX($A$32:$I$32,MATCH(AA17,$A$33:$I$33,0)),"")</f>
        <v/>
      </c>
      <c r="AB18" s="353" t="str">
        <f>IFERROR(INDEX($B$17:$I$17,MATCH(AA18,$B$32:$I$32,0)),"")</f>
        <v/>
      </c>
      <c r="CA18" s="353" t="s">
        <v>788</v>
      </c>
    </row>
    <row r="19" spans="1:79">
      <c r="A19" s="357" t="s">
        <v>6</v>
      </c>
      <c r="B19" s="344" t="str">
        <f>IF(AND(ISNUMBER(Data!B55),ISNUMBER($M19)),Data!B55/$M19,"")</f>
        <v/>
      </c>
      <c r="C19" s="344" t="str">
        <f>IF(AND(ISNUMBER(Data!C55),ISNUMBER($M19)),Data!C55/$M19,"")</f>
        <v/>
      </c>
      <c r="D19" s="344" t="str">
        <f>IF(AND(ISNUMBER(Data!D55),ISNUMBER($M19)),Data!D55/$M19,"")</f>
        <v/>
      </c>
      <c r="E19" s="344" t="str">
        <f>IF(AND(ISNUMBER(Data!E55),ISNUMBER($M19)),Data!E55/$M19,"")</f>
        <v/>
      </c>
      <c r="F19" s="344" t="str">
        <f>IF(AND(ISNUMBER(Data!F55),ISNUMBER($M19)),Data!F55/$M19,"")</f>
        <v/>
      </c>
      <c r="G19" s="344" t="str">
        <f>IF(AND(ISNUMBER(Data!G55),ISNUMBER($M19)),Data!G55/$M19,"")</f>
        <v/>
      </c>
      <c r="H19" s="344" t="str">
        <f>IF(AND(ISNUMBER(Data!H55),ISNUMBER($M19)),Data!H55/$M19,"")</f>
        <v/>
      </c>
      <c r="I19" s="344" t="str">
        <f>IF(AND(ISNUMBER(Data!I55),ISNUMBER($M19)),Data!I55/$M19,"")</f>
        <v/>
      </c>
      <c r="J19" s="344" t="str">
        <f>IF(AND(ISNUMBER(Data!J55),ISNUMBER($M19)),Data!J55/$M19,"")</f>
        <v/>
      </c>
      <c r="K19" s="344" t="str">
        <f>IF(AND(ISNUMBER(Data!K55),ISNUMBER($M19)),Data!K55/$M19,"")</f>
        <v/>
      </c>
      <c r="L19" s="346" t="str">
        <f t="shared" ref="L19:L32" si="42">IF(SUM(B19:K19)&lt;0.001,"",AVERAGE(B19:K19))</f>
        <v/>
      </c>
      <c r="M19" s="353">
        <f>SUM(E$217:F$217)</f>
        <v>0</v>
      </c>
      <c r="O19" s="353" t="str">
        <f>IF(L19="","",RANK(L19,$L$18:$L$32)+COUNTIF($L$18:L19,L19)-1)</f>
        <v/>
      </c>
      <c r="P19" s="347">
        <v>2</v>
      </c>
      <c r="Q19" s="353" t="str">
        <f t="shared" si="38"/>
        <v>Grade 7</v>
      </c>
      <c r="R19" s="346" t="str">
        <f>C$17</f>
        <v>Math</v>
      </c>
      <c r="S19" s="346">
        <f>C$33</f>
        <v>0.66046511627906979</v>
      </c>
      <c r="T19" s="353">
        <f>IF(S19="","",RANK(S19,$S$18:$S$32)+COUNTIF($S$18:S19,S19)-1)</f>
        <v>4</v>
      </c>
      <c r="U19" s="347">
        <f>IF(T19="","",2)</f>
        <v>2</v>
      </c>
      <c r="V19" s="353" t="str">
        <f t="shared" si="39"/>
        <v>Filipino</v>
      </c>
      <c r="W19" s="349">
        <f t="shared" si="40"/>
        <v>0.83654485049833882</v>
      </c>
      <c r="X19" s="349">
        <f t="shared" ref="X19:X26" si="43">IF(W19="","",ROUND(W19*100,2))</f>
        <v>83.65</v>
      </c>
      <c r="Z19" s="353" t="str">
        <f t="shared" si="41"/>
        <v/>
      </c>
      <c r="AA19" s="349" t="str">
        <f>IF(AA18="","",ROUND(AA18*100,2))</f>
        <v/>
      </c>
      <c r="CA19" s="353" t="s">
        <v>795</v>
      </c>
    </row>
    <row r="20" spans="1:79">
      <c r="A20" s="357" t="s">
        <v>7</v>
      </c>
      <c r="B20" s="344" t="str">
        <f>IF(AND(ISNUMBER(Data!B56),ISNUMBER($M20)),Data!B56/$M20,"")</f>
        <v/>
      </c>
      <c r="C20" s="344" t="str">
        <f>IF(AND(ISNUMBER(Data!C56),ISNUMBER($M20)),Data!C56/$M20,"")</f>
        <v/>
      </c>
      <c r="D20" s="344" t="str">
        <f>IF(AND(ISNUMBER(Data!D56),ISNUMBER($M20)),Data!D56/$M20,"")</f>
        <v/>
      </c>
      <c r="E20" s="344" t="str">
        <f>IF(AND(ISNUMBER(Data!E56),ISNUMBER($M20)),Data!E56/$M20,"")</f>
        <v/>
      </c>
      <c r="F20" s="344" t="str">
        <f>IF(AND(ISNUMBER(Data!F56),ISNUMBER($M20)),Data!F56/$M20,"")</f>
        <v/>
      </c>
      <c r="G20" s="344" t="str">
        <f>IF(AND(ISNUMBER(Data!G56),ISNUMBER($M20)),Data!G56/$M20,"")</f>
        <v/>
      </c>
      <c r="H20" s="344" t="str">
        <f>IF(AND(ISNUMBER(Data!H56),ISNUMBER($M20)),Data!H56/$M20,"")</f>
        <v/>
      </c>
      <c r="I20" s="344" t="str">
        <f>IF(AND(ISNUMBER(Data!I56),ISNUMBER($M20)),Data!I56/$M20,"")</f>
        <v/>
      </c>
      <c r="J20" s="344" t="str">
        <f>IF(AND(ISNUMBER(Data!J56),ISNUMBER($M20)),Data!J56/$M20,"")</f>
        <v/>
      </c>
      <c r="K20" s="344" t="str">
        <f>IF(AND(ISNUMBER(Data!K56),ISNUMBER($M20)),Data!K56/$M20,"")</f>
        <v/>
      </c>
      <c r="L20" s="346" t="str">
        <f t="shared" si="42"/>
        <v/>
      </c>
      <c r="M20" s="353">
        <f>SUM(G$217:H$217)</f>
        <v>0</v>
      </c>
      <c r="O20" s="353" t="str">
        <f>IF(L20="","",RANK(L20,$L$18:$L$32)+COUNTIF($L$18:L20,L20)-1)</f>
        <v/>
      </c>
      <c r="P20" s="347">
        <v>3</v>
      </c>
      <c r="Q20" s="353" t="str">
        <f t="shared" si="38"/>
        <v>Grade 10</v>
      </c>
      <c r="R20" s="346" t="str">
        <f>D$17</f>
        <v>Science</v>
      </c>
      <c r="S20" s="346">
        <f>D$33</f>
        <v>0.73621262458471759</v>
      </c>
      <c r="T20" s="353">
        <f>IF(S20="","",RANK(S20,$S$18:$S$32)+COUNTIF($S$18:S20,S20)-1)</f>
        <v>3</v>
      </c>
      <c r="U20" s="347">
        <f>IF(T20="","",3)</f>
        <v>3</v>
      </c>
      <c r="V20" s="353" t="str">
        <f t="shared" si="39"/>
        <v>Science</v>
      </c>
      <c r="W20" s="349">
        <f t="shared" si="40"/>
        <v>0.73621262458471759</v>
      </c>
      <c r="X20" s="349">
        <f t="shared" si="43"/>
        <v>73.62</v>
      </c>
      <c r="Z20" s="353" t="str">
        <f t="shared" si="41"/>
        <v/>
      </c>
      <c r="CA20" s="353" t="s">
        <v>794</v>
      </c>
    </row>
    <row r="21" spans="1:79">
      <c r="A21" s="357" t="s">
        <v>8</v>
      </c>
      <c r="B21" s="344" t="str">
        <f>IF(AND(ISNUMBER(Data!B57),ISNUMBER($M21)),Data!B57/$M21,"")</f>
        <v/>
      </c>
      <c r="C21" s="344" t="str">
        <f>IF(AND(ISNUMBER(Data!C57),ISNUMBER($M21)),Data!C57/$M21,"")</f>
        <v/>
      </c>
      <c r="D21" s="344" t="str">
        <f>IF(AND(ISNUMBER(Data!D57),ISNUMBER($M21)),Data!D57/$M21,"")</f>
        <v/>
      </c>
      <c r="E21" s="344" t="str">
        <f>IF(AND(ISNUMBER(Data!E57),ISNUMBER($M21)),Data!E57/$M21,"")</f>
        <v/>
      </c>
      <c r="F21" s="344" t="str">
        <f>IF(AND(ISNUMBER(Data!F57),ISNUMBER($M21)),Data!F57/$M21,"")</f>
        <v/>
      </c>
      <c r="G21" s="344" t="str">
        <f>IF(AND(ISNUMBER(Data!G57),ISNUMBER($M21)),Data!G57/$M21,"")</f>
        <v/>
      </c>
      <c r="H21" s="344" t="str">
        <f>IF(AND(ISNUMBER(Data!H57),ISNUMBER($M21)),Data!H57/$M21,"")</f>
        <v/>
      </c>
      <c r="I21" s="344" t="str">
        <f>IF(AND(ISNUMBER(Data!I57),ISNUMBER($M21)),Data!I57/$M21,"")</f>
        <v/>
      </c>
      <c r="J21" s="344" t="str">
        <f>IF(AND(ISNUMBER(Data!J57),ISNUMBER($M21)),Data!J57/$M21,"")</f>
        <v/>
      </c>
      <c r="K21" s="344" t="str">
        <f>IF(AND(ISNUMBER(Data!K57),ISNUMBER($M21)),Data!K57/$M21,"")</f>
        <v/>
      </c>
      <c r="L21" s="346" t="str">
        <f t="shared" si="42"/>
        <v/>
      </c>
      <c r="M21" s="353">
        <f>SUM(I$217:J$217)</f>
        <v>0</v>
      </c>
      <c r="O21" s="353" t="str">
        <f>IF(L21="","",RANK(L21,$L$18:$L$32)+COUNTIF($L$18:L21,L21)-1)</f>
        <v/>
      </c>
      <c r="P21" s="347">
        <v>4</v>
      </c>
      <c r="Q21" s="353" t="str">
        <f t="shared" si="38"/>
        <v>Grade 8</v>
      </c>
      <c r="R21" s="346" t="str">
        <f>E$17</f>
        <v>Filipino</v>
      </c>
      <c r="S21" s="346">
        <f>E$33</f>
        <v>0.83654485049833882</v>
      </c>
      <c r="T21" s="353">
        <f>IF(S21="","",RANK(S21,$S$18:$S$32)+COUNTIF($S$18:S21,S21)-1)</f>
        <v>2</v>
      </c>
      <c r="U21" s="347">
        <f>IF(T21="","",4)</f>
        <v>4</v>
      </c>
      <c r="V21" s="353" t="str">
        <f t="shared" si="39"/>
        <v>Math</v>
      </c>
      <c r="W21" s="349">
        <f t="shared" si="40"/>
        <v>0.66046511627906979</v>
      </c>
      <c r="X21" s="349">
        <f t="shared" si="43"/>
        <v>66.05</v>
      </c>
      <c r="Z21" s="353" t="str">
        <f t="shared" si="41"/>
        <v/>
      </c>
      <c r="CA21" s="353" t="s">
        <v>804</v>
      </c>
    </row>
    <row r="22" spans="1:79">
      <c r="A22" s="357" t="s">
        <v>9</v>
      </c>
      <c r="B22" s="344" t="str">
        <f>IF(AND(ISNUMBER(Data!B58),ISNUMBER($M22)),Data!B58/$M22,"")</f>
        <v/>
      </c>
      <c r="C22" s="344" t="str">
        <f>IF(AND(ISNUMBER(Data!C58),ISNUMBER($M22)),Data!C58/$M22,"")</f>
        <v/>
      </c>
      <c r="D22" s="344" t="str">
        <f>IF(AND(ISNUMBER(Data!D58),ISNUMBER($M22)),Data!D58/$M22,"")</f>
        <v/>
      </c>
      <c r="E22" s="344" t="str">
        <f>IF(AND(ISNUMBER(Data!E58),ISNUMBER($M22)),Data!E58/$M22,"")</f>
        <v/>
      </c>
      <c r="F22" s="344" t="str">
        <f>IF(AND(ISNUMBER(Data!F58),ISNUMBER($M22)),Data!F58/$M22,"")</f>
        <v/>
      </c>
      <c r="G22" s="344" t="str">
        <f>IF(AND(ISNUMBER(Data!G58),ISNUMBER($M22)),Data!G58/$M22,"")</f>
        <v/>
      </c>
      <c r="H22" s="344" t="str">
        <f>IF(AND(ISNUMBER(Data!H58),ISNUMBER($M22)),Data!H58/$M22,"")</f>
        <v/>
      </c>
      <c r="I22" s="344" t="str">
        <f>IF(AND(ISNUMBER(Data!I58),ISNUMBER($M22)),Data!I58/$M22,"")</f>
        <v/>
      </c>
      <c r="J22" s="344" t="str">
        <f>IF(AND(ISNUMBER(Data!J58),ISNUMBER($M22)),Data!J58/$M22,"")</f>
        <v/>
      </c>
      <c r="K22" s="344" t="str">
        <f>IF(AND(ISNUMBER(Data!K58),ISNUMBER($M22)),Data!K58/$M22,"")</f>
        <v/>
      </c>
      <c r="L22" s="346" t="str">
        <f t="shared" si="42"/>
        <v/>
      </c>
      <c r="M22" s="353">
        <f>SUM(K$217:L$217)</f>
        <v>0</v>
      </c>
      <c r="O22" s="353" t="str">
        <f>IF(L22="","",RANK(L22,$L$18:$L$32)+COUNTIF($L$18:L22,L22)-1)</f>
        <v/>
      </c>
      <c r="P22" s="347">
        <v>5</v>
      </c>
      <c r="Q22" s="353" t="str">
        <f t="shared" si="38"/>
        <v>Grade 11</v>
      </c>
      <c r="R22" s="346" t="str">
        <f>F$17</f>
        <v>EPP/TLE</v>
      </c>
      <c r="S22" s="346">
        <f>F$33</f>
        <v>0</v>
      </c>
      <c r="T22" s="353">
        <f>IF(S22="","",RANK(S22,$S$18:$S$32)+COUNTIF($S$18:S22,S22)-1)</f>
        <v>9</v>
      </c>
      <c r="U22" s="347">
        <f>IF(T22="","",5)</f>
        <v>5</v>
      </c>
      <c r="V22" s="353" t="str">
        <f t="shared" si="39"/>
        <v>English</v>
      </c>
      <c r="W22" s="349">
        <f t="shared" si="40"/>
        <v>0.43920265780730899</v>
      </c>
      <c r="X22" s="349">
        <f t="shared" si="43"/>
        <v>43.92</v>
      </c>
      <c r="Z22" s="353" t="str">
        <f t="shared" si="41"/>
        <v/>
      </c>
      <c r="AA22" s="353">
        <v>1</v>
      </c>
      <c r="AB22" s="343"/>
      <c r="CA22" s="353" t="s">
        <v>799</v>
      </c>
    </row>
    <row r="23" spans="1:79">
      <c r="A23" s="357" t="s">
        <v>10</v>
      </c>
      <c r="B23" s="344" t="str">
        <f>IF(AND(ISNUMBER(Data!B59),ISNUMBER($M23)),Data!B59/$M23,"")</f>
        <v/>
      </c>
      <c r="C23" s="344" t="str">
        <f>IF(AND(ISNUMBER(Data!C59),ISNUMBER($M23)),Data!C59/$M23,"")</f>
        <v/>
      </c>
      <c r="D23" s="344" t="str">
        <f>IF(AND(ISNUMBER(Data!D59),ISNUMBER($M23)),Data!D59/$M23,"")</f>
        <v/>
      </c>
      <c r="E23" s="344" t="str">
        <f>IF(AND(ISNUMBER(Data!E59),ISNUMBER($M23)),Data!E59/$M23,"")</f>
        <v/>
      </c>
      <c r="F23" s="344" t="str">
        <f>IF(AND(ISNUMBER(Data!F59),ISNUMBER($M23)),Data!F59/$M23,"")</f>
        <v/>
      </c>
      <c r="G23" s="344" t="str">
        <f>IF(AND(ISNUMBER(Data!G59),ISNUMBER($M23)),Data!G59/$M23,"")</f>
        <v/>
      </c>
      <c r="H23" s="344" t="str">
        <f>IF(AND(ISNUMBER(Data!H59),ISNUMBER($M23)),Data!H59/$M23,"")</f>
        <v/>
      </c>
      <c r="I23" s="344" t="str">
        <f>IF(AND(ISNUMBER(Data!I59),ISNUMBER($M23)),Data!I59/$M23,"")</f>
        <v/>
      </c>
      <c r="J23" s="344" t="str">
        <f>IF(AND(ISNUMBER(Data!J59),ISNUMBER($M23)),Data!J59/$M23,"")</f>
        <v/>
      </c>
      <c r="K23" s="344" t="str">
        <f>IF(AND(ISNUMBER(Data!K59),ISNUMBER($M23)),Data!K59/$M23,"")</f>
        <v/>
      </c>
      <c r="L23" s="346" t="str">
        <f t="shared" si="42"/>
        <v/>
      </c>
      <c r="M23" s="353">
        <f>SUM(M$217:N$217)</f>
        <v>0</v>
      </c>
      <c r="O23" s="353" t="str">
        <f>IF(L23="","",RANK(L23,$L$18:$L$32)+COUNTIF($L$18:L23,L23)-1)</f>
        <v/>
      </c>
      <c r="P23" s="347">
        <v>6</v>
      </c>
      <c r="Q23" s="353" t="str">
        <f t="shared" si="38"/>
        <v>Grade 12</v>
      </c>
      <c r="R23" s="346" t="str">
        <f>G$17</f>
        <v>AP</v>
      </c>
      <c r="S23" s="346">
        <f>G$33</f>
        <v>0.39136212624584715</v>
      </c>
      <c r="T23" s="353">
        <f>IF(S23="","",RANK(S23,$S$18:$S$32)+COUNTIF($S$18:S23,S23)-1)</f>
        <v>7</v>
      </c>
      <c r="U23" s="347">
        <f>IF(T23="","",6)</f>
        <v>6</v>
      </c>
      <c r="V23" s="353" t="str">
        <f t="shared" si="39"/>
        <v>EsP</v>
      </c>
      <c r="W23" s="349">
        <f t="shared" si="40"/>
        <v>0.43122923588039869</v>
      </c>
      <c r="X23" s="349">
        <f t="shared" si="43"/>
        <v>43.12</v>
      </c>
      <c r="Z23" s="353" t="str">
        <f t="shared" si="41"/>
        <v/>
      </c>
      <c r="AA23" s="349" t="str">
        <f>IFERROR(INDEX($A$18:$A$31,MATCH(AA22,$O$18:$O$31,0)),"")</f>
        <v>Grade 9</v>
      </c>
    </row>
    <row r="24" spans="1:79">
      <c r="A24" s="357" t="s">
        <v>11</v>
      </c>
      <c r="B24" s="344" t="str">
        <f>IF(AND(ISNUMBER(Data!B60),ISNUMBER($M24)),Data!B60/$M24,"")</f>
        <v/>
      </c>
      <c r="C24" s="344" t="str">
        <f>IF(AND(ISNUMBER(Data!C60),ISNUMBER($M24)),Data!C60/$M24,"")</f>
        <v/>
      </c>
      <c r="D24" s="344" t="str">
        <f>IF(AND(ISNUMBER(Data!D60),ISNUMBER($M24)),Data!D60/$M24,"")</f>
        <v/>
      </c>
      <c r="E24" s="344" t="str">
        <f>IF(AND(ISNUMBER(Data!E60),ISNUMBER($M24)),Data!E60/$M24,"")</f>
        <v/>
      </c>
      <c r="F24" s="344" t="str">
        <f>IF(AND(ISNUMBER(Data!F60),ISNUMBER($M24)),Data!F60/$M24,"")</f>
        <v/>
      </c>
      <c r="G24" s="344" t="str">
        <f>IF(AND(ISNUMBER(Data!G60),ISNUMBER($M24)),Data!G60/$M24,"")</f>
        <v/>
      </c>
      <c r="H24" s="344" t="str">
        <f>IF(AND(ISNUMBER(Data!H60),ISNUMBER($M24)),Data!H60/$M24,"")</f>
        <v/>
      </c>
      <c r="I24" s="344" t="str">
        <f>IF(AND(ISNUMBER(Data!I60),ISNUMBER($M24)),Data!I60/$M24,"")</f>
        <v/>
      </c>
      <c r="J24" s="344" t="str">
        <f>IF(AND(ISNUMBER(Data!J60),ISNUMBER($M24)),Data!J60/$M24,"")</f>
        <v/>
      </c>
      <c r="K24" s="344" t="str">
        <f>IF(AND(ISNUMBER(Data!K60),ISNUMBER($M24)),Data!K60/$M24,"")</f>
        <v/>
      </c>
      <c r="L24" s="346" t="str">
        <f t="shared" si="42"/>
        <v/>
      </c>
      <c r="M24" s="353">
        <f>SUM(O$217:P$217)</f>
        <v>0</v>
      </c>
      <c r="O24" s="353" t="str">
        <f>IF(L24="","",RANK(L24,$L$18:$L$32)+COUNTIF($L$18:L24,L24)-1)</f>
        <v/>
      </c>
      <c r="P24" s="347">
        <v>7</v>
      </c>
      <c r="Q24" s="353" t="str">
        <f t="shared" si="38"/>
        <v/>
      </c>
      <c r="R24" s="346" t="str">
        <f>H$17</f>
        <v>EsP</v>
      </c>
      <c r="S24" s="346">
        <f>H$33</f>
        <v>0.43122923588039869</v>
      </c>
      <c r="T24" s="353">
        <f>IF(S24="","",RANK(S24,$S$18:$S$32)+COUNTIF($S$18:S24,S24)-1)</f>
        <v>6</v>
      </c>
      <c r="U24" s="347">
        <f>IF(T24="","",7)</f>
        <v>7</v>
      </c>
      <c r="V24" s="353" t="str">
        <f t="shared" si="39"/>
        <v>AP</v>
      </c>
      <c r="W24" s="349">
        <f t="shared" si="40"/>
        <v>0.39136212624584715</v>
      </c>
      <c r="X24" s="349">
        <f t="shared" si="43"/>
        <v>39.14</v>
      </c>
      <c r="Z24" s="353" t="str">
        <f t="shared" si="41"/>
        <v/>
      </c>
      <c r="AA24" s="353">
        <f>IFERROR(INDEX($L$18:$L$31,MATCH(AA23,$A$18:$A$31,0)),"")</f>
        <v>0.88708951866846608</v>
      </c>
    </row>
    <row r="25" spans="1:79">
      <c r="A25" s="357" t="s">
        <v>953</v>
      </c>
      <c r="B25" s="344" t="str">
        <f>IF(AND(ISNUMBER(Data!B61),ISNUMBER($M25)),Data!B61/$M25,"")</f>
        <v/>
      </c>
      <c r="C25" s="344" t="str">
        <f>IF(AND(ISNUMBER(Data!C61),ISNUMBER($M25)),Data!C61/$M25,"")</f>
        <v/>
      </c>
      <c r="D25" s="344" t="str">
        <f>IF(AND(ISNUMBER(Data!D61),ISNUMBER($M25)),Data!D61/$M25,"")</f>
        <v/>
      </c>
      <c r="E25" s="344" t="str">
        <f>IF(AND(ISNUMBER(Data!E61),ISNUMBER($M25)),Data!E61/$M25,"")</f>
        <v/>
      </c>
      <c r="F25" s="344" t="str">
        <f>IF(AND(ISNUMBER(Data!F61),ISNUMBER($M25)),Data!F61/$M25,"")</f>
        <v/>
      </c>
      <c r="G25" s="344" t="str">
        <f>IF(AND(ISNUMBER(Data!G61),ISNUMBER($M25)),Data!G61/$M25,"")</f>
        <v/>
      </c>
      <c r="H25" s="344" t="str">
        <f>IF(AND(ISNUMBER(Data!H61),ISNUMBER($M25)),Data!H61/$M25,"")</f>
        <v/>
      </c>
      <c r="I25" s="344" t="str">
        <f>IF(AND(ISNUMBER(Data!I61),ISNUMBER($M25)),Data!I61/$M25,"")</f>
        <v/>
      </c>
      <c r="J25" s="344" t="str">
        <f>IF(AND(ISNUMBER(Data!J61),ISNUMBER($M25)),Data!J61/$M25,"")</f>
        <v/>
      </c>
      <c r="K25" s="344" t="str">
        <f>IF(AND(ISNUMBER(Data!K61),ISNUMBER($M25)),Data!K61/$M25,"")</f>
        <v/>
      </c>
      <c r="L25" s="346" t="str">
        <f t="shared" si="42"/>
        <v/>
      </c>
      <c r="M25" s="353">
        <f>SUM(Q$217:R$217)</f>
        <v>0</v>
      </c>
      <c r="O25" s="353" t="str">
        <f>IF(L25="","",RANK(L25,$L$18:$L$32)+COUNTIF($L$18:L25,L25)-1)</f>
        <v/>
      </c>
      <c r="P25" s="347">
        <v>8</v>
      </c>
      <c r="Q25" s="353" t="str">
        <f t="shared" si="38"/>
        <v/>
      </c>
      <c r="R25" s="346" t="str">
        <f>I$17</f>
        <v>MAPEH</v>
      </c>
      <c r="S25" s="346">
        <f>I$33</f>
        <v>1.5554817275747508</v>
      </c>
      <c r="T25" s="353">
        <f>IF(S25="","",RANK(S25,$S$18:$S$32)+COUNTIF($S$18:S25,S25)-1)</f>
        <v>1</v>
      </c>
      <c r="U25" s="347">
        <f>IF(T25="","",8)</f>
        <v>8</v>
      </c>
      <c r="V25" s="353" t="str">
        <f t="shared" si="39"/>
        <v>Reading</v>
      </c>
      <c r="W25" s="349">
        <f t="shared" si="40"/>
        <v>1.6611295681063124E-2</v>
      </c>
      <c r="X25" s="349">
        <f t="shared" si="43"/>
        <v>1.66</v>
      </c>
      <c r="Z25" s="353" t="str">
        <f t="shared" si="41"/>
        <v/>
      </c>
      <c r="AA25" s="349">
        <f>IF(AA24="","",ROUND(AA24*100,2))</f>
        <v>88.71</v>
      </c>
    </row>
    <row r="26" spans="1:79">
      <c r="A26" s="357" t="s">
        <v>811</v>
      </c>
      <c r="B26" s="344" t="str">
        <f>IF(AND(ISNUMBER(Data!B62),ISNUMBER($M26)),Data!B62/$M26,"")</f>
        <v/>
      </c>
      <c r="C26" s="344" t="str">
        <f>IF(AND(ISNUMBER(Data!C62),ISNUMBER($M26)),Data!C62/$M26,"")</f>
        <v/>
      </c>
      <c r="D26" s="344" t="str">
        <f>IF(AND(ISNUMBER(Data!D62),ISNUMBER($M26)),Data!D62/$M26,"")</f>
        <v/>
      </c>
      <c r="E26" s="344" t="str">
        <f>IF(AND(ISNUMBER(Data!E62),ISNUMBER($M26)),Data!E62/$M26,"")</f>
        <v/>
      </c>
      <c r="F26" s="344" t="str">
        <f>IF(AND(ISNUMBER(Data!F62),ISNUMBER($M26)),Data!F62/$M26,"")</f>
        <v/>
      </c>
      <c r="G26" s="344" t="str">
        <f>IF(AND(ISNUMBER(Data!G62),ISNUMBER($M26)),Data!G62/$M26,"")</f>
        <v/>
      </c>
      <c r="H26" s="344" t="str">
        <f>IF(AND(ISNUMBER(Data!H62),ISNUMBER($M26)),Data!H62/$M26,"")</f>
        <v/>
      </c>
      <c r="I26" s="344" t="str">
        <f>IF(AND(ISNUMBER(Data!I62),ISNUMBER($M26)),Data!I62/$M26,"")</f>
        <v/>
      </c>
      <c r="J26" s="344" t="str">
        <f>IF(AND(ISNUMBER(Data!J62),ISNUMBER($M26)),Data!J62/$M26,"")</f>
        <v/>
      </c>
      <c r="K26" s="344" t="str">
        <f>IF(AND(ISNUMBER(Data!K62),ISNUMBER($M26)),Data!K62/$M26,"")</f>
        <v/>
      </c>
      <c r="L26" s="346" t="str">
        <f t="shared" si="42"/>
        <v/>
      </c>
      <c r="M26" s="353">
        <f>SUM(S$217:T$217)</f>
        <v>0</v>
      </c>
      <c r="O26" s="353" t="str">
        <f>IF(L26="","",RANK(L26,$L$18:$L$32)+COUNTIF($L$18:L26,L26)-1)</f>
        <v/>
      </c>
      <c r="P26" s="347">
        <v>9</v>
      </c>
      <c r="Q26" s="353" t="str">
        <f t="shared" si="38"/>
        <v/>
      </c>
      <c r="R26" s="346" t="str">
        <f>J$17</f>
        <v>MTB</v>
      </c>
      <c r="S26" s="346" t="str">
        <f>J$33</f>
        <v/>
      </c>
      <c r="T26" s="353" t="str">
        <f>IF(S26="","",RANK(S26,$S$18:$S$32)+COUNTIF($S$18:S26,S26)-1)</f>
        <v/>
      </c>
      <c r="U26" s="347" t="str">
        <f>IF(T26="","",9)</f>
        <v/>
      </c>
      <c r="V26" s="353" t="str">
        <f t="shared" si="39"/>
        <v/>
      </c>
      <c r="W26" s="349" t="str">
        <f t="shared" si="40"/>
        <v/>
      </c>
      <c r="X26" s="349" t="str">
        <f t="shared" si="43"/>
        <v/>
      </c>
      <c r="Z26" s="353" t="str">
        <f t="shared" si="41"/>
        <v/>
      </c>
    </row>
    <row r="27" spans="1:79">
      <c r="A27" s="357" t="s">
        <v>12</v>
      </c>
      <c r="B27" s="344">
        <f>IF(AND(ISNUMBER(Data!B63),ISNUMBER($M27)),Data!B63/$M27,"")</f>
        <v>1.043956043956044</v>
      </c>
      <c r="C27" s="344">
        <f>IF(AND(ISNUMBER(Data!C63),ISNUMBER($M27)),Data!C63/$M27,"")</f>
        <v>0.73901098901098905</v>
      </c>
      <c r="D27" s="344">
        <f>IF(AND(ISNUMBER(Data!D63),ISNUMBER($M27)),Data!D63/$M27,"")</f>
        <v>1.3434065934065933</v>
      </c>
      <c r="E27" s="344">
        <f>IF(AND(ISNUMBER(Data!E63),ISNUMBER($M27)),Data!E63/$M27,"")</f>
        <v>0.79395604395604391</v>
      </c>
      <c r="F27" s="344">
        <f>IF(AND(ISNUMBER(Data!F63),ISNUMBER($M27)),Data!F63/$M27,"")</f>
        <v>0</v>
      </c>
      <c r="G27" s="344">
        <f>IF(AND(ISNUMBER(Data!G63),ISNUMBER($M27)),Data!G63/$M27,"")</f>
        <v>0.39560439560439559</v>
      </c>
      <c r="H27" s="344">
        <f>IF(AND(ISNUMBER(Data!H63),ISNUMBER($M27)),Data!H63/$M27,"")</f>
        <v>0.50824175824175821</v>
      </c>
      <c r="I27" s="344">
        <f>IF(AND(ISNUMBER(Data!I63),ISNUMBER($M27)),Data!I63/$M27,"")</f>
        <v>2.1785714285714284</v>
      </c>
      <c r="J27" s="344" t="str">
        <f>IF(AND(ISNUMBER(Data!J63),ISNUMBER($M27)),Data!J63/$M27,"")</f>
        <v/>
      </c>
      <c r="K27" s="344">
        <f>IF(AND(ISNUMBER(Data!K63),ISNUMBER($M27)),Data!K63/$M27,"")</f>
        <v>6.8681318681318687E-2</v>
      </c>
      <c r="L27" s="346">
        <f t="shared" si="42"/>
        <v>0.78571428571428559</v>
      </c>
      <c r="M27" s="353">
        <f>SUM(U$217:V$217)</f>
        <v>364</v>
      </c>
      <c r="O27" s="353">
        <f>IF(L27="","",RANK(L27,$L$18:$L$32)+COUNTIF($L$18:L27,L27)-1)</f>
        <v>2</v>
      </c>
      <c r="P27" s="347">
        <v>10</v>
      </c>
      <c r="Q27" s="353" t="str">
        <f t="shared" si="38"/>
        <v/>
      </c>
      <c r="R27" s="346" t="str">
        <f>K$17</f>
        <v>Reading</v>
      </c>
      <c r="S27" s="346">
        <f>K$33</f>
        <v>1.6611295681063124E-2</v>
      </c>
      <c r="T27" s="353">
        <f>IF(S27="","",RANK(S27,$S$18:$S$32)+COUNTIF($S$18:S27,S27)-1)</f>
        <v>8</v>
      </c>
      <c r="U27" s="347">
        <f>IF(T27="","",10)</f>
        <v>10</v>
      </c>
      <c r="V27" s="353" t="e">
        <f t="shared" si="39"/>
        <v>#N/A</v>
      </c>
      <c r="W27" s="349" t="e">
        <f t="shared" si="40"/>
        <v>#N/A</v>
      </c>
      <c r="X27" s="349" t="e">
        <f>IF(W27="","",ROUND(W27*100,2))</f>
        <v>#N/A</v>
      </c>
    </row>
    <row r="28" spans="1:79">
      <c r="A28" s="357" t="s">
        <v>13</v>
      </c>
      <c r="B28" s="344">
        <f>IF(AND(ISNUMBER(Data!B64),ISNUMBER($M28)),Data!B64/$M28,"")</f>
        <v>0</v>
      </c>
      <c r="C28" s="344">
        <f>IF(AND(ISNUMBER(Data!C64),ISNUMBER($M28)),Data!C64/$M28,"")</f>
        <v>0.71475409836065573</v>
      </c>
      <c r="D28" s="344">
        <f>IF(AND(ISNUMBER(Data!D64),ISNUMBER($M28)),Data!D64/$M28,"")</f>
        <v>0.13770491803278689</v>
      </c>
      <c r="E28" s="344">
        <f>IF(AND(ISNUMBER(Data!E64),ISNUMBER($M28)),Data!E64/$M28,"")</f>
        <v>0.71803278688524586</v>
      </c>
      <c r="F28" s="344">
        <f>IF(AND(ISNUMBER(Data!F64),ISNUMBER($M28)),Data!F64/$M28,"")</f>
        <v>0</v>
      </c>
      <c r="G28" s="344">
        <f>IF(AND(ISNUMBER(Data!G64),ISNUMBER($M28)),Data!G64/$M28,"")</f>
        <v>0.21311475409836064</v>
      </c>
      <c r="H28" s="344">
        <f>IF(AND(ISNUMBER(Data!H64),ISNUMBER($M28)),Data!H64/$M28,"")</f>
        <v>0.55081967213114758</v>
      </c>
      <c r="I28" s="344">
        <f>IF(AND(ISNUMBER(Data!I64),ISNUMBER($M28)),Data!I64/$M28,"")</f>
        <v>2.0262295081967214</v>
      </c>
      <c r="J28" s="344" t="str">
        <f>IF(AND(ISNUMBER(Data!J64),ISNUMBER($M28)),Data!J64/$M28,"")</f>
        <v/>
      </c>
      <c r="K28" s="344">
        <f>IF(AND(ISNUMBER(Data!K64),ISNUMBER($M28)),Data!K64/$M28,"")</f>
        <v>0</v>
      </c>
      <c r="L28" s="346">
        <f t="shared" si="42"/>
        <v>0.48451730418943545</v>
      </c>
      <c r="M28" s="353">
        <f>SUM(W$217:X$217)</f>
        <v>305</v>
      </c>
      <c r="O28" s="353">
        <f>IF(L28="","",RANK(L28,$L$18:$L$32)+COUNTIF($L$18:L28,L28)-1)</f>
        <v>4</v>
      </c>
      <c r="P28" s="347">
        <v>11</v>
      </c>
      <c r="Q28" s="353" t="str">
        <f t="shared" si="38"/>
        <v/>
      </c>
      <c r="R28" s="346"/>
      <c r="S28" s="346"/>
      <c r="U28" s="347"/>
      <c r="W28" s="349"/>
      <c r="X28" s="349"/>
    </row>
    <row r="29" spans="1:79">
      <c r="A29" s="357" t="s">
        <v>14</v>
      </c>
      <c r="B29" s="344">
        <f>IF(AND(ISNUMBER(Data!B65),ISNUMBER($M29)),Data!B65/$M29,"")</f>
        <v>0.43724696356275305</v>
      </c>
      <c r="C29" s="344">
        <f>IF(AND(ISNUMBER(Data!C65),ISNUMBER($M29)),Data!C65/$M29,"")</f>
        <v>0.54655870445344135</v>
      </c>
      <c r="D29" s="344">
        <f>IF(AND(ISNUMBER(Data!D65),ISNUMBER($M29)),Data!D65/$M29,"")</f>
        <v>1.6680161943319838</v>
      </c>
      <c r="E29" s="344">
        <f>IF(AND(ISNUMBER(Data!E65),ISNUMBER($M29)),Data!E65/$M29,"")</f>
        <v>0.93927125506072873</v>
      </c>
      <c r="F29" s="344">
        <f>IF(AND(ISNUMBER(Data!F65),ISNUMBER($M29)),Data!F65/$M29,"")</f>
        <v>0</v>
      </c>
      <c r="G29" s="344">
        <f>IF(AND(ISNUMBER(Data!G65),ISNUMBER($M29)),Data!G65/$M29,"")</f>
        <v>0.99595141700404854</v>
      </c>
      <c r="H29" s="344">
        <f>IF(AND(ISNUMBER(Data!H65),ISNUMBER($M29)),Data!H65/$M29,"")</f>
        <v>0.99595141700404854</v>
      </c>
      <c r="I29" s="344">
        <f>IF(AND(ISNUMBER(Data!I65),ISNUMBER($M29)),Data!I65/$M29,"")</f>
        <v>2.4008097165991904</v>
      </c>
      <c r="J29" s="344" t="str">
        <f>IF(AND(ISNUMBER(Data!J65),ISNUMBER($M29)),Data!J65/$M29,"")</f>
        <v/>
      </c>
      <c r="K29" s="344">
        <f>IF(AND(ISNUMBER(Data!K65),ISNUMBER($M29)),Data!K65/$M29,"")</f>
        <v>0</v>
      </c>
      <c r="L29" s="346">
        <f t="shared" si="42"/>
        <v>0.88708951866846608</v>
      </c>
      <c r="M29" s="353">
        <f>SUM(Y$217:Z$217)</f>
        <v>247</v>
      </c>
      <c r="O29" s="353">
        <f>IF(L29="","",RANK(L29,$L$18:$L$32)+COUNTIF($L$18:L29,L29)-1)</f>
        <v>1</v>
      </c>
      <c r="P29" s="347">
        <v>12</v>
      </c>
      <c r="Q29" s="353" t="str">
        <f t="shared" si="38"/>
        <v/>
      </c>
    </row>
    <row r="30" spans="1:79">
      <c r="A30" s="357" t="s">
        <v>15</v>
      </c>
      <c r="B30" s="344">
        <f>IF(AND(ISNUMBER(Data!B66),ISNUMBER($M30)),Data!B66/$M30,"")</f>
        <v>0.77828054298642535</v>
      </c>
      <c r="C30" s="344">
        <f>IF(AND(ISNUMBER(Data!C66),ISNUMBER($M30)),Data!C66/$M30,"")</f>
        <v>0.93665158371040724</v>
      </c>
      <c r="D30" s="344">
        <f>IF(AND(ISNUMBER(Data!D66),ISNUMBER($M30)),Data!D66/$M30,"")</f>
        <v>0.74660633484162897</v>
      </c>
      <c r="E30" s="344">
        <f>IF(AND(ISNUMBER(Data!E66),ISNUMBER($M30)),Data!E66/$M30,"")</f>
        <v>0.58371040723981904</v>
      </c>
      <c r="F30" s="344">
        <f>IF(AND(ISNUMBER(Data!F66),ISNUMBER($M30)),Data!F66/$M30,"")</f>
        <v>0</v>
      </c>
      <c r="G30" s="344">
        <f>IF(AND(ISNUMBER(Data!G66),ISNUMBER($M30)),Data!G66/$M30,"")</f>
        <v>0.60633484162895923</v>
      </c>
      <c r="H30" s="344">
        <f>IF(AND(ISNUMBER(Data!H66),ISNUMBER($M30)),Data!H66/$M30,"")</f>
        <v>0.22624434389140272</v>
      </c>
      <c r="I30" s="344">
        <f>IF(AND(ISNUMBER(Data!I66),ISNUMBER($M30)),Data!I66/$M30,"")</f>
        <v>1.5248868778280542</v>
      </c>
      <c r="J30" s="344" t="str">
        <f>IF(AND(ISNUMBER(Data!J66),ISNUMBER($M30)),Data!J66/$M30,"")</f>
        <v/>
      </c>
      <c r="K30" s="344">
        <f>IF(AND(ISNUMBER(Data!K66),ISNUMBER($M30)),Data!K66/$M30,"")</f>
        <v>0</v>
      </c>
      <c r="L30" s="346">
        <f t="shared" si="42"/>
        <v>0.60030165912518862</v>
      </c>
      <c r="M30" s="353">
        <f>SUM(AA$217:AB$217)</f>
        <v>221</v>
      </c>
      <c r="O30" s="353">
        <f>IF(L30="","",RANK(L30,$L$18:$L$32)+COUNTIF($L$18:L30,L30)-1)</f>
        <v>3</v>
      </c>
      <c r="P30" s="347">
        <v>13</v>
      </c>
      <c r="Q30" s="353" t="str">
        <f t="shared" si="38"/>
        <v/>
      </c>
    </row>
    <row r="31" spans="1:79">
      <c r="A31" s="357" t="s">
        <v>16</v>
      </c>
      <c r="B31" s="344">
        <f>IF(AND(ISNUMBER(Data!B67),ISNUMBER($M31)),Data!B67/$M31,"")</f>
        <v>4.830917874396135E-3</v>
      </c>
      <c r="C31" s="344">
        <f>IF(AND(ISNUMBER(Data!C67),ISNUMBER($M31)),Data!C67/$M31,"")</f>
        <v>0.79710144927536231</v>
      </c>
      <c r="D31" s="344">
        <f>IF(AND(ISNUMBER(Data!D67),ISNUMBER($M31)),Data!D67/$M31,"")</f>
        <v>0</v>
      </c>
      <c r="E31" s="344">
        <f>IF(AND(ISNUMBER(Data!E67),ISNUMBER($M31)),Data!E67/$M31,"")</f>
        <v>0.96618357487922701</v>
      </c>
      <c r="F31" s="344">
        <f>IF(AND(ISNUMBER(Data!F67),ISNUMBER($M31)),Data!F67/$M31,"")</f>
        <v>0</v>
      </c>
      <c r="G31" s="344">
        <f>IF(AND(ISNUMBER(Data!G67),ISNUMBER($M31)),Data!G67/$M31,"")</f>
        <v>0</v>
      </c>
      <c r="H31" s="344">
        <f>IF(AND(ISNUMBER(Data!H67),ISNUMBER($M31)),Data!H67/$M31,"")</f>
        <v>0</v>
      </c>
      <c r="I31" s="344">
        <f>IF(AND(ISNUMBER(Data!I67),ISNUMBER($M31)),Data!I67/$M31,"")</f>
        <v>0</v>
      </c>
      <c r="J31" s="344" t="str">
        <f>IF(AND(ISNUMBER(Data!J67),ISNUMBER($M31)),Data!J67/$M31,"")</f>
        <v/>
      </c>
      <c r="K31" s="344">
        <f>IF(AND(ISNUMBER(Data!K67),ISNUMBER($M31)),Data!K67/$M31,"")</f>
        <v>0</v>
      </c>
      <c r="L31" s="346">
        <f t="shared" si="42"/>
        <v>0.19645732689210949</v>
      </c>
      <c r="M31" s="353">
        <f>SUM(AC$217:AD$217)</f>
        <v>207</v>
      </c>
      <c r="O31" s="353">
        <f>IF(L31="","",RANK(L31,$L$18:$L$32)+COUNTIF($L$18:L31,L31)-1)</f>
        <v>5</v>
      </c>
      <c r="P31" s="347">
        <v>14</v>
      </c>
      <c r="Q31" s="353" t="str">
        <f t="shared" si="38"/>
        <v/>
      </c>
    </row>
    <row r="32" spans="1:79">
      <c r="A32" s="357" t="s">
        <v>17</v>
      </c>
      <c r="B32" s="344">
        <f>IF(AND(ISNUMBER(Data!B68),ISNUMBER($M32)),Data!B68/$M32,"")</f>
        <v>0</v>
      </c>
      <c r="C32" s="344">
        <f>IF(AND(ISNUMBER(Data!C68),ISNUMBER($M32)),Data!C68/$M32,"")</f>
        <v>0</v>
      </c>
      <c r="D32" s="344">
        <f>IF(AND(ISNUMBER(Data!D68),ISNUMBER($M32)),Data!D68/$M32,"")</f>
        <v>0</v>
      </c>
      <c r="E32" s="344">
        <f>IF(AND(ISNUMBER(Data!E68),ISNUMBER($M32)),Data!E68/$M32,"")</f>
        <v>1.1801242236024845</v>
      </c>
      <c r="F32" s="344">
        <f>IF(AND(ISNUMBER(Data!F68),ISNUMBER($M32)),Data!F68/$M32,"")</f>
        <v>0</v>
      </c>
      <c r="G32" s="344">
        <f>IF(AND(ISNUMBER(Data!G68),ISNUMBER($M32)),Data!G68/$M32,"")</f>
        <v>0</v>
      </c>
      <c r="H32" s="344">
        <f>IF(AND(ISNUMBER(Data!H68),ISNUMBER($M32)),Data!H68/$M32,"")</f>
        <v>0</v>
      </c>
      <c r="I32" s="344">
        <f>IF(AND(ISNUMBER(Data!I68),ISNUMBER($M32)),Data!I68/$M32,"")</f>
        <v>0</v>
      </c>
      <c r="J32" s="344" t="str">
        <f>IF(AND(ISNUMBER(Data!J68),ISNUMBER($M32)),Data!J68/$M32,"")</f>
        <v/>
      </c>
      <c r="K32" s="344">
        <f>IF(AND(ISNUMBER(Data!K68),ISNUMBER($M32)),Data!K68/$M32,"")</f>
        <v>0</v>
      </c>
      <c r="L32" s="346">
        <f t="shared" si="42"/>
        <v>0.13112491373360938</v>
      </c>
      <c r="M32" s="353">
        <f>SUM(AE$217:AF$217)</f>
        <v>161</v>
      </c>
      <c r="O32" s="353">
        <f>IF(L32="","",RANK(L32,$L$18:$L$32)+COUNTIF($L$18:L32,L32)-1)</f>
        <v>6</v>
      </c>
      <c r="P32" s="347">
        <v>15</v>
      </c>
      <c r="Q32" s="353" t="str">
        <f t="shared" si="38"/>
        <v/>
      </c>
    </row>
    <row r="33" spans="1:18">
      <c r="A33" s="357" t="s">
        <v>100</v>
      </c>
      <c r="B33" s="344">
        <f>IF(AND(ISNUMBER(Data!B69),ISNUMBER($M33)),Data!B69/$M33,"")</f>
        <v>0.43920265780730899</v>
      </c>
      <c r="C33" s="344">
        <f>IF(AND(ISNUMBER(Data!C69),ISNUMBER($M33)),Data!C69/$M33,"")</f>
        <v>0.66046511627906979</v>
      </c>
      <c r="D33" s="344">
        <f>IF(AND(ISNUMBER(Data!D69),ISNUMBER($M33)),Data!D69/$M33,"")</f>
        <v>0.73621262458471759</v>
      </c>
      <c r="E33" s="344">
        <f>IF(AND(ISNUMBER(Data!E69),ISNUMBER($M33)),Data!E69/$M33,"")</f>
        <v>0.83654485049833882</v>
      </c>
      <c r="F33" s="344">
        <f>IF(AND(ISNUMBER(Data!F69),ISNUMBER($M33)),Data!F69/$M33,"")</f>
        <v>0</v>
      </c>
      <c r="G33" s="344">
        <f>IF(AND(ISNUMBER(Data!G69),ISNUMBER($M33)),Data!G69/$M33,"")</f>
        <v>0.39136212624584715</v>
      </c>
      <c r="H33" s="344">
        <f>IF(AND(ISNUMBER(Data!H69),ISNUMBER($M33)),Data!H69/$M33,"")</f>
        <v>0.43122923588039869</v>
      </c>
      <c r="I33" s="344">
        <f>IF(AND(ISNUMBER(Data!I69),ISNUMBER($M33)),Data!I69/$M33,"")</f>
        <v>1.5554817275747508</v>
      </c>
      <c r="J33" s="344" t="str">
        <f>IF(AND(ISNUMBER(Data!J69),ISNUMBER($M33)),Data!J69/$M33,"")</f>
        <v/>
      </c>
      <c r="K33" s="344">
        <f>IF(AND(ISNUMBER(Data!K69),ISNUMBER($M33)),Data!K69/$M33,"")</f>
        <v>1.6611295681063124E-2</v>
      </c>
      <c r="L33" s="346">
        <f>IF(SUM(L18:L32)&lt;0.001,"",AVERAGE(L18:L32))</f>
        <v>0.51420083472051581</v>
      </c>
      <c r="M33" s="353">
        <f>SUM(M18:M32)</f>
        <v>1505</v>
      </c>
    </row>
    <row r="34" spans="1:18">
      <c r="A34" s="357" t="s">
        <v>219</v>
      </c>
      <c r="J34" s="348"/>
    </row>
    <row r="35" spans="1:18" ht="24.75" customHeight="1">
      <c r="A35" s="343" t="s">
        <v>86</v>
      </c>
    </row>
    <row r="36" spans="1:18">
      <c r="B36" s="353" t="s">
        <v>241</v>
      </c>
      <c r="C36" s="353" t="s">
        <v>219</v>
      </c>
      <c r="D36" s="353" t="s">
        <v>242</v>
      </c>
      <c r="G36" s="353" t="s">
        <v>103</v>
      </c>
    </row>
    <row r="37" spans="1:18">
      <c r="A37" s="353" t="str">
        <f>Data!A90</f>
        <v>Bachelor's Degree</v>
      </c>
      <c r="B37" s="353">
        <f>IF(Data!F90="","",Data!F90)</f>
        <v>20</v>
      </c>
      <c r="C37" s="353">
        <f>IF(B37="","",RANK(B37,$B$37:$B$44)+COUNTIF($B$37:B37,B37)-1)</f>
        <v>2</v>
      </c>
      <c r="D37" s="353">
        <v>1</v>
      </c>
      <c r="E37" s="354" t="str">
        <f>IF(C37="","",INDEX($A$37:$A$41,MATCH(D37,$C$37:$C$41,0)))</f>
        <v>Master's Degree (Units)</v>
      </c>
      <c r="F37" s="354">
        <f>IF(B37="","",INDEX($B$37:$B$41,MATCH(D37,$C$37:$C$41,0)))</f>
        <v>34</v>
      </c>
    </row>
    <row r="38" spans="1:18">
      <c r="A38" s="353" t="str">
        <f>Data!A91</f>
        <v>Master's Degree (Units)</v>
      </c>
      <c r="B38" s="353">
        <f>IF(Data!F91="","",Data!F91)</f>
        <v>34</v>
      </c>
      <c r="C38" s="353">
        <f>IF(B38="","",RANK(B38,$B$37:$B$44)+COUNTIF($B$37:B38,B38)-1)</f>
        <v>1</v>
      </c>
      <c r="D38" s="353">
        <v>2</v>
      </c>
      <c r="E38" s="354" t="str">
        <f>IF(C38="","",INDEX($A$37:$A$41,MATCH(D38,$C$37:$C$41,0)))</f>
        <v>Bachelor's Degree</v>
      </c>
      <c r="F38" s="354">
        <f>IF(B38="","",INDEX($B$37:$B$41,MATCH(D38,$C$37:$C$41,0)))</f>
        <v>20</v>
      </c>
    </row>
    <row r="39" spans="1:18">
      <c r="A39" s="353" t="str">
        <f>Data!A92</f>
        <v>Master's Degree</v>
      </c>
      <c r="B39" s="353">
        <f>IF(Data!F92="","",Data!F92)</f>
        <v>1</v>
      </c>
      <c r="C39" s="353">
        <f>IF(B39="","",RANK(B39,$B$37:$B$44)+COUNTIF($B$37:B39,B39)-1)</f>
        <v>4</v>
      </c>
      <c r="D39" s="353">
        <v>3</v>
      </c>
      <c r="E39" s="354" t="str">
        <f>IF(C39="","",INDEX($A$37:$A$41,MATCH(D39,$C$37:$C$41,0)))</f>
        <v>Doctorate Degree (Units)</v>
      </c>
      <c r="F39" s="354">
        <f>IF(B39="","",INDEX($B$37:$B$41,MATCH(D39,$C$37:$C$41,0)))</f>
        <v>2</v>
      </c>
      <c r="G39" s="353">
        <f>MAX(F$37:F$41)</f>
        <v>34</v>
      </c>
      <c r="H39" s="353" t="str">
        <f>IFERROR(INDEX($E$37:$E$41,MATCH(G39,$F$37:$F$41,0)),"")</f>
        <v>Master's Degree (Units)</v>
      </c>
      <c r="I39" s="353">
        <f>SUM(B37:B41)</f>
        <v>57</v>
      </c>
      <c r="J39" s="353">
        <f>IF(G39=0,"",IF(OR(ISNUMBER(G39),ISNUMBER(I39)),ROUND(G39/I39*100,2),""))</f>
        <v>59.65</v>
      </c>
    </row>
    <row r="40" spans="1:18">
      <c r="A40" s="353" t="str">
        <f>Data!A93</f>
        <v>Doctorate Degree (Units)</v>
      </c>
      <c r="B40" s="353">
        <f>IF(Data!F93="","",Data!F93)</f>
        <v>2</v>
      </c>
      <c r="C40" s="353">
        <f>IF(B40="","",RANK(B40,$B$37:$B$44)+COUNTIF($B$37:B40,B40)-1)</f>
        <v>3</v>
      </c>
      <c r="D40" s="353">
        <v>4</v>
      </c>
      <c r="E40" s="354" t="str">
        <f>IF(C40="","",INDEX($A$37:$A$41,MATCH(D40,$C$37:$C$41,0)))</f>
        <v>Master's Degree</v>
      </c>
      <c r="F40" s="354">
        <f>IF(B40="","",INDEX($B$37:$B$41,MATCH(D40,$C$37:$C$41,0)))</f>
        <v>1</v>
      </c>
    </row>
    <row r="41" spans="1:18">
      <c r="A41" s="353" t="str">
        <f>Data!A94</f>
        <v>Doctorate Degree</v>
      </c>
      <c r="B41" s="353">
        <f>IF(Data!F94="","",Data!F94)</f>
        <v>0</v>
      </c>
      <c r="C41" s="353">
        <f>IF(B41="","",RANK(B41,$B$37:$B$44)+COUNTIF($B$37:B41,B41)-1)</f>
        <v>5</v>
      </c>
      <c r="D41" s="353">
        <v>5</v>
      </c>
      <c r="E41" s="354" t="str">
        <f>IF(C41="","",INDEX($A$37:$A$41,MATCH(D41,$C$37:$C$41,0)))</f>
        <v>Doctorate Degree</v>
      </c>
      <c r="F41" s="354">
        <f>IF(B41="","",INDEX($B$37:$B$41,MATCH(D41,$C$37:$C$41,0)))</f>
        <v>0</v>
      </c>
    </row>
    <row r="42" spans="1:18">
      <c r="E42" s="354"/>
      <c r="F42" s="354"/>
    </row>
    <row r="43" spans="1:18">
      <c r="E43" s="354"/>
      <c r="F43" s="354"/>
    </row>
    <row r="44" spans="1:18">
      <c r="E44" s="354"/>
      <c r="F44" s="354"/>
    </row>
    <row r="45" spans="1:18">
      <c r="F45" s="354"/>
      <c r="K45" s="353">
        <v>1</v>
      </c>
      <c r="L45" s="353">
        <v>2</v>
      </c>
      <c r="M45" s="353">
        <v>3</v>
      </c>
      <c r="N45" s="353">
        <v>4</v>
      </c>
      <c r="O45" s="353">
        <v>5</v>
      </c>
      <c r="P45" s="353">
        <v>6</v>
      </c>
      <c r="R45" s="353" t="s">
        <v>826</v>
      </c>
    </row>
    <row r="46" spans="1:18">
      <c r="A46" s="343" t="s">
        <v>87</v>
      </c>
      <c r="F46" s="354"/>
      <c r="K46" s="353" t="str">
        <f t="shared" ref="K46:P46" si="44">IFERROR(INDEX($A$47:$F$47,MATCH(K45,$A$49:$F$49,0)),"")</f>
        <v>Donations</v>
      </c>
      <c r="L46" s="353" t="str">
        <f t="shared" si="44"/>
        <v>Local Government Unit funds</v>
      </c>
      <c r="M46" s="353" t="str">
        <f t="shared" si="44"/>
        <v>Others</v>
      </c>
      <c r="N46" s="353" t="str">
        <f t="shared" si="44"/>
        <v>General Appropriations Act (School MOOE)</v>
      </c>
      <c r="O46" s="353" t="str">
        <f t="shared" si="44"/>
        <v>Canteen funds</v>
      </c>
      <c r="P46" s="353" t="str">
        <f t="shared" si="44"/>
        <v>General Appropriations Act (Subsidy for Special Programs)</v>
      </c>
      <c r="R46" s="353" t="s">
        <v>72</v>
      </c>
    </row>
    <row r="47" spans="1:18">
      <c r="A47" s="353" t="str">
        <f>Data!A101</f>
        <v>General Appropriations Act (School MOOE)</v>
      </c>
      <c r="B47" s="353" t="str">
        <f>Data!A102</f>
        <v>General Appropriations Act (Subsidy for Special Programs)</v>
      </c>
      <c r="C47" s="353" t="str">
        <f>Data!A103</f>
        <v>Local Government Unit funds</v>
      </c>
      <c r="D47" s="353" t="str">
        <f>Data!A104</f>
        <v>Canteen funds</v>
      </c>
      <c r="E47" s="353" t="str">
        <f>Data!A105</f>
        <v>Donations</v>
      </c>
      <c r="F47" s="353" t="str">
        <f>Data!A106</f>
        <v>Others</v>
      </c>
      <c r="G47" s="353" t="s">
        <v>18</v>
      </c>
      <c r="R47" s="353" t="s">
        <v>827</v>
      </c>
    </row>
    <row r="48" spans="1:18">
      <c r="A48" s="359">
        <f>IF(Data!$G$101="","",ROUND(Data!$G$101,2))</f>
        <v>104000</v>
      </c>
      <c r="B48" s="359">
        <f>IF(Data!$G$102="","",ROUND(Data!$G$102,2))</f>
        <v>0</v>
      </c>
      <c r="C48" s="359">
        <f>IF(Data!$G$103="","",ROUND(Data!$G$103,2))</f>
        <v>147000</v>
      </c>
      <c r="D48" s="359">
        <f>IF(Data!$G$104="","",ROUND(Data!$G$104,2))</f>
        <v>10000</v>
      </c>
      <c r="E48" s="359">
        <f>IF(Data!$G$105="","",ROUND(Data!$G$105,2))</f>
        <v>278713</v>
      </c>
      <c r="F48" s="359">
        <f>IF(Data!$G$106="","",ROUND(Data!$G$106,2))</f>
        <v>106131</v>
      </c>
      <c r="G48" s="359">
        <f>ROUND(SUM(A48:F48),2)</f>
        <v>645844</v>
      </c>
      <c r="I48" s="359">
        <f>ROUND(MAX(A48:F48),2)</f>
        <v>278713</v>
      </c>
      <c r="J48" s="353" t="str">
        <f>IFERROR(INDEX(A47:F47,MATCH(I48,A48:F48,0)),"")</f>
        <v>Donations</v>
      </c>
      <c r="K48" s="353">
        <f>IF(G48=0,"",IF(OR(ISNUMBER(I48),ISNUMBER(G48)),ROUND(I48/G48*100,2),""))</f>
        <v>43.15</v>
      </c>
      <c r="R48" s="353" t="s">
        <v>143</v>
      </c>
    </row>
    <row r="49" spans="1:31">
      <c r="A49" s="353">
        <f t="shared" ref="A49:F49" si="45">IF(A48="","",RANK(A48,$A$48:$F$48))</f>
        <v>4</v>
      </c>
      <c r="B49" s="353">
        <f t="shared" si="45"/>
        <v>6</v>
      </c>
      <c r="C49" s="353">
        <f t="shared" si="45"/>
        <v>2</v>
      </c>
      <c r="D49" s="353">
        <f t="shared" si="45"/>
        <v>5</v>
      </c>
      <c r="E49" s="353">
        <f t="shared" si="45"/>
        <v>1</v>
      </c>
      <c r="F49" s="353">
        <f t="shared" si="45"/>
        <v>3</v>
      </c>
      <c r="R49" s="353" t="s">
        <v>142</v>
      </c>
    </row>
    <row r="50" spans="1:31">
      <c r="A50" s="343" t="s">
        <v>88</v>
      </c>
      <c r="R50" s="353" t="s">
        <v>828</v>
      </c>
    </row>
    <row r="51" spans="1:31">
      <c r="B51" s="353" t="s">
        <v>296</v>
      </c>
      <c r="C51" s="353" t="s">
        <v>297</v>
      </c>
      <c r="D51" s="353" t="s">
        <v>298</v>
      </c>
      <c r="E51" s="353" t="s">
        <v>299</v>
      </c>
      <c r="F51" s="353" t="s">
        <v>300</v>
      </c>
      <c r="G51" s="353" t="s">
        <v>288</v>
      </c>
      <c r="K51" s="353" t="str">
        <f t="shared" ref="K51:P51" si="46">B51</f>
        <v>Domestic- Related Factors</v>
      </c>
      <c r="L51" s="353" t="str">
        <f t="shared" si="46"/>
        <v>Individual- Related Factors</v>
      </c>
      <c r="M51" s="353" t="str">
        <f t="shared" si="46"/>
        <v>School- Related Factors</v>
      </c>
      <c r="N51" s="353" t="str">
        <f t="shared" si="46"/>
        <v>Geographic/ Environmental Factors</v>
      </c>
      <c r="O51" s="353" t="str">
        <f t="shared" si="46"/>
        <v>Financial- Related Factors</v>
      </c>
      <c r="P51" s="353" t="str">
        <f t="shared" si="46"/>
        <v>No Longer in School (NLS)</v>
      </c>
      <c r="R51" s="353" t="s">
        <v>47</v>
      </c>
    </row>
    <row r="52" spans="1:31">
      <c r="A52" s="353" t="str">
        <f>IF(Data!A157="","",Data!A157)</f>
        <v>2016-2017</v>
      </c>
      <c r="B52" s="353">
        <f>IF(OR(ISNUMBER(Data!B157),ISNUMBER(Data!C157),ISNUMBER(Data!D157),ISNUMBER(Data!E157),ISNUMBER(Data!F157),ISNUMBER(Data!G157),ISNUMBER(Data!H157),ISNUMBER(Data!I157)),SUM(Data!B157:I157),"")</f>
        <v>0</v>
      </c>
      <c r="C52" s="353">
        <f>IF(OR(ISNUMBER(Data!J157),ISNUMBER(Data!K157),ISNUMBER(Data!L157),ISNUMBER(Data!M157),ISNUMBER(Data!N157),ISNUMBER(Data!O157),ISNUMBER(Data!P157),ISNUMBER(Data!Q157),ISNUMBER(Data!R157),ISNUMBER(Data!S157),ISNUMBER(Data!T157),ISNUMBER(Data!U157)),SUM(Data!J157:U157),"")</f>
        <v>0</v>
      </c>
      <c r="D52" s="353">
        <f>IF(OR(ISNUMBER(Data!V157),ISNUMBER(Data!W157),ISNUMBER(Data!X157),ISNUMBER(Data!Y157),ISNUMBER(Data!Z157),ISNUMBER(Data!AA157)),SUM(Data!V157:AA157),"")</f>
        <v>0</v>
      </c>
      <c r="E52" s="353">
        <f>IF(OR(ISNUMBER(Data!AB157),ISNUMBER(Data!AC157),ISNUMBER(Data!AD157),ISNUMBER(Data!AE157),ISNUMBER(Data!AF157),ISNUMBER(Data!AG157)),SUM(Data!AB157:AG157),"")</f>
        <v>0</v>
      </c>
      <c r="F52" s="353">
        <f>IF(OR(ISNUMBER(Data!AH157),ISNUMBER(Data!AI157),ISNUMBER(Data!AJ157),ISNUMBER(Data!AK157)),SUM(Data!AH157:AK157),"")</f>
        <v>0</v>
      </c>
      <c r="G52" s="353">
        <f>IF(OR(ISNUMBER(Data!AL157),ISNUMBER(Data!AM157),ISNUMBER(Data!AN157),ISNUMBER(Data!AO157),ISNUMBER(Data!AP157),ISNUMBER(Data!AQ157),ISNUMBER(Data!AR157),ISNUMBER(Data!AS157)),SUM(Data!AL157:AS157),"")</f>
        <v>0</v>
      </c>
      <c r="I52" s="349">
        <f>IF(J52="","",IF(AND(ISNUMBER(J52),ISNUMBER(D3)),ROUND(J52/$D$3*100,2),""))</f>
        <v>0</v>
      </c>
      <c r="J52" s="353">
        <f>IF(COUNT(B52:H52)&gt;0,SUM(B52:H52),"")</f>
        <v>0</v>
      </c>
      <c r="K52" s="349" t="e">
        <f>IF(AND(ISNUMBER(B52),ISNUMBER(J52)),ROUND(B52/$J52*100,2),"")</f>
        <v>#DIV/0!</v>
      </c>
      <c r="L52" s="349" t="e">
        <f>IF(AND(ISNUMBER(C52),ISNUMBER(J52)),ROUND(C52/$J52*100,2),"")</f>
        <v>#DIV/0!</v>
      </c>
      <c r="M52" s="349" t="e">
        <f>IF(AND(ISNUMBER(D52),ISNUMBER(J52)),ROUND(D52/$J52*100,2),"")</f>
        <v>#DIV/0!</v>
      </c>
      <c r="N52" s="349" t="e">
        <f>IF(AND(ISNUMBER(E52),ISNUMBER(J52)),ROUND(E52/$J52*100,2),"")</f>
        <v>#DIV/0!</v>
      </c>
      <c r="O52" s="349" t="e">
        <f>IF(AND(ISNUMBER(F52),ISNUMBER(J52)),ROUND(F52/$J52*100,2),"")</f>
        <v>#DIV/0!</v>
      </c>
      <c r="P52" s="349" t="e">
        <f>IF(AND(ISNUMBER(G52),ISNUMBER(J52)),ROUND(G52/$J52*100,2),"")</f>
        <v>#DIV/0!</v>
      </c>
      <c r="Q52" s="349" t="str">
        <f>IF(H52="","",IF(H52=0,0.0001,ROUND(H52/$J$52*100,2)))</f>
        <v/>
      </c>
      <c r="S52" s="349" t="e">
        <f>MAX(K52:Q52)</f>
        <v>#DIV/0!</v>
      </c>
      <c r="T52" s="349" t="str">
        <f>IFERROR(INDEX($K$51:$Q$51,MATCH(S52,$K$52:$Q$52,0)),"")</f>
        <v/>
      </c>
      <c r="U52" s="349" t="e">
        <f>MIN(K52:Q52)</f>
        <v>#DIV/0!</v>
      </c>
      <c r="V52" s="349" t="str">
        <f>IFERROR(INDEX($K$51:$Q$51,MATCH(U52,$K$52:$Q$52,0)),"")</f>
        <v/>
      </c>
      <c r="W52" s="349"/>
      <c r="X52" s="349"/>
      <c r="Y52" s="349"/>
      <c r="Z52" s="349"/>
      <c r="AA52" s="349"/>
    </row>
    <row r="53" spans="1:31">
      <c r="A53" s="353" t="str">
        <f>IF(Data!A158="","",Data!A158)</f>
        <v>2017-2018</v>
      </c>
      <c r="B53" s="401">
        <f>IF(OR(ISNUMBER(Data!B158),ISNUMBER(Data!C158),ISNUMBER(Data!D158),ISNUMBER(Data!E158),ISNUMBER(Data!F158),ISNUMBER(Data!G158),ISNUMBER(Data!H158),ISNUMBER(Data!I158)),SUM(Data!B158:I158),"")</f>
        <v>0</v>
      </c>
      <c r="C53" s="401">
        <f>IF(OR(ISNUMBER(Data!J158),ISNUMBER(Data!K158),ISNUMBER(Data!L158),ISNUMBER(Data!M158),ISNUMBER(Data!N158),ISNUMBER(Data!O158),ISNUMBER(Data!P158),ISNUMBER(Data!Q158),ISNUMBER(Data!R158),ISNUMBER(Data!S158),ISNUMBER(Data!T158),ISNUMBER(Data!U158)),SUM(Data!J158:U158),"")</f>
        <v>0</v>
      </c>
      <c r="D53" s="401">
        <f>IF(OR(ISNUMBER(Data!V158),ISNUMBER(Data!W158),ISNUMBER(Data!X158),ISNUMBER(Data!Y158),ISNUMBER(Data!Z158),ISNUMBER(Data!AA158)),SUM(Data!V158:AA158),"")</f>
        <v>0</v>
      </c>
      <c r="E53" s="401">
        <f>IF(OR(ISNUMBER(Data!AB158),ISNUMBER(Data!AC158),ISNUMBER(Data!AD158),ISNUMBER(Data!AE158),ISNUMBER(Data!AF158),ISNUMBER(Data!AG158)),SUM(Data!AB158:AG158),"")</f>
        <v>0</v>
      </c>
      <c r="F53" s="401">
        <f>IF(OR(ISNUMBER(Data!AH158),ISNUMBER(Data!AI158),ISNUMBER(Data!AJ158),ISNUMBER(Data!AK158)),SUM(Data!AH158:AK158),"")</f>
        <v>0</v>
      </c>
      <c r="G53" s="401">
        <f>IF(OR(ISNUMBER(Data!AL158),ISNUMBER(Data!AM158),ISNUMBER(Data!AN158),ISNUMBER(Data!AO158),ISNUMBER(Data!AP158),ISNUMBER(Data!AQ158),ISNUMBER(Data!AR158),ISNUMBER(Data!AS158)),SUM(Data!AL158:AS158),"")</f>
        <v>0</v>
      </c>
      <c r="I53" s="349">
        <f>IF(J53="","",IF(AND(ISNUMBER(J53),ISNUMBER(D4)),ROUND(J53/$D$4*100,2),""))</f>
        <v>0</v>
      </c>
      <c r="J53" s="353">
        <f>IF(COUNT(B53:H53)&gt;0,SUM(B53:H53),"")</f>
        <v>0</v>
      </c>
      <c r="K53" s="349" t="e">
        <f>IF(AND(ISNUMBER(B53),ISNUMBER(J53)),ROUND(B53/$J53*100,2),"")</f>
        <v>#DIV/0!</v>
      </c>
      <c r="L53" s="349" t="e">
        <f>IF(AND(ISNUMBER(C53),ISNUMBER(J53)),ROUND(C53/$J53*100,2),"")</f>
        <v>#DIV/0!</v>
      </c>
      <c r="M53" s="349" t="e">
        <f>IF(AND(ISNUMBER(D53),ISNUMBER(J53)),ROUND(D53/$J53*100,2),"")</f>
        <v>#DIV/0!</v>
      </c>
      <c r="N53" s="349" t="e">
        <f>IF(AND(ISNUMBER(E53),ISNUMBER(J53)),ROUND(E53/$J53*100,2),"")</f>
        <v>#DIV/0!</v>
      </c>
      <c r="O53" s="349" t="e">
        <f>IF(AND(ISNUMBER(F53),ISNUMBER(J53)),ROUND(F53/$J53*100,2),"")</f>
        <v>#DIV/0!</v>
      </c>
      <c r="P53" s="349" t="e">
        <f>IF(AND(ISNUMBER(G53),ISNUMBER(J53)),ROUND(G53/$J53*100,2),"")</f>
        <v>#DIV/0!</v>
      </c>
      <c r="Q53" s="349" t="str">
        <f>IF(H53="","",IF(H53=0,0.0001,ROUND(H53/$J$52*100,2)))</f>
        <v/>
      </c>
      <c r="S53" s="349" t="e">
        <f>MAX(K53:Q53)</f>
        <v>#DIV/0!</v>
      </c>
      <c r="T53" s="349" t="str">
        <f>IFERROR(INDEX($K$51:$Q$51,MATCH(S53,$K$53:$Q$53,0)),"")</f>
        <v/>
      </c>
      <c r="U53" s="349" t="e">
        <f>MIN(K53:Q53)</f>
        <v>#DIV/0!</v>
      </c>
      <c r="V53" s="349" t="str">
        <f>IFERROR(INDEX($K$51:$Q$51,MATCH(U53,$K$53:$Q$53,0)),"")</f>
        <v/>
      </c>
      <c r="W53" s="349"/>
      <c r="X53" s="349"/>
      <c r="Y53" s="349"/>
      <c r="Z53" s="349"/>
      <c r="AA53" s="349"/>
      <c r="AC53" s="349">
        <f>IF(I53="","",(ROUND(I53-I52,2)))</f>
        <v>0</v>
      </c>
      <c r="AD53" s="353" t="str">
        <f>IF(AC53="","",IF(AC53&lt;=0,"decreased","increased"))</f>
        <v>decreased</v>
      </c>
      <c r="AE53" s="353">
        <f>IF(AC53&lt;0,-(AC53),AC53)</f>
        <v>0</v>
      </c>
    </row>
    <row r="54" spans="1:31">
      <c r="A54" s="353" t="str">
        <f>IF(Data!A159="","",Data!A159)</f>
        <v>2018-2019</v>
      </c>
      <c r="B54" s="401">
        <f>IF(OR(ISNUMBER(Data!B159),ISNUMBER(Data!C159),ISNUMBER(Data!D159),ISNUMBER(Data!E159),ISNUMBER(Data!F159),ISNUMBER(Data!G159),ISNUMBER(Data!H159),ISNUMBER(Data!I159)),SUM(Data!B159:I159),"")</f>
        <v>0</v>
      </c>
      <c r="C54" s="401">
        <f>IF(OR(ISNUMBER(Data!J159),ISNUMBER(Data!K159),ISNUMBER(Data!L159),ISNUMBER(Data!M159),ISNUMBER(Data!N159),ISNUMBER(Data!O159),ISNUMBER(Data!P159),ISNUMBER(Data!Q159),ISNUMBER(Data!R159),ISNUMBER(Data!S159),ISNUMBER(Data!T159),ISNUMBER(Data!U159)),SUM(Data!J159:U159),"")</f>
        <v>1</v>
      </c>
      <c r="D54" s="401">
        <f>IF(OR(ISNUMBER(Data!V159),ISNUMBER(Data!W159),ISNUMBER(Data!X159),ISNUMBER(Data!Y159),ISNUMBER(Data!Z159),ISNUMBER(Data!AA159)),SUM(Data!V159:AA159),"")</f>
        <v>0</v>
      </c>
      <c r="E54" s="401">
        <f>IF(OR(ISNUMBER(Data!AB159),ISNUMBER(Data!AC159),ISNUMBER(Data!AD159),ISNUMBER(Data!AE159),ISNUMBER(Data!AF159),ISNUMBER(Data!AG159)),SUM(Data!AB159:AG159),"")</f>
        <v>0</v>
      </c>
      <c r="F54" s="401">
        <f>IF(OR(ISNUMBER(Data!AH159),ISNUMBER(Data!AI159),ISNUMBER(Data!AJ159),ISNUMBER(Data!AK159)),SUM(Data!AH159:AK159),"")</f>
        <v>0</v>
      </c>
      <c r="G54" s="401">
        <f>IF(OR(ISNUMBER(Data!AL159),ISNUMBER(Data!AM159),ISNUMBER(Data!AN159),ISNUMBER(Data!AO159),ISNUMBER(Data!AP159),ISNUMBER(Data!AQ159),ISNUMBER(Data!AR159),ISNUMBER(Data!AS159)),SUM(Data!AL159:AS159),"")</f>
        <v>0</v>
      </c>
      <c r="I54" s="349">
        <f>IF(J54="","",IF(AND(ISNUMBER(J54),ISNUMBER(D5)),ROUND(J54/$D$5*100,2),""))</f>
        <v>7.0000000000000007E-2</v>
      </c>
      <c r="J54" s="353">
        <f>IF(COUNT(B54:H54)&gt;0,SUM(B54:H54),"")</f>
        <v>1</v>
      </c>
      <c r="K54" s="349">
        <f>IF(AND(ISNUMBER(B54),ISNUMBER(J54)),ROUND(B54/$J54*100,2),"")</f>
        <v>0</v>
      </c>
      <c r="L54" s="349">
        <f>IF(AND(ISNUMBER(C54),ISNUMBER(J54)),ROUND(C54/$J54*100,2),"")</f>
        <v>100</v>
      </c>
      <c r="M54" s="349">
        <f>IF(AND(ISNUMBER(D54),ISNUMBER(J54)),ROUND(D54/$J54*100,2),"")</f>
        <v>0</v>
      </c>
      <c r="N54" s="349">
        <f>IF(AND(ISNUMBER(E54),ISNUMBER(J54)),ROUND(E54/$J54*100,2),"")</f>
        <v>0</v>
      </c>
      <c r="O54" s="349">
        <f>IF(AND(ISNUMBER(F54),ISNUMBER(J54)),ROUND(F54/$J54*100,2),"")</f>
        <v>0</v>
      </c>
      <c r="P54" s="349">
        <f>IF(AND(ISNUMBER(G54),ISNUMBER(J54)),ROUND(G54/$J54*100,2),"")</f>
        <v>0</v>
      </c>
      <c r="Q54" s="349" t="str">
        <f>IF(H54="","",IF(H54=0,0.0001,ROUND(H54/$J$52*100,2)))</f>
        <v/>
      </c>
      <c r="S54" s="349">
        <f>MAX(K54:Q54)</f>
        <v>100</v>
      </c>
      <c r="T54" s="349" t="str">
        <f>IFERROR(INDEX($K$51:$Q$51,MATCH(S54,$K$54:$Q$54,0)),"")</f>
        <v>Individual- Related Factors</v>
      </c>
      <c r="U54" s="349">
        <f>MIN(K54:Q54)</f>
        <v>0</v>
      </c>
      <c r="V54" s="349" t="str">
        <f>IFERROR(INDEX($K$51:$Q$51,MATCH(U54,$K$54:$Q$54,0)),"")</f>
        <v>Domestic- Related Factors</v>
      </c>
      <c r="W54" s="349"/>
      <c r="X54" s="349"/>
      <c r="Y54" s="349"/>
      <c r="Z54" s="349"/>
      <c r="AA54" s="349"/>
      <c r="AC54" s="349">
        <f>IF(I54="","",(ROUND(I54-I53,2)))</f>
        <v>7.0000000000000007E-2</v>
      </c>
      <c r="AD54" s="353" t="str">
        <f>IF(AC54="","",IF(AC54&lt;=0,"decreased","increased"))</f>
        <v>increased</v>
      </c>
      <c r="AE54" s="353">
        <f>IF(AC54&lt;0,-(AC54),AC54)</f>
        <v>7.0000000000000007E-2</v>
      </c>
    </row>
    <row r="56" spans="1:31">
      <c r="B56" s="353" t="s">
        <v>23</v>
      </c>
      <c r="C56" s="353" t="s">
        <v>24</v>
      </c>
      <c r="D56" s="353" t="s">
        <v>4</v>
      </c>
      <c r="E56" s="353" t="s">
        <v>23</v>
      </c>
      <c r="F56" s="353" t="s">
        <v>24</v>
      </c>
      <c r="G56" s="353" t="s">
        <v>4</v>
      </c>
      <c r="I56" s="353" t="s">
        <v>23</v>
      </c>
      <c r="J56" s="353" t="s">
        <v>24</v>
      </c>
      <c r="K56" s="353" t="s">
        <v>4</v>
      </c>
    </row>
    <row r="57" spans="1:31">
      <c r="A57" s="353" t="str">
        <f>IF(Data!A157="","",Data!A157)</f>
        <v>2016-2017</v>
      </c>
      <c r="B57" s="347">
        <f t="shared" ref="B57:C59" si="47">IF(AH215&gt;0,AH215,"")</f>
        <v>671</v>
      </c>
      <c r="C57" s="347">
        <f t="shared" si="47"/>
        <v>619</v>
      </c>
      <c r="D57" s="347">
        <f>IF(OR(ISNUMBER(B57),ISNUMBER(C57)),SUM(B57:C57),"")</f>
        <v>1290</v>
      </c>
      <c r="E57" s="360">
        <f>IF(COUNT(Data!B157:AK157)&gt;0,SUM(Data!B157,Data!D157,Data!F157,Data!H157,Data!J157,Data!L157,Data!N157,Data!P157,Data!R157,Data!T157,Data!V157,Data!X157,Data!Z157,Data!AB157,Data!AD157,Data!AF157,Data!AH157,Data!AJ157,Data!AL157,Data!AN157,Data!AP157,Data!AR157),0)</f>
        <v>0</v>
      </c>
      <c r="F57" s="360">
        <f>IF(COUNT(Data!C157:AL157)&gt;0,SUM(Data!C157,Data!E157,Data!G157,Data!I157,Data!K157,Data!M157,Data!O157,Data!Q157,Data!S157,Data!U157,Data!W157,Data!Y157,Data!AA157,Data!AC157,Data!AE157,Data!AG157,Data!AI157,Data!AK157,Data!AM157,Data!AO157,Data!AQ157,Data!AS157),0)</f>
        <v>0</v>
      </c>
      <c r="G57" s="353">
        <f>IF(E57="","",SUM(E57:F57))</f>
        <v>0</v>
      </c>
      <c r="H57" s="353" t="str">
        <f>IF(A57="","",A57)</f>
        <v>2016-2017</v>
      </c>
      <c r="I57" s="346">
        <f t="shared" ref="I57:K59" si="48">IF(AND(ISNUMBER(E57),ISNUMBER(B57)),(E57/B57),"")</f>
        <v>0</v>
      </c>
      <c r="J57" s="346">
        <f t="shared" si="48"/>
        <v>0</v>
      </c>
      <c r="K57" s="346">
        <f t="shared" si="48"/>
        <v>0</v>
      </c>
    </row>
    <row r="58" spans="1:31">
      <c r="A58" s="353" t="str">
        <f>IF(Data!A158="","",Data!A158)</f>
        <v>2017-2018</v>
      </c>
      <c r="B58" s="347">
        <f t="shared" si="47"/>
        <v>741</v>
      </c>
      <c r="C58" s="347">
        <f t="shared" si="47"/>
        <v>677</v>
      </c>
      <c r="D58" s="347">
        <f>IF(OR(ISNUMBER(B58),ISNUMBER(C58)),SUM(B58:C58),"")</f>
        <v>1418</v>
      </c>
      <c r="E58" s="360">
        <f>IF(COUNT(Data!B158:AK158)&gt;0,SUM(Data!B158,Data!D158,Data!F158,Data!H158,Data!J158,Data!L158,Data!N158,Data!P158,Data!R158,Data!T158,Data!V158,Data!X158,Data!Z158,Data!AB158,Data!AD158,Data!AF158,Data!AH158,Data!AJ158,Data!AL158,Data!AN158,Data!AP158,Data!AR158),0)</f>
        <v>0</v>
      </c>
      <c r="F58" s="360">
        <f>IF(COUNT(Data!C158:AL158)&gt;0,SUM(Data!C158,Data!E158,Data!G158,Data!I158,Data!K158,Data!M158,Data!O158,Data!Q158,Data!S158,Data!U158,Data!W158,Data!Y158,Data!AA158,Data!AC158,Data!AE158,Data!AG158,Data!AI158,Data!AK158,Data!AM158,Data!AO158,Data!AQ158,Data!AS158),0)</f>
        <v>0</v>
      </c>
      <c r="G58" s="353">
        <f>IF(E58="","",SUM(E58:F58))</f>
        <v>0</v>
      </c>
      <c r="H58" s="353" t="str">
        <f>IF(A58="","",A58)</f>
        <v>2017-2018</v>
      </c>
      <c r="I58" s="346">
        <f t="shared" si="48"/>
        <v>0</v>
      </c>
      <c r="J58" s="346">
        <f t="shared" si="48"/>
        <v>0</v>
      </c>
      <c r="K58" s="346">
        <f t="shared" si="48"/>
        <v>0</v>
      </c>
    </row>
    <row r="59" spans="1:31">
      <c r="A59" s="353" t="str">
        <f>IF(Data!A159="","",Data!A159)</f>
        <v>2018-2019</v>
      </c>
      <c r="B59" s="347">
        <f t="shared" si="47"/>
        <v>772</v>
      </c>
      <c r="C59" s="347">
        <f t="shared" si="47"/>
        <v>733</v>
      </c>
      <c r="D59" s="347">
        <f>IF(OR(ISNUMBER(B59),ISNUMBER(C59)),SUM(B59:C59),"")</f>
        <v>1505</v>
      </c>
      <c r="E59" s="360">
        <f>IF(COUNT(Data!B159:AK159)&gt;0,SUM(Data!B159,Data!D159,Data!F159,Data!H159,Data!J159,Data!L159,Data!N159,Data!P159,Data!R159,Data!T159,Data!V159,Data!X159,Data!Z159,Data!AB159,Data!AD159,Data!AF159,Data!AH159,Data!AJ159,Data!AL159,Data!AN159,Data!AP159,Data!AR159),0)</f>
        <v>1</v>
      </c>
      <c r="F59" s="360">
        <f>IF(COUNT(Data!C159:AL159)&gt;0,SUM(Data!C159,Data!E159,Data!G159,Data!I159,Data!K159,Data!M159,Data!O159,Data!Q159,Data!S159,Data!U159,Data!W159,Data!Y159,Data!AA159,Data!AC159,Data!AE159,Data!AG159,Data!AI159,Data!AK159,Data!AM159,Data!AO159,Data!AQ159,Data!AS159),0)</f>
        <v>0</v>
      </c>
      <c r="G59" s="353">
        <f>IF(E59="","",SUM(E59:F59))</f>
        <v>1</v>
      </c>
      <c r="H59" s="353" t="str">
        <f>IF(A59="","",A59)</f>
        <v>2018-2019</v>
      </c>
      <c r="I59" s="346">
        <f t="shared" si="48"/>
        <v>1.2953367875647669E-3</v>
      </c>
      <c r="J59" s="346">
        <f t="shared" si="48"/>
        <v>0</v>
      </c>
      <c r="K59" s="346">
        <f t="shared" si="48"/>
        <v>6.6445182724252495E-4</v>
      </c>
    </row>
    <row r="61" spans="1:31">
      <c r="A61" s="343" t="s">
        <v>91</v>
      </c>
    </row>
    <row r="62" spans="1:31">
      <c r="B62" s="353" t="str">
        <f>Data!B164</f>
        <v>2016-2017</v>
      </c>
      <c r="C62" s="353" t="str">
        <f>Data!D164</f>
        <v>2017-2018</v>
      </c>
      <c r="D62" s="353" t="str">
        <f>Data!F164</f>
        <v>2018-2019</v>
      </c>
      <c r="E62" s="353" t="s">
        <v>219</v>
      </c>
      <c r="F62" s="353" t="s">
        <v>242</v>
      </c>
      <c r="X62" s="353" t="s">
        <v>682</v>
      </c>
    </row>
    <row r="63" spans="1:31">
      <c r="A63" s="357" t="s">
        <v>5</v>
      </c>
      <c r="B63" s="349" t="str">
        <f>IF(COUNT(Data!B166:C166)&gt;0,(AVERAGE(Data!B166:C166)),"")</f>
        <v/>
      </c>
      <c r="C63" s="349" t="str">
        <f>IF(COUNT(Data!D166:E166)&gt;0,(AVERAGE(Data!D166:E166)),"")</f>
        <v/>
      </c>
      <c r="D63" s="349" t="str">
        <f>IF(COUNT(Data!F166:G166)&gt;0,(AVERAGE(Data!F166:G166)),"")</f>
        <v/>
      </c>
      <c r="E63" s="353" t="str">
        <f>IF(D63="","",RANK(D63,$D$63:$D$77)+COUNTIF($D$63:D63,D63)-1)</f>
        <v/>
      </c>
      <c r="F63" s="353">
        <v>1</v>
      </c>
      <c r="G63" s="349">
        <f>IF(COUNT(C78:D78)&gt;0,ROUND(D78-C78,2),"")</f>
        <v>-5.46</v>
      </c>
      <c r="H63" s="349">
        <f>IF(G63&gt;0.001,G63,IF(G63&lt;0.001,-(G63),""))</f>
        <v>5.46</v>
      </c>
      <c r="I63" s="353" t="str">
        <f>IF(G63=0,"remained",IF(G63&gt;0.001,"increased","decreased"))</f>
        <v>decreased</v>
      </c>
      <c r="K63" s="353" t="str">
        <f>IF(H63&gt;0,"",CONCATENATE("The average promotion rate of the current school year and the previous school year remained at"," ",D77," ","percent."))</f>
        <v/>
      </c>
      <c r="Y63" s="357" t="s">
        <v>5</v>
      </c>
      <c r="Z63" s="353">
        <v>1</v>
      </c>
      <c r="AA63" s="353" t="str">
        <f t="shared" ref="AA63:AA77" si="49">IFERROR(INDEX($A$63:$A$77,MATCH(Z63,$E$63:$E$77,0)),"")</f>
        <v>Grade 12</v>
      </c>
    </row>
    <row r="64" spans="1:31">
      <c r="A64" s="357" t="s">
        <v>6</v>
      </c>
      <c r="B64" s="349" t="str">
        <f>IF(COUNT(Data!B167:C167)&gt;0,(AVERAGE(Data!B167:C167)),"")</f>
        <v/>
      </c>
      <c r="C64" s="349" t="str">
        <f>IF(COUNT(Data!D167:E167)&gt;0,(AVERAGE(Data!D167:E167)),"")</f>
        <v/>
      </c>
      <c r="D64" s="349" t="str">
        <f>IF(COUNT(Data!F167:G167)&gt;0,(AVERAGE(Data!F167:G167)),"")</f>
        <v/>
      </c>
      <c r="E64" s="353" t="str">
        <f>IF(D64="","",RANK(D64,$D$63:$D$77)+COUNTIF($D$63:D64,D64)-1)</f>
        <v/>
      </c>
      <c r="F64" s="353">
        <v>2</v>
      </c>
      <c r="G64" s="349">
        <f>IF(COUNT(C78:D78)&gt;0,ROUND(D78-C78,2),"")</f>
        <v>-5.46</v>
      </c>
      <c r="H64" s="349">
        <f>IF(G64&gt;0.001,G64,IF(G64&lt;0.001,-(G64),""))</f>
        <v>5.46</v>
      </c>
      <c r="I64" s="353" t="str">
        <f>IF(G64&gt;0.001,"increased","decreased")</f>
        <v>decreased</v>
      </c>
      <c r="K64" s="353" t="str">
        <f>IF(H63="","",IF(H63=0,"",CONCATENATE("The average promotion rate in S.Y."," ",D62," ","is at"," ",D78," ","percent"," ","which had"," ",I63," ",H63," ","percent"," ","from the previous S.Y."," ",C62," ","with"," ",C78," ","percent.","")))</f>
        <v>The average promotion rate in S.Y. 2018-2019 is at 93.09 percent which had decreased 5.46 percent from the previous S.Y. 2017-2018 with 98.55 percent.</v>
      </c>
      <c r="Y64" s="357" t="s">
        <v>6</v>
      </c>
      <c r="Z64" s="353">
        <v>2</v>
      </c>
      <c r="AA64" s="353" t="str">
        <f t="shared" si="49"/>
        <v>Grade 10</v>
      </c>
    </row>
    <row r="65" spans="1:27">
      <c r="A65" s="357" t="s">
        <v>7</v>
      </c>
      <c r="B65" s="349" t="str">
        <f>IF(COUNT(Data!B168:C168)&gt;0,(AVERAGE(Data!B168:C168)),"")</f>
        <v/>
      </c>
      <c r="C65" s="349" t="str">
        <f>IF(COUNT(Data!D168:E168)&gt;0,(AVERAGE(Data!D168:E168)),"")</f>
        <v/>
      </c>
      <c r="D65" s="349" t="str">
        <f>IF(COUNT(Data!F168:G168)&gt;0,(AVERAGE(Data!F168:G168)),"")</f>
        <v/>
      </c>
      <c r="E65" s="353" t="str">
        <f>IF(D65="","",RANK(D65,$D$63:$D$77)+COUNTIF($D$63:D65,D65)-1)</f>
        <v/>
      </c>
      <c r="F65" s="353">
        <v>3</v>
      </c>
      <c r="H65" s="346"/>
      <c r="Y65" s="357" t="s">
        <v>7</v>
      </c>
      <c r="Z65" s="353">
        <v>3</v>
      </c>
      <c r="AA65" s="353" t="str">
        <f t="shared" si="49"/>
        <v>Grade 8</v>
      </c>
    </row>
    <row r="66" spans="1:27">
      <c r="A66" s="357" t="s">
        <v>8</v>
      </c>
      <c r="B66" s="349" t="str">
        <f>IF(COUNT(Data!B169:C169)&gt;0,(AVERAGE(Data!B169:C169)),"")</f>
        <v/>
      </c>
      <c r="C66" s="349" t="str">
        <f>IF(COUNT(Data!D169:E169)&gt;0,(AVERAGE(Data!D169:E169)),"")</f>
        <v/>
      </c>
      <c r="D66" s="349" t="str">
        <f>IF(COUNT(Data!F169:G169)&gt;0,(AVERAGE(Data!F169:G169)),"")</f>
        <v/>
      </c>
      <c r="E66" s="353" t="str">
        <f>IF(D66="","",RANK(D66,$D$63:$D$77)+COUNTIF($D$63:D66,D66)-1)</f>
        <v/>
      </c>
      <c r="F66" s="353">
        <v>4</v>
      </c>
      <c r="H66" s="346"/>
      <c r="K66" s="353" t="str">
        <f>IF(K68="","",CONCATENATE("The grade level with the highest promotion rate for"," ","S.Y."," ",D80," "," is"," ",K68," ","with"," ",L68," ","percent."))</f>
        <v>The grade level with the highest promotion rate for S.Y. 2018-2019  is Grade 12 with 98.385 percent.</v>
      </c>
      <c r="Y66" s="357" t="s">
        <v>8</v>
      </c>
      <c r="Z66" s="353">
        <v>4</v>
      </c>
      <c r="AA66" s="353" t="str">
        <f t="shared" si="49"/>
        <v>Grade 9</v>
      </c>
    </row>
    <row r="67" spans="1:27">
      <c r="A67" s="357" t="s">
        <v>9</v>
      </c>
      <c r="B67" s="349" t="str">
        <f>IF(COUNT(Data!B170:C170)&gt;0,(AVERAGE(Data!B170:C170)),"")</f>
        <v/>
      </c>
      <c r="C67" s="349" t="str">
        <f>IF(COUNT(Data!D170:E170)&gt;0,(AVERAGE(Data!D170:E170)),"")</f>
        <v/>
      </c>
      <c r="D67" s="349" t="str">
        <f>IF(COUNT(Data!F170:G170)&gt;0,(AVERAGE(Data!F170:G170)),"")</f>
        <v/>
      </c>
      <c r="E67" s="353" t="str">
        <f>IF(D67="","",RANK(D67,$D$63:$D$77)+COUNTIF($D$63:D67,D67)-1)</f>
        <v/>
      </c>
      <c r="F67" s="353">
        <v>5</v>
      </c>
      <c r="H67" s="346"/>
      <c r="K67" s="353">
        <v>1</v>
      </c>
      <c r="L67" s="353">
        <v>1</v>
      </c>
      <c r="Y67" s="357" t="s">
        <v>9</v>
      </c>
      <c r="Z67" s="353">
        <v>5</v>
      </c>
      <c r="AA67" s="353" t="str">
        <f t="shared" si="49"/>
        <v>Grade 7</v>
      </c>
    </row>
    <row r="68" spans="1:27">
      <c r="A68" s="357" t="s">
        <v>10</v>
      </c>
      <c r="B68" s="349" t="str">
        <f>IF(COUNT(Data!B171:C171)&gt;0,(AVERAGE(Data!B171:C171)),"")</f>
        <v/>
      </c>
      <c r="C68" s="349" t="str">
        <f>IF(COUNT(Data!D171:E171)&gt;0,(AVERAGE(Data!D171:E171)),"")</f>
        <v/>
      </c>
      <c r="D68" s="349" t="str">
        <f>IF(COUNT(Data!F171:G171)&gt;0,(AVERAGE(Data!F171:G171)),"")</f>
        <v/>
      </c>
      <c r="E68" s="353" t="str">
        <f>IF(D68="","",RANK(D68,$D$63:$D$77)+COUNTIF($D$63:D68,D68)-1)</f>
        <v/>
      </c>
      <c r="F68" s="353">
        <v>6</v>
      </c>
      <c r="H68" s="346"/>
      <c r="K68" s="353" t="str">
        <f>IFERROR(INDEX($A$63:$A$77,MATCH(K67,$E$63:$E$77,0)),"")</f>
        <v>Grade 12</v>
      </c>
      <c r="L68" s="353">
        <f>IFERROR(INDEX($D$63:$D$77,MATCH(L67,$E$63:$E$77,0)),"")</f>
        <v>98.384999999999991</v>
      </c>
      <c r="Y68" s="357" t="s">
        <v>10</v>
      </c>
      <c r="Z68" s="353">
        <v>6</v>
      </c>
      <c r="AA68" s="353" t="str">
        <f t="shared" si="49"/>
        <v>Grade 11</v>
      </c>
    </row>
    <row r="69" spans="1:27">
      <c r="A69" s="357" t="s">
        <v>11</v>
      </c>
      <c r="B69" s="349" t="str">
        <f>IF(COUNT(Data!B172:C172)&gt;0,(AVERAGE(Data!B172:C172)),"")</f>
        <v/>
      </c>
      <c r="C69" s="349" t="str">
        <f>IF(COUNT(Data!D172:E172)&gt;0,(AVERAGE(Data!D172:E172)),"")</f>
        <v/>
      </c>
      <c r="D69" s="349" t="str">
        <f>IF(COUNT(Data!F172:G172)&gt;0,(AVERAGE(Data!F172:G172)),"")</f>
        <v/>
      </c>
      <c r="E69" s="353" t="str">
        <f>IF(D69="","",RANK(D69,$D$63:$D$77)+COUNTIF($D$63:D69,D69)-1)</f>
        <v/>
      </c>
      <c r="F69" s="353">
        <v>7</v>
      </c>
      <c r="H69" s="349"/>
      <c r="Y69" s="357" t="s">
        <v>11</v>
      </c>
      <c r="Z69" s="353">
        <v>7</v>
      </c>
      <c r="AA69" s="353" t="str">
        <f t="shared" si="49"/>
        <v/>
      </c>
    </row>
    <row r="70" spans="1:27">
      <c r="A70" s="357" t="s">
        <v>953</v>
      </c>
      <c r="B70" s="349" t="str">
        <f>IF(COUNT(Data!B173:C173)&gt;0,(AVERAGE(Data!B173:C173)),"")</f>
        <v/>
      </c>
      <c r="C70" s="349" t="str">
        <f>IF(COUNT(Data!D173:E173)&gt;0,(AVERAGE(Data!D173:E173)),"")</f>
        <v/>
      </c>
      <c r="D70" s="349" t="str">
        <f>IF(COUNT(Data!F173:G173)&gt;0,(AVERAGE(Data!F173:G173)),"")</f>
        <v/>
      </c>
      <c r="E70" s="353" t="str">
        <f>IF(D70="","",RANK(D70,$D$63:$D$77)+COUNTIF($D$63:D70,D70)-1)</f>
        <v/>
      </c>
      <c r="F70" s="353">
        <v>8</v>
      </c>
      <c r="H70" s="349"/>
      <c r="Y70" s="357" t="s">
        <v>810</v>
      </c>
      <c r="Z70" s="353">
        <v>8</v>
      </c>
      <c r="AA70" s="353" t="str">
        <f t="shared" si="49"/>
        <v/>
      </c>
    </row>
    <row r="71" spans="1:27">
      <c r="A71" s="357" t="s">
        <v>811</v>
      </c>
      <c r="B71" s="349" t="str">
        <f>IF(COUNT(Data!B174:C174)&gt;0,(AVERAGE(Data!B174:C174)),"")</f>
        <v/>
      </c>
      <c r="C71" s="349" t="str">
        <f>IF(COUNT(Data!D174:E174)&gt;0,(AVERAGE(Data!D174:E174)),"")</f>
        <v/>
      </c>
      <c r="D71" s="349" t="str">
        <f>IF(COUNT(Data!F174:G174)&gt;0,(AVERAGE(Data!F174:G174)),"")</f>
        <v/>
      </c>
      <c r="E71" s="353" t="str">
        <f>IF(D71="","",RANK(D71,$D$63:$D$77)+COUNTIF($D$63:D71,D71)-1)</f>
        <v/>
      </c>
      <c r="F71" s="353">
        <v>9</v>
      </c>
      <c r="H71" s="349"/>
      <c r="Y71" s="357" t="s">
        <v>811</v>
      </c>
      <c r="Z71" s="353">
        <v>9</v>
      </c>
      <c r="AA71" s="353" t="str">
        <f t="shared" si="49"/>
        <v/>
      </c>
    </row>
    <row r="72" spans="1:27">
      <c r="A72" s="357" t="s">
        <v>12</v>
      </c>
      <c r="B72" s="349">
        <f>IF(COUNT(Data!B175:C175)&gt;0,(AVERAGE(Data!B175:C175)),"")</f>
        <v>98.724999999999994</v>
      </c>
      <c r="C72" s="349">
        <f>IF(COUNT(Data!D175:E175)&gt;0,(AVERAGE(Data!D175:E175)),"")</f>
        <v>100</v>
      </c>
      <c r="D72" s="349">
        <f>IF(COUNT(Data!F175:G175)&gt;0,(AVERAGE(Data!F175:G175)),"")</f>
        <v>90.64500000000001</v>
      </c>
      <c r="E72" s="353">
        <f>IF(D72="","",RANK(D72,$D$63:$D$77)+COUNTIF($D$63:D72,D72)-1)</f>
        <v>5</v>
      </c>
      <c r="F72" s="353">
        <v>10</v>
      </c>
      <c r="H72" s="349"/>
      <c r="Y72" s="357" t="s">
        <v>12</v>
      </c>
      <c r="Z72" s="353">
        <v>10</v>
      </c>
      <c r="AA72" s="353" t="str">
        <f t="shared" si="49"/>
        <v/>
      </c>
    </row>
    <row r="73" spans="1:27">
      <c r="A73" s="357" t="s">
        <v>13</v>
      </c>
      <c r="B73" s="349">
        <f>IF(COUNT(Data!B176:C176)&gt;0,(AVERAGE(Data!B176:C176)),"")</f>
        <v>100</v>
      </c>
      <c r="C73" s="349">
        <f>IF(COUNT(Data!D176:E176)&gt;0,(AVERAGE(Data!D176:E176)),"")</f>
        <v>100</v>
      </c>
      <c r="D73" s="349">
        <f>IF(COUNT(Data!F176:G176)&gt;0,(AVERAGE(Data!F176:G176)),"")</f>
        <v>93.544999999999987</v>
      </c>
      <c r="E73" s="353">
        <f>IF(D73="","",RANK(D73,$D$63:$D$77)+COUNTIF($D$63:D73,D73)-1)</f>
        <v>3</v>
      </c>
      <c r="F73" s="353">
        <v>11</v>
      </c>
      <c r="Y73" s="357" t="s">
        <v>13</v>
      </c>
      <c r="Z73" s="353">
        <v>11</v>
      </c>
      <c r="AA73" s="353" t="str">
        <f t="shared" si="49"/>
        <v/>
      </c>
    </row>
    <row r="74" spans="1:27">
      <c r="A74" s="357" t="s">
        <v>14</v>
      </c>
      <c r="B74" s="349">
        <f>IF(COUNT(Data!B177:C177)&gt;0,(AVERAGE(Data!B177:C177)),"")</f>
        <v>97.474999999999994</v>
      </c>
      <c r="C74" s="349">
        <f>IF(COUNT(Data!D177:E177)&gt;0,(AVERAGE(Data!D177:E177)),"")</f>
        <v>100</v>
      </c>
      <c r="D74" s="349">
        <f>IF(COUNT(Data!F177:G177)&gt;0,(AVERAGE(Data!F177:G177)),"")</f>
        <v>93.05</v>
      </c>
      <c r="E74" s="353">
        <f>IF(D74="","",RANK(D74,$D$63:$D$77)+COUNTIF($D$63:D74,D74)-1)</f>
        <v>4</v>
      </c>
      <c r="F74" s="353">
        <v>12</v>
      </c>
      <c r="Y74" s="357" t="s">
        <v>14</v>
      </c>
      <c r="Z74" s="353">
        <v>12</v>
      </c>
      <c r="AA74" s="353" t="str">
        <f t="shared" si="49"/>
        <v/>
      </c>
    </row>
    <row r="75" spans="1:27">
      <c r="A75" s="357" t="s">
        <v>15</v>
      </c>
      <c r="B75" s="349">
        <f>IF(COUNT(Data!B178:C178)&gt;0,(AVERAGE(Data!B178:C178)),"")</f>
        <v>100</v>
      </c>
      <c r="C75" s="349">
        <f>IF(COUNT(Data!D178:E178)&gt;0,(AVERAGE(Data!D178:E178)),"")</f>
        <v>99.545000000000002</v>
      </c>
      <c r="D75" s="349">
        <f>IF(COUNT(Data!F178:G178)&gt;0,(AVERAGE(Data!F178:G178)),"")</f>
        <v>94.67</v>
      </c>
      <c r="E75" s="353">
        <f>IF(D75="","",RANK(D75,$D$63:$D$77)+COUNTIF($D$63:D75,D75)-1)</f>
        <v>2</v>
      </c>
      <c r="F75" s="353">
        <v>13</v>
      </c>
      <c r="Y75" s="357" t="s">
        <v>15</v>
      </c>
      <c r="Z75" s="353">
        <v>13</v>
      </c>
      <c r="AA75" s="353" t="str">
        <f t="shared" si="49"/>
        <v/>
      </c>
    </row>
    <row r="76" spans="1:27">
      <c r="A76" s="357" t="s">
        <v>16</v>
      </c>
      <c r="B76" s="349">
        <f>IF(COUNT(Data!B179:C179)&gt;0,(AVERAGE(Data!B179:C179)),"")</f>
        <v>93.42</v>
      </c>
      <c r="C76" s="349">
        <f>IF(COUNT(Data!D179:E179)&gt;0,(AVERAGE(Data!D179:E179)),"")</f>
        <v>92.19</v>
      </c>
      <c r="D76" s="349">
        <f>IF(COUNT(Data!F179:G179)&gt;0,(AVERAGE(Data!F179:G179)),"")</f>
        <v>88.265000000000001</v>
      </c>
      <c r="E76" s="353">
        <f>IF(D76="","",RANK(D76,$D$63:$D$77)+COUNTIF($D$63:D76,D76)-1)</f>
        <v>6</v>
      </c>
      <c r="F76" s="353">
        <v>14</v>
      </c>
      <c r="Y76" s="357" t="s">
        <v>16</v>
      </c>
      <c r="Z76" s="353">
        <v>14</v>
      </c>
      <c r="AA76" s="353" t="str">
        <f t="shared" si="49"/>
        <v/>
      </c>
    </row>
    <row r="77" spans="1:27">
      <c r="A77" s="357" t="s">
        <v>17</v>
      </c>
      <c r="B77" s="349" t="str">
        <f>IF(COUNT(Data!B180:C180)&gt;0,(AVERAGE(Data!B180:C180)),"")</f>
        <v/>
      </c>
      <c r="C77" s="349">
        <f>IF(COUNT(Data!D180:E180)&gt;0,(AVERAGE(Data!D180:E180)),"")</f>
        <v>99.575000000000003</v>
      </c>
      <c r="D77" s="349">
        <f>IF(COUNT(Data!F180:G180)&gt;0,(AVERAGE(Data!F180:G180)),"")</f>
        <v>98.384999999999991</v>
      </c>
      <c r="E77" s="353">
        <f>IF(D77="","",RANK(D77,$D$63:$D$77)+COUNTIF($D$63:D77,D77)-1)</f>
        <v>1</v>
      </c>
      <c r="F77" s="353">
        <v>15</v>
      </c>
      <c r="Y77" s="357" t="s">
        <v>17</v>
      </c>
      <c r="Z77" s="353">
        <v>15</v>
      </c>
      <c r="AA77" s="353" t="str">
        <f t="shared" si="49"/>
        <v/>
      </c>
    </row>
    <row r="78" spans="1:27">
      <c r="A78" s="353" t="s">
        <v>100</v>
      </c>
      <c r="B78" s="349">
        <f>IF(SUM(B63:B77)&gt;0,ROUND(AVERAGE(B63:B77),2),"")</f>
        <v>97.92</v>
      </c>
      <c r="C78" s="349">
        <f>IF(SUM(C63:C77)&gt;0,ROUND(AVERAGE(C63:C77),2),"")</f>
        <v>98.55</v>
      </c>
      <c r="D78" s="349">
        <f>IF(SUM(D63:D77)&gt;0,ROUND(AVERAGE(D63:D77),2),"")</f>
        <v>93.09</v>
      </c>
      <c r="Y78" s="357"/>
      <c r="AA78" s="353" t="str">
        <f>IF(E78="","",INDEX($A$63:$A$77,MATCH(Z78,$E$63:$E$77,0)))</f>
        <v/>
      </c>
    </row>
    <row r="79" spans="1:27">
      <c r="A79" s="356" t="s">
        <v>99</v>
      </c>
      <c r="J79" s="353">
        <v>1</v>
      </c>
      <c r="K79" s="353">
        <v>2</v>
      </c>
      <c r="L79" s="353">
        <v>3</v>
      </c>
      <c r="M79" s="353">
        <v>4</v>
      </c>
      <c r="N79" s="353">
        <v>5</v>
      </c>
    </row>
    <row r="80" spans="1:27">
      <c r="B80" s="353" t="str">
        <f>IF(Data!F185="","",Data!F185)</f>
        <v>2016-2017</v>
      </c>
      <c r="C80" s="353" t="str">
        <f>IF(Data!F192="","",Data!F192)</f>
        <v>2017-2018</v>
      </c>
      <c r="D80" s="353" t="str">
        <f>IF(Data!F199="","",Data!F199)</f>
        <v>2018-2019</v>
      </c>
      <c r="J80" s="353" t="str">
        <f>IFERROR(INDEX($G$81:$G$85,MATCH(J79,$H$81:$H$85,0)),"")</f>
        <v/>
      </c>
      <c r="K80" s="353" t="str">
        <f>IFERROR(INDEX($G$81:$G$85,MATCH(K79,$H$81:$H$85,0)),"")</f>
        <v/>
      </c>
      <c r="L80" s="353" t="str">
        <f>IFERROR(INDEX($G$81:$G$85,MATCH(L79,$H$81:$H$85,0)),"")</f>
        <v/>
      </c>
      <c r="M80" s="353" t="str">
        <f>IFERROR(INDEX($G$81:$G$85,MATCH(M79,$H$81:$H$85,0)),"")</f>
        <v/>
      </c>
      <c r="N80" s="353" t="str">
        <f>IFERROR(INDEX($G$81:$G$85,MATCH(N79,$H$81:$H$85,0)),"")</f>
        <v/>
      </c>
      <c r="P80" s="353" t="str">
        <f>IF(J81="","No Data Available",CONCATENATE("In the most recent NAT, learners performed well in"," ",J80," ","with"," ",J82," ","Mean Percentage Scores",","," ","followed by"," ",K80," ","with"," ",K82," ","and"," ",L80," ","with"," ",L82,"."," ","Interventions maybe needed to help the learners in"," ",N80,"."))</f>
        <v>No Data Available</v>
      </c>
    </row>
    <row r="81" spans="1:41">
      <c r="A81" s="356" t="s">
        <v>52</v>
      </c>
      <c r="B81" s="349" t="str">
        <f>Data!$C$191</f>
        <v/>
      </c>
      <c r="C81" s="349">
        <f>Data!$C$198</f>
        <v>47.73</v>
      </c>
      <c r="D81" s="349" t="str">
        <f>Data!$C$205</f>
        <v/>
      </c>
      <c r="G81" s="353" t="str">
        <f>A81</f>
        <v>English</v>
      </c>
      <c r="H81" s="353" t="str">
        <f>IF(D81="","",RANK(D81,$D$81:$D$85)+COUNTIF($D$81:D81,D81)-1)</f>
        <v/>
      </c>
      <c r="J81" s="353" t="str">
        <f>IFERROR(INDEX($D$81:$D$85,MATCH(J80,$G$81:$G$85,0)),"")</f>
        <v/>
      </c>
      <c r="K81" s="353" t="str">
        <f>IFERROR(INDEX($D$81:$D$85,MATCH(K80,$G$81:$G$85,0)),"")</f>
        <v/>
      </c>
      <c r="L81" s="353" t="str">
        <f>IFERROR(INDEX($D$81:$D$85,MATCH(L80,$G$81:$G$85,0)),"")</f>
        <v/>
      </c>
      <c r="M81" s="353" t="str">
        <f>IFERROR(INDEX($D$81:$D$85,MATCH(M80,$G$81:$G$85,0)),"")</f>
        <v/>
      </c>
      <c r="N81" s="353" t="str">
        <f>IFERROR(INDEX($D$81:$D$85,MATCH(N80,$G$81:$G$85,0)),"")</f>
        <v/>
      </c>
    </row>
    <row r="82" spans="1:41">
      <c r="A82" s="356" t="s">
        <v>53</v>
      </c>
      <c r="B82" s="349" t="str">
        <f>Data!$D$191</f>
        <v/>
      </c>
      <c r="C82" s="349">
        <f>Data!$D$198</f>
        <v>54.65</v>
      </c>
      <c r="D82" s="349" t="str">
        <f>Data!$D$205</f>
        <v/>
      </c>
      <c r="G82" s="353" t="str">
        <f>A82</f>
        <v>Filipino</v>
      </c>
      <c r="H82" s="353" t="str">
        <f>IF(D82="","",RANK(D82,$D$81:$D$85)+COUNTIF($D$81:D82,D82)-1)</f>
        <v/>
      </c>
      <c r="J82" s="349" t="str">
        <f>IF(J81="","",ROUND(J81,2))</f>
        <v/>
      </c>
      <c r="K82" s="349" t="str">
        <f>IF(K81="","",ROUND(K81,2))</f>
        <v/>
      </c>
      <c r="L82" s="349" t="str">
        <f>IF(L81="","",ROUND(L81,2))</f>
        <v/>
      </c>
      <c r="M82" s="349" t="str">
        <f>IF(M81="","",ROUND(M81,2))</f>
        <v/>
      </c>
      <c r="N82" s="349" t="str">
        <f>IF(N81="","",ROUND(N81,2))</f>
        <v/>
      </c>
    </row>
    <row r="83" spans="1:41">
      <c r="A83" s="356" t="s">
        <v>54</v>
      </c>
      <c r="B83" s="349" t="str">
        <f>Data!$E$191</f>
        <v/>
      </c>
      <c r="C83" s="349">
        <f>Data!$E$198</f>
        <v>34.58</v>
      </c>
      <c r="D83" s="349" t="str">
        <f>Data!$E$205</f>
        <v/>
      </c>
      <c r="G83" s="353" t="str">
        <f>A83</f>
        <v>Math</v>
      </c>
      <c r="H83" s="353" t="str">
        <f>IF(D83="","",RANK(D83,$D$81:$D$85)+COUNTIF($D$81:D83,D83)-1)</f>
        <v/>
      </c>
    </row>
    <row r="84" spans="1:41">
      <c r="A84" s="356" t="s">
        <v>55</v>
      </c>
      <c r="B84" s="349" t="str">
        <f>Data!$F$191</f>
        <v/>
      </c>
      <c r="C84" s="349">
        <f>Data!$F$198</f>
        <v>28.86</v>
      </c>
      <c r="D84" s="349" t="str">
        <f>Data!$F$205</f>
        <v/>
      </c>
      <c r="G84" s="353" t="str">
        <f>A84</f>
        <v xml:space="preserve">Science </v>
      </c>
      <c r="H84" s="353" t="str">
        <f>IF(D84="","",RANK(D84,$D$81:$D$85)+COUNTIF($D$81:D84,D84)-1)</f>
        <v/>
      </c>
    </row>
    <row r="85" spans="1:41">
      <c r="A85" s="356" t="s">
        <v>56</v>
      </c>
      <c r="B85" s="349" t="str">
        <f>Data!$G$191</f>
        <v/>
      </c>
      <c r="C85" s="349">
        <f>Data!$G$198</f>
        <v>39.299999999999997</v>
      </c>
      <c r="D85" s="349" t="str">
        <f>Data!$G$205</f>
        <v/>
      </c>
      <c r="G85" s="353" t="str">
        <f>A85</f>
        <v>HEKASI</v>
      </c>
      <c r="H85" s="353" t="str">
        <f>IF(D85="","",RANK(D85,$D$81:$D$85)+COUNTIF($D$81:D85,D85)-1)</f>
        <v/>
      </c>
    </row>
    <row r="88" spans="1:41">
      <c r="A88" s="356" t="s">
        <v>101</v>
      </c>
      <c r="B88" s="673" t="s">
        <v>864</v>
      </c>
      <c r="C88" s="673"/>
      <c r="D88" s="673"/>
      <c r="E88" s="356" t="s">
        <v>101</v>
      </c>
      <c r="F88" s="673" t="s">
        <v>865</v>
      </c>
      <c r="G88" s="673"/>
      <c r="H88" s="673"/>
      <c r="I88" s="356" t="s">
        <v>101</v>
      </c>
      <c r="J88" s="673" t="s">
        <v>866</v>
      </c>
      <c r="K88" s="673"/>
      <c r="L88" s="673"/>
      <c r="M88" s="356" t="s">
        <v>101</v>
      </c>
      <c r="N88" s="673" t="s">
        <v>867</v>
      </c>
      <c r="O88" s="673"/>
      <c r="P88" s="673"/>
      <c r="R88" s="673" t="s">
        <v>871</v>
      </c>
      <c r="S88" s="673"/>
      <c r="T88" s="673"/>
      <c r="U88" s="673"/>
      <c r="V88" s="673"/>
      <c r="W88" s="673"/>
      <c r="X88" s="673" t="s">
        <v>872</v>
      </c>
      <c r="Y88" s="673"/>
      <c r="Z88" s="673"/>
      <c r="AA88" s="673"/>
      <c r="AB88" s="673"/>
      <c r="AC88" s="673"/>
      <c r="AD88" s="673" t="s">
        <v>873</v>
      </c>
      <c r="AE88" s="673"/>
      <c r="AF88" s="673"/>
      <c r="AG88" s="673"/>
      <c r="AH88" s="673"/>
      <c r="AI88" s="673"/>
      <c r="AJ88" s="673" t="s">
        <v>873</v>
      </c>
      <c r="AK88" s="673"/>
      <c r="AL88" s="673"/>
      <c r="AM88" s="673"/>
      <c r="AN88" s="673"/>
      <c r="AO88" s="673"/>
    </row>
    <row r="89" spans="1:41">
      <c r="B89" s="350" t="s">
        <v>859</v>
      </c>
      <c r="C89" s="350" t="s">
        <v>860</v>
      </c>
      <c r="D89" s="350" t="s">
        <v>861</v>
      </c>
      <c r="F89" s="350" t="s">
        <v>859</v>
      </c>
      <c r="G89" s="350" t="s">
        <v>860</v>
      </c>
      <c r="H89" s="350" t="s">
        <v>861</v>
      </c>
      <c r="J89" s="350" t="s">
        <v>859</v>
      </c>
      <c r="K89" s="350" t="s">
        <v>860</v>
      </c>
      <c r="L89" s="350" t="s">
        <v>861</v>
      </c>
      <c r="N89" s="350" t="s">
        <v>859</v>
      </c>
      <c r="O89" s="350" t="s">
        <v>860</v>
      </c>
      <c r="P89" s="350" t="s">
        <v>861</v>
      </c>
      <c r="R89" s="353" t="s">
        <v>859</v>
      </c>
      <c r="S89" s="353" t="s">
        <v>868</v>
      </c>
      <c r="T89" s="353" t="s">
        <v>219</v>
      </c>
      <c r="U89" s="353" t="s">
        <v>242</v>
      </c>
      <c r="V89" s="353" t="s">
        <v>869</v>
      </c>
      <c r="W89" s="353" t="s">
        <v>870</v>
      </c>
      <c r="X89" s="353" t="s">
        <v>859</v>
      </c>
      <c r="Y89" s="353" t="s">
        <v>868</v>
      </c>
      <c r="Z89" s="353" t="s">
        <v>219</v>
      </c>
      <c r="AA89" s="353" t="s">
        <v>242</v>
      </c>
      <c r="AB89" s="353" t="s">
        <v>869</v>
      </c>
      <c r="AC89" s="353" t="s">
        <v>870</v>
      </c>
      <c r="AD89" s="353" t="s">
        <v>859</v>
      </c>
      <c r="AE89" s="353" t="s">
        <v>868</v>
      </c>
      <c r="AF89" s="353" t="s">
        <v>219</v>
      </c>
      <c r="AG89" s="353" t="s">
        <v>242</v>
      </c>
      <c r="AH89" s="353" t="s">
        <v>869</v>
      </c>
      <c r="AI89" s="353" t="s">
        <v>870</v>
      </c>
      <c r="AJ89" s="353" t="s">
        <v>859</v>
      </c>
      <c r="AK89" s="353" t="s">
        <v>868</v>
      </c>
      <c r="AL89" s="353" t="s">
        <v>219</v>
      </c>
      <c r="AM89" s="353" t="s">
        <v>242</v>
      </c>
      <c r="AN89" s="353" t="s">
        <v>869</v>
      </c>
      <c r="AO89" s="353" t="s">
        <v>870</v>
      </c>
    </row>
    <row r="90" spans="1:41">
      <c r="A90" s="353" t="str">
        <f>Data!A213</f>
        <v>Grade 1</v>
      </c>
      <c r="B90" s="353" t="str">
        <f>IF(SUM(Data!$B213,Data!$E213,Data!$H213)&lt;1,"",(Data!B213/SUM(Data!$B213,Data!$E213,Data!$H213)*100))</f>
        <v/>
      </c>
      <c r="C90" s="353" t="str">
        <f>IF(SUM(Data!$B213,Data!$E213,Data!$H213)&lt;1,"",(Data!E213/SUM(Data!$B213,Data!$E213,Data!$H213)*100))</f>
        <v/>
      </c>
      <c r="D90" s="353" t="str">
        <f>IF(SUM(Data!$B213,Data!$E213,Data!$H213)&lt;1,"",(Data!H213/SUM(Data!$B213,Data!$E213,Data!$H213)*100))</f>
        <v/>
      </c>
      <c r="E90" s="353" t="str">
        <f>A90</f>
        <v>Grade 1</v>
      </c>
      <c r="F90" s="353" t="str">
        <f>IF(SUM(Data!$B226,Data!$E226,Data!$H226)&lt;1,"",(Data!B226/SUM(Data!$B226,Data!$E226,Data!$H226)*100))</f>
        <v/>
      </c>
      <c r="G90" s="353" t="str">
        <f>IF(SUM(Data!$B226,Data!$E226,Data!$H226)&lt;1,"",(Data!E226/SUM(Data!$B226,Data!$E226,Data!$H226)*100))</f>
        <v/>
      </c>
      <c r="H90" s="353" t="str">
        <f>IF(SUM(Data!$B226,Data!$E226,Data!$H226)&lt;1,"",(Data!H226/SUM(Data!$B226,Data!$E226,Data!$H226)*100))</f>
        <v/>
      </c>
      <c r="I90" s="353" t="str">
        <f>E90</f>
        <v>Grade 1</v>
      </c>
      <c r="J90" s="353" t="str">
        <f>IF(SUM(Data!$B244,Data!$E244,Data!$H244)&lt;1,"",(Data!B244/SUM(Data!$B244,Data!$E244,Data!$H244)*100))</f>
        <v/>
      </c>
      <c r="K90" s="353" t="str">
        <f>IF(SUM(Data!$B244,Data!$E244,Data!$H244)&lt;1,"",(Data!E244/SUM(Data!$B244,Data!$E244,Data!$H244)*100))</f>
        <v/>
      </c>
      <c r="L90" s="353" t="str">
        <f>IF(SUM(Data!$B244,Data!$E244,Data!$H244)&lt;1,"",(Data!H244/SUM(Data!$B244,Data!$E244,Data!$H244)*100))</f>
        <v/>
      </c>
      <c r="M90" s="353" t="str">
        <f>I90</f>
        <v>Grade 1</v>
      </c>
      <c r="N90" s="353" t="str">
        <f>IF(SUM(Data!$B257,Data!$E257,Data!$H257)&lt;1,"",(Data!B257/SUM(Data!$B257,Data!$E257,Data!$H257)*100))</f>
        <v/>
      </c>
      <c r="O90" s="353" t="str">
        <f>IF(SUM(Data!$B257,Data!$E257,Data!$H257)&lt;1,"",(Data!E257/SUM(Data!$B257,Data!$E257,Data!$H257)*100))</f>
        <v/>
      </c>
      <c r="P90" s="353" t="str">
        <f>IF(SUM(Data!$B257,Data!$E257,Data!$H257)&lt;1,"",(Data!H257/SUM(Data!$B257,Data!$E257,Data!$H257)*100))</f>
        <v/>
      </c>
      <c r="R90" s="353" t="str">
        <f>IF(B90="","",B90)</f>
        <v/>
      </c>
      <c r="S90" s="353" t="str">
        <f>IF(R90="","",100-R90)</f>
        <v/>
      </c>
      <c r="T90" s="372" t="str">
        <f>IF(R90="","",RANK(R90,$R$90:$R$101)+COUNTIF($R$90:$R90,R90)-1)</f>
        <v/>
      </c>
      <c r="U90" s="353">
        <v>1</v>
      </c>
      <c r="V90" s="372" t="str">
        <f>IFERROR(INDEX($M$90:$M$101,MATCH(U90,$T$90:$T$101,0)),"")</f>
        <v>Grade 11</v>
      </c>
      <c r="W90" s="373">
        <f>IFERROR(INDEX($R$90:$R$101,MATCH(U90,$T$90:$T$101,0)),"")</f>
        <v>50.24154589371981</v>
      </c>
      <c r="X90" s="353" t="str">
        <f>IF(F90="","",F90)</f>
        <v/>
      </c>
      <c r="Y90" s="353" t="str">
        <f>IF(X90="","",100-X90)</f>
        <v/>
      </c>
      <c r="Z90" s="372" t="str">
        <f>IF(X90="","",RANK(X90,$X$90:$X$101)+COUNTIF($X$90:$X90,X90)-1)</f>
        <v/>
      </c>
      <c r="AA90" s="353">
        <v>1</v>
      </c>
      <c r="AB90" s="372" t="str">
        <f>IFERROR(INDEX($M$90:$M$101,MATCH(AA90,$Z$90:$Z$101,0)),"")</f>
        <v>Grade 10</v>
      </c>
      <c r="AC90" s="373">
        <f>IFERROR(INDEX($X$90:$X$101,MATCH(AA90,$Z$90:$Z$101,0)),"")</f>
        <v>89.592760180995484</v>
      </c>
      <c r="AD90" s="353" t="str">
        <f>IF(J90="","",J90)</f>
        <v/>
      </c>
      <c r="AE90" s="353" t="str">
        <f>IF(AD90="","",100-AD90)</f>
        <v/>
      </c>
      <c r="AF90" s="372" t="str">
        <f>IF(AD90="","",RANK(AD90,$AD$90:$AD$101)+COUNTIF($AD$90:$AD90,AD90)-1)</f>
        <v/>
      </c>
      <c r="AG90" s="353">
        <v>1</v>
      </c>
      <c r="AH90" s="372" t="str">
        <f>IFERROR(INDEX($M$90:$M$101,MATCH(AG90,$AF$90:$AF$101,0)),"")</f>
        <v>Grade 12</v>
      </c>
      <c r="AI90" s="373">
        <f>IFERROR(INDEX($AD$90:$AD$101,MATCH(AG90,$AF$90:$AF$101,0)),"")</f>
        <v>77.018633540372676</v>
      </c>
      <c r="AJ90" s="353" t="str">
        <f>IF(N90="","",N90)</f>
        <v/>
      </c>
      <c r="AK90" s="353" t="str">
        <f>IF(AJ90="","",100-AJ90)</f>
        <v/>
      </c>
      <c r="AL90" s="374" t="str">
        <f>IF(AJ90="","",RANK(AJ90,$AJ$90:$AJ$101)+COUNTIF($AJ$90:$AJ90,AJ90)-1)</f>
        <v/>
      </c>
      <c r="AM90" s="353">
        <v>1</v>
      </c>
      <c r="AN90" s="372" t="str">
        <f>IFERROR(INDEX($M$90:$M$101,MATCH(AM90,$AL$90:$AL$101,0)),"")</f>
        <v>Grade 7</v>
      </c>
      <c r="AO90" s="373">
        <f>IFERROR(INDEX($AJ$90:$AJ$101,MATCH(AM90,$AL$90:$AL$101,0)),"")</f>
        <v>0</v>
      </c>
    </row>
    <row r="91" spans="1:41">
      <c r="A91" s="353" t="str">
        <f>Data!A214</f>
        <v>Grade 2</v>
      </c>
      <c r="B91" s="353" t="str">
        <f>IF(SUM(Data!$B214,Data!$E214,Data!$H214)&lt;1,"",(Data!B214/SUM(Data!$B214,Data!$E214,Data!$H214)*100))</f>
        <v/>
      </c>
      <c r="C91" s="353" t="str">
        <f>IF(SUM(Data!$B214,Data!$E214,Data!$H214)&lt;1,"",(Data!E214/SUM(Data!$B214,Data!$E214,Data!$H214)*100))</f>
        <v/>
      </c>
      <c r="D91" s="353" t="str">
        <f>IF(SUM(Data!$B214,Data!$E214,Data!$H214)&lt;1,"",(Data!H214/SUM(Data!$B214,Data!$E214,Data!$H214)*100))</f>
        <v/>
      </c>
      <c r="E91" s="353" t="str">
        <f t="shared" ref="E91:E101" si="50">A91</f>
        <v>Grade 2</v>
      </c>
      <c r="F91" s="353" t="str">
        <f>IF(SUM(Data!$B227,Data!$E227,Data!$H227)&lt;1,"",(Data!B227/SUM(Data!$B227,Data!$E227,Data!$H227)*100))</f>
        <v/>
      </c>
      <c r="G91" s="353" t="str">
        <f>IF(SUM(Data!$B227,Data!$E227,Data!$H227)&lt;1,"",(Data!E227/SUM(Data!$B227,Data!$E227,Data!$H227)*100))</f>
        <v/>
      </c>
      <c r="H91" s="353" t="str">
        <f>IF(SUM(Data!$B227,Data!$E227,Data!$H227)&lt;1,"",(Data!H227/SUM(Data!$B227,Data!$E227,Data!$H227)*100))</f>
        <v/>
      </c>
      <c r="I91" s="353" t="str">
        <f t="shared" ref="I91:I101" si="51">E91</f>
        <v>Grade 2</v>
      </c>
      <c r="J91" s="353" t="str">
        <f>IF(SUM(Data!$B245,Data!$E245,Data!$H245)&lt;1,"",(Data!B245/SUM(Data!$B245,Data!$E245,Data!$H245)*100))</f>
        <v/>
      </c>
      <c r="K91" s="353" t="str">
        <f>IF(SUM(Data!$B245,Data!$E245,Data!$H245)&lt;1,"",(Data!E245/SUM(Data!$B245,Data!$E245,Data!$H245)*100))</f>
        <v/>
      </c>
      <c r="L91" s="353" t="str">
        <f>IF(SUM(Data!$B245,Data!$E245,Data!$H245)&lt;1,"",(Data!H245/SUM(Data!$B245,Data!$E245,Data!$H245)*100))</f>
        <v/>
      </c>
      <c r="M91" s="353" t="str">
        <f t="shared" ref="M91:M101" si="52">I91</f>
        <v>Grade 2</v>
      </c>
      <c r="N91" s="353" t="str">
        <f>IF(SUM(Data!$B258,Data!$E258,Data!$H258)&lt;1,"",(Data!B258/SUM(Data!$B258,Data!$E258,Data!$H258)*100))</f>
        <v/>
      </c>
      <c r="O91" s="353" t="str">
        <f>IF(SUM(Data!$B258,Data!$E258,Data!$H258)&lt;1,"",(Data!E258/SUM(Data!$B258,Data!$E258,Data!$H258)*100))</f>
        <v/>
      </c>
      <c r="P91" s="353" t="str">
        <f>IF(SUM(Data!$B258,Data!$E258,Data!$H258)&lt;1,"",(Data!H258/SUM(Data!$B258,Data!$E258,Data!$H258)*100))</f>
        <v/>
      </c>
      <c r="R91" s="353" t="str">
        <f t="shared" ref="R91:R101" si="53">IF(B91="","",B91)</f>
        <v/>
      </c>
      <c r="S91" s="353" t="str">
        <f t="shared" ref="S91:S101" si="54">IF(R91="","",100-R91)</f>
        <v/>
      </c>
      <c r="T91" s="372" t="str">
        <f>IF(R91="","",RANK(R91,$R$90:$R$101)+COUNTIF($R$90:$R91,R91)-1)</f>
        <v/>
      </c>
      <c r="U91" s="353">
        <v>2</v>
      </c>
      <c r="V91" s="372" t="str">
        <f t="shared" ref="V91:V101" si="55">IFERROR(INDEX($M$90:$M$101,MATCH(U91,$T$90:$T$101,0)),"")</f>
        <v>Grade 10</v>
      </c>
      <c r="W91" s="373">
        <f t="shared" ref="W91:W101" si="56">IFERROR(INDEX($R$90:$R$101,MATCH(U91,$T$90:$T$101,0)),"")</f>
        <v>47.058823529411761</v>
      </c>
      <c r="X91" s="353" t="str">
        <f t="shared" ref="X91:X101" si="57">IF(F91="","",F91)</f>
        <v/>
      </c>
      <c r="Y91" s="353" t="str">
        <f t="shared" ref="Y91:Y101" si="58">IF(X91="","",100-X91)</f>
        <v/>
      </c>
      <c r="Z91" s="372" t="str">
        <f>IF(X91="","",RANK(X91,$X$90:$X$101)+COUNTIF($X$90:$X91,X91)-1)</f>
        <v/>
      </c>
      <c r="AA91" s="353">
        <v>2</v>
      </c>
      <c r="AB91" s="372" t="str">
        <f t="shared" ref="AB91:AB101" si="59">IFERROR(INDEX($M$90:$M$101,MATCH(AA91,$Z$90:$Z$101,0)),"")</f>
        <v>Grade 12</v>
      </c>
      <c r="AC91" s="373">
        <f t="shared" ref="AC91:AC101" si="60">IFERROR(INDEX($X$90:$X$101,MATCH(AA91,$Z$90:$Z$101,0)),"")</f>
        <v>86.335403726708066</v>
      </c>
      <c r="AD91" s="353" t="str">
        <f t="shared" ref="AD91:AD101" si="61">IF(J91="","",J91)</f>
        <v/>
      </c>
      <c r="AE91" s="353" t="str">
        <f t="shared" ref="AE91:AE101" si="62">IF(AD91="","",100-AD91)</f>
        <v/>
      </c>
      <c r="AF91" s="372" t="str">
        <f>IF(AD91="","",RANK(AD91,$AD$90:$AD$101)+COUNTIF($AD$90:$AD91,AD91)-1)</f>
        <v/>
      </c>
      <c r="AG91" s="353">
        <v>2</v>
      </c>
      <c r="AH91" s="372" t="str">
        <f t="shared" ref="AH91:AH101" si="63">IFERROR(INDEX($M$90:$M$101,MATCH(AG91,$AF$90:$AF$101,0)),"")</f>
        <v>Grade 10</v>
      </c>
      <c r="AI91" s="373">
        <f t="shared" ref="AI91:AI101" si="64">IFERROR(INDEX($AD$90:$AD$101,MATCH(AG91,$AF$90:$AF$101,0)),"")</f>
        <v>42.081447963800905</v>
      </c>
      <c r="AJ91" s="353" t="str">
        <f t="shared" ref="AJ91:AJ101" si="65">IF(N91="","",N91)</f>
        <v/>
      </c>
      <c r="AK91" s="353" t="str">
        <f t="shared" ref="AK91:AK101" si="66">IF(AJ91="","",100-AJ91)</f>
        <v/>
      </c>
      <c r="AL91" s="374" t="str">
        <f>IF(AJ91="","",RANK(AJ91,$AJ$90:$AJ$101)+COUNTIF($AJ$90:$AJ91,AJ91)-1)</f>
        <v/>
      </c>
      <c r="AM91" s="353">
        <v>2</v>
      </c>
      <c r="AN91" s="372" t="str">
        <f t="shared" ref="AN91:AN101" si="67">IFERROR(INDEX($M$90:$M$101,MATCH(AM91,$AL$90:$AL$101,0)),"")</f>
        <v>Grade 8</v>
      </c>
      <c r="AO91" s="373">
        <f t="shared" ref="AO91:AO101" si="68">IFERROR(INDEX($AJ$90:$AJ$101,MATCH(AM91,$AL$90:$AL$101,0)),"")</f>
        <v>0</v>
      </c>
    </row>
    <row r="92" spans="1:41">
      <c r="A92" s="353" t="str">
        <f>Data!A215</f>
        <v>Grade 3</v>
      </c>
      <c r="B92" s="353" t="str">
        <f>IF(SUM(Data!$B215,Data!$E215,Data!$H215)&lt;1,"",(Data!B215/SUM(Data!$B215,Data!$E215,Data!$H215)*100))</f>
        <v/>
      </c>
      <c r="C92" s="353" t="str">
        <f>IF(SUM(Data!$B215,Data!$E215,Data!$H215)&lt;1,"",(Data!E215/SUM(Data!$B215,Data!$E215,Data!$H215)*100))</f>
        <v/>
      </c>
      <c r="D92" s="353" t="str">
        <f>IF(SUM(Data!$B215,Data!$E215,Data!$H215)&lt;1,"",(Data!H215/SUM(Data!$B215,Data!$E215,Data!$H215)*100))</f>
        <v/>
      </c>
      <c r="E92" s="353" t="str">
        <f t="shared" si="50"/>
        <v>Grade 3</v>
      </c>
      <c r="F92" s="353" t="str">
        <f>IF(SUM(Data!$B228,Data!$E228,Data!$H228)&lt;1,"",(Data!B228/SUM(Data!$B228,Data!$E228,Data!$H228)*100))</f>
        <v/>
      </c>
      <c r="G92" s="353" t="str">
        <f>IF(SUM(Data!$B228,Data!$E228,Data!$H228)&lt;1,"",(Data!E228/SUM(Data!$B228,Data!$E228,Data!$H228)*100))</f>
        <v/>
      </c>
      <c r="H92" s="353" t="str">
        <f>IF(SUM(Data!$B228,Data!$E228,Data!$H228)&lt;1,"",(Data!H228/SUM(Data!$B228,Data!$E228,Data!$H228)*100))</f>
        <v/>
      </c>
      <c r="I92" s="353" t="str">
        <f t="shared" si="51"/>
        <v>Grade 3</v>
      </c>
      <c r="J92" s="353" t="str">
        <f>IF(SUM(Data!$B246,Data!$E246,Data!$H246)&lt;1,"",(Data!B246/SUM(Data!$B246,Data!$E246,Data!$H246)*100))</f>
        <v/>
      </c>
      <c r="K92" s="353" t="str">
        <f>IF(SUM(Data!$B246,Data!$E246,Data!$H246)&lt;1,"",(Data!E246/SUM(Data!$B246,Data!$E246,Data!$H246)*100))</f>
        <v/>
      </c>
      <c r="L92" s="353" t="str">
        <f>IF(SUM(Data!$B246,Data!$E246,Data!$H246)&lt;1,"",(Data!H246/SUM(Data!$B246,Data!$E246,Data!$H246)*100))</f>
        <v/>
      </c>
      <c r="M92" s="353" t="str">
        <f t="shared" si="52"/>
        <v>Grade 3</v>
      </c>
      <c r="N92" s="353" t="str">
        <f>IF(SUM(Data!$B259,Data!$E259,Data!$H259)&lt;1,"",(Data!B259/SUM(Data!$B259,Data!$E259,Data!$H259)*100))</f>
        <v/>
      </c>
      <c r="O92" s="353" t="str">
        <f>IF(SUM(Data!$B259,Data!$E259,Data!$H259)&lt;1,"",(Data!E259/SUM(Data!$B259,Data!$E259,Data!$H259)*100))</f>
        <v/>
      </c>
      <c r="P92" s="353" t="str">
        <f>IF(SUM(Data!$B259,Data!$E259,Data!$H259)&lt;1,"",(Data!H259/SUM(Data!$B259,Data!$E259,Data!$H259)*100))</f>
        <v/>
      </c>
      <c r="R92" s="353" t="str">
        <f t="shared" si="53"/>
        <v/>
      </c>
      <c r="S92" s="353" t="str">
        <f t="shared" si="54"/>
        <v/>
      </c>
      <c r="T92" s="372" t="str">
        <f>IF(R92="","",RANK(R92,$R$90:$R$101)+COUNTIF($R$90:$R92,R92)-1)</f>
        <v/>
      </c>
      <c r="U92" s="353">
        <v>3</v>
      </c>
      <c r="V92" s="372" t="str">
        <f t="shared" si="55"/>
        <v>Grade 8</v>
      </c>
      <c r="W92" s="373">
        <f t="shared" si="56"/>
        <v>38.032786885245898</v>
      </c>
      <c r="X92" s="353" t="str">
        <f t="shared" si="57"/>
        <v/>
      </c>
      <c r="Y92" s="353" t="str">
        <f t="shared" si="58"/>
        <v/>
      </c>
      <c r="Z92" s="372" t="str">
        <f>IF(X92="","",RANK(X92,$X$90:$X$101)+COUNTIF($X$90:$X92,X92)-1)</f>
        <v/>
      </c>
      <c r="AA92" s="353">
        <v>3</v>
      </c>
      <c r="AB92" s="372" t="str">
        <f t="shared" si="59"/>
        <v>Grade 9</v>
      </c>
      <c r="AC92" s="373">
        <f t="shared" si="60"/>
        <v>86.23481781376519</v>
      </c>
      <c r="AD92" s="353" t="str">
        <f t="shared" si="61"/>
        <v/>
      </c>
      <c r="AE92" s="353" t="str">
        <f t="shared" si="62"/>
        <v/>
      </c>
      <c r="AF92" s="372" t="str">
        <f>IF(AD92="","",RANK(AD92,$AD$90:$AD$101)+COUNTIF($AD$90:$AD92,AD92)-1)</f>
        <v/>
      </c>
      <c r="AG92" s="353">
        <v>3</v>
      </c>
      <c r="AH92" s="372" t="str">
        <f t="shared" si="63"/>
        <v>Grade 9</v>
      </c>
      <c r="AI92" s="373">
        <f t="shared" si="64"/>
        <v>35.222672064777328</v>
      </c>
      <c r="AJ92" s="353" t="str">
        <f t="shared" si="65"/>
        <v/>
      </c>
      <c r="AK92" s="353" t="str">
        <f t="shared" si="66"/>
        <v/>
      </c>
      <c r="AL92" s="374" t="str">
        <f>IF(AJ92="","",RANK(AJ92,$AJ$90:$AJ$101)+COUNTIF($AJ$90:$AJ92,AJ92)-1)</f>
        <v/>
      </c>
      <c r="AM92" s="353">
        <v>3</v>
      </c>
      <c r="AN92" s="372" t="str">
        <f t="shared" si="67"/>
        <v>Grade 9</v>
      </c>
      <c r="AO92" s="373">
        <f t="shared" si="68"/>
        <v>0</v>
      </c>
    </row>
    <row r="93" spans="1:41">
      <c r="A93" s="353" t="str">
        <f>Data!A216</f>
        <v>Grade 4</v>
      </c>
      <c r="B93" s="353" t="str">
        <f>IF(SUM(Data!$B216,Data!$E216,Data!$H216)&lt;1,"",(Data!B216/SUM(Data!$B216,Data!$E216,Data!$H216)*100))</f>
        <v/>
      </c>
      <c r="C93" s="353" t="str">
        <f>IF(SUM(Data!$B216,Data!$E216,Data!$H216)&lt;1,"",(Data!E216/SUM(Data!$B216,Data!$E216,Data!$H216)*100))</f>
        <v/>
      </c>
      <c r="D93" s="353" t="str">
        <f>IF(SUM(Data!$B216,Data!$E216,Data!$H216)&lt;1,"",(Data!H216/SUM(Data!$B216,Data!$E216,Data!$H216)*100))</f>
        <v/>
      </c>
      <c r="E93" s="353" t="str">
        <f t="shared" si="50"/>
        <v>Grade 4</v>
      </c>
      <c r="F93" s="353" t="str">
        <f>IF(SUM(Data!$B229,Data!$E229,Data!$H229)&lt;1,"",(Data!B229/SUM(Data!$B229,Data!$E229,Data!$H229)*100))</f>
        <v/>
      </c>
      <c r="G93" s="353" t="str">
        <f>IF(SUM(Data!$B229,Data!$E229,Data!$H229)&lt;1,"",(Data!E229/SUM(Data!$B229,Data!$E229,Data!$H229)*100))</f>
        <v/>
      </c>
      <c r="H93" s="353" t="str">
        <f>IF(SUM(Data!$B229,Data!$E229,Data!$H229)&lt;1,"",(Data!H229/SUM(Data!$B229,Data!$E229,Data!$H229)*100))</f>
        <v/>
      </c>
      <c r="I93" s="353" t="str">
        <f t="shared" si="51"/>
        <v>Grade 4</v>
      </c>
      <c r="J93" s="353" t="str">
        <f>IF(SUM(Data!$B247,Data!$E247,Data!$H247)&lt;1,"",(Data!B247/SUM(Data!$B247,Data!$E247,Data!$H247)*100))</f>
        <v/>
      </c>
      <c r="K93" s="353" t="str">
        <f>IF(SUM(Data!$B247,Data!$E247,Data!$H247)&lt;1,"",(Data!E247/SUM(Data!$B247,Data!$E247,Data!$H247)*100))</f>
        <v/>
      </c>
      <c r="L93" s="353" t="str">
        <f>IF(SUM(Data!$B247,Data!$E247,Data!$H247)&lt;1,"",(Data!H247/SUM(Data!$B247,Data!$E247,Data!$H247)*100))</f>
        <v/>
      </c>
      <c r="M93" s="353" t="str">
        <f t="shared" si="52"/>
        <v>Grade 4</v>
      </c>
      <c r="N93" s="353" t="str">
        <f>IF(SUM(Data!$B260,Data!$E260,Data!$H260)&lt;1,"",(Data!B260/SUM(Data!$B260,Data!$E260,Data!$H260)*100))</f>
        <v/>
      </c>
      <c r="O93" s="353" t="str">
        <f>IF(SUM(Data!$B260,Data!$E260,Data!$H260)&lt;1,"",(Data!E260/SUM(Data!$B260,Data!$E260,Data!$H260)*100))</f>
        <v/>
      </c>
      <c r="P93" s="353" t="str">
        <f>IF(SUM(Data!$B260,Data!$E260,Data!$H260)&lt;1,"",(Data!H260/SUM(Data!$B260,Data!$E260,Data!$H260)*100))</f>
        <v/>
      </c>
      <c r="R93" s="353" t="str">
        <f t="shared" si="53"/>
        <v/>
      </c>
      <c r="S93" s="353" t="str">
        <f t="shared" si="54"/>
        <v/>
      </c>
      <c r="T93" s="372" t="str">
        <f>IF(R93="","",RANK(R93,$R$90:$R$101)+COUNTIF($R$90:$R93,R93)-1)</f>
        <v/>
      </c>
      <c r="U93" s="353">
        <v>4</v>
      </c>
      <c r="V93" s="372" t="str">
        <f t="shared" si="55"/>
        <v>Grade 9</v>
      </c>
      <c r="W93" s="373">
        <f t="shared" si="56"/>
        <v>34.412955465587039</v>
      </c>
      <c r="X93" s="353" t="str">
        <f t="shared" si="57"/>
        <v/>
      </c>
      <c r="Y93" s="353" t="str">
        <f t="shared" si="58"/>
        <v/>
      </c>
      <c r="Z93" s="372" t="str">
        <f>IF(X93="","",RANK(X93,$X$90:$X$101)+COUNTIF($X$90:$X93,X93)-1)</f>
        <v/>
      </c>
      <c r="AA93" s="353">
        <v>4</v>
      </c>
      <c r="AB93" s="372" t="str">
        <f t="shared" si="59"/>
        <v>Grade 8</v>
      </c>
      <c r="AC93" s="373">
        <f t="shared" si="60"/>
        <v>69.836065573770483</v>
      </c>
      <c r="AD93" s="353" t="str">
        <f t="shared" si="61"/>
        <v/>
      </c>
      <c r="AE93" s="353" t="str">
        <f t="shared" si="62"/>
        <v/>
      </c>
      <c r="AF93" s="372" t="str">
        <f>IF(AD93="","",RANK(AD93,$AD$90:$AD$101)+COUNTIF($AD$90:$AD93,AD93)-1)</f>
        <v/>
      </c>
      <c r="AG93" s="353">
        <v>4</v>
      </c>
      <c r="AH93" s="372" t="str">
        <f t="shared" si="63"/>
        <v>Grade 11</v>
      </c>
      <c r="AI93" s="373">
        <f t="shared" si="64"/>
        <v>30.434782608695656</v>
      </c>
      <c r="AJ93" s="353" t="str">
        <f t="shared" si="65"/>
        <v/>
      </c>
      <c r="AK93" s="353" t="str">
        <f t="shared" si="66"/>
        <v/>
      </c>
      <c r="AL93" s="374" t="str">
        <f>IF(AJ93="","",RANK(AJ93,$AJ$90:$AJ$101)+COUNTIF($AJ$90:$AJ93,AJ93)-1)</f>
        <v/>
      </c>
      <c r="AM93" s="353">
        <v>4</v>
      </c>
      <c r="AN93" s="372" t="str">
        <f t="shared" si="67"/>
        <v>Grade 10</v>
      </c>
      <c r="AO93" s="373">
        <f t="shared" si="68"/>
        <v>0</v>
      </c>
    </row>
    <row r="94" spans="1:41">
      <c r="A94" s="353" t="str">
        <f>Data!A217</f>
        <v>Grade 5</v>
      </c>
      <c r="B94" s="353" t="str">
        <f>IF(SUM(Data!$B217,Data!$E217,Data!$H217)&lt;1,"",(Data!B217/SUM(Data!$B217,Data!$E217,Data!$H217)*100))</f>
        <v/>
      </c>
      <c r="C94" s="353" t="str">
        <f>IF(SUM(Data!$B217,Data!$E217,Data!$H217)&lt;1,"",(Data!E217/SUM(Data!$B217,Data!$E217,Data!$H217)*100))</f>
        <v/>
      </c>
      <c r="D94" s="353" t="str">
        <f>IF(SUM(Data!$B217,Data!$E217,Data!$H217)&lt;1,"",(Data!H217/SUM(Data!$B217,Data!$E217,Data!$H217)*100))</f>
        <v/>
      </c>
      <c r="E94" s="353" t="str">
        <f t="shared" si="50"/>
        <v>Grade 5</v>
      </c>
      <c r="F94" s="353" t="str">
        <f>IF(SUM(Data!$B230,Data!$E230,Data!$H230)&lt;1,"",(Data!B230/SUM(Data!$B230,Data!$E230,Data!$H230)*100))</f>
        <v/>
      </c>
      <c r="G94" s="353" t="str">
        <f>IF(SUM(Data!$B230,Data!$E230,Data!$H230)&lt;1,"",(Data!E230/SUM(Data!$B230,Data!$E230,Data!$H230)*100))</f>
        <v/>
      </c>
      <c r="H94" s="353" t="str">
        <f>IF(SUM(Data!$B230,Data!$E230,Data!$H230)&lt;1,"",(Data!H230/SUM(Data!$B230,Data!$E230,Data!$H230)*100))</f>
        <v/>
      </c>
      <c r="I94" s="353" t="str">
        <f t="shared" si="51"/>
        <v>Grade 5</v>
      </c>
      <c r="J94" s="353" t="str">
        <f>IF(SUM(Data!$B248,Data!$E248,Data!$H248)&lt;1,"",(Data!B248/SUM(Data!$B248,Data!$E248,Data!$H248)*100))</f>
        <v/>
      </c>
      <c r="K94" s="353" t="str">
        <f>IF(SUM(Data!$B248,Data!$E248,Data!$H248)&lt;1,"",(Data!E248/SUM(Data!$B248,Data!$E248,Data!$H248)*100))</f>
        <v/>
      </c>
      <c r="L94" s="353" t="str">
        <f>IF(SUM(Data!$B248,Data!$E248,Data!$H248)&lt;1,"",(Data!H248/SUM(Data!$B248,Data!$E248,Data!$H248)*100))</f>
        <v/>
      </c>
      <c r="M94" s="353" t="str">
        <f t="shared" si="52"/>
        <v>Grade 5</v>
      </c>
      <c r="N94" s="353" t="str">
        <f>IF(SUM(Data!$B261,Data!$E261,Data!$H261)&lt;1,"",(Data!B261/SUM(Data!$B261,Data!$E261,Data!$H261)*100))</f>
        <v/>
      </c>
      <c r="O94" s="353" t="str">
        <f>IF(SUM(Data!$B261,Data!$E261,Data!$H261)&lt;1,"",(Data!E261/SUM(Data!$B261,Data!$E261,Data!$H261)*100))</f>
        <v/>
      </c>
      <c r="P94" s="353" t="str">
        <f>IF(SUM(Data!$B261,Data!$E261,Data!$H261)&lt;1,"",(Data!H261/SUM(Data!$B261,Data!$E261,Data!$H261)*100))</f>
        <v/>
      </c>
      <c r="R94" s="353" t="str">
        <f t="shared" si="53"/>
        <v/>
      </c>
      <c r="S94" s="353" t="str">
        <f t="shared" si="54"/>
        <v/>
      </c>
      <c r="T94" s="372" t="str">
        <f>IF(R94="","",RANK(R94,$R$90:$R$101)+COUNTIF($R$90:$R94,R94)-1)</f>
        <v/>
      </c>
      <c r="U94" s="353">
        <v>5</v>
      </c>
      <c r="V94" s="372" t="str">
        <f t="shared" si="55"/>
        <v>Grade 12</v>
      </c>
      <c r="W94" s="373">
        <f t="shared" si="56"/>
        <v>26.086956521739129</v>
      </c>
      <c r="X94" s="353" t="str">
        <f t="shared" si="57"/>
        <v/>
      </c>
      <c r="Y94" s="353" t="str">
        <f t="shared" si="58"/>
        <v/>
      </c>
      <c r="Z94" s="372" t="str">
        <f>IF(X94="","",RANK(X94,$X$90:$X$101)+COUNTIF($X$90:$X94,X94)-1)</f>
        <v/>
      </c>
      <c r="AA94" s="353">
        <v>5</v>
      </c>
      <c r="AB94" s="372" t="str">
        <f t="shared" si="59"/>
        <v>Grade 7</v>
      </c>
      <c r="AC94" s="373">
        <f t="shared" si="60"/>
        <v>69.505494505494497</v>
      </c>
      <c r="AD94" s="353" t="str">
        <f t="shared" si="61"/>
        <v/>
      </c>
      <c r="AE94" s="353" t="str">
        <f t="shared" si="62"/>
        <v/>
      </c>
      <c r="AF94" s="372" t="str">
        <f>IF(AD94="","",RANK(AD94,$AD$90:$AD$101)+COUNTIF($AD$90:$AD94,AD94)-1)</f>
        <v/>
      </c>
      <c r="AG94" s="353">
        <v>5</v>
      </c>
      <c r="AH94" s="372" t="str">
        <f t="shared" si="63"/>
        <v>Grade 7</v>
      </c>
      <c r="AI94" s="373">
        <f t="shared" si="64"/>
        <v>30.219780219780219</v>
      </c>
      <c r="AJ94" s="353" t="str">
        <f t="shared" si="65"/>
        <v/>
      </c>
      <c r="AK94" s="353" t="str">
        <f t="shared" si="66"/>
        <v/>
      </c>
      <c r="AL94" s="374" t="str">
        <f>IF(AJ94="","",RANK(AJ94,$AJ$90:$AJ$101)+COUNTIF($AJ$90:$AJ94,AJ94)-1)</f>
        <v/>
      </c>
      <c r="AM94" s="353">
        <v>5</v>
      </c>
      <c r="AN94" s="372" t="str">
        <f t="shared" si="67"/>
        <v>Grade 11</v>
      </c>
      <c r="AO94" s="373">
        <f t="shared" si="68"/>
        <v>0</v>
      </c>
    </row>
    <row r="95" spans="1:41">
      <c r="A95" s="353" t="str">
        <f>Data!A218</f>
        <v>Grade 6</v>
      </c>
      <c r="B95" s="353" t="str">
        <f>IF(SUM(Data!$B218,Data!$E218,Data!$H218)&lt;1,"",(Data!B218/SUM(Data!$B218,Data!$E218,Data!$H218)*100))</f>
        <v/>
      </c>
      <c r="C95" s="353" t="str">
        <f>IF(SUM(Data!$B218,Data!$E218,Data!$H218)&lt;1,"",(Data!E218/SUM(Data!$B218,Data!$E218,Data!$H218)*100))</f>
        <v/>
      </c>
      <c r="D95" s="353" t="str">
        <f>IF(SUM(Data!$B218,Data!$E218,Data!$H218)&lt;1,"",(Data!H218/SUM(Data!$B218,Data!$E218,Data!$H218)*100))</f>
        <v/>
      </c>
      <c r="E95" s="353" t="str">
        <f t="shared" si="50"/>
        <v>Grade 6</v>
      </c>
      <c r="F95" s="353" t="str">
        <f>IF(SUM(Data!$B231,Data!$E231,Data!$H231)&lt;1,"",(Data!B231/SUM(Data!$B231,Data!$E231,Data!$H231)*100))</f>
        <v/>
      </c>
      <c r="G95" s="353" t="str">
        <f>IF(SUM(Data!$B231,Data!$E231,Data!$H231)&lt;1,"",(Data!E231/SUM(Data!$B231,Data!$E231,Data!$H231)*100))</f>
        <v/>
      </c>
      <c r="H95" s="353" t="str">
        <f>IF(SUM(Data!$B231,Data!$E231,Data!$H231)&lt;1,"",(Data!H231/SUM(Data!$B231,Data!$E231,Data!$H231)*100))</f>
        <v/>
      </c>
      <c r="I95" s="353" t="str">
        <f t="shared" si="51"/>
        <v>Grade 6</v>
      </c>
      <c r="J95" s="353" t="str">
        <f>IF(SUM(Data!$B249,Data!$E249,Data!$H249)&lt;1,"",(Data!B249/SUM(Data!$B249,Data!$E249,Data!$H249)*100))</f>
        <v/>
      </c>
      <c r="K95" s="353" t="str">
        <f>IF(SUM(Data!$B249,Data!$E249,Data!$H249)&lt;1,"",(Data!E249/SUM(Data!$B249,Data!$E249,Data!$H249)*100))</f>
        <v/>
      </c>
      <c r="L95" s="353" t="str">
        <f>IF(SUM(Data!$B249,Data!$E249,Data!$H249)&lt;1,"",(Data!H249/SUM(Data!$B249,Data!$E249,Data!$H249)*100))</f>
        <v/>
      </c>
      <c r="M95" s="353" t="str">
        <f t="shared" si="52"/>
        <v>Grade 6</v>
      </c>
      <c r="N95" s="353" t="str">
        <f>IF(SUM(Data!$B262,Data!$E262,Data!$H262)&lt;1,"",(Data!B262/SUM(Data!$B262,Data!$E262,Data!$H262)*100))</f>
        <v/>
      </c>
      <c r="O95" s="353" t="str">
        <f>IF(SUM(Data!$B262,Data!$E262,Data!$H262)&lt;1,"",(Data!E262/SUM(Data!$B262,Data!$E262,Data!$H262)*100))</f>
        <v/>
      </c>
      <c r="P95" s="353" t="str">
        <f>IF(SUM(Data!$B262,Data!$E262,Data!$H262)&lt;1,"",(Data!H262/SUM(Data!$B262,Data!$E262,Data!$H262)*100))</f>
        <v/>
      </c>
      <c r="R95" s="353" t="str">
        <f t="shared" si="53"/>
        <v/>
      </c>
      <c r="S95" s="353" t="str">
        <f t="shared" si="54"/>
        <v/>
      </c>
      <c r="T95" s="372" t="str">
        <f>IF(R95="","",RANK(R95,$R$90:$R$101)+COUNTIF($R$90:$R95,R95)-1)</f>
        <v/>
      </c>
      <c r="U95" s="353">
        <v>6</v>
      </c>
      <c r="V95" s="372" t="str">
        <f t="shared" si="55"/>
        <v>Grade 7</v>
      </c>
      <c r="W95" s="373">
        <f t="shared" si="56"/>
        <v>17.582417582417584</v>
      </c>
      <c r="X95" s="353" t="str">
        <f t="shared" si="57"/>
        <v/>
      </c>
      <c r="Y95" s="353" t="str">
        <f t="shared" si="58"/>
        <v/>
      </c>
      <c r="Z95" s="372" t="str">
        <f>IF(X95="","",RANK(X95,$X$90:$X$101)+COUNTIF($X$90:$X95,X95)-1)</f>
        <v/>
      </c>
      <c r="AA95" s="353">
        <v>6</v>
      </c>
      <c r="AB95" s="372" t="str">
        <f t="shared" si="59"/>
        <v>Grade 11</v>
      </c>
      <c r="AC95" s="373">
        <f t="shared" si="60"/>
        <v>48.309178743961354</v>
      </c>
      <c r="AD95" s="353" t="str">
        <f t="shared" si="61"/>
        <v/>
      </c>
      <c r="AE95" s="353" t="str">
        <f t="shared" si="62"/>
        <v/>
      </c>
      <c r="AF95" s="372" t="str">
        <f>IF(AD95="","",RANK(AD95,$AD$90:$AD$101)+COUNTIF($AD$90:$AD95,AD95)-1)</f>
        <v/>
      </c>
      <c r="AG95" s="353">
        <v>6</v>
      </c>
      <c r="AH95" s="372" t="str">
        <f t="shared" si="63"/>
        <v>Grade 8</v>
      </c>
      <c r="AI95" s="373">
        <f t="shared" si="64"/>
        <v>23.278688524590162</v>
      </c>
      <c r="AJ95" s="353" t="str">
        <f t="shared" si="65"/>
        <v/>
      </c>
      <c r="AK95" s="353" t="str">
        <f t="shared" si="66"/>
        <v/>
      </c>
      <c r="AL95" s="374" t="str">
        <f>IF(AJ95="","",RANK(AJ95,$AJ$90:$AJ$101)+COUNTIF($AJ$90:$AJ95,AJ95)-1)</f>
        <v/>
      </c>
      <c r="AM95" s="353">
        <v>6</v>
      </c>
      <c r="AN95" s="372" t="str">
        <f t="shared" si="67"/>
        <v>Grade 12</v>
      </c>
      <c r="AO95" s="373">
        <f t="shared" si="68"/>
        <v>0</v>
      </c>
    </row>
    <row r="96" spans="1:41">
      <c r="A96" s="353" t="str">
        <f>Data!A219</f>
        <v>Grade 7</v>
      </c>
      <c r="B96" s="349">
        <f>IF(SUM(Data!$B219,Data!$E219,Data!$H219)&lt;1,"",(Data!B219/SUM(Data!$B219,Data!$E219,Data!$H219)*100))</f>
        <v>17.582417582417584</v>
      </c>
      <c r="C96" s="349">
        <f>IF(SUM(Data!$B219,Data!$E219,Data!$H219)&lt;1,"",(Data!E219/SUM(Data!$B219,Data!$E219,Data!$H219)*100))</f>
        <v>74.72527472527473</v>
      </c>
      <c r="D96" s="349">
        <f>IF(SUM(Data!$B219,Data!$E219,Data!$H219)&lt;1,"",(Data!H219/SUM(Data!$B219,Data!$E219,Data!$H219)*100))</f>
        <v>7.6923076923076925</v>
      </c>
      <c r="E96" s="353" t="str">
        <f t="shared" si="50"/>
        <v>Grade 7</v>
      </c>
      <c r="F96" s="349">
        <f>IF(SUM(Data!$B232,Data!$E232,Data!$H232)&lt;1,"",(Data!B232/SUM(Data!$B232,Data!$E232,Data!$H232)*100))</f>
        <v>69.505494505494497</v>
      </c>
      <c r="G96" s="349">
        <f>IF(SUM(Data!$B232,Data!$E232,Data!$H232)&lt;1,"",(Data!E232/SUM(Data!$B232,Data!$E232,Data!$H232)*100))</f>
        <v>30.494505494505496</v>
      </c>
      <c r="H96" s="349">
        <f>IF(SUM(Data!$B232,Data!$E232,Data!$H232)&lt;1,"",(Data!H232/SUM(Data!$B232,Data!$E232,Data!$H232)*100))</f>
        <v>0</v>
      </c>
      <c r="I96" s="353" t="str">
        <f t="shared" si="51"/>
        <v>Grade 7</v>
      </c>
      <c r="J96" s="349">
        <f>IF(SUM(Data!$B250,Data!$E250,Data!$H250)&lt;1,"",(Data!B250/SUM(Data!$B250,Data!$E250,Data!$H250)*100))</f>
        <v>30.219780219780219</v>
      </c>
      <c r="K96" s="349">
        <f>IF(SUM(Data!$B250,Data!$E250,Data!$H250)&lt;1,"",(Data!E250/SUM(Data!$B250,Data!$E250,Data!$H250)*100))</f>
        <v>52.197802197802204</v>
      </c>
      <c r="L96" s="349">
        <f>IF(SUM(Data!$B250,Data!$E250,Data!$H250)&lt;1,"",(Data!H250/SUM(Data!$B250,Data!$E250,Data!$H250)*100))</f>
        <v>17.582417582417584</v>
      </c>
      <c r="M96" s="353" t="str">
        <f t="shared" si="52"/>
        <v>Grade 7</v>
      </c>
      <c r="N96" s="349">
        <f>IF(SUM(Data!$B263,Data!$E263,Data!$H263)&lt;1,"",(Data!B263/SUM(Data!$B263,Data!$E263,Data!$H263)*100))</f>
        <v>0</v>
      </c>
      <c r="O96" s="349">
        <f>IF(SUM(Data!$B263,Data!$E263,Data!$H263)&lt;1,"",(Data!E263/SUM(Data!$B263,Data!$E263,Data!$H263)*100))</f>
        <v>52.197802197802204</v>
      </c>
      <c r="P96" s="349">
        <f>IF(SUM(Data!$B263,Data!$E263,Data!$H263)&lt;1,"",(Data!H263/SUM(Data!$B263,Data!$E263,Data!$H263)*100))</f>
        <v>47.802197802197803</v>
      </c>
      <c r="R96" s="349">
        <f t="shared" si="53"/>
        <v>17.582417582417584</v>
      </c>
      <c r="S96" s="349">
        <f t="shared" si="54"/>
        <v>82.417582417582423</v>
      </c>
      <c r="T96" s="372">
        <f>IF(R96="","",RANK(R96,$R$90:$R$101)+COUNTIF($R$90:$R96,R96)-1)</f>
        <v>6</v>
      </c>
      <c r="U96" s="353">
        <v>7</v>
      </c>
      <c r="V96" s="372" t="str">
        <f t="shared" si="55"/>
        <v/>
      </c>
      <c r="W96" s="373" t="str">
        <f t="shared" si="56"/>
        <v/>
      </c>
      <c r="X96" s="349">
        <f t="shared" si="57"/>
        <v>69.505494505494497</v>
      </c>
      <c r="Y96" s="349">
        <f t="shared" si="58"/>
        <v>30.494505494505503</v>
      </c>
      <c r="Z96" s="372">
        <f>IF(X96="","",RANK(X96,$X$90:$X$101)+COUNTIF($X$90:$X96,X96)-1)</f>
        <v>5</v>
      </c>
      <c r="AA96" s="353">
        <v>7</v>
      </c>
      <c r="AB96" s="372" t="str">
        <f t="shared" si="59"/>
        <v/>
      </c>
      <c r="AC96" s="373" t="str">
        <f t="shared" si="60"/>
        <v/>
      </c>
      <c r="AD96" s="349">
        <f t="shared" si="61"/>
        <v>30.219780219780219</v>
      </c>
      <c r="AE96" s="349">
        <f t="shared" si="62"/>
        <v>69.780219780219781</v>
      </c>
      <c r="AF96" s="372">
        <f>IF(AD96="","",RANK(AD96,$AD$90:$AD$101)+COUNTIF($AD$90:$AD96,AD96)-1)</f>
        <v>5</v>
      </c>
      <c r="AG96" s="353">
        <v>7</v>
      </c>
      <c r="AH96" s="372" t="str">
        <f t="shared" si="63"/>
        <v/>
      </c>
      <c r="AI96" s="373" t="str">
        <f t="shared" si="64"/>
        <v/>
      </c>
      <c r="AJ96" s="349">
        <f t="shared" si="65"/>
        <v>0</v>
      </c>
      <c r="AK96" s="349">
        <f t="shared" si="66"/>
        <v>100</v>
      </c>
      <c r="AL96" s="374">
        <f>IF(AJ96="","",RANK(AJ96,$AJ$90:$AJ$101)+COUNTIF($AJ$90:$AJ96,AJ96)-1)</f>
        <v>1</v>
      </c>
      <c r="AM96" s="353">
        <v>7</v>
      </c>
      <c r="AN96" s="372" t="str">
        <f t="shared" si="67"/>
        <v/>
      </c>
      <c r="AO96" s="373" t="str">
        <f t="shared" si="68"/>
        <v/>
      </c>
    </row>
    <row r="97" spans="1:81">
      <c r="A97" s="353" t="str">
        <f>Data!A220</f>
        <v>Grade 8</v>
      </c>
      <c r="B97" s="349">
        <f>IF(SUM(Data!$B220,Data!$E220,Data!$H220)&lt;1,"",(Data!B220/SUM(Data!$B220,Data!$E220,Data!$H220)*100))</f>
        <v>38.032786885245898</v>
      </c>
      <c r="C97" s="349">
        <f>IF(SUM(Data!$B220,Data!$E220,Data!$H220)&lt;1,"",(Data!E220/SUM(Data!$B220,Data!$E220,Data!$H220)*100))</f>
        <v>60.327868852459019</v>
      </c>
      <c r="D97" s="349">
        <f>IF(SUM(Data!$B220,Data!$E220,Data!$H220)&lt;1,"",(Data!H220/SUM(Data!$B220,Data!$E220,Data!$H220)*100))</f>
        <v>1.639344262295082</v>
      </c>
      <c r="E97" s="353" t="str">
        <f t="shared" si="50"/>
        <v>Grade 8</v>
      </c>
      <c r="F97" s="349">
        <f>IF(SUM(Data!$B233,Data!$E233,Data!$H233)&lt;1,"",(Data!B233/SUM(Data!$B233,Data!$E233,Data!$H233)*100))</f>
        <v>69.836065573770483</v>
      </c>
      <c r="G97" s="349">
        <f>IF(SUM(Data!$B233,Data!$E233,Data!$H233)&lt;1,"",(Data!E233/SUM(Data!$B233,Data!$E233,Data!$H233)*100))</f>
        <v>30.16393442622951</v>
      </c>
      <c r="H97" s="349">
        <f>IF(SUM(Data!$B233,Data!$E233,Data!$H233)&lt;1,"",(Data!H233/SUM(Data!$B233,Data!$E233,Data!$H233)*100))</f>
        <v>0</v>
      </c>
      <c r="I97" s="353" t="str">
        <f t="shared" si="51"/>
        <v>Grade 8</v>
      </c>
      <c r="J97" s="349">
        <f>IF(SUM(Data!$B251,Data!$E251,Data!$H251)&lt;1,"",(Data!B251/SUM(Data!$B251,Data!$E251,Data!$H251)*100))</f>
        <v>23.278688524590162</v>
      </c>
      <c r="K97" s="349">
        <f>IF(SUM(Data!$B251,Data!$E251,Data!$H251)&lt;1,"",(Data!E251/SUM(Data!$B251,Data!$E251,Data!$H251)*100))</f>
        <v>64.918032786885249</v>
      </c>
      <c r="L97" s="349">
        <f>IF(SUM(Data!$B251,Data!$E251,Data!$H251)&lt;1,"",(Data!H251/SUM(Data!$B251,Data!$E251,Data!$H251)*100))</f>
        <v>11.803278688524591</v>
      </c>
      <c r="M97" s="353" t="str">
        <f t="shared" si="52"/>
        <v>Grade 8</v>
      </c>
      <c r="N97" s="349">
        <f>IF(SUM(Data!$B264,Data!$E264,Data!$H264)&lt;1,"",(Data!B264/SUM(Data!$B264,Data!$E264,Data!$H264)*100))</f>
        <v>0</v>
      </c>
      <c r="O97" s="349">
        <f>IF(SUM(Data!$B264,Data!$E264,Data!$H264)&lt;1,"",(Data!E264/SUM(Data!$B264,Data!$E264,Data!$H264)*100))</f>
        <v>64.918032786885249</v>
      </c>
      <c r="P97" s="349">
        <f>IF(SUM(Data!$B264,Data!$E264,Data!$H264)&lt;1,"",(Data!H264/SUM(Data!$B264,Data!$E264,Data!$H264)*100))</f>
        <v>35.081967213114758</v>
      </c>
      <c r="R97" s="349">
        <f t="shared" si="53"/>
        <v>38.032786885245898</v>
      </c>
      <c r="S97" s="349">
        <f t="shared" si="54"/>
        <v>61.967213114754102</v>
      </c>
      <c r="T97" s="372">
        <f>IF(R97="","",RANK(R97,$R$90:$R$101)+COUNTIF($R$90:$R97,R97)-1)</f>
        <v>3</v>
      </c>
      <c r="U97" s="353">
        <v>8</v>
      </c>
      <c r="V97" s="372" t="str">
        <f t="shared" si="55"/>
        <v/>
      </c>
      <c r="W97" s="373" t="str">
        <f t="shared" si="56"/>
        <v/>
      </c>
      <c r="X97" s="349">
        <f t="shared" si="57"/>
        <v>69.836065573770483</v>
      </c>
      <c r="Y97" s="349">
        <f t="shared" si="58"/>
        <v>30.163934426229517</v>
      </c>
      <c r="Z97" s="372">
        <f>IF(X97="","",RANK(X97,$X$90:$X$101)+COUNTIF($X$90:$X97,X97)-1)</f>
        <v>4</v>
      </c>
      <c r="AA97" s="353">
        <v>8</v>
      </c>
      <c r="AB97" s="372" t="str">
        <f t="shared" si="59"/>
        <v/>
      </c>
      <c r="AC97" s="373" t="str">
        <f t="shared" si="60"/>
        <v/>
      </c>
      <c r="AD97" s="349">
        <f t="shared" si="61"/>
        <v>23.278688524590162</v>
      </c>
      <c r="AE97" s="349">
        <f t="shared" si="62"/>
        <v>76.721311475409834</v>
      </c>
      <c r="AF97" s="372">
        <f>IF(AD97="","",RANK(AD97,$AD$90:$AD$101)+COUNTIF($AD$90:$AD97,AD97)-1)</f>
        <v>6</v>
      </c>
      <c r="AG97" s="353">
        <v>8</v>
      </c>
      <c r="AH97" s="372" t="str">
        <f t="shared" si="63"/>
        <v/>
      </c>
      <c r="AI97" s="373" t="str">
        <f t="shared" si="64"/>
        <v/>
      </c>
      <c r="AJ97" s="349">
        <f t="shared" si="65"/>
        <v>0</v>
      </c>
      <c r="AK97" s="349">
        <f t="shared" si="66"/>
        <v>100</v>
      </c>
      <c r="AL97" s="374">
        <f>IF(AJ97="","",RANK(AJ97,$AJ$90:$AJ$101)+COUNTIF($AJ$90:$AJ97,AJ97)-1)</f>
        <v>2</v>
      </c>
      <c r="AM97" s="353">
        <v>8</v>
      </c>
      <c r="AN97" s="372" t="str">
        <f t="shared" si="67"/>
        <v/>
      </c>
      <c r="AO97" s="373" t="str">
        <f t="shared" si="68"/>
        <v/>
      </c>
    </row>
    <row r="98" spans="1:81">
      <c r="A98" s="353" t="str">
        <f>Data!A221</f>
        <v>Grade 9</v>
      </c>
      <c r="B98" s="349">
        <f>IF(SUM(Data!$B221,Data!$E221,Data!$H221)&lt;1,"",(Data!B221/SUM(Data!$B221,Data!$E221,Data!$H221)*100))</f>
        <v>34.412955465587039</v>
      </c>
      <c r="C98" s="349">
        <f>IF(SUM(Data!$B221,Data!$E221,Data!$H221)&lt;1,"",(Data!E221/SUM(Data!$B221,Data!$E221,Data!$H221)*100))</f>
        <v>61.53846153846154</v>
      </c>
      <c r="D98" s="349">
        <f>IF(SUM(Data!$B221,Data!$E221,Data!$H221)&lt;1,"",(Data!H221/SUM(Data!$B221,Data!$E221,Data!$H221)*100))</f>
        <v>4.048582995951417</v>
      </c>
      <c r="E98" s="353" t="str">
        <f t="shared" si="50"/>
        <v>Grade 9</v>
      </c>
      <c r="F98" s="349">
        <f>IF(SUM(Data!$B234,Data!$E234,Data!$H234)&lt;1,"",(Data!B234/SUM(Data!$B234,Data!$E234,Data!$H234)*100))</f>
        <v>86.23481781376519</v>
      </c>
      <c r="G98" s="349">
        <f>IF(SUM(Data!$B234,Data!$E234,Data!$H234)&lt;1,"",(Data!E234/SUM(Data!$B234,Data!$E234,Data!$H234)*100))</f>
        <v>13.765182186234817</v>
      </c>
      <c r="H98" s="349">
        <f>IF(SUM(Data!$B234,Data!$E234,Data!$H234)&lt;1,"",(Data!H234/SUM(Data!$B234,Data!$E234,Data!$H234)*100))</f>
        <v>0</v>
      </c>
      <c r="I98" s="353" t="str">
        <f t="shared" si="51"/>
        <v>Grade 9</v>
      </c>
      <c r="J98" s="349">
        <f>IF(SUM(Data!$B252,Data!$E252,Data!$H252)&lt;1,"",(Data!B252/SUM(Data!$B252,Data!$E252,Data!$H252)*100))</f>
        <v>35.222672064777328</v>
      </c>
      <c r="K98" s="349">
        <f>IF(SUM(Data!$B252,Data!$E252,Data!$H252)&lt;1,"",(Data!E252/SUM(Data!$B252,Data!$E252,Data!$H252)*100))</f>
        <v>64.372469635627525</v>
      </c>
      <c r="L98" s="349">
        <f>IF(SUM(Data!$B252,Data!$E252,Data!$H252)&lt;1,"",(Data!H252/SUM(Data!$B252,Data!$E252,Data!$H252)*100))</f>
        <v>0.40485829959514169</v>
      </c>
      <c r="M98" s="353" t="str">
        <f t="shared" si="52"/>
        <v>Grade 9</v>
      </c>
      <c r="N98" s="349">
        <f>IF(SUM(Data!$B265,Data!$E265,Data!$H265)&lt;1,"",(Data!B265/SUM(Data!$B265,Data!$E265,Data!$H265)*100))</f>
        <v>0</v>
      </c>
      <c r="O98" s="349">
        <f>IF(SUM(Data!$B265,Data!$E265,Data!$H265)&lt;1,"",(Data!E265/SUM(Data!$B265,Data!$E265,Data!$H265)*100))</f>
        <v>64.372469635627525</v>
      </c>
      <c r="P98" s="349">
        <f>IF(SUM(Data!$B265,Data!$E265,Data!$H265)&lt;1,"",(Data!H265/SUM(Data!$B265,Data!$E265,Data!$H265)*100))</f>
        <v>35.627530364372468</v>
      </c>
      <c r="R98" s="349">
        <f t="shared" si="53"/>
        <v>34.412955465587039</v>
      </c>
      <c r="S98" s="349">
        <f t="shared" si="54"/>
        <v>65.587044534412968</v>
      </c>
      <c r="T98" s="372">
        <f>IF(R98="","",RANK(R98,$R$90:$R$101)+COUNTIF($R$90:$R98,R98)-1)</f>
        <v>4</v>
      </c>
      <c r="U98" s="353">
        <v>9</v>
      </c>
      <c r="V98" s="372" t="str">
        <f t="shared" si="55"/>
        <v/>
      </c>
      <c r="W98" s="373" t="str">
        <f t="shared" si="56"/>
        <v/>
      </c>
      <c r="X98" s="349">
        <f t="shared" si="57"/>
        <v>86.23481781376519</v>
      </c>
      <c r="Y98" s="349">
        <f t="shared" si="58"/>
        <v>13.76518218623481</v>
      </c>
      <c r="Z98" s="372">
        <f>IF(X98="","",RANK(X98,$X$90:$X$101)+COUNTIF($X$90:$X98,X98)-1)</f>
        <v>3</v>
      </c>
      <c r="AA98" s="353">
        <v>9</v>
      </c>
      <c r="AB98" s="372" t="str">
        <f t="shared" si="59"/>
        <v/>
      </c>
      <c r="AC98" s="373" t="str">
        <f t="shared" si="60"/>
        <v/>
      </c>
      <c r="AD98" s="349">
        <f t="shared" si="61"/>
        <v>35.222672064777328</v>
      </c>
      <c r="AE98" s="349">
        <f t="shared" si="62"/>
        <v>64.777327935222672</v>
      </c>
      <c r="AF98" s="372">
        <f>IF(AD98="","",RANK(AD98,$AD$90:$AD$101)+COUNTIF($AD$90:$AD98,AD98)-1)</f>
        <v>3</v>
      </c>
      <c r="AG98" s="353">
        <v>9</v>
      </c>
      <c r="AH98" s="372" t="str">
        <f t="shared" si="63"/>
        <v/>
      </c>
      <c r="AI98" s="373" t="str">
        <f t="shared" si="64"/>
        <v/>
      </c>
      <c r="AJ98" s="349">
        <f t="shared" si="65"/>
        <v>0</v>
      </c>
      <c r="AK98" s="349">
        <f t="shared" si="66"/>
        <v>100</v>
      </c>
      <c r="AL98" s="374">
        <f>IF(AJ98="","",RANK(AJ98,$AJ$90:$AJ$101)+COUNTIF($AJ$90:$AJ98,AJ98)-1)</f>
        <v>3</v>
      </c>
      <c r="AM98" s="353">
        <v>9</v>
      </c>
      <c r="AN98" s="372" t="str">
        <f t="shared" si="67"/>
        <v/>
      </c>
      <c r="AO98" s="373" t="str">
        <f t="shared" si="68"/>
        <v/>
      </c>
    </row>
    <row r="99" spans="1:81">
      <c r="A99" s="353" t="str">
        <f>Data!A222</f>
        <v>Grade 10</v>
      </c>
      <c r="B99" s="349">
        <f>IF(SUM(Data!$B222,Data!$E222,Data!$H222)&lt;1,"",(Data!B222/SUM(Data!$B222,Data!$E222,Data!$H222)*100))</f>
        <v>47.058823529411761</v>
      </c>
      <c r="C99" s="349">
        <f>IF(SUM(Data!$B222,Data!$E222,Data!$H222)&lt;1,"",(Data!E222/SUM(Data!$B222,Data!$E222,Data!$H222)*100))</f>
        <v>47.511312217194565</v>
      </c>
      <c r="D99" s="349">
        <f>IF(SUM(Data!$B222,Data!$E222,Data!$H222)&lt;1,"",(Data!H222/SUM(Data!$B222,Data!$E222,Data!$H222)*100))</f>
        <v>5.4298642533936654</v>
      </c>
      <c r="E99" s="353" t="str">
        <f t="shared" si="50"/>
        <v>Grade 10</v>
      </c>
      <c r="F99" s="349">
        <f>IF(SUM(Data!$B235,Data!$E235,Data!$H235)&lt;1,"",(Data!B235/SUM(Data!$B235,Data!$E235,Data!$H235)*100))</f>
        <v>89.592760180995484</v>
      </c>
      <c r="G99" s="349">
        <f>IF(SUM(Data!$B235,Data!$E235,Data!$H235)&lt;1,"",(Data!E235/SUM(Data!$B235,Data!$E235,Data!$H235)*100))</f>
        <v>10.407239819004525</v>
      </c>
      <c r="H99" s="349">
        <f>IF(SUM(Data!$B235,Data!$E235,Data!$H235)&lt;1,"",(Data!H235/SUM(Data!$B235,Data!$E235,Data!$H235)*100))</f>
        <v>0</v>
      </c>
      <c r="I99" s="353" t="str">
        <f t="shared" si="51"/>
        <v>Grade 10</v>
      </c>
      <c r="J99" s="349">
        <f>IF(SUM(Data!$B253,Data!$E253,Data!$H253)&lt;1,"",(Data!B253/SUM(Data!$B253,Data!$E253,Data!$H253)*100))</f>
        <v>42.081447963800905</v>
      </c>
      <c r="K99" s="349">
        <f>IF(SUM(Data!$B253,Data!$E253,Data!$H253)&lt;1,"",(Data!E253/SUM(Data!$B253,Data!$E253,Data!$H253)*100))</f>
        <v>52.036199095022631</v>
      </c>
      <c r="L99" s="349">
        <f>IF(SUM(Data!$B253,Data!$E253,Data!$H253)&lt;1,"",(Data!H253/SUM(Data!$B253,Data!$E253,Data!$H253)*100))</f>
        <v>5.8823529411764701</v>
      </c>
      <c r="M99" s="353" t="str">
        <f t="shared" si="52"/>
        <v>Grade 10</v>
      </c>
      <c r="N99" s="349">
        <f>IF(SUM(Data!$B266,Data!$E266,Data!$H266)&lt;1,"",(Data!B266/SUM(Data!$B266,Data!$E266,Data!$H266)*100))</f>
        <v>0</v>
      </c>
      <c r="O99" s="349">
        <f>IF(SUM(Data!$B266,Data!$E266,Data!$H266)&lt;1,"",(Data!E266/SUM(Data!$B266,Data!$E266,Data!$H266)*100))</f>
        <v>52.036199095022631</v>
      </c>
      <c r="P99" s="349">
        <f>IF(SUM(Data!$B266,Data!$E266,Data!$H266)&lt;1,"",(Data!H266/SUM(Data!$B266,Data!$E266,Data!$H266)*100))</f>
        <v>47.963800904977376</v>
      </c>
      <c r="R99" s="349">
        <f t="shared" si="53"/>
        <v>47.058823529411761</v>
      </c>
      <c r="S99" s="349">
        <f t="shared" si="54"/>
        <v>52.941176470588239</v>
      </c>
      <c r="T99" s="372">
        <f>IF(R99="","",RANK(R99,$R$90:$R$101)+COUNTIF($R$90:$R99,R99)-1)</f>
        <v>2</v>
      </c>
      <c r="U99" s="353">
        <v>10</v>
      </c>
      <c r="V99" s="372" t="str">
        <f t="shared" si="55"/>
        <v/>
      </c>
      <c r="W99" s="373" t="str">
        <f t="shared" si="56"/>
        <v/>
      </c>
      <c r="X99" s="349">
        <f t="shared" si="57"/>
        <v>89.592760180995484</v>
      </c>
      <c r="Y99" s="349">
        <f t="shared" si="58"/>
        <v>10.407239819004516</v>
      </c>
      <c r="Z99" s="372">
        <f>IF(X99="","",RANK(X99,$X$90:$X$101)+COUNTIF($X$90:$X99,X99)-1)</f>
        <v>1</v>
      </c>
      <c r="AA99" s="353">
        <v>10</v>
      </c>
      <c r="AB99" s="372" t="str">
        <f t="shared" si="59"/>
        <v/>
      </c>
      <c r="AC99" s="373" t="str">
        <f t="shared" si="60"/>
        <v/>
      </c>
      <c r="AD99" s="349">
        <f t="shared" si="61"/>
        <v>42.081447963800905</v>
      </c>
      <c r="AE99" s="349">
        <f t="shared" si="62"/>
        <v>57.918552036199095</v>
      </c>
      <c r="AF99" s="372">
        <f>IF(AD99="","",RANK(AD99,$AD$90:$AD$101)+COUNTIF($AD$90:$AD99,AD99)-1)</f>
        <v>2</v>
      </c>
      <c r="AG99" s="353">
        <v>10</v>
      </c>
      <c r="AH99" s="372" t="str">
        <f t="shared" si="63"/>
        <v/>
      </c>
      <c r="AI99" s="373" t="str">
        <f t="shared" si="64"/>
        <v/>
      </c>
      <c r="AJ99" s="349">
        <f t="shared" si="65"/>
        <v>0</v>
      </c>
      <c r="AK99" s="349">
        <f t="shared" si="66"/>
        <v>100</v>
      </c>
      <c r="AL99" s="374">
        <f>IF(AJ99="","",RANK(AJ99,$AJ$90:$AJ$101)+COUNTIF($AJ$90:$AJ99,AJ99)-1)</f>
        <v>4</v>
      </c>
      <c r="AM99" s="353">
        <v>10</v>
      </c>
      <c r="AN99" s="372" t="str">
        <f t="shared" si="67"/>
        <v/>
      </c>
      <c r="AO99" s="373" t="str">
        <f t="shared" si="68"/>
        <v/>
      </c>
    </row>
    <row r="100" spans="1:81">
      <c r="A100" s="353" t="str">
        <f>Data!A223</f>
        <v>Grade 11</v>
      </c>
      <c r="B100" s="349">
        <f>IF(SUM(Data!$B223,Data!$E223,Data!$H223)&lt;1,"",(Data!B223/SUM(Data!$B223,Data!$E223,Data!$H223)*100))</f>
        <v>50.24154589371981</v>
      </c>
      <c r="C100" s="349">
        <f>IF(SUM(Data!$B223,Data!$E223,Data!$H223)&lt;1,"",(Data!E223/SUM(Data!$B223,Data!$E223,Data!$H223)*100))</f>
        <v>25.120772946859905</v>
      </c>
      <c r="D100" s="349">
        <f>IF(SUM(Data!$B223,Data!$E223,Data!$H223)&lt;1,"",(Data!H223/SUM(Data!$B223,Data!$E223,Data!$H223)*100))</f>
        <v>24.637681159420293</v>
      </c>
      <c r="E100" s="353" t="str">
        <f t="shared" si="50"/>
        <v>Grade 11</v>
      </c>
      <c r="F100" s="349">
        <f>IF(SUM(Data!$B236,Data!$E236,Data!$H236)&lt;1,"",(Data!B236/SUM(Data!$B236,Data!$E236,Data!$H236)*100))</f>
        <v>48.309178743961354</v>
      </c>
      <c r="G100" s="349">
        <f>IF(SUM(Data!$B236,Data!$E236,Data!$H236)&lt;1,"",(Data!E236/SUM(Data!$B236,Data!$E236,Data!$H236)*100))</f>
        <v>51.690821256038646</v>
      </c>
      <c r="H100" s="349">
        <f>IF(SUM(Data!$B236,Data!$E236,Data!$H236)&lt;1,"",(Data!H236/SUM(Data!$B236,Data!$E236,Data!$H236)*100))</f>
        <v>0</v>
      </c>
      <c r="I100" s="353" t="str">
        <f t="shared" si="51"/>
        <v>Grade 11</v>
      </c>
      <c r="J100" s="349">
        <f>IF(SUM(Data!$B254,Data!$E254,Data!$H254)&lt;1,"",(Data!B254/SUM(Data!$B254,Data!$E254,Data!$H254)*100))</f>
        <v>30.434782608695656</v>
      </c>
      <c r="K100" s="349">
        <f>IF(SUM(Data!$B254,Data!$E254,Data!$H254)&lt;1,"",(Data!E254/SUM(Data!$B254,Data!$E254,Data!$H254)*100))</f>
        <v>49.75845410628019</v>
      </c>
      <c r="L100" s="349">
        <f>IF(SUM(Data!$B254,Data!$E254,Data!$H254)&lt;1,"",(Data!H254/SUM(Data!$B254,Data!$E254,Data!$H254)*100))</f>
        <v>19.806763285024154</v>
      </c>
      <c r="M100" s="353" t="str">
        <f t="shared" si="52"/>
        <v>Grade 11</v>
      </c>
      <c r="N100" s="349">
        <f>IF(SUM(Data!$B267,Data!$E267,Data!$H267)&lt;1,"",(Data!B267/SUM(Data!$B267,Data!$E267,Data!$H267)*100))</f>
        <v>0</v>
      </c>
      <c r="O100" s="349">
        <f>IF(SUM(Data!$B267,Data!$E267,Data!$H267)&lt;1,"",(Data!E267/SUM(Data!$B267,Data!$E267,Data!$H267)*100))</f>
        <v>49.75845410628019</v>
      </c>
      <c r="P100" s="349">
        <f>IF(SUM(Data!$B267,Data!$E267,Data!$H267)&lt;1,"",(Data!H267/SUM(Data!$B267,Data!$E267,Data!$H267)*100))</f>
        <v>50.24154589371981</v>
      </c>
      <c r="R100" s="349">
        <f t="shared" si="53"/>
        <v>50.24154589371981</v>
      </c>
      <c r="S100" s="349">
        <f t="shared" si="54"/>
        <v>49.75845410628019</v>
      </c>
      <c r="T100" s="372">
        <f>IF(R100="","",RANK(R100,$R$90:$R$101)+COUNTIF($R$90:$R100,R100)-1)</f>
        <v>1</v>
      </c>
      <c r="U100" s="353">
        <v>11</v>
      </c>
      <c r="V100" s="372" t="str">
        <f t="shared" si="55"/>
        <v/>
      </c>
      <c r="W100" s="373" t="str">
        <f t="shared" si="56"/>
        <v/>
      </c>
      <c r="X100" s="349">
        <f t="shared" si="57"/>
        <v>48.309178743961354</v>
      </c>
      <c r="Y100" s="349">
        <f t="shared" si="58"/>
        <v>51.690821256038646</v>
      </c>
      <c r="Z100" s="372">
        <f>IF(X100="","",RANK(X100,$X$90:$X$101)+COUNTIF($X$90:$X100,X100)-1)</f>
        <v>6</v>
      </c>
      <c r="AA100" s="353">
        <v>11</v>
      </c>
      <c r="AB100" s="372" t="str">
        <f t="shared" si="59"/>
        <v/>
      </c>
      <c r="AC100" s="373" t="str">
        <f t="shared" si="60"/>
        <v/>
      </c>
      <c r="AD100" s="349">
        <f t="shared" si="61"/>
        <v>30.434782608695656</v>
      </c>
      <c r="AE100" s="349">
        <f t="shared" si="62"/>
        <v>69.565217391304344</v>
      </c>
      <c r="AF100" s="372">
        <f>IF(AD100="","",RANK(AD100,$AD$90:$AD$101)+COUNTIF($AD$90:$AD100,AD100)-1)</f>
        <v>4</v>
      </c>
      <c r="AG100" s="353">
        <v>11</v>
      </c>
      <c r="AH100" s="372" t="str">
        <f t="shared" si="63"/>
        <v/>
      </c>
      <c r="AI100" s="373" t="str">
        <f t="shared" si="64"/>
        <v/>
      </c>
      <c r="AJ100" s="349">
        <f t="shared" si="65"/>
        <v>0</v>
      </c>
      <c r="AK100" s="349">
        <f t="shared" si="66"/>
        <v>100</v>
      </c>
      <c r="AL100" s="374">
        <f>IF(AJ100="","",RANK(AJ100,$AJ$90:$AJ$101)+COUNTIF($AJ$90:$AJ100,AJ100)-1)</f>
        <v>5</v>
      </c>
      <c r="AM100" s="353">
        <v>11</v>
      </c>
      <c r="AN100" s="372" t="str">
        <f t="shared" si="67"/>
        <v/>
      </c>
      <c r="AO100" s="373" t="str">
        <f t="shared" si="68"/>
        <v/>
      </c>
    </row>
    <row r="101" spans="1:81">
      <c r="A101" s="353" t="str">
        <f>Data!A224</f>
        <v>Grade 12</v>
      </c>
      <c r="B101" s="349">
        <f>IF(SUM(Data!$B224,Data!$E224,Data!$H224)&lt;1,"",(Data!B224/SUM(Data!$B224,Data!$E224,Data!$H224)*100))</f>
        <v>26.086956521739129</v>
      </c>
      <c r="C101" s="349">
        <f>IF(SUM(Data!$B224,Data!$E224,Data!$H224)&lt;1,"",(Data!E224/SUM(Data!$B224,Data!$E224,Data!$H224)*100))</f>
        <v>40.993788819875775</v>
      </c>
      <c r="D101" s="349">
        <f>IF(SUM(Data!$B224,Data!$E224,Data!$H224)&lt;1,"",(Data!H224/SUM(Data!$B224,Data!$E224,Data!$H224)*100))</f>
        <v>32.919254658385093</v>
      </c>
      <c r="E101" s="353" t="str">
        <f t="shared" si="50"/>
        <v>Grade 12</v>
      </c>
      <c r="F101" s="349">
        <f>IF(SUM(Data!$B237,Data!$E237,Data!$H237)&lt;1,"",(Data!B237/SUM(Data!$B237,Data!$E237,Data!$H237)*100))</f>
        <v>86.335403726708066</v>
      </c>
      <c r="G101" s="349">
        <f>IF(SUM(Data!$B237,Data!$E237,Data!$H237)&lt;1,"",(Data!E237/SUM(Data!$B237,Data!$E237,Data!$H237)*100))</f>
        <v>13.664596273291925</v>
      </c>
      <c r="H101" s="349">
        <f>IF(SUM(Data!$B237,Data!$E237,Data!$H237)&lt;1,"",(Data!H237/SUM(Data!$B237,Data!$E237,Data!$H237)*100))</f>
        <v>0</v>
      </c>
      <c r="I101" s="353" t="str">
        <f t="shared" si="51"/>
        <v>Grade 12</v>
      </c>
      <c r="J101" s="349">
        <f>IF(SUM(Data!$B255,Data!$E255,Data!$H255)&lt;1,"",(Data!B255/SUM(Data!$B255,Data!$E255,Data!$H255)*100))</f>
        <v>77.018633540372676</v>
      </c>
      <c r="K101" s="349">
        <f>IF(SUM(Data!$B255,Data!$E255,Data!$H255)&lt;1,"",(Data!E255/SUM(Data!$B255,Data!$E255,Data!$H255)*100))</f>
        <v>13.043478260869565</v>
      </c>
      <c r="L101" s="349">
        <f>IF(SUM(Data!$B255,Data!$E255,Data!$H255)&lt;1,"",(Data!H255/SUM(Data!$B255,Data!$E255,Data!$H255)*100))</f>
        <v>9.9378881987577632</v>
      </c>
      <c r="M101" s="353" t="str">
        <f t="shared" si="52"/>
        <v>Grade 12</v>
      </c>
      <c r="N101" s="349">
        <f>IF(SUM(Data!$B268,Data!$E268,Data!$H268)&lt;1,"",(Data!B268/SUM(Data!$B268,Data!$E268,Data!$H268)*100))</f>
        <v>0</v>
      </c>
      <c r="O101" s="349">
        <f>IF(SUM(Data!$B268,Data!$E268,Data!$H268)&lt;1,"",(Data!E268/SUM(Data!$B268,Data!$E268,Data!$H268)*100))</f>
        <v>13.043478260869565</v>
      </c>
      <c r="P101" s="349">
        <f>IF(SUM(Data!$B268,Data!$E268,Data!$H268)&lt;1,"",(Data!H268/SUM(Data!$B268,Data!$E268,Data!$H268)*100))</f>
        <v>86.956521739130437</v>
      </c>
      <c r="R101" s="349">
        <f t="shared" si="53"/>
        <v>26.086956521739129</v>
      </c>
      <c r="S101" s="349">
        <f t="shared" si="54"/>
        <v>73.913043478260875</v>
      </c>
      <c r="T101" s="372">
        <f>IF(R101="","",RANK(R101,$R$90:$R$101)+COUNTIF($R$90:$R101,R101)-1)</f>
        <v>5</v>
      </c>
      <c r="U101" s="353">
        <v>12</v>
      </c>
      <c r="V101" s="372" t="str">
        <f t="shared" si="55"/>
        <v/>
      </c>
      <c r="W101" s="373" t="str">
        <f t="shared" si="56"/>
        <v/>
      </c>
      <c r="X101" s="349">
        <f t="shared" si="57"/>
        <v>86.335403726708066</v>
      </c>
      <c r="Y101" s="349">
        <f t="shared" si="58"/>
        <v>13.664596273291934</v>
      </c>
      <c r="Z101" s="372">
        <f>IF(X101="","",RANK(X101,$X$90:$X$101)+COUNTIF($X$90:$X101,X101)-1)</f>
        <v>2</v>
      </c>
      <c r="AA101" s="353">
        <v>12</v>
      </c>
      <c r="AB101" s="372" t="str">
        <f t="shared" si="59"/>
        <v/>
      </c>
      <c r="AC101" s="373" t="str">
        <f t="shared" si="60"/>
        <v/>
      </c>
      <c r="AD101" s="349">
        <f t="shared" si="61"/>
        <v>77.018633540372676</v>
      </c>
      <c r="AE101" s="349">
        <f t="shared" si="62"/>
        <v>22.981366459627324</v>
      </c>
      <c r="AF101" s="372">
        <f>IF(AD101="","",RANK(AD101,$AD$90:$AD$101)+COUNTIF($AD$90:$AD101,AD101)-1)</f>
        <v>1</v>
      </c>
      <c r="AG101" s="353">
        <v>12</v>
      </c>
      <c r="AH101" s="372" t="str">
        <f t="shared" si="63"/>
        <v/>
      </c>
      <c r="AI101" s="373" t="str">
        <f t="shared" si="64"/>
        <v/>
      </c>
      <c r="AJ101" s="349">
        <f t="shared" si="65"/>
        <v>0</v>
      </c>
      <c r="AK101" s="349">
        <f t="shared" si="66"/>
        <v>100</v>
      </c>
      <c r="AL101" s="374">
        <f>IF(AJ101="","",RANK(AJ101,$AJ$90:$AJ$101)+COUNTIF($AJ$90:$AJ101,AJ101)-1)</f>
        <v>6</v>
      </c>
      <c r="AM101" s="353">
        <v>12</v>
      </c>
      <c r="AN101" s="372" t="str">
        <f t="shared" si="67"/>
        <v/>
      </c>
      <c r="AO101" s="373" t="str">
        <f t="shared" si="68"/>
        <v/>
      </c>
    </row>
    <row r="102" spans="1:81">
      <c r="B102" s="344"/>
      <c r="D102" s="347"/>
      <c r="F102" s="354"/>
      <c r="G102" s="354" t="str">
        <f>IF(B102="","",INDEX($A$99:$A$102,MATCH(E102,$D$99:$D$102,0)))</f>
        <v/>
      </c>
      <c r="H102" s="361" t="str">
        <f>IF(D102="","",INDEX($B$99:$B$102,MATCH(E102,$D$99:$D$102,0)))</f>
        <v/>
      </c>
    </row>
    <row r="105" spans="1:81">
      <c r="B105" s="326"/>
      <c r="C105" s="326"/>
      <c r="I105" s="353" t="str">
        <f>IF(C105="","",RANK(C105,$C$105:$C$109))</f>
        <v/>
      </c>
      <c r="N105" s="326"/>
      <c r="Q105" s="354"/>
      <c r="R105" s="362"/>
      <c r="T105" s="326"/>
      <c r="W105" s="354"/>
      <c r="X105" s="354"/>
    </row>
    <row r="106" spans="1:81">
      <c r="B106" s="326"/>
      <c r="C106" s="326"/>
      <c r="I106" s="353" t="str">
        <f>IF(C106="","",RANK(C106,$C$105:$C$109))</f>
        <v/>
      </c>
      <c r="J106" s="363"/>
      <c r="N106" s="326"/>
      <c r="Q106" s="354"/>
      <c r="R106" s="362"/>
      <c r="T106" s="326"/>
      <c r="W106" s="354"/>
      <c r="X106" s="354"/>
    </row>
    <row r="107" spans="1:81">
      <c r="B107" s="326"/>
      <c r="C107" s="326"/>
      <c r="I107" s="353" t="str">
        <f>IF(C107="","",RANK(C107,$C$105:$C$109))</f>
        <v/>
      </c>
      <c r="N107" s="326"/>
      <c r="Q107" s="354"/>
      <c r="R107" s="362"/>
      <c r="T107" s="326"/>
      <c r="W107" s="354"/>
      <c r="X107" s="354"/>
    </row>
    <row r="108" spans="1:81">
      <c r="B108" s="326"/>
      <c r="C108" s="326"/>
      <c r="I108" s="353" t="str">
        <f>IF(C108="","",RANK(C108,$C$105:$C$109))</f>
        <v/>
      </c>
      <c r="N108" s="326"/>
      <c r="Q108" s="354"/>
      <c r="R108" s="362"/>
      <c r="T108" s="326"/>
      <c r="W108" s="354"/>
      <c r="X108" s="354"/>
    </row>
    <row r="109" spans="1:81">
      <c r="B109" s="326"/>
      <c r="C109" s="326"/>
      <c r="I109" s="353" t="str">
        <f>IF(C109="","",RANK(C109,$C$105:$C$109))</f>
        <v/>
      </c>
      <c r="N109" s="326"/>
      <c r="Q109" s="354"/>
      <c r="R109" s="362"/>
      <c r="T109" s="326"/>
      <c r="W109" s="354"/>
      <c r="X109" s="354"/>
    </row>
    <row r="112" spans="1:81">
      <c r="A112" s="353">
        <v>14</v>
      </c>
      <c r="B112" s="353" t="s">
        <v>515</v>
      </c>
      <c r="J112" s="353">
        <v>1</v>
      </c>
      <c r="K112" s="353">
        <v>2</v>
      </c>
      <c r="L112" s="353">
        <v>3</v>
      </c>
      <c r="R112" s="353">
        <v>1</v>
      </c>
      <c r="S112" s="353">
        <v>2</v>
      </c>
      <c r="T112" s="353">
        <v>3</v>
      </c>
      <c r="AE112" s="353" t="s">
        <v>515</v>
      </c>
      <c r="AJ112" s="353">
        <v>14</v>
      </c>
      <c r="AK112" s="353" t="s">
        <v>522</v>
      </c>
      <c r="AS112" s="353" t="s">
        <v>522</v>
      </c>
      <c r="AX112" s="353">
        <v>14</v>
      </c>
      <c r="AY112" s="353" t="s">
        <v>527</v>
      </c>
      <c r="BG112" s="353" t="s">
        <v>527</v>
      </c>
      <c r="BU112" s="353" t="s">
        <v>639</v>
      </c>
      <c r="CC112" s="353" t="s">
        <v>684</v>
      </c>
    </row>
    <row r="113" spans="1:109">
      <c r="A113" s="343" t="s">
        <v>2</v>
      </c>
      <c r="B113" s="353" t="s">
        <v>112</v>
      </c>
      <c r="C113" s="353" t="s">
        <v>113</v>
      </c>
      <c r="D113" s="353" t="s">
        <v>114</v>
      </c>
      <c r="E113" s="353" t="s">
        <v>115</v>
      </c>
      <c r="F113" s="353" t="s">
        <v>116</v>
      </c>
      <c r="J113" s="353" t="str">
        <f>IFERROR(INDEX($BU$114:$BU$126,MATCH(J112,$I$114:$I$126,0)),"")</f>
        <v>Grade 7</v>
      </c>
      <c r="K113" s="398" t="str">
        <f>IFERROR(INDEX($BU$114:$BU$126,MATCH(K112,$I$114:$I$126,0)),"")</f>
        <v>Grade 11</v>
      </c>
      <c r="L113" s="398" t="str">
        <f>IFERROR(INDEX($BU$114:$BU$126,MATCH(L112,$I$114:$I$126,0)),"")</f>
        <v>Grade 8</v>
      </c>
      <c r="R113" s="353" t="str">
        <f>IFERROR(INDEX($BU$114:$BU$126,MATCH(R112,$H$114:$H$126,0)),"")</f>
        <v>Grade 7</v>
      </c>
      <c r="S113" s="398" t="str">
        <f>IFERROR(INDEX($BU$114:$BU$126,MATCH(S112,$H$114:$H$126,0)),"")</f>
        <v>Grade 11</v>
      </c>
      <c r="T113" s="398" t="str">
        <f>IFERROR(INDEX($BU$114:$BU$126,MATCH(T112,$H$114:$H$126,0)),"")</f>
        <v>Grade 8</v>
      </c>
      <c r="AD113" s="353" t="s">
        <v>683</v>
      </c>
      <c r="AE113" s="343" t="s">
        <v>2</v>
      </c>
      <c r="AF113" s="353" t="s">
        <v>516</v>
      </c>
      <c r="AG113" s="353" t="s">
        <v>517</v>
      </c>
      <c r="AH113" s="353" t="s">
        <v>518</v>
      </c>
      <c r="AJ113" s="343" t="s">
        <v>2</v>
      </c>
      <c r="AK113" s="353" t="s">
        <v>112</v>
      </c>
      <c r="AL113" s="353" t="s">
        <v>113</v>
      </c>
      <c r="AM113" s="353" t="s">
        <v>114</v>
      </c>
      <c r="AN113" s="353" t="s">
        <v>115</v>
      </c>
      <c r="AO113" s="353" t="s">
        <v>116</v>
      </c>
      <c r="AS113" s="343" t="s">
        <v>2</v>
      </c>
      <c r="AT113" s="353" t="s">
        <v>516</v>
      </c>
      <c r="AU113" s="353" t="s">
        <v>517</v>
      </c>
      <c r="AV113" s="353" t="s">
        <v>518</v>
      </c>
      <c r="AX113" s="343" t="s">
        <v>2</v>
      </c>
      <c r="AY113" s="353" t="s">
        <v>112</v>
      </c>
      <c r="AZ113" s="353" t="s">
        <v>113</v>
      </c>
      <c r="BA113" s="353" t="s">
        <v>114</v>
      </c>
      <c r="BB113" s="353" t="s">
        <v>115</v>
      </c>
      <c r="BC113" s="353" t="s">
        <v>116</v>
      </c>
      <c r="BG113" s="343" t="s">
        <v>2</v>
      </c>
      <c r="BH113" s="353" t="s">
        <v>516</v>
      </c>
      <c r="BI113" s="353" t="s">
        <v>517</v>
      </c>
      <c r="BJ113" s="353" t="s">
        <v>518</v>
      </c>
      <c r="BM113" s="343" t="s">
        <v>2</v>
      </c>
      <c r="BN113" s="353" t="s">
        <v>518</v>
      </c>
      <c r="BU113" s="343" t="s">
        <v>2</v>
      </c>
      <c r="BW113" s="353" t="s">
        <v>113</v>
      </c>
      <c r="BX113" s="353" t="s">
        <v>114</v>
      </c>
      <c r="BY113" s="353" t="s">
        <v>698</v>
      </c>
      <c r="BZ113" s="353" t="s">
        <v>116</v>
      </c>
      <c r="CA113" s="353" t="s">
        <v>943</v>
      </c>
      <c r="CB113" s="353" t="s">
        <v>942</v>
      </c>
      <c r="CC113" s="343" t="s">
        <v>2</v>
      </c>
      <c r="CD113" s="353" t="s">
        <v>697</v>
      </c>
      <c r="CE113" s="353" t="s">
        <v>113</v>
      </c>
      <c r="CF113" s="353" t="s">
        <v>114</v>
      </c>
      <c r="CH113" s="353" t="s">
        <v>116</v>
      </c>
      <c r="CJ113" s="353" t="s">
        <v>699</v>
      </c>
      <c r="CK113" s="353" t="s">
        <v>700</v>
      </c>
      <c r="CL113" s="353" t="s">
        <v>701</v>
      </c>
    </row>
    <row r="114" spans="1:109">
      <c r="A114" s="357" t="s">
        <v>5</v>
      </c>
      <c r="B114" s="353" t="str">
        <f>Helper!E194</f>
        <v/>
      </c>
      <c r="C114" s="353" t="str">
        <f>IF(COUNT(Data!E306)&gt;0,Data!E306,"")</f>
        <v/>
      </c>
      <c r="D114" s="353" t="str">
        <f>IF(AND(ISNUMBER(B114),ISNUMBER(C114)),ROUND((B114/2)/(C114),0),"")</f>
        <v/>
      </c>
      <c r="E114" s="353" t="str">
        <f>Data!J353</f>
        <v/>
      </c>
      <c r="F114" s="353" t="str">
        <f>IF(AND(ISNUMBER(B114),ISNUMBER(E114)),ROUND((B114)/2/E114,0),"")</f>
        <v/>
      </c>
      <c r="G114" s="353" t="str">
        <f>IF(BZ114="","",ROUND(BZ114,2))</f>
        <v/>
      </c>
      <c r="H114" s="400" t="str">
        <f>IF(G114="","",RANK(G114,$G$114:$G$126)+COUNTIF($G$114:G114,G114)-1)</f>
        <v/>
      </c>
      <c r="I114" s="398" t="str">
        <f>IF(D114="","",RANK(D114,$D$114:$D$126)+COUNTIF($D$114:$D114,D114)-1)</f>
        <v/>
      </c>
      <c r="J114" s="347">
        <f>IFERROR(INDEX($CB$114:$CB$126,MATCH(J112,$I$114:$I$126,0)),"")</f>
        <v>-10</v>
      </c>
      <c r="K114" s="347">
        <f>IFERROR(INDEX($CB$114:$CB$126,MATCH(K112,$I$114:$I$126,0)),"")</f>
        <v>-5</v>
      </c>
      <c r="L114" s="347">
        <f>IFERROR(INDEX($CB$114:$CB$126,MATCH(L112,$I$114:$I$126,0)),"")</f>
        <v>-19</v>
      </c>
      <c r="O114" s="353" t="str">
        <f>IF(F114="","",F114-25)</f>
        <v/>
      </c>
      <c r="P114" s="353" t="str">
        <f>IF(O114="","",RANK(O114,$O$114:$O$126)+COUNTIF($O$114:O114,O114)-1)</f>
        <v/>
      </c>
      <c r="R114" s="398">
        <f>IFERROR(INDEX($BZ$114:$BZ$126,MATCH(R112,$H$114:$H$126,0)),"")</f>
        <v>61</v>
      </c>
      <c r="S114" s="398">
        <f>IFERROR(INDEX($BZ$114:$BZ$126,MATCH(S112,$H$114:$H$126,0)),"")</f>
        <v>52</v>
      </c>
      <c r="T114" s="398">
        <f>IFERROR(INDEX($BZ$114:$BZ$126,MATCH(T112,$H$114:$H$126,0)),"")</f>
        <v>51</v>
      </c>
      <c r="U114" s="353" t="str">
        <f>IF(R113="","",CONCATENATE(R128," ","The biggest class size is on"," ",R113," ","with an average class size of"," ",R114," ","followed by"," ",S113," ","with an average class size of"," ",S114," ","learner/s per class which is"," ",R129))</f>
        <v>Generally, lots of rooms are overcrowded. The biggest class size is on Grade 7 with an average class size of 61 followed by Grade 11 with an average class size of 52 learner/s per class which is beyond the recommended learner-classroom ratio.</v>
      </c>
      <c r="AB114" s="353" t="s">
        <v>217</v>
      </c>
      <c r="AD114" s="353">
        <v>25</v>
      </c>
      <c r="AE114" s="357" t="s">
        <v>5</v>
      </c>
      <c r="AF114" s="353" t="str">
        <f>E114</f>
        <v/>
      </c>
      <c r="AG114" s="349" t="str">
        <f>IF(B114="","",(B114/2)/25)</f>
        <v/>
      </c>
      <c r="AH114" s="349" t="str">
        <f>IF(AND(ISNUMBER(AF114),ISNUMBER(AG114)),AF114-AG114,"")</f>
        <v/>
      </c>
      <c r="AJ114" s="357" t="s">
        <v>5</v>
      </c>
      <c r="AK114" s="353" t="str">
        <f>IF(Helper!K194=0,"",K194)</f>
        <v/>
      </c>
      <c r="AL114" s="353" t="str">
        <f>IF(COUNT(Data!L306)&gt;0,Data!L306,"")</f>
        <v/>
      </c>
      <c r="AM114" s="353" t="str">
        <f>IF(AND(ISNUMBER(AK114),ISNUMBER(AL114)),ROUND(AK114/AL114,0),"")</f>
        <v/>
      </c>
      <c r="AN114" s="353" t="str">
        <f>Data!V353</f>
        <v/>
      </c>
      <c r="AO114" s="353" t="str">
        <f>IF(AND(ISNUMBER(AK114),ISNUMBER(AN114)),ROUND((AK114)/2/AN114,0),"")</f>
        <v/>
      </c>
      <c r="AP114" s="353" t="str">
        <f>IF(AM114="","",AM114-35)</f>
        <v/>
      </c>
      <c r="AQ114" s="353" t="str">
        <f>IF(AP114="","",RANK(AP114,$AP$114:$AP$126)+COUNTIF($AP$114:AP114,AP114)-1)</f>
        <v/>
      </c>
      <c r="AS114" s="357" t="s">
        <v>5</v>
      </c>
      <c r="AT114" s="353" t="str">
        <f>AN114</f>
        <v/>
      </c>
      <c r="AU114" s="353" t="str">
        <f>IF(AK114="","",ROUND(AK114/35,0))</f>
        <v/>
      </c>
      <c r="AV114" s="353" t="str">
        <f>IF(AND(ISNUMBER(AT114),ISNUMBER(AU114)),AT114-AU114,"")</f>
        <v/>
      </c>
      <c r="AX114" s="357" t="s">
        <v>5</v>
      </c>
      <c r="AY114" s="353" t="str">
        <f>IF(H194=0,"",H194)</f>
        <v/>
      </c>
      <c r="AZ114" s="353" t="str">
        <f>IF(COUNT(Data!S306)&gt;0,Data!S306,"")</f>
        <v/>
      </c>
      <c r="BA114" s="353" t="str">
        <f>IF(AND(ISNUMBER(AY114),ISNUMBER(AZ114)),ROUND(AY114/AZ114,0),"")</f>
        <v/>
      </c>
      <c r="BB114" s="353" t="str">
        <f>Data!AH353</f>
        <v/>
      </c>
      <c r="BC114" s="353" t="str">
        <f>IF(AND(ISNUMBER(AY114),ISNUMBER(BB114)),ROUND((AY114)/2/BB114,0),"")</f>
        <v/>
      </c>
      <c r="BD114" s="353" t="str">
        <f>IF(BA114="","",BA114-15)</f>
        <v/>
      </c>
      <c r="BE114" s="353" t="str">
        <f>IF(BD114="","",RANK(BD114,$BD$114:$BD$126)+COUNTIF($BD$114:BD114,BD114)-1)</f>
        <v/>
      </c>
      <c r="BG114" s="357" t="s">
        <v>5</v>
      </c>
      <c r="BH114" s="353" t="str">
        <f>BB114</f>
        <v/>
      </c>
      <c r="BI114" s="353" t="str">
        <f>IF(AY114="","",ROUND(AY114/15,0))</f>
        <v/>
      </c>
      <c r="BJ114" s="353" t="str">
        <f>IF(AND(ISNUMBER(BH114),ISNUMBER(BI114)),BH114-BI114,"")</f>
        <v/>
      </c>
      <c r="BM114" s="357" t="s">
        <v>5</v>
      </c>
      <c r="BN114" s="351" t="str">
        <f>IF(OR(ISNUMBER(AH114), ISNUMBER(AV114),ISNUMBER(BJ114)), SUM(AH114,AV114,BJ114), "")</f>
        <v/>
      </c>
      <c r="BU114" s="357" t="s">
        <v>5</v>
      </c>
      <c r="BW114" s="353" t="str">
        <f t="shared" ref="BW114:BW126" si="69">IF(OR(ISNUMBER(C114),ISNUMBER(AL114),ISNUMBER(AZ114)),SUM(C114,AL114,AZ114),"")</f>
        <v/>
      </c>
      <c r="BX114" s="353" t="str">
        <f t="shared" ref="BX114:BX126" si="70">IF(OR(ISNUMBER(D114),ISNUMBER(AM114),ISNUMBER(BA114)),AVERAGE(D114,AM114,BA114),"")</f>
        <v/>
      </c>
      <c r="BY114" s="347" t="str">
        <f t="shared" ref="BY114:BY126" si="71">IF(OR(ISNUMBER(E114),ISNUMBER(AN114),ISNUMBER(BB114)),SUM(E114,AN114,BB114),"")</f>
        <v/>
      </c>
      <c r="BZ114" s="347" t="str">
        <f>IF(OR(ISNUMBER(F114),ISNUMBER(AO114),ISNUMBER(BC114)),ROUND(AVERAGE(F114,AO114,BC114),2),"")</f>
        <v/>
      </c>
      <c r="CA114" s="398">
        <v>25</v>
      </c>
      <c r="CB114" s="353" t="str">
        <f>IF(BX114="","",BX114-CA114)</f>
        <v/>
      </c>
      <c r="CC114" s="357" t="s">
        <v>5</v>
      </c>
      <c r="CD114" s="353" t="str">
        <f>IF(OR(ISNUMBER(B114),ISNUMBER(AK114),ISNUMBER(AY114)),SUM(B114,AK114,AY114),"")</f>
        <v/>
      </c>
      <c r="CE114" s="353">
        <f t="shared" ref="CE114:CE126" si="72">IF(OR(ISNUMBER(K114),ISNUMBER(AT114),ISNUMBER(BH114)),SUM(K114,AT114,BH114),"")</f>
        <v>-5</v>
      </c>
      <c r="CF114" s="353">
        <f t="shared" ref="CF114:CF126" si="73">IF(OR(ISNUMBER(L114),ISNUMBER(AU114),ISNUMBER(BI114)),AVERAGE(L114,AU114,BI114),"")</f>
        <v>-19</v>
      </c>
      <c r="CG114" s="347" t="str">
        <f t="shared" ref="CG114:CG126" si="74">IF(OR(ISNUMBER(M114),ISNUMBER(AV114),ISNUMBER(BJ114)),SUM(M114,AV114,BJ114),"")</f>
        <v/>
      </c>
      <c r="CH114" s="347" t="str">
        <f>IF(OR(ISNUMBER(N114),ISNUMBER(AW114),ISNUMBER(BK114)),ROUND(AVERAGE(N114,AW114,BK114),2),"")</f>
        <v/>
      </c>
      <c r="CJ114" s="353" t="str">
        <f>IF(CD114="","",1)</f>
        <v/>
      </c>
      <c r="CK114" s="353" t="str">
        <f>BW114</f>
        <v/>
      </c>
      <c r="CL114" s="347" t="str">
        <f>BY114</f>
        <v/>
      </c>
    </row>
    <row r="115" spans="1:109">
      <c r="A115" s="357" t="s">
        <v>6</v>
      </c>
      <c r="B115" s="353" t="str">
        <f>Helper!E195</f>
        <v/>
      </c>
      <c r="C115" s="353" t="str">
        <f>IF(COUNT(Data!E307)&gt;0,Data!E307,"")</f>
        <v/>
      </c>
      <c r="D115" s="353" t="str">
        <f t="shared" ref="D115:D126" si="75">IF(AND(ISNUMBER(B115),ISNUMBER(C115)),ROUND(B115/C115,0),"")</f>
        <v/>
      </c>
      <c r="E115" s="353" t="str">
        <f>Data!J354</f>
        <v/>
      </c>
      <c r="F115" s="353" t="str">
        <f t="shared" ref="F115:F126" si="76">IF(AND(ISNUMBER(B115),ISNUMBER(E115)),ROUND(B115/E115,0),"")</f>
        <v/>
      </c>
      <c r="G115" s="353" t="str">
        <f t="shared" ref="G115:G126" si="77">IF(BZ115="","",ROUND(BZ115,2))</f>
        <v/>
      </c>
      <c r="H115" s="400" t="str">
        <f>IF(G115="","",RANK(G115,$G$114:$G$126)+COUNTIF($G$114:G115,G115)-1)</f>
        <v/>
      </c>
      <c r="I115" s="398" t="str">
        <f>IF(D115="","",RANK(D115,$D$114:$D$126)+COUNTIF($D$114:$D115,D115)-1)</f>
        <v/>
      </c>
      <c r="J115" s="349">
        <f>IF(J114&lt;0,-(J114),J114)</f>
        <v>10</v>
      </c>
      <c r="K115" s="353">
        <f>IF(K114&lt;0,-(K114),K114)</f>
        <v>5</v>
      </c>
      <c r="L115" s="353">
        <f>IF(L114&lt;0,-(L114),L114)</f>
        <v>19</v>
      </c>
      <c r="O115" s="353" t="str">
        <f>IF(F115="","",F115-25)</f>
        <v/>
      </c>
      <c r="P115" s="353" t="str">
        <f>IF(O115="","",RANK(O115,$O$114:$O$126)+COUNTIF($O$114:O115,O115)-1)</f>
        <v/>
      </c>
      <c r="AB115" s="353">
        <f>IF(D114=MAX($D$114:$D$126),D114,0)</f>
        <v>0</v>
      </c>
      <c r="AD115" s="353">
        <v>25</v>
      </c>
      <c r="AE115" s="357" t="s">
        <v>6</v>
      </c>
      <c r="AF115" s="353" t="str">
        <f t="shared" ref="AF115:AF126" si="78">E115</f>
        <v/>
      </c>
      <c r="AG115" s="349" t="str">
        <f>IF(B115="","",(B115/25))</f>
        <v/>
      </c>
      <c r="AH115" s="349" t="str">
        <f t="shared" ref="AH115:AH126" si="79">IF(AND(ISNUMBER(AF115),ISNUMBER(AG115)),AF115-AG115,"")</f>
        <v/>
      </c>
      <c r="AJ115" s="357" t="s">
        <v>6</v>
      </c>
      <c r="AK115" s="371" t="str">
        <f>IF(Helper!K195=0,"",K195)</f>
        <v/>
      </c>
      <c r="AL115" s="353" t="str">
        <f>IF(COUNT(Data!L307)&gt;0,Data!L307,"")</f>
        <v/>
      </c>
      <c r="AM115" s="353" t="str">
        <f t="shared" ref="AM115:AM126" si="80">IF(AND(ISNUMBER(AK115),ISNUMBER(AL115)),ROUND(AK115/AL115,0),"")</f>
        <v/>
      </c>
      <c r="AN115" s="353" t="str">
        <f>Data!V354</f>
        <v/>
      </c>
      <c r="AO115" s="353" t="str">
        <f t="shared" ref="AO115:AO126" si="81">IF(AND(ISNUMBER(AK115),ISNUMBER(AN115)),ROUND(AK115/AN115,0),"")</f>
        <v/>
      </c>
      <c r="AP115" s="353" t="str">
        <f t="shared" ref="AP115:AP126" si="82">IF(AM115="","",AM115-35)</f>
        <v/>
      </c>
      <c r="AQ115" s="353" t="str">
        <f>IF(AP115="","",RANK(AP115,$AP$114:$AP$126)+COUNTIF($AP$114:AP115,AP115)-1)</f>
        <v/>
      </c>
      <c r="AS115" s="357" t="s">
        <v>6</v>
      </c>
      <c r="AT115" s="353" t="str">
        <f t="shared" ref="AT115:AT126" si="83">AN115</f>
        <v/>
      </c>
      <c r="AU115" s="353" t="str">
        <f t="shared" ref="AU115:AU126" si="84">IF(AK115="","",ROUND(AK115/35,0))</f>
        <v/>
      </c>
      <c r="AV115" s="353" t="str">
        <f t="shared" ref="AV115:AV126" si="85">IF(AND(ISNUMBER(AT115),ISNUMBER(AU115)),AT115-AU115,"")</f>
        <v/>
      </c>
      <c r="AX115" s="357" t="s">
        <v>6</v>
      </c>
      <c r="AY115" s="353" t="str">
        <f t="shared" ref="AY115:AY126" si="86">IF(H195=0,"",H195)</f>
        <v/>
      </c>
      <c r="AZ115" s="353" t="str">
        <f>IF(COUNT(Data!S307)&gt;0,Data!S307,"")</f>
        <v/>
      </c>
      <c r="BA115" s="353" t="str">
        <f t="shared" ref="BA115:BA127" si="87">IF(AND(ISNUMBER(AY115),ISNUMBER(AZ115)),ROUND(AY115/AZ115,0),"")</f>
        <v/>
      </c>
      <c r="BB115" s="353" t="str">
        <f>Data!AH354</f>
        <v/>
      </c>
      <c r="BC115" s="353" t="str">
        <f t="shared" ref="BC115:BC127" si="88">IF(AND(ISNUMBER(AY115),ISNUMBER(BB115)),ROUND(AY115/BB115,0),"")</f>
        <v/>
      </c>
      <c r="BD115" s="353" t="str">
        <f t="shared" ref="BD115:BD127" si="89">IF(BA115="","",BA115-15)</f>
        <v/>
      </c>
      <c r="BE115" s="353" t="str">
        <f>IF(BD115="","",RANK(BD115,$BD$114:$BD$126)+COUNTIF($BD$114:BD115,BD115)-1)</f>
        <v/>
      </c>
      <c r="BG115" s="357" t="s">
        <v>6</v>
      </c>
      <c r="BH115" s="353" t="str">
        <f t="shared" ref="BH115:BH126" si="90">BB115</f>
        <v/>
      </c>
      <c r="BI115" s="353" t="str">
        <f t="shared" ref="BI115:BI126" si="91">IF(AY115="","",ROUND(AY115/15,0))</f>
        <v/>
      </c>
      <c r="BJ115" s="353" t="str">
        <f t="shared" ref="BJ115:BJ126" si="92">IF(AND(ISNUMBER(BH115),ISNUMBER(BI115)),BH115-BI115,"")</f>
        <v/>
      </c>
      <c r="BM115" s="357" t="s">
        <v>6</v>
      </c>
      <c r="BN115" s="351" t="str">
        <f t="shared" ref="BN115:BN126" si="93">IF(OR(ISNUMBER(AH115), ISNUMBER(AV115),ISNUMBER(BJ115)), SUM(AH115,AV115,BJ115), "")</f>
        <v/>
      </c>
      <c r="BU115" s="357" t="s">
        <v>6</v>
      </c>
      <c r="BW115" s="353" t="str">
        <f t="shared" si="69"/>
        <v/>
      </c>
      <c r="BX115" s="353" t="str">
        <f t="shared" si="70"/>
        <v/>
      </c>
      <c r="BY115" s="347" t="str">
        <f t="shared" si="71"/>
        <v/>
      </c>
      <c r="BZ115" s="347" t="str">
        <f t="shared" ref="BZ115:BZ126" si="94">IF(OR(ISNUMBER(F115),ISNUMBER(AO115),ISNUMBER(BC115)),ROUND(AVERAGE(F115,AO115,BC115),2),"")</f>
        <v/>
      </c>
      <c r="CA115" s="398">
        <v>25</v>
      </c>
      <c r="CB115" s="398" t="str">
        <f t="shared" ref="CB115:CB127" si="95">IF(BX115="","",BX115-CA115)</f>
        <v/>
      </c>
      <c r="CC115" s="357" t="s">
        <v>6</v>
      </c>
      <c r="CD115" s="353" t="str">
        <f t="shared" ref="CD115:CD126" si="96">IF(OR(ISNUMBER(B115),ISNUMBER(AK115),ISNUMBER(AY115)),SUM(B115,AK115,AY115),"")</f>
        <v/>
      </c>
      <c r="CE115" s="353">
        <f t="shared" si="72"/>
        <v>5</v>
      </c>
      <c r="CF115" s="353">
        <f t="shared" si="73"/>
        <v>19</v>
      </c>
      <c r="CG115" s="347" t="str">
        <f t="shared" si="74"/>
        <v/>
      </c>
      <c r="CH115" s="347" t="str">
        <f t="shared" ref="CH115:CH126" si="97">IF(OR(ISNUMBER(N115),ISNUMBER(AW115),ISNUMBER(BK115)),ROUND(AVERAGE(N115,AW115,BK115),2),"")</f>
        <v/>
      </c>
      <c r="CJ115" s="353" t="str">
        <f t="shared" ref="CJ115:CJ127" si="98">IF(CD115="","",1)</f>
        <v/>
      </c>
      <c r="CK115" s="353" t="str">
        <f t="shared" ref="CK115:CK127" si="99">BW115</f>
        <v/>
      </c>
      <c r="CL115" s="347" t="str">
        <f t="shared" ref="CL115:CL127" si="100">BY115</f>
        <v/>
      </c>
    </row>
    <row r="116" spans="1:109">
      <c r="A116" s="357" t="s">
        <v>7</v>
      </c>
      <c r="B116" s="353" t="str">
        <f>Helper!E196</f>
        <v/>
      </c>
      <c r="C116" s="353" t="str">
        <f>IF(COUNT(Data!E308)&gt;0,Data!E308,"")</f>
        <v/>
      </c>
      <c r="D116" s="353" t="str">
        <f t="shared" si="75"/>
        <v/>
      </c>
      <c r="E116" s="353" t="str">
        <f>Data!J355</f>
        <v/>
      </c>
      <c r="F116" s="353" t="str">
        <f t="shared" si="76"/>
        <v/>
      </c>
      <c r="G116" s="353" t="str">
        <f t="shared" si="77"/>
        <v/>
      </c>
      <c r="H116" s="400" t="str">
        <f>IF(G116="","",RANK(G116,$G$114:$G$126)+COUNTIF($G$114:G116,G116)-1)</f>
        <v/>
      </c>
      <c r="I116" s="398" t="str">
        <f>IF(D116="","",RANK(D116,$D$114:$D$126)+COUNTIF($D$114:$D116,D116)-1)</f>
        <v/>
      </c>
      <c r="J116" s="349" t="str">
        <f>IF(J114="","",IF(J114=0,"which is compliant to the standard of learner to teacher ratio while other grade levels are still below the planning standards.",IF(J114&gt;0,"with an excess of","which can still accommodate")))</f>
        <v>which can still accommodate</v>
      </c>
      <c r="K116" s="349" t="str">
        <f>IF(K114="","",IF(K114=0,"which is compliant to the standard of pupil to teacher ratio.",IF(K114&gt;0,"with an excess of","which can still accommodate")))</f>
        <v>which can still accommodate</v>
      </c>
      <c r="L116" s="349" t="str">
        <f>IF(L114="","",IF(L114=0,"which is compliant to the standard of pupil to teacher ratio.",IF(L114&gt;0,"with an excess of","which can still accommodate")))</f>
        <v>which can still accommodate</v>
      </c>
      <c r="O116" s="353" t="str">
        <f>IF(F116="","",F116-40)</f>
        <v/>
      </c>
      <c r="P116" s="353" t="str">
        <f>IF(O116="","",RANK(O116,$O$114:$O$126)+COUNTIF($O$114:O116,O116)-1)</f>
        <v/>
      </c>
      <c r="AB116" s="353">
        <f t="shared" ref="AB116:AB126" si="101">IF(D115=MAX($D$114:$D$126),D115,0)</f>
        <v>0</v>
      </c>
      <c r="AD116" s="353">
        <v>40</v>
      </c>
      <c r="AE116" s="357" t="s">
        <v>7</v>
      </c>
      <c r="AF116" s="353" t="str">
        <f t="shared" si="78"/>
        <v/>
      </c>
      <c r="AG116" s="349" t="str">
        <f>IF(B116="","",(B116/40))</f>
        <v/>
      </c>
      <c r="AH116" s="349" t="str">
        <f t="shared" si="79"/>
        <v/>
      </c>
      <c r="AJ116" s="357" t="s">
        <v>7</v>
      </c>
      <c r="AK116" s="371" t="str">
        <f>IF(Helper!K196=0,"",K196)</f>
        <v/>
      </c>
      <c r="AL116" s="353" t="str">
        <f>IF(COUNT(Data!L308)&gt;0,Data!L308,"")</f>
        <v/>
      </c>
      <c r="AM116" s="353" t="str">
        <f t="shared" si="80"/>
        <v/>
      </c>
      <c r="AN116" s="353" t="str">
        <f>Data!V355</f>
        <v/>
      </c>
      <c r="AO116" s="353" t="str">
        <f t="shared" si="81"/>
        <v/>
      </c>
      <c r="AP116" s="353" t="str">
        <f t="shared" si="82"/>
        <v/>
      </c>
      <c r="AQ116" s="353" t="str">
        <f>IF(AP116="","",RANK(AP116,$AP$114:$AP$126)+COUNTIF($AP$114:AP116,AP116)-1)</f>
        <v/>
      </c>
      <c r="AS116" s="357" t="s">
        <v>7</v>
      </c>
      <c r="AT116" s="353" t="str">
        <f t="shared" si="83"/>
        <v/>
      </c>
      <c r="AU116" s="353" t="str">
        <f t="shared" si="84"/>
        <v/>
      </c>
      <c r="AV116" s="353" t="str">
        <f t="shared" si="85"/>
        <v/>
      </c>
      <c r="AX116" s="357" t="s">
        <v>7</v>
      </c>
      <c r="AY116" s="353" t="str">
        <f t="shared" si="86"/>
        <v/>
      </c>
      <c r="AZ116" s="353" t="str">
        <f>IF(COUNT(Data!S308)&gt;0,Data!S308,"")</f>
        <v/>
      </c>
      <c r="BA116" s="353" t="str">
        <f t="shared" si="87"/>
        <v/>
      </c>
      <c r="BB116" s="353" t="str">
        <f>Data!AH355</f>
        <v/>
      </c>
      <c r="BC116" s="353" t="str">
        <f t="shared" si="88"/>
        <v/>
      </c>
      <c r="BD116" s="353" t="str">
        <f t="shared" si="89"/>
        <v/>
      </c>
      <c r="BE116" s="353" t="str">
        <f>IF(BD116="","",RANK(BD116,$BD$114:$BD$126)+COUNTIF($BD$114:BD116,BD116)-1)</f>
        <v/>
      </c>
      <c r="BG116" s="357" t="s">
        <v>7</v>
      </c>
      <c r="BH116" s="353" t="str">
        <f t="shared" si="90"/>
        <v/>
      </c>
      <c r="BI116" s="353" t="str">
        <f t="shared" si="91"/>
        <v/>
      </c>
      <c r="BJ116" s="353" t="str">
        <f t="shared" si="92"/>
        <v/>
      </c>
      <c r="BM116" s="357" t="s">
        <v>7</v>
      </c>
      <c r="BN116" s="351" t="str">
        <f t="shared" si="93"/>
        <v/>
      </c>
      <c r="BU116" s="357" t="s">
        <v>7</v>
      </c>
      <c r="BW116" s="353" t="str">
        <f t="shared" si="69"/>
        <v/>
      </c>
      <c r="BX116" s="353" t="str">
        <f t="shared" si="70"/>
        <v/>
      </c>
      <c r="BY116" s="347" t="str">
        <f t="shared" si="71"/>
        <v/>
      </c>
      <c r="BZ116" s="347" t="str">
        <f t="shared" si="94"/>
        <v/>
      </c>
      <c r="CA116" s="398">
        <v>40</v>
      </c>
      <c r="CB116" s="398" t="str">
        <f t="shared" si="95"/>
        <v/>
      </c>
      <c r="CC116" s="357" t="s">
        <v>7</v>
      </c>
      <c r="CD116" s="353" t="str">
        <f t="shared" si="96"/>
        <v/>
      </c>
      <c r="CE116" s="353" t="str">
        <f t="shared" si="72"/>
        <v/>
      </c>
      <c r="CF116" s="353" t="str">
        <f t="shared" si="73"/>
        <v/>
      </c>
      <c r="CG116" s="347" t="str">
        <f t="shared" si="74"/>
        <v/>
      </c>
      <c r="CH116" s="347" t="str">
        <f t="shared" si="97"/>
        <v/>
      </c>
      <c r="CJ116" s="353" t="str">
        <f t="shared" si="98"/>
        <v/>
      </c>
      <c r="CK116" s="353" t="str">
        <f t="shared" si="99"/>
        <v/>
      </c>
      <c r="CL116" s="347" t="str">
        <f t="shared" si="100"/>
        <v/>
      </c>
      <c r="CN116" s="353" t="s">
        <v>562</v>
      </c>
      <c r="CO116" s="353" t="str">
        <f>IF($CJ$128="","","The school is having multi-grade classes.")</f>
        <v>The school is having multi-grade classes.</v>
      </c>
      <c r="CQ116" s="353" t="s">
        <v>702</v>
      </c>
      <c r="CR116" s="353">
        <f>$CJ$128</f>
        <v>6</v>
      </c>
      <c r="CS116" s="353" t="s">
        <v>704</v>
      </c>
      <c r="CT116" s="353">
        <f>$CK$128</f>
        <v>57</v>
      </c>
      <c r="CU116" s="353" t="s">
        <v>703</v>
      </c>
      <c r="CV116" s="353" t="str">
        <f>IF(CK128="","",CONCATENATE(CO116," ",CQ116," ",CR116," ",CS116," ",CT116," ",CU116))</f>
        <v>The school is having multi-grade classes. The 6 grade levels are handled by 57 teacher/s.</v>
      </c>
      <c r="DE116" s="353" t="str">
        <f>IF(CV116="","",INDEX(CV116:CV119,MATCH(Home!$O$1,CN116:CN120,0)))</f>
        <v>The school is having multi-grade classes. The 6 grade levels are handled by 57 teacher/s.</v>
      </c>
    </row>
    <row r="117" spans="1:109">
      <c r="A117" s="357" t="s">
        <v>8</v>
      </c>
      <c r="B117" s="353" t="str">
        <f>Helper!E197</f>
        <v/>
      </c>
      <c r="C117" s="353" t="str">
        <f>IF(COUNT(Data!E309)&gt;0,Data!E309,"")</f>
        <v/>
      </c>
      <c r="D117" s="353" t="str">
        <f t="shared" si="75"/>
        <v/>
      </c>
      <c r="E117" s="353" t="str">
        <f>Data!J356</f>
        <v/>
      </c>
      <c r="F117" s="353" t="str">
        <f t="shared" si="76"/>
        <v/>
      </c>
      <c r="G117" s="353" t="str">
        <f t="shared" si="77"/>
        <v/>
      </c>
      <c r="H117" s="400" t="str">
        <f>IF(G117="","",RANK(G117,$G$114:$G$126)+COUNTIF($G$114:G117,G117)-1)</f>
        <v/>
      </c>
      <c r="I117" s="398" t="str">
        <f>IF(D117="","",RANK(D117,$D$114:$D$126)+COUNTIF($D$114:$D117,D117)-1)</f>
        <v/>
      </c>
      <c r="K117" s="353" t="str">
        <f>IF(J114="","",IF(J114&gt;0,"Generally all grade levels have class size bigger than the recommended  teacher to learner ratio.","Generally all grade levels have class size lower than the recommended  teacher to learner ratio."))</f>
        <v>Generally all grade levels have class size lower than the recommended  teacher to learner ratio.</v>
      </c>
      <c r="N117" s="353">
        <f>SUM(Data!I366:J366)</f>
        <v>30</v>
      </c>
      <c r="O117" s="353" t="str">
        <f>IF(F117="","",F117-40)</f>
        <v/>
      </c>
      <c r="P117" s="353" t="str">
        <f>IF(O117="","",RANK(O117,$O$114:$O$126)+COUNTIF($O$114:O117,O117)-1)</f>
        <v/>
      </c>
      <c r="AB117" s="353">
        <f t="shared" si="101"/>
        <v>0</v>
      </c>
      <c r="AD117" s="353">
        <v>40</v>
      </c>
      <c r="AE117" s="357" t="s">
        <v>8</v>
      </c>
      <c r="AF117" s="353" t="str">
        <f t="shared" si="78"/>
        <v/>
      </c>
      <c r="AG117" s="349" t="str">
        <f>IF(B117="","",(B117/40))</f>
        <v/>
      </c>
      <c r="AH117" s="349" t="str">
        <f t="shared" si="79"/>
        <v/>
      </c>
      <c r="AJ117" s="357" t="s">
        <v>8</v>
      </c>
      <c r="AK117" s="371" t="str">
        <f>IF(Helper!K197=0,"",K197)</f>
        <v/>
      </c>
      <c r="AL117" s="353" t="str">
        <f>IF(COUNT(Data!L309)&gt;0,Data!L309,"")</f>
        <v/>
      </c>
      <c r="AM117" s="353" t="str">
        <f t="shared" si="80"/>
        <v/>
      </c>
      <c r="AN117" s="353" t="str">
        <f>Data!V356</f>
        <v/>
      </c>
      <c r="AO117" s="353" t="str">
        <f t="shared" si="81"/>
        <v/>
      </c>
      <c r="AP117" s="353" t="str">
        <f t="shared" si="82"/>
        <v/>
      </c>
      <c r="AQ117" s="353" t="str">
        <f>IF(AP117="","",RANK(AP117,$AP$114:$AP$126)+COUNTIF($AP$114:AP117,AP117)-1)</f>
        <v/>
      </c>
      <c r="AS117" s="357" t="s">
        <v>8</v>
      </c>
      <c r="AT117" s="353" t="str">
        <f t="shared" si="83"/>
        <v/>
      </c>
      <c r="AU117" s="353" t="str">
        <f t="shared" si="84"/>
        <v/>
      </c>
      <c r="AV117" s="353" t="str">
        <f t="shared" si="85"/>
        <v/>
      </c>
      <c r="AX117" s="357" t="s">
        <v>8</v>
      </c>
      <c r="AY117" s="353" t="str">
        <f t="shared" si="86"/>
        <v/>
      </c>
      <c r="AZ117" s="353" t="str">
        <f>IF(COUNT(Data!S309)&gt;0,Data!S309,"")</f>
        <v/>
      </c>
      <c r="BA117" s="353" t="str">
        <f t="shared" si="87"/>
        <v/>
      </c>
      <c r="BB117" s="353" t="str">
        <f>Data!AH356</f>
        <v/>
      </c>
      <c r="BC117" s="353" t="str">
        <f t="shared" si="88"/>
        <v/>
      </c>
      <c r="BD117" s="353" t="str">
        <f t="shared" si="89"/>
        <v/>
      </c>
      <c r="BE117" s="353" t="str">
        <f>IF(BD117="","",RANK(BD117,$BD$114:$BD$126)+COUNTIF($BD$114:BD117,BD117)-1)</f>
        <v/>
      </c>
      <c r="BG117" s="357" t="s">
        <v>8</v>
      </c>
      <c r="BH117" s="353" t="str">
        <f t="shared" si="90"/>
        <v/>
      </c>
      <c r="BI117" s="353" t="str">
        <f t="shared" si="91"/>
        <v/>
      </c>
      <c r="BJ117" s="353" t="str">
        <f t="shared" si="92"/>
        <v/>
      </c>
      <c r="BM117" s="357" t="s">
        <v>8</v>
      </c>
      <c r="BN117" s="351" t="str">
        <f t="shared" si="93"/>
        <v/>
      </c>
      <c r="BU117" s="357" t="s">
        <v>8</v>
      </c>
      <c r="BW117" s="353" t="str">
        <f t="shared" si="69"/>
        <v/>
      </c>
      <c r="BX117" s="353" t="str">
        <f t="shared" si="70"/>
        <v/>
      </c>
      <c r="BY117" s="347" t="str">
        <f t="shared" si="71"/>
        <v/>
      </c>
      <c r="BZ117" s="347" t="str">
        <f t="shared" si="94"/>
        <v/>
      </c>
      <c r="CA117" s="398">
        <v>40</v>
      </c>
      <c r="CB117" s="398" t="str">
        <f t="shared" si="95"/>
        <v/>
      </c>
      <c r="CC117" s="357" t="s">
        <v>8</v>
      </c>
      <c r="CD117" s="353" t="str">
        <f t="shared" si="96"/>
        <v/>
      </c>
      <c r="CE117" s="353" t="str">
        <f t="shared" si="72"/>
        <v/>
      </c>
      <c r="CF117" s="353" t="str">
        <f t="shared" si="73"/>
        <v/>
      </c>
      <c r="CG117" s="347" t="str">
        <f t="shared" si="74"/>
        <v/>
      </c>
      <c r="CH117" s="347">
        <f t="shared" si="97"/>
        <v>30</v>
      </c>
      <c r="CJ117" s="353" t="str">
        <f t="shared" si="98"/>
        <v/>
      </c>
      <c r="CK117" s="353" t="str">
        <f t="shared" si="99"/>
        <v/>
      </c>
      <c r="CL117" s="347" t="str">
        <f t="shared" si="100"/>
        <v/>
      </c>
      <c r="CN117" s="353" t="s">
        <v>788</v>
      </c>
      <c r="CO117" s="353" t="str">
        <f>IF($CJ$128="","","Ang paaralan ay may mga multi-grade classes.")</f>
        <v>Ang paaralan ay may mga multi-grade classes.</v>
      </c>
      <c r="CQ117" s="353" t="s">
        <v>706</v>
      </c>
      <c r="CR117" s="353">
        <f>$CJ$128</f>
        <v>6</v>
      </c>
      <c r="CS117" s="353" t="s">
        <v>707</v>
      </c>
      <c r="CT117" s="353">
        <f>$CK$128</f>
        <v>57</v>
      </c>
      <c r="CU117" s="353" t="s">
        <v>709</v>
      </c>
      <c r="CV117" s="353" t="str">
        <f>IF(CK128="","",CONCATENATE(CO117," ",CQ117," ",CR117," ",CS117," ",CT117," ",CU117))</f>
        <v>Ang paaralan ay may mga multi-grade classes. Ang 6 grade levels ay hinahawakan ng 57 guro.</v>
      </c>
    </row>
    <row r="118" spans="1:109">
      <c r="A118" s="357" t="s">
        <v>9</v>
      </c>
      <c r="B118" s="353" t="str">
        <f>Helper!E198</f>
        <v/>
      </c>
      <c r="C118" s="353" t="str">
        <f>IF(COUNT(Data!E310)&gt;0,Data!E310,"")</f>
        <v/>
      </c>
      <c r="D118" s="353" t="str">
        <f t="shared" si="75"/>
        <v/>
      </c>
      <c r="E118" s="353" t="str">
        <f>Data!J357</f>
        <v/>
      </c>
      <c r="F118" s="353" t="str">
        <f t="shared" si="76"/>
        <v/>
      </c>
      <c r="G118" s="353" t="str">
        <f t="shared" si="77"/>
        <v/>
      </c>
      <c r="H118" s="400" t="str">
        <f>IF(G118="","",RANK(G118,$G$114:$G$126)+COUNTIF($G$114:G118,G118)-1)</f>
        <v/>
      </c>
      <c r="I118" s="398" t="str">
        <f>IF(D118="","",RANK(D118,$D$114:$D$126)+COUNTIF($D$114:$D118,D118)-1)</f>
        <v/>
      </c>
      <c r="K118" s="353" t="str">
        <f>IF(J114&gt;0,"with an excess of","which can still accommodate")</f>
        <v>which can still accommodate</v>
      </c>
      <c r="N118" s="353">
        <f>SUM(Data!U366:V366)</f>
        <v>0</v>
      </c>
      <c r="O118" s="353" t="str">
        <f>IF(F118="","",F118-45)</f>
        <v/>
      </c>
      <c r="P118" s="353" t="str">
        <f>IF(O118="","",RANK(O118,$O$114:$O$126)+COUNTIF($O$114:O118,O118)-1)</f>
        <v/>
      </c>
      <c r="AB118" s="353">
        <f t="shared" si="101"/>
        <v>0</v>
      </c>
      <c r="AD118" s="353">
        <v>45</v>
      </c>
      <c r="AE118" s="357" t="s">
        <v>9</v>
      </c>
      <c r="AF118" s="353" t="str">
        <f t="shared" si="78"/>
        <v/>
      </c>
      <c r="AG118" s="349" t="str">
        <f>IF(B118="","",(B118/45))</f>
        <v/>
      </c>
      <c r="AH118" s="349" t="str">
        <f t="shared" si="79"/>
        <v/>
      </c>
      <c r="AJ118" s="357" t="s">
        <v>9</v>
      </c>
      <c r="AK118" s="371" t="str">
        <f>IF(Helper!K198=0,"",K198)</f>
        <v/>
      </c>
      <c r="AL118" s="353" t="str">
        <f>IF(COUNT(Data!L310)&gt;0,Data!L310,"")</f>
        <v/>
      </c>
      <c r="AM118" s="353" t="str">
        <f t="shared" si="80"/>
        <v/>
      </c>
      <c r="AN118" s="353" t="str">
        <f>Data!V357</f>
        <v/>
      </c>
      <c r="AO118" s="353" t="str">
        <f t="shared" si="81"/>
        <v/>
      </c>
      <c r="AP118" s="353" t="str">
        <f t="shared" si="82"/>
        <v/>
      </c>
      <c r="AQ118" s="353" t="str">
        <f>IF(AP118="","",RANK(AP118,$AP$114:$AP$126)+COUNTIF($AP$114:AP118,AP118)-1)</f>
        <v/>
      </c>
      <c r="AS118" s="357" t="s">
        <v>9</v>
      </c>
      <c r="AT118" s="353" t="str">
        <f t="shared" si="83"/>
        <v/>
      </c>
      <c r="AU118" s="353" t="str">
        <f t="shared" si="84"/>
        <v/>
      </c>
      <c r="AV118" s="353" t="str">
        <f t="shared" si="85"/>
        <v/>
      </c>
      <c r="AX118" s="357" t="s">
        <v>9</v>
      </c>
      <c r="AY118" s="353" t="str">
        <f t="shared" si="86"/>
        <v/>
      </c>
      <c r="AZ118" s="353" t="str">
        <f>IF(COUNT(Data!S310)&gt;0,Data!S310,"")</f>
        <v/>
      </c>
      <c r="BA118" s="353" t="str">
        <f t="shared" si="87"/>
        <v/>
      </c>
      <c r="BB118" s="353" t="str">
        <f>Data!AH357</f>
        <v/>
      </c>
      <c r="BC118" s="353" t="str">
        <f t="shared" si="88"/>
        <v/>
      </c>
      <c r="BD118" s="353" t="str">
        <f t="shared" si="89"/>
        <v/>
      </c>
      <c r="BE118" s="353" t="str">
        <f>IF(BD118="","",RANK(BD118,$BD$114:$BD$126)+COUNTIF($BD$114:BD118,BD118)-1)</f>
        <v/>
      </c>
      <c r="BG118" s="357" t="s">
        <v>9</v>
      </c>
      <c r="BH118" s="353" t="str">
        <f t="shared" si="90"/>
        <v/>
      </c>
      <c r="BI118" s="353" t="str">
        <f t="shared" si="91"/>
        <v/>
      </c>
      <c r="BJ118" s="353" t="str">
        <f t="shared" si="92"/>
        <v/>
      </c>
      <c r="BM118" s="357" t="s">
        <v>9</v>
      </c>
      <c r="BN118" s="351" t="str">
        <f t="shared" si="93"/>
        <v/>
      </c>
      <c r="BU118" s="357" t="s">
        <v>9</v>
      </c>
      <c r="BW118" s="353" t="str">
        <f t="shared" si="69"/>
        <v/>
      </c>
      <c r="BX118" s="353" t="str">
        <f t="shared" si="70"/>
        <v/>
      </c>
      <c r="BY118" s="347" t="str">
        <f t="shared" si="71"/>
        <v/>
      </c>
      <c r="BZ118" s="347" t="str">
        <f t="shared" si="94"/>
        <v/>
      </c>
      <c r="CA118" s="398">
        <v>45</v>
      </c>
      <c r="CB118" s="398" t="str">
        <f t="shared" si="95"/>
        <v/>
      </c>
      <c r="CC118" s="357" t="s">
        <v>9</v>
      </c>
      <c r="CD118" s="353" t="str">
        <f t="shared" si="96"/>
        <v/>
      </c>
      <c r="CE118" s="353" t="str">
        <f t="shared" si="72"/>
        <v/>
      </c>
      <c r="CF118" s="353" t="str">
        <f t="shared" si="73"/>
        <v/>
      </c>
      <c r="CG118" s="347" t="str">
        <f t="shared" si="74"/>
        <v/>
      </c>
      <c r="CH118" s="347">
        <f t="shared" si="97"/>
        <v>0</v>
      </c>
      <c r="CJ118" s="353" t="str">
        <f t="shared" si="98"/>
        <v/>
      </c>
      <c r="CK118" s="353" t="str">
        <f t="shared" si="99"/>
        <v/>
      </c>
      <c r="CL118" s="347" t="str">
        <f t="shared" si="100"/>
        <v/>
      </c>
      <c r="CN118" s="353" t="s">
        <v>793</v>
      </c>
      <c r="CO118" s="353" t="str">
        <f>IF($CJ$128="","","Ang tulunghaan adunay mga multi-grade classes.")</f>
        <v>Ang tulunghaan adunay mga multi-grade classes.</v>
      </c>
      <c r="CQ118" s="353" t="s">
        <v>706</v>
      </c>
      <c r="CR118" s="353">
        <f>$CJ$128</f>
        <v>6</v>
      </c>
      <c r="CS118" s="353" t="s">
        <v>708</v>
      </c>
      <c r="CT118" s="353">
        <f>$CK$128</f>
        <v>57</v>
      </c>
      <c r="CU118" s="353" t="s">
        <v>710</v>
      </c>
      <c r="CV118" s="353" t="str">
        <f>IF(CK128="","",CONCATENATE(CO118," ",CQ118," ",CR118," ",CS118," ",CT118," ",CU118))</f>
        <v>Ang tulunghaan adunay mga multi-grade classes. Ang 6 ka grade levels gi-handle ug 57 magtutudlo,</v>
      </c>
    </row>
    <row r="119" spans="1:109">
      <c r="A119" s="357" t="s">
        <v>10</v>
      </c>
      <c r="B119" s="353" t="str">
        <f>Helper!E199</f>
        <v/>
      </c>
      <c r="C119" s="353" t="str">
        <f>IF(COUNT(Data!E311)&gt;0,Data!E311,"")</f>
        <v/>
      </c>
      <c r="D119" s="353" t="str">
        <f t="shared" si="75"/>
        <v/>
      </c>
      <c r="E119" s="353" t="str">
        <f>Data!J358</f>
        <v/>
      </c>
      <c r="F119" s="353" t="str">
        <f t="shared" si="76"/>
        <v/>
      </c>
      <c r="G119" s="353" t="str">
        <f t="shared" si="77"/>
        <v/>
      </c>
      <c r="H119" s="400" t="str">
        <f>IF(G119="","",RANK(G119,$G$114:$G$126)+COUNTIF($G$114:G119,G119)-1)</f>
        <v/>
      </c>
      <c r="I119" s="398" t="str">
        <f>IF(D119="","",RANK(D119,$D$114:$D$126)+COUNTIF($D$114:$D119,D119)-1)</f>
        <v/>
      </c>
      <c r="J119" s="353" t="str">
        <f>IF(OR(ISNUMBER(Data!I366),ISNUMBER(Data!U366),ISNUMBER(Data!AG367)),SUM(Data!I366,Data!U366,Data!AG367),"")</f>
        <v/>
      </c>
      <c r="K119" s="353" t="str">
        <f>IF(F127="","",IF(F127=E127,"All classrooms utilized are standard instructional rooms.","Some of the classroom/s utilized are non-standard or makeshift rooms with"))</f>
        <v>All classrooms utilized are standard instructional rooms.</v>
      </c>
      <c r="N119" s="353">
        <f>SUM(Data!AG367:AH367)</f>
        <v>0</v>
      </c>
      <c r="O119" s="353" t="str">
        <f>IF(F119="","",F119-45)</f>
        <v/>
      </c>
      <c r="P119" s="353" t="str">
        <f>IF(O119="","",RANK(O119,$O$114:$O$126)+COUNTIF($O$114:O119,O119)-1)</f>
        <v/>
      </c>
      <c r="AB119" s="353">
        <f t="shared" si="101"/>
        <v>0</v>
      </c>
      <c r="AD119" s="353">
        <v>45</v>
      </c>
      <c r="AE119" s="357" t="s">
        <v>10</v>
      </c>
      <c r="AF119" s="353" t="str">
        <f t="shared" si="78"/>
        <v/>
      </c>
      <c r="AG119" s="349" t="str">
        <f>IF(B119="","",(B119/45))</f>
        <v/>
      </c>
      <c r="AH119" s="349" t="str">
        <f t="shared" si="79"/>
        <v/>
      </c>
      <c r="AJ119" s="357" t="s">
        <v>10</v>
      </c>
      <c r="AK119" s="371" t="str">
        <f>IF(Helper!K199=0,"",K199)</f>
        <v/>
      </c>
      <c r="AL119" s="353" t="str">
        <f>IF(COUNT(Data!L311)&gt;0,Data!L311,"")</f>
        <v/>
      </c>
      <c r="AM119" s="353" t="str">
        <f t="shared" si="80"/>
        <v/>
      </c>
      <c r="AN119" s="353" t="str">
        <f>Data!V358</f>
        <v/>
      </c>
      <c r="AO119" s="353" t="str">
        <f t="shared" si="81"/>
        <v/>
      </c>
      <c r="AP119" s="353" t="str">
        <f t="shared" si="82"/>
        <v/>
      </c>
      <c r="AQ119" s="353" t="str">
        <f>IF(AP119="","",RANK(AP119,$AP$114:$AP$126)+COUNTIF($AP$114:AP119,AP119)-1)</f>
        <v/>
      </c>
      <c r="AS119" s="357" t="s">
        <v>10</v>
      </c>
      <c r="AT119" s="353" t="str">
        <f t="shared" si="83"/>
        <v/>
      </c>
      <c r="AU119" s="353" t="str">
        <f t="shared" si="84"/>
        <v/>
      </c>
      <c r="AV119" s="353" t="str">
        <f t="shared" si="85"/>
        <v/>
      </c>
      <c r="AX119" s="357" t="s">
        <v>10</v>
      </c>
      <c r="AY119" s="353" t="str">
        <f t="shared" si="86"/>
        <v/>
      </c>
      <c r="AZ119" s="353" t="str">
        <f>IF(COUNT(Data!S311)&gt;0,Data!S311,"")</f>
        <v/>
      </c>
      <c r="BA119" s="353" t="str">
        <f t="shared" si="87"/>
        <v/>
      </c>
      <c r="BB119" s="353" t="str">
        <f>Data!AH358</f>
        <v/>
      </c>
      <c r="BC119" s="353" t="str">
        <f t="shared" si="88"/>
        <v/>
      </c>
      <c r="BD119" s="353" t="str">
        <f t="shared" si="89"/>
        <v/>
      </c>
      <c r="BE119" s="353" t="str">
        <f>IF(BD119="","",RANK(BD119,$BD$114:$BD$126)+COUNTIF($BD$114:BD119,BD119)-1)</f>
        <v/>
      </c>
      <c r="BG119" s="357" t="s">
        <v>10</v>
      </c>
      <c r="BH119" s="353" t="str">
        <f t="shared" si="90"/>
        <v/>
      </c>
      <c r="BI119" s="353" t="str">
        <f t="shared" si="91"/>
        <v/>
      </c>
      <c r="BJ119" s="353" t="str">
        <f t="shared" si="92"/>
        <v/>
      </c>
      <c r="BM119" s="357" t="s">
        <v>10</v>
      </c>
      <c r="BN119" s="351" t="str">
        <f t="shared" si="93"/>
        <v/>
      </c>
      <c r="BU119" s="357" t="s">
        <v>10</v>
      </c>
      <c r="BW119" s="353" t="str">
        <f t="shared" si="69"/>
        <v/>
      </c>
      <c r="BX119" s="353" t="str">
        <f t="shared" si="70"/>
        <v/>
      </c>
      <c r="BY119" s="347" t="str">
        <f t="shared" si="71"/>
        <v/>
      </c>
      <c r="BZ119" s="347" t="str">
        <f t="shared" si="94"/>
        <v/>
      </c>
      <c r="CA119" s="398">
        <v>45</v>
      </c>
      <c r="CB119" s="398" t="str">
        <f t="shared" si="95"/>
        <v/>
      </c>
      <c r="CC119" s="357" t="s">
        <v>10</v>
      </c>
      <c r="CD119" s="353" t="str">
        <f t="shared" si="96"/>
        <v/>
      </c>
      <c r="CE119" s="353" t="str">
        <f t="shared" si="72"/>
        <v/>
      </c>
      <c r="CF119" s="353" t="str">
        <f t="shared" si="73"/>
        <v/>
      </c>
      <c r="CG119" s="347" t="str">
        <f t="shared" si="74"/>
        <v/>
      </c>
      <c r="CH119" s="347">
        <f t="shared" si="97"/>
        <v>0</v>
      </c>
      <c r="CJ119" s="353" t="str">
        <f t="shared" si="98"/>
        <v/>
      </c>
      <c r="CK119" s="353" t="str">
        <f t="shared" si="99"/>
        <v/>
      </c>
      <c r="CL119" s="347" t="str">
        <f t="shared" si="100"/>
        <v/>
      </c>
      <c r="CN119" s="353" t="s">
        <v>563</v>
      </c>
    </row>
    <row r="120" spans="1:109">
      <c r="A120" s="357" t="s">
        <v>11</v>
      </c>
      <c r="B120" s="353" t="str">
        <f>Helper!E200</f>
        <v/>
      </c>
      <c r="C120" s="353" t="str">
        <f>IF(COUNT(Data!E312)&gt;0,Data!E312,"")</f>
        <v/>
      </c>
      <c r="D120" s="353" t="str">
        <f t="shared" si="75"/>
        <v/>
      </c>
      <c r="E120" s="353" t="str">
        <f>Data!J359</f>
        <v/>
      </c>
      <c r="F120" s="353" t="str">
        <f t="shared" si="76"/>
        <v/>
      </c>
      <c r="G120" s="353" t="str">
        <f t="shared" si="77"/>
        <v/>
      </c>
      <c r="H120" s="400" t="str">
        <f>IF(G120="","",RANK(G120,$G$114:$G$126)+COUNTIF($G$114:G120,G120)-1)</f>
        <v/>
      </c>
      <c r="I120" s="398" t="str">
        <f>IF(D120="","",RANK(D120,$D$114:$D$126)+COUNTIF($D$114:$D120,D120)-1)</f>
        <v/>
      </c>
      <c r="J120" s="353">
        <f>IF(N120="","",N120)</f>
        <v>30</v>
      </c>
      <c r="K120" s="353" t="str">
        <f>IF(J119="","",Helper!K119)</f>
        <v/>
      </c>
      <c r="N120" s="353">
        <f>IF(SUM(N117:N119)&lt;1,"",SUM(N117:N119))</f>
        <v>30</v>
      </c>
      <c r="O120" s="353" t="str">
        <f>IF(F120="","",F120-45)</f>
        <v/>
      </c>
      <c r="P120" s="353" t="str">
        <f>IF(O120="","",RANK(O120,$O$114:$O$126)+COUNTIF($O$114:O120,O120)-1)</f>
        <v/>
      </c>
      <c r="AB120" s="353">
        <f t="shared" si="101"/>
        <v>0</v>
      </c>
      <c r="AD120" s="353">
        <v>45</v>
      </c>
      <c r="AE120" s="357" t="s">
        <v>11</v>
      </c>
      <c r="AF120" s="353" t="str">
        <f t="shared" si="78"/>
        <v/>
      </c>
      <c r="AG120" s="349" t="str">
        <f>IF(B120="","",(B120/45))</f>
        <v/>
      </c>
      <c r="AH120" s="349" t="str">
        <f t="shared" si="79"/>
        <v/>
      </c>
      <c r="AJ120" s="357" t="s">
        <v>11</v>
      </c>
      <c r="AK120" s="371" t="str">
        <f>IF(Helper!K200=0,"",K200)</f>
        <v/>
      </c>
      <c r="AL120" s="353" t="str">
        <f>IF(COUNT(Data!L312)&gt;0,Data!L312,"")</f>
        <v/>
      </c>
      <c r="AM120" s="353" t="str">
        <f t="shared" si="80"/>
        <v/>
      </c>
      <c r="AN120" s="353" t="str">
        <f>Data!V359</f>
        <v/>
      </c>
      <c r="AO120" s="353" t="str">
        <f t="shared" si="81"/>
        <v/>
      </c>
      <c r="AP120" s="353" t="str">
        <f t="shared" si="82"/>
        <v/>
      </c>
      <c r="AQ120" s="353" t="str">
        <f>IF(AP120="","",RANK(AP120,$AP$114:$AP$126)+COUNTIF($AP$114:AP120,AP120)-1)</f>
        <v/>
      </c>
      <c r="AS120" s="357" t="s">
        <v>11</v>
      </c>
      <c r="AT120" s="353" t="str">
        <f t="shared" si="83"/>
        <v/>
      </c>
      <c r="AU120" s="353" t="str">
        <f t="shared" si="84"/>
        <v/>
      </c>
      <c r="AV120" s="353" t="str">
        <f t="shared" si="85"/>
        <v/>
      </c>
      <c r="AX120" s="357" t="s">
        <v>11</v>
      </c>
      <c r="AY120" s="353" t="str">
        <f t="shared" si="86"/>
        <v/>
      </c>
      <c r="AZ120" s="353" t="str">
        <f>IF(COUNT(Data!S312)&gt;0,Data!S312,"")</f>
        <v/>
      </c>
      <c r="BA120" s="353" t="str">
        <f t="shared" si="87"/>
        <v/>
      </c>
      <c r="BB120" s="353" t="str">
        <f>Data!AH359</f>
        <v/>
      </c>
      <c r="BC120" s="353" t="str">
        <f t="shared" si="88"/>
        <v/>
      </c>
      <c r="BD120" s="353" t="str">
        <f t="shared" si="89"/>
        <v/>
      </c>
      <c r="BE120" s="353" t="str">
        <f>IF(BD120="","",RANK(BD120,$BD$114:$BD$126)+COUNTIF($BD$114:BD120,BD120)-1)</f>
        <v/>
      </c>
      <c r="BG120" s="357" t="s">
        <v>11</v>
      </c>
      <c r="BH120" s="353" t="str">
        <f t="shared" si="90"/>
        <v/>
      </c>
      <c r="BI120" s="353" t="str">
        <f t="shared" si="91"/>
        <v/>
      </c>
      <c r="BJ120" s="353" t="str">
        <f t="shared" si="92"/>
        <v/>
      </c>
      <c r="BM120" s="357" t="s">
        <v>11</v>
      </c>
      <c r="BN120" s="351" t="str">
        <f t="shared" si="93"/>
        <v/>
      </c>
      <c r="BU120" s="357" t="s">
        <v>11</v>
      </c>
      <c r="BW120" s="353" t="str">
        <f t="shared" si="69"/>
        <v/>
      </c>
      <c r="BX120" s="353" t="str">
        <f t="shared" si="70"/>
        <v/>
      </c>
      <c r="BY120" s="347" t="str">
        <f t="shared" si="71"/>
        <v/>
      </c>
      <c r="BZ120" s="347" t="str">
        <f t="shared" si="94"/>
        <v/>
      </c>
      <c r="CA120" s="398">
        <v>45</v>
      </c>
      <c r="CB120" s="398" t="str">
        <f t="shared" si="95"/>
        <v/>
      </c>
      <c r="CC120" s="357" t="s">
        <v>11</v>
      </c>
      <c r="CD120" s="353" t="str">
        <f t="shared" si="96"/>
        <v/>
      </c>
      <c r="CE120" s="353" t="str">
        <f t="shared" si="72"/>
        <v/>
      </c>
      <c r="CF120" s="353" t="str">
        <f t="shared" si="73"/>
        <v/>
      </c>
      <c r="CG120" s="347" t="str">
        <f t="shared" si="74"/>
        <v/>
      </c>
      <c r="CH120" s="347">
        <f t="shared" si="97"/>
        <v>30</v>
      </c>
      <c r="CJ120" s="353" t="str">
        <f t="shared" si="98"/>
        <v/>
      </c>
      <c r="CK120" s="353" t="str">
        <f t="shared" si="99"/>
        <v/>
      </c>
      <c r="CL120" s="347" t="str">
        <f t="shared" si="100"/>
        <v/>
      </c>
      <c r="CN120" s="353" t="s">
        <v>564</v>
      </c>
    </row>
    <row r="121" spans="1:109">
      <c r="A121" s="357" t="s">
        <v>12</v>
      </c>
      <c r="B121" s="353">
        <f>Helper!E201</f>
        <v>364</v>
      </c>
      <c r="C121" s="353">
        <f>IF(COUNT(Data!E313)&gt;0,Data!E313,"")</f>
        <v>9</v>
      </c>
      <c r="D121" s="353">
        <f t="shared" si="75"/>
        <v>40</v>
      </c>
      <c r="E121" s="353">
        <f>Data!J360</f>
        <v>6</v>
      </c>
      <c r="F121" s="353">
        <f t="shared" si="76"/>
        <v>61</v>
      </c>
      <c r="G121" s="353">
        <f t="shared" si="77"/>
        <v>61</v>
      </c>
      <c r="H121" s="400">
        <f>IF(G121="","",RANK(G121,$G$114:$G$126)+COUNTIF($G$114:G121,G121)-1)</f>
        <v>1</v>
      </c>
      <c r="I121" s="398">
        <f>IF(D121="","",RANK(D121,$D$114:$D$126)+COUNTIF($D$114:$D121,D121)-1)</f>
        <v>1</v>
      </c>
      <c r="O121" s="353">
        <f>IF(F121="","",F121-50)</f>
        <v>11</v>
      </c>
      <c r="P121" s="353">
        <f>IF(O121="","",RANK(O121,$O$114:$O$126)+COUNTIF($O$114:O121,O121)-1)</f>
        <v>2</v>
      </c>
      <c r="AB121" s="353">
        <f t="shared" si="101"/>
        <v>0</v>
      </c>
      <c r="AD121" s="353">
        <v>50</v>
      </c>
      <c r="AE121" s="357" t="s">
        <v>12</v>
      </c>
      <c r="AF121" s="353">
        <f t="shared" si="78"/>
        <v>6</v>
      </c>
      <c r="AG121" s="349">
        <f>IF(B121="","",(B121/50))</f>
        <v>7.28</v>
      </c>
      <c r="AH121" s="349">
        <f t="shared" si="79"/>
        <v>-1.2800000000000002</v>
      </c>
      <c r="AJ121" s="357" t="s">
        <v>12</v>
      </c>
      <c r="AK121" s="371" t="str">
        <f>IF(Helper!K201=0,"",K201)</f>
        <v/>
      </c>
      <c r="AL121" s="353" t="str">
        <f>IF(COUNT(Data!L313)&gt;0,Data!L313,"")</f>
        <v/>
      </c>
      <c r="AM121" s="353" t="str">
        <f t="shared" si="80"/>
        <v/>
      </c>
      <c r="AN121" s="353" t="str">
        <f>Data!V360</f>
        <v/>
      </c>
      <c r="AO121" s="353" t="str">
        <f t="shared" si="81"/>
        <v/>
      </c>
      <c r="AP121" s="353" t="str">
        <f t="shared" si="82"/>
        <v/>
      </c>
      <c r="AQ121" s="353" t="str">
        <f>IF(AP121="","",RANK(AP121,$AP$114:$AP$126)+COUNTIF($AP$114:AP121,AP121)-1)</f>
        <v/>
      </c>
      <c r="AS121" s="357" t="s">
        <v>12</v>
      </c>
      <c r="AT121" s="353" t="str">
        <f t="shared" si="83"/>
        <v/>
      </c>
      <c r="AU121" s="353" t="str">
        <f t="shared" si="84"/>
        <v/>
      </c>
      <c r="AV121" s="353" t="str">
        <f t="shared" si="85"/>
        <v/>
      </c>
      <c r="AX121" s="357" t="s">
        <v>12</v>
      </c>
      <c r="AY121" s="353" t="str">
        <f t="shared" si="86"/>
        <v/>
      </c>
      <c r="AZ121" s="353" t="str">
        <f>IF(COUNT(Data!S313)&gt;0,Data!S313,"")</f>
        <v/>
      </c>
      <c r="BA121" s="353" t="str">
        <f t="shared" si="87"/>
        <v/>
      </c>
      <c r="BB121" s="353" t="str">
        <f>Data!AH360</f>
        <v/>
      </c>
      <c r="BC121" s="353" t="str">
        <f t="shared" si="88"/>
        <v/>
      </c>
      <c r="BD121" s="353" t="str">
        <f t="shared" si="89"/>
        <v/>
      </c>
      <c r="BE121" s="353" t="str">
        <f>IF(BD121="","",RANK(BD121,$BD$114:$BD$126)+COUNTIF($BD$114:BD121,BD121)-1)</f>
        <v/>
      </c>
      <c r="BG121" s="357" t="s">
        <v>12</v>
      </c>
      <c r="BH121" s="353" t="str">
        <f t="shared" si="90"/>
        <v/>
      </c>
      <c r="BI121" s="353" t="str">
        <f t="shared" si="91"/>
        <v/>
      </c>
      <c r="BJ121" s="353" t="str">
        <f t="shared" si="92"/>
        <v/>
      </c>
      <c r="BM121" s="357" t="s">
        <v>12</v>
      </c>
      <c r="BN121" s="351">
        <f t="shared" si="93"/>
        <v>-1.2800000000000002</v>
      </c>
      <c r="BU121" s="357" t="s">
        <v>12</v>
      </c>
      <c r="BW121" s="353">
        <f t="shared" si="69"/>
        <v>9</v>
      </c>
      <c r="BX121" s="353">
        <f t="shared" si="70"/>
        <v>40</v>
      </c>
      <c r="BY121" s="347">
        <f t="shared" si="71"/>
        <v>6</v>
      </c>
      <c r="BZ121" s="347">
        <f t="shared" si="94"/>
        <v>61</v>
      </c>
      <c r="CA121" s="398">
        <v>50</v>
      </c>
      <c r="CB121" s="398">
        <f t="shared" si="95"/>
        <v>-10</v>
      </c>
      <c r="CC121" s="357" t="s">
        <v>12</v>
      </c>
      <c r="CD121" s="353">
        <f t="shared" si="96"/>
        <v>364</v>
      </c>
      <c r="CE121" s="353" t="str">
        <f t="shared" si="72"/>
        <v/>
      </c>
      <c r="CF121" s="353" t="str">
        <f t="shared" si="73"/>
        <v/>
      </c>
      <c r="CG121" s="347" t="str">
        <f t="shared" si="74"/>
        <v/>
      </c>
      <c r="CH121" s="347" t="str">
        <f t="shared" si="97"/>
        <v/>
      </c>
      <c r="CJ121" s="353">
        <f t="shared" si="98"/>
        <v>1</v>
      </c>
      <c r="CK121" s="353">
        <f t="shared" si="99"/>
        <v>9</v>
      </c>
      <c r="CL121" s="347">
        <f t="shared" si="100"/>
        <v>6</v>
      </c>
    </row>
    <row r="122" spans="1:109">
      <c r="A122" s="357" t="s">
        <v>13</v>
      </c>
      <c r="B122" s="353">
        <f>Helper!E202</f>
        <v>305</v>
      </c>
      <c r="C122" s="353">
        <f>IF(COUNT(Data!E314)&gt;0,Data!E314,"")</f>
        <v>10</v>
      </c>
      <c r="D122" s="353">
        <f t="shared" si="75"/>
        <v>31</v>
      </c>
      <c r="E122" s="353">
        <f>Data!J361</f>
        <v>6</v>
      </c>
      <c r="F122" s="353">
        <f t="shared" si="76"/>
        <v>51</v>
      </c>
      <c r="G122" s="353">
        <f t="shared" si="77"/>
        <v>51</v>
      </c>
      <c r="H122" s="400">
        <f>IF(G122="","",RANK(G122,$G$114:$G$126)+COUNTIF($G$114:G122,G122)-1)</f>
        <v>3</v>
      </c>
      <c r="I122" s="398">
        <f>IF(D122="","",RANK(D122,$D$114:$D$126)+COUNTIF($D$114:$D122,D122)-1)</f>
        <v>3</v>
      </c>
      <c r="J122" s="353" t="str">
        <f>IF(OR(ISNUMBER(Data!H366),ISNUMBER(Data!T366),ISNUMBER(Data!AF367)),SUM(Data!H366,Data!T366,Data!AF367),"")</f>
        <v/>
      </c>
      <c r="K122" s="353" t="str">
        <f>IF(G128="","Generally, all classrooms utilized are in good condition.","There are classrom/s which require/s repair with")</f>
        <v>Generally, all classrooms utilized are in good condition.</v>
      </c>
      <c r="N122" s="353">
        <f>IF(Data!J366="","",Data!J366)</f>
        <v>30</v>
      </c>
      <c r="O122" s="353">
        <f>IF(F122="","",F122-50)</f>
        <v>1</v>
      </c>
      <c r="P122" s="353">
        <f>IF(O122="","",RANK(O122,$O$114:$O$126)+COUNTIF($O$114:O122,O122)-1)</f>
        <v>3</v>
      </c>
      <c r="AB122" s="353">
        <f t="shared" si="101"/>
        <v>40</v>
      </c>
      <c r="AD122" s="353">
        <v>50</v>
      </c>
      <c r="AE122" s="357" t="s">
        <v>13</v>
      </c>
      <c r="AF122" s="353">
        <f t="shared" si="78"/>
        <v>6</v>
      </c>
      <c r="AG122" s="349">
        <f>IF(B122="","",(B122/50))</f>
        <v>6.1</v>
      </c>
      <c r="AH122" s="349">
        <f t="shared" si="79"/>
        <v>-9.9999999999999645E-2</v>
      </c>
      <c r="AJ122" s="357" t="s">
        <v>13</v>
      </c>
      <c r="AK122" s="371" t="str">
        <f>IF(Helper!K202=0,"",K202)</f>
        <v/>
      </c>
      <c r="AL122" s="353" t="str">
        <f>IF(COUNT(Data!L314)&gt;0,Data!L314,"")</f>
        <v/>
      </c>
      <c r="AM122" s="353" t="str">
        <f t="shared" si="80"/>
        <v/>
      </c>
      <c r="AN122" s="353" t="str">
        <f>Data!V361</f>
        <v/>
      </c>
      <c r="AO122" s="353" t="str">
        <f t="shared" si="81"/>
        <v/>
      </c>
      <c r="AP122" s="353" t="str">
        <f t="shared" si="82"/>
        <v/>
      </c>
      <c r="AQ122" s="353" t="str">
        <f>IF(AP122="","",RANK(AP122,$AP$114:$AP$126)+COUNTIF($AP$114:AP122,AP122)-1)</f>
        <v/>
      </c>
      <c r="AS122" s="357" t="s">
        <v>13</v>
      </c>
      <c r="AT122" s="353" t="str">
        <f t="shared" si="83"/>
        <v/>
      </c>
      <c r="AU122" s="353" t="str">
        <f t="shared" si="84"/>
        <v/>
      </c>
      <c r="AV122" s="353" t="str">
        <f t="shared" si="85"/>
        <v/>
      </c>
      <c r="AX122" s="357" t="s">
        <v>13</v>
      </c>
      <c r="AY122" s="353" t="str">
        <f t="shared" si="86"/>
        <v/>
      </c>
      <c r="AZ122" s="353" t="str">
        <f>IF(COUNT(Data!S314)&gt;0,Data!S314,"")</f>
        <v/>
      </c>
      <c r="BA122" s="353" t="str">
        <f t="shared" si="87"/>
        <v/>
      </c>
      <c r="BB122" s="353" t="str">
        <f>Data!AH361</f>
        <v/>
      </c>
      <c r="BC122" s="353" t="str">
        <f t="shared" si="88"/>
        <v/>
      </c>
      <c r="BD122" s="353" t="str">
        <f t="shared" si="89"/>
        <v/>
      </c>
      <c r="BE122" s="353" t="str">
        <f>IF(BD122="","",RANK(BD122,$BD$114:$BD$126)+COUNTIF($BD$114:BD122,BD122)-1)</f>
        <v/>
      </c>
      <c r="BG122" s="357" t="s">
        <v>13</v>
      </c>
      <c r="BH122" s="353" t="str">
        <f t="shared" si="90"/>
        <v/>
      </c>
      <c r="BI122" s="353" t="str">
        <f t="shared" si="91"/>
        <v/>
      </c>
      <c r="BJ122" s="353" t="str">
        <f t="shared" si="92"/>
        <v/>
      </c>
      <c r="BM122" s="357" t="s">
        <v>13</v>
      </c>
      <c r="BN122" s="351">
        <f t="shared" si="93"/>
        <v>-9.9999999999999645E-2</v>
      </c>
      <c r="BU122" s="357" t="s">
        <v>13</v>
      </c>
      <c r="BW122" s="353">
        <f t="shared" si="69"/>
        <v>10</v>
      </c>
      <c r="BX122" s="353">
        <f t="shared" si="70"/>
        <v>31</v>
      </c>
      <c r="BY122" s="347">
        <f t="shared" si="71"/>
        <v>6</v>
      </c>
      <c r="BZ122" s="347">
        <f t="shared" si="94"/>
        <v>51</v>
      </c>
      <c r="CA122" s="398">
        <v>50</v>
      </c>
      <c r="CB122" s="398">
        <f t="shared" si="95"/>
        <v>-19</v>
      </c>
      <c r="CC122" s="357" t="s">
        <v>13</v>
      </c>
      <c r="CD122" s="353">
        <f t="shared" si="96"/>
        <v>305</v>
      </c>
      <c r="CE122" s="353" t="str">
        <f t="shared" si="72"/>
        <v/>
      </c>
      <c r="CF122" s="353" t="str">
        <f t="shared" si="73"/>
        <v/>
      </c>
      <c r="CG122" s="347" t="str">
        <f t="shared" si="74"/>
        <v/>
      </c>
      <c r="CH122" s="347">
        <f t="shared" si="97"/>
        <v>30</v>
      </c>
      <c r="CJ122" s="353">
        <f t="shared" si="98"/>
        <v>1</v>
      </c>
      <c r="CK122" s="353">
        <f t="shared" si="99"/>
        <v>10</v>
      </c>
      <c r="CL122" s="347">
        <f t="shared" si="100"/>
        <v>6</v>
      </c>
    </row>
    <row r="123" spans="1:109">
      <c r="A123" s="357" t="s">
        <v>14</v>
      </c>
      <c r="B123" s="353">
        <f>Helper!E203</f>
        <v>247</v>
      </c>
      <c r="C123" s="353">
        <f>IF(COUNT(Data!E315)&gt;0,Data!E315,"")</f>
        <v>11</v>
      </c>
      <c r="D123" s="353">
        <f t="shared" si="75"/>
        <v>22</v>
      </c>
      <c r="E123" s="353">
        <f>Data!J362</f>
        <v>5</v>
      </c>
      <c r="F123" s="353">
        <f t="shared" si="76"/>
        <v>49</v>
      </c>
      <c r="G123" s="353">
        <f t="shared" si="77"/>
        <v>49</v>
      </c>
      <c r="H123" s="400">
        <f>IF(G123="","",RANK(G123,$G$114:$G$126)+COUNTIF($G$114:G123,G123)-1)</f>
        <v>4</v>
      </c>
      <c r="I123" s="398">
        <f>IF(D123="","",RANK(D123,$D$114:$D$126)+COUNTIF($D$114:$D123,D123)-1)</f>
        <v>4</v>
      </c>
      <c r="J123" s="353">
        <f>IF(N125="","",N125)</f>
        <v>30</v>
      </c>
      <c r="K123" s="353" t="str">
        <f>IF(SUM(E127:E128)=0,"",Helper!K122)</f>
        <v>Generally, all classrooms utilized are in good condition.</v>
      </c>
      <c r="N123" s="353" t="str">
        <f>IF(Data!V366="","",Data!V366)</f>
        <v/>
      </c>
      <c r="O123" s="353">
        <f>IF(F123="","",F123-50)</f>
        <v>-1</v>
      </c>
      <c r="P123" s="353">
        <f>IF(O123="","",RANK(O123,$O$114:$O$126)+COUNTIF($O$114:O123,O123)-1)</f>
        <v>5</v>
      </c>
      <c r="AB123" s="353">
        <f t="shared" si="101"/>
        <v>0</v>
      </c>
      <c r="AD123" s="353">
        <v>50</v>
      </c>
      <c r="AE123" s="357" t="s">
        <v>14</v>
      </c>
      <c r="AF123" s="353">
        <f t="shared" si="78"/>
        <v>5</v>
      </c>
      <c r="AG123" s="349">
        <f>IF(B123="","",(B123/50))</f>
        <v>4.9400000000000004</v>
      </c>
      <c r="AH123" s="349">
        <f t="shared" si="79"/>
        <v>5.9999999999999609E-2</v>
      </c>
      <c r="AJ123" s="357" t="s">
        <v>14</v>
      </c>
      <c r="AK123" s="371" t="str">
        <f>IF(Helper!K203=0,"",K203)</f>
        <v/>
      </c>
      <c r="AL123" s="353" t="str">
        <f>IF(COUNT(Data!L315)&gt;0,Data!L315,"")</f>
        <v/>
      </c>
      <c r="AM123" s="353" t="str">
        <f t="shared" si="80"/>
        <v/>
      </c>
      <c r="AN123" s="353" t="str">
        <f>Data!V362</f>
        <v/>
      </c>
      <c r="AO123" s="353" t="str">
        <f t="shared" si="81"/>
        <v/>
      </c>
      <c r="AP123" s="353" t="str">
        <f t="shared" si="82"/>
        <v/>
      </c>
      <c r="AQ123" s="353" t="str">
        <f>IF(AP123="","",RANK(AP123,$AP$114:$AP$126)+COUNTIF($AP$114:AP123,AP123)-1)</f>
        <v/>
      </c>
      <c r="AS123" s="357" t="s">
        <v>14</v>
      </c>
      <c r="AT123" s="353" t="str">
        <f t="shared" si="83"/>
        <v/>
      </c>
      <c r="AU123" s="353" t="str">
        <f t="shared" si="84"/>
        <v/>
      </c>
      <c r="AV123" s="353" t="str">
        <f t="shared" si="85"/>
        <v/>
      </c>
      <c r="AX123" s="357" t="s">
        <v>14</v>
      </c>
      <c r="AY123" s="353" t="str">
        <f t="shared" si="86"/>
        <v/>
      </c>
      <c r="AZ123" s="353" t="str">
        <f>IF(COUNT(Data!S315)&gt;0,Data!S315,"")</f>
        <v/>
      </c>
      <c r="BA123" s="353" t="str">
        <f t="shared" si="87"/>
        <v/>
      </c>
      <c r="BB123" s="353" t="str">
        <f>Data!AH362</f>
        <v/>
      </c>
      <c r="BC123" s="353" t="str">
        <f t="shared" si="88"/>
        <v/>
      </c>
      <c r="BD123" s="353" t="str">
        <f t="shared" si="89"/>
        <v/>
      </c>
      <c r="BE123" s="353" t="str">
        <f>IF(BD123="","",RANK(BD123,$BD$114:$BD$126)+COUNTIF($BD$114:BD123,BD123)-1)</f>
        <v/>
      </c>
      <c r="BG123" s="357" t="s">
        <v>14</v>
      </c>
      <c r="BH123" s="353" t="str">
        <f t="shared" si="90"/>
        <v/>
      </c>
      <c r="BI123" s="353" t="str">
        <f t="shared" si="91"/>
        <v/>
      </c>
      <c r="BJ123" s="353" t="str">
        <f t="shared" si="92"/>
        <v/>
      </c>
      <c r="BM123" s="357" t="s">
        <v>14</v>
      </c>
      <c r="BN123" s="351">
        <f t="shared" si="93"/>
        <v>5.9999999999999609E-2</v>
      </c>
      <c r="BU123" s="357" t="s">
        <v>14</v>
      </c>
      <c r="BW123" s="353">
        <f t="shared" si="69"/>
        <v>11</v>
      </c>
      <c r="BX123" s="353">
        <f t="shared" si="70"/>
        <v>22</v>
      </c>
      <c r="BY123" s="347">
        <f t="shared" si="71"/>
        <v>5</v>
      </c>
      <c r="BZ123" s="347">
        <f t="shared" si="94"/>
        <v>49</v>
      </c>
      <c r="CA123" s="398">
        <v>50</v>
      </c>
      <c r="CB123" s="398">
        <f t="shared" si="95"/>
        <v>-28</v>
      </c>
      <c r="CC123" s="357" t="s">
        <v>14</v>
      </c>
      <c r="CD123" s="353">
        <f t="shared" si="96"/>
        <v>247</v>
      </c>
      <c r="CE123" s="353" t="str">
        <f t="shared" si="72"/>
        <v/>
      </c>
      <c r="CF123" s="353" t="str">
        <f t="shared" si="73"/>
        <v/>
      </c>
      <c r="CG123" s="347" t="str">
        <f t="shared" si="74"/>
        <v/>
      </c>
      <c r="CH123" s="347" t="str">
        <f t="shared" si="97"/>
        <v/>
      </c>
      <c r="CJ123" s="353">
        <f t="shared" si="98"/>
        <v>1</v>
      </c>
      <c r="CK123" s="353">
        <f t="shared" si="99"/>
        <v>11</v>
      </c>
      <c r="CL123" s="347">
        <f t="shared" si="100"/>
        <v>5</v>
      </c>
    </row>
    <row r="124" spans="1:109">
      <c r="A124" s="357" t="s">
        <v>15</v>
      </c>
      <c r="B124" s="353">
        <f>Helper!E204</f>
        <v>221</v>
      </c>
      <c r="C124" s="353">
        <f>IF(COUNT(Data!E316)&gt;0,Data!E316,"")</f>
        <v>13</v>
      </c>
      <c r="D124" s="353">
        <f t="shared" si="75"/>
        <v>17</v>
      </c>
      <c r="E124" s="353">
        <f>Data!J363</f>
        <v>5</v>
      </c>
      <c r="F124" s="353">
        <f t="shared" si="76"/>
        <v>44</v>
      </c>
      <c r="G124" s="353">
        <f t="shared" si="77"/>
        <v>44</v>
      </c>
      <c r="H124" s="400">
        <f>IF(G124="","",RANK(G124,$G$114:$G$126)+COUNTIF($G$114:G124,G124)-1)</f>
        <v>5</v>
      </c>
      <c r="I124" s="398">
        <f>IF(D124="","",RANK(D124,$D$114:$D$126)+COUNTIF($D$114:$D124,D124)-1)</f>
        <v>6</v>
      </c>
      <c r="N124" s="353" t="str">
        <f>IF(Data!AH367="","",Data!AH367)</f>
        <v/>
      </c>
      <c r="O124" s="353">
        <f>IF(F124="","",F124-50)</f>
        <v>-6</v>
      </c>
      <c r="P124" s="353">
        <f>IF(O124="","",RANK(O124,$O$114:$O$126)+COUNTIF($O$114:O124,O124)-1)</f>
        <v>6</v>
      </c>
      <c r="AB124" s="353">
        <f t="shared" si="101"/>
        <v>0</v>
      </c>
      <c r="AD124" s="353">
        <v>50</v>
      </c>
      <c r="AE124" s="357" t="s">
        <v>15</v>
      </c>
      <c r="AF124" s="353">
        <f t="shared" si="78"/>
        <v>5</v>
      </c>
      <c r="AG124" s="349">
        <f>IF(B124="","",(B124/50))</f>
        <v>4.42</v>
      </c>
      <c r="AH124" s="349">
        <f t="shared" si="79"/>
        <v>0.58000000000000007</v>
      </c>
      <c r="AJ124" s="357" t="s">
        <v>15</v>
      </c>
      <c r="AK124" s="371" t="str">
        <f>IF(Helper!K204=0,"",K204)</f>
        <v/>
      </c>
      <c r="AL124" s="353" t="str">
        <f>IF(COUNT(Data!L316)&gt;0,Data!L316,"")</f>
        <v/>
      </c>
      <c r="AM124" s="353" t="str">
        <f t="shared" si="80"/>
        <v/>
      </c>
      <c r="AN124" s="353" t="str">
        <f>Data!V363</f>
        <v/>
      </c>
      <c r="AO124" s="353" t="str">
        <f t="shared" si="81"/>
        <v/>
      </c>
      <c r="AP124" s="353" t="str">
        <f t="shared" si="82"/>
        <v/>
      </c>
      <c r="AQ124" s="353" t="str">
        <f>IF(AP124="","",RANK(AP124,$AP$114:$AP$126)+COUNTIF($AP$114:AP124,AP124)-1)</f>
        <v/>
      </c>
      <c r="AS124" s="357" t="s">
        <v>15</v>
      </c>
      <c r="AT124" s="353" t="str">
        <f t="shared" si="83"/>
        <v/>
      </c>
      <c r="AU124" s="353" t="str">
        <f t="shared" si="84"/>
        <v/>
      </c>
      <c r="AV124" s="353" t="str">
        <f t="shared" si="85"/>
        <v/>
      </c>
      <c r="AX124" s="357" t="s">
        <v>15</v>
      </c>
      <c r="AY124" s="353" t="str">
        <f t="shared" si="86"/>
        <v/>
      </c>
      <c r="AZ124" s="353" t="str">
        <f>IF(COUNT(Data!S316)&gt;0,Data!S316,"")</f>
        <v/>
      </c>
      <c r="BA124" s="353" t="str">
        <f t="shared" si="87"/>
        <v/>
      </c>
      <c r="BB124" s="353" t="str">
        <f>Data!AH363</f>
        <v/>
      </c>
      <c r="BC124" s="353" t="str">
        <f t="shared" si="88"/>
        <v/>
      </c>
      <c r="BD124" s="353" t="str">
        <f t="shared" si="89"/>
        <v/>
      </c>
      <c r="BE124" s="353" t="str">
        <f>IF(BD124="","",RANK(BD124,$BD$114:$BD$126)+COUNTIF($BD$114:BD124,BD124)-1)</f>
        <v/>
      </c>
      <c r="BG124" s="357" t="s">
        <v>15</v>
      </c>
      <c r="BH124" s="353" t="str">
        <f t="shared" si="90"/>
        <v/>
      </c>
      <c r="BI124" s="353" t="str">
        <f t="shared" si="91"/>
        <v/>
      </c>
      <c r="BJ124" s="353" t="str">
        <f t="shared" si="92"/>
        <v/>
      </c>
      <c r="BM124" s="357" t="s">
        <v>15</v>
      </c>
      <c r="BN124" s="351">
        <f t="shared" si="93"/>
        <v>0.58000000000000007</v>
      </c>
      <c r="BU124" s="357" t="s">
        <v>15</v>
      </c>
      <c r="BW124" s="353">
        <f t="shared" si="69"/>
        <v>13</v>
      </c>
      <c r="BX124" s="353">
        <f t="shared" si="70"/>
        <v>17</v>
      </c>
      <c r="BY124" s="347">
        <f t="shared" si="71"/>
        <v>5</v>
      </c>
      <c r="BZ124" s="347">
        <f t="shared" si="94"/>
        <v>44</v>
      </c>
      <c r="CA124" s="398">
        <v>50</v>
      </c>
      <c r="CB124" s="398">
        <f t="shared" si="95"/>
        <v>-33</v>
      </c>
      <c r="CC124" s="357" t="s">
        <v>15</v>
      </c>
      <c r="CD124" s="353">
        <f t="shared" si="96"/>
        <v>221</v>
      </c>
      <c r="CE124" s="353" t="str">
        <f t="shared" si="72"/>
        <v/>
      </c>
      <c r="CF124" s="353" t="str">
        <f t="shared" si="73"/>
        <v/>
      </c>
      <c r="CG124" s="347" t="str">
        <f t="shared" si="74"/>
        <v/>
      </c>
      <c r="CH124" s="347" t="str">
        <f t="shared" si="97"/>
        <v/>
      </c>
      <c r="CJ124" s="353">
        <f t="shared" si="98"/>
        <v>1</v>
      </c>
      <c r="CK124" s="353">
        <f t="shared" si="99"/>
        <v>13</v>
      </c>
      <c r="CL124" s="347">
        <f t="shared" si="100"/>
        <v>5</v>
      </c>
      <c r="CP124" s="371" t="s">
        <v>562</v>
      </c>
      <c r="CQ124" s="353" t="str">
        <f>IF($CJ$128="","","The")</f>
        <v>The</v>
      </c>
      <c r="CR124" s="353">
        <f>$CJ$128</f>
        <v>6</v>
      </c>
      <c r="CS124" s="353" t="s">
        <v>705</v>
      </c>
      <c r="CT124" s="353">
        <f>$CL$128</f>
        <v>30</v>
      </c>
      <c r="CU124" s="353" t="s">
        <v>658</v>
      </c>
      <c r="CV124" s="353" t="str">
        <f>IF($CL$128="","",CONCATENATE(CQ124," ",CR124," ",CS124," ",CT124," ",CU124))</f>
        <v>The 6 grade levels are having their classes in 30 classroom/s.</v>
      </c>
      <c r="DE124" s="353" t="str">
        <f>IF(CQ124="","",INDEX(CV124:CV128,MATCH(Home!$O$1,CP124:CP128,0)))</f>
        <v>The 6 grade levels are having their classes in 30 classroom/s.</v>
      </c>
    </row>
    <row r="125" spans="1:109">
      <c r="A125" s="357" t="s">
        <v>16</v>
      </c>
      <c r="B125" s="353">
        <f>Helper!E205</f>
        <v>207</v>
      </c>
      <c r="C125" s="353">
        <f>IF(COUNT(Data!E317)&gt;0,Data!E317,"")</f>
        <v>6</v>
      </c>
      <c r="D125" s="353">
        <f t="shared" si="75"/>
        <v>35</v>
      </c>
      <c r="E125" s="353">
        <f>Data!J364</f>
        <v>4</v>
      </c>
      <c r="F125" s="353">
        <f t="shared" si="76"/>
        <v>52</v>
      </c>
      <c r="G125" s="353">
        <f t="shared" si="77"/>
        <v>52</v>
      </c>
      <c r="H125" s="400">
        <f>IF(G125="","",RANK(G125,$G$114:$G$126)+COUNTIF($G$114:G125,G125)-1)</f>
        <v>2</v>
      </c>
      <c r="I125" s="398">
        <f>IF(D125="","",RANK(D125,$D$114:$D$126)+COUNTIF($D$114:$D125,D125)-1)</f>
        <v>2</v>
      </c>
      <c r="N125" s="353">
        <f>IF(SUM(N122:N124)&lt;1,"",SUM(N122:N124))</f>
        <v>30</v>
      </c>
      <c r="O125" s="353">
        <f>IF(F125="","",F125-40)</f>
        <v>12</v>
      </c>
      <c r="P125" s="353">
        <f>IF(O125="","",RANK(O125,$O$114:$O$126)+COUNTIF($O$114:O125,O125)-1)</f>
        <v>1</v>
      </c>
      <c r="AB125" s="353">
        <f t="shared" si="101"/>
        <v>0</v>
      </c>
      <c r="AD125" s="353">
        <v>40</v>
      </c>
      <c r="AE125" s="357" t="s">
        <v>16</v>
      </c>
      <c r="AF125" s="353">
        <f t="shared" si="78"/>
        <v>4</v>
      </c>
      <c r="AG125" s="349">
        <f>IF(B125="","",(B125/40))</f>
        <v>5.1749999999999998</v>
      </c>
      <c r="AH125" s="349">
        <f t="shared" si="79"/>
        <v>-1.1749999999999998</v>
      </c>
      <c r="AJ125" s="357" t="s">
        <v>16</v>
      </c>
      <c r="AK125" s="371" t="str">
        <f>IF(Helper!K205=0,"",K205)</f>
        <v/>
      </c>
      <c r="AL125" s="353" t="str">
        <f>IF(COUNT(Data!L317)&gt;0,Data!L317,"")</f>
        <v/>
      </c>
      <c r="AM125" s="353" t="str">
        <f t="shared" si="80"/>
        <v/>
      </c>
      <c r="AN125" s="353" t="str">
        <f>Data!V364</f>
        <v/>
      </c>
      <c r="AO125" s="353" t="str">
        <f t="shared" si="81"/>
        <v/>
      </c>
      <c r="AP125" s="353" t="str">
        <f t="shared" si="82"/>
        <v/>
      </c>
      <c r="AQ125" s="353" t="str">
        <f>IF(AP125="","",RANK(AP125,$AP$114:$AP$126)+COUNTIF($AP$114:AP125,AP125)-1)</f>
        <v/>
      </c>
      <c r="AS125" s="357" t="s">
        <v>16</v>
      </c>
      <c r="AT125" s="353" t="str">
        <f t="shared" si="83"/>
        <v/>
      </c>
      <c r="AU125" s="353" t="str">
        <f t="shared" si="84"/>
        <v/>
      </c>
      <c r="AV125" s="353" t="str">
        <f t="shared" si="85"/>
        <v/>
      </c>
      <c r="AX125" s="357" t="s">
        <v>16</v>
      </c>
      <c r="AY125" s="353" t="str">
        <f t="shared" si="86"/>
        <v/>
      </c>
      <c r="AZ125" s="353" t="str">
        <f>IF(COUNT(Data!S317)&gt;0,Data!S317,"")</f>
        <v/>
      </c>
      <c r="BA125" s="353" t="str">
        <f t="shared" si="87"/>
        <v/>
      </c>
      <c r="BB125" s="353" t="str">
        <f>Data!AH364</f>
        <v/>
      </c>
      <c r="BC125" s="353" t="str">
        <f t="shared" si="88"/>
        <v/>
      </c>
      <c r="BD125" s="353" t="str">
        <f t="shared" si="89"/>
        <v/>
      </c>
      <c r="BE125" s="353" t="str">
        <f>IF(BD125="","",RANK(BD125,$BD$114:$BD$126)+COUNTIF($BD$114:BD125,BD125)-1)</f>
        <v/>
      </c>
      <c r="BG125" s="357" t="s">
        <v>16</v>
      </c>
      <c r="BH125" s="353" t="str">
        <f t="shared" si="90"/>
        <v/>
      </c>
      <c r="BI125" s="353" t="str">
        <f t="shared" si="91"/>
        <v/>
      </c>
      <c r="BJ125" s="353" t="str">
        <f t="shared" si="92"/>
        <v/>
      </c>
      <c r="BM125" s="357" t="s">
        <v>16</v>
      </c>
      <c r="BN125" s="351">
        <f t="shared" si="93"/>
        <v>-1.1749999999999998</v>
      </c>
      <c r="BU125" s="357" t="s">
        <v>16</v>
      </c>
      <c r="BW125" s="353">
        <f t="shared" si="69"/>
        <v>6</v>
      </c>
      <c r="BX125" s="353">
        <f t="shared" si="70"/>
        <v>35</v>
      </c>
      <c r="BY125" s="347">
        <f t="shared" si="71"/>
        <v>4</v>
      </c>
      <c r="BZ125" s="347">
        <f t="shared" si="94"/>
        <v>52</v>
      </c>
      <c r="CA125" s="398">
        <v>40</v>
      </c>
      <c r="CB125" s="398">
        <f t="shared" si="95"/>
        <v>-5</v>
      </c>
      <c r="CC125" s="357" t="s">
        <v>16</v>
      </c>
      <c r="CD125" s="353">
        <f t="shared" si="96"/>
        <v>207</v>
      </c>
      <c r="CE125" s="353" t="str">
        <f t="shared" si="72"/>
        <v/>
      </c>
      <c r="CF125" s="353" t="str">
        <f t="shared" si="73"/>
        <v/>
      </c>
      <c r="CG125" s="347" t="str">
        <f t="shared" si="74"/>
        <v/>
      </c>
      <c r="CH125" s="347">
        <f t="shared" si="97"/>
        <v>30</v>
      </c>
      <c r="CJ125" s="353">
        <f t="shared" si="98"/>
        <v>1</v>
      </c>
      <c r="CK125" s="353">
        <f t="shared" si="99"/>
        <v>6</v>
      </c>
      <c r="CL125" s="347">
        <f t="shared" si="100"/>
        <v>4</v>
      </c>
      <c r="CP125" s="371" t="s">
        <v>788</v>
      </c>
      <c r="CQ125" s="353" t="str">
        <f>IF($CJ$128="","","The")</f>
        <v>The</v>
      </c>
      <c r="CR125" s="353">
        <f>$CJ$128</f>
        <v>6</v>
      </c>
      <c r="CS125" s="353" t="s">
        <v>713</v>
      </c>
      <c r="CT125" s="353">
        <f>$CL$128</f>
        <v>30</v>
      </c>
      <c r="CU125" s="353" t="s">
        <v>661</v>
      </c>
      <c r="CV125" s="353" t="str">
        <f>IF($CL$128="","",CONCATENATE(CQ125," ",CR125," ",CS125," ",CT125," ",CU125))</f>
        <v>The 6 grade levels ay nagkaroon ng kaklase sa 30 silid-aralan.</v>
      </c>
    </row>
    <row r="126" spans="1:109">
      <c r="A126" s="357" t="s">
        <v>17</v>
      </c>
      <c r="B126" s="353">
        <f>Helper!E206</f>
        <v>161</v>
      </c>
      <c r="C126" s="353">
        <f>IF(COUNT(Data!E318)&gt;0,Data!E318,"")</f>
        <v>8</v>
      </c>
      <c r="D126" s="353">
        <f t="shared" si="75"/>
        <v>20</v>
      </c>
      <c r="E126" s="353">
        <f>Data!J365</f>
        <v>4</v>
      </c>
      <c r="F126" s="353">
        <f t="shared" si="76"/>
        <v>40</v>
      </c>
      <c r="G126" s="353">
        <f t="shared" si="77"/>
        <v>40</v>
      </c>
      <c r="H126" s="400">
        <f>IF(G126="","",RANK(G126,$G$114:$G$126)+COUNTIF($G$114:G126,G126)-1)</f>
        <v>6</v>
      </c>
      <c r="I126" s="398">
        <f>IF(D126="","",RANK(D126,$D$114:$D$126)+COUNTIF($D$114:$D126,D126)-1)</f>
        <v>5</v>
      </c>
      <c r="O126" s="353">
        <f>IF(F126="","",F126-40)</f>
        <v>0</v>
      </c>
      <c r="P126" s="353">
        <f>IF(O126="","",RANK(O126,$O$114:$O$126)+COUNTIF($O$114:O126,O126)-1)</f>
        <v>4</v>
      </c>
      <c r="AB126" s="353">
        <f t="shared" si="101"/>
        <v>0</v>
      </c>
      <c r="AD126" s="353">
        <v>40</v>
      </c>
      <c r="AE126" s="357" t="s">
        <v>17</v>
      </c>
      <c r="AF126" s="353">
        <f t="shared" si="78"/>
        <v>4</v>
      </c>
      <c r="AG126" s="349">
        <f>IF(B126="","",(B126/40))</f>
        <v>4.0250000000000004</v>
      </c>
      <c r="AH126" s="349">
        <f t="shared" si="79"/>
        <v>-2.5000000000000355E-2</v>
      </c>
      <c r="AJ126" s="357" t="s">
        <v>17</v>
      </c>
      <c r="AK126" s="371" t="str">
        <f>IF(Helper!K206=0,"",K206)</f>
        <v/>
      </c>
      <c r="AL126" s="353" t="str">
        <f>IF(COUNT(Data!L318)&gt;0,Data!L318,"")</f>
        <v/>
      </c>
      <c r="AM126" s="353" t="str">
        <f t="shared" si="80"/>
        <v/>
      </c>
      <c r="AN126" s="353" t="str">
        <f>Data!V365</f>
        <v/>
      </c>
      <c r="AO126" s="353" t="str">
        <f t="shared" si="81"/>
        <v/>
      </c>
      <c r="AP126" s="353" t="str">
        <f t="shared" si="82"/>
        <v/>
      </c>
      <c r="AQ126" s="353" t="str">
        <f>IF(AP126="","",RANK(AP126,$AP$114:$AP$126)+COUNTIF($AP$114:AP126,AP126)-1)</f>
        <v/>
      </c>
      <c r="AS126" s="357" t="s">
        <v>17</v>
      </c>
      <c r="AT126" s="353" t="str">
        <f t="shared" si="83"/>
        <v/>
      </c>
      <c r="AU126" s="353" t="str">
        <f t="shared" si="84"/>
        <v/>
      </c>
      <c r="AV126" s="353" t="str">
        <f t="shared" si="85"/>
        <v/>
      </c>
      <c r="AX126" s="357" t="s">
        <v>17</v>
      </c>
      <c r="AY126" s="353" t="str">
        <f t="shared" si="86"/>
        <v/>
      </c>
      <c r="AZ126" s="353" t="str">
        <f>IF(COUNT(Data!S318)&gt;0,Data!S318,"")</f>
        <v/>
      </c>
      <c r="BA126" s="353" t="str">
        <f t="shared" si="87"/>
        <v/>
      </c>
      <c r="BB126" s="353" t="str">
        <f>Data!AH365</f>
        <v/>
      </c>
      <c r="BC126" s="353" t="str">
        <f t="shared" si="88"/>
        <v/>
      </c>
      <c r="BD126" s="353" t="str">
        <f t="shared" si="89"/>
        <v/>
      </c>
      <c r="BE126" s="353" t="str">
        <f>IF(BD126="","",RANK(BD126,$BD$114:$BD$126)+COUNTIF($BD$114:BD126,BD126)-1)</f>
        <v/>
      </c>
      <c r="BG126" s="357" t="s">
        <v>17</v>
      </c>
      <c r="BH126" s="353" t="str">
        <f t="shared" si="90"/>
        <v/>
      </c>
      <c r="BI126" s="353" t="str">
        <f t="shared" si="91"/>
        <v/>
      </c>
      <c r="BJ126" s="353" t="str">
        <f t="shared" si="92"/>
        <v/>
      </c>
      <c r="BM126" s="357" t="s">
        <v>17</v>
      </c>
      <c r="BN126" s="351">
        <f t="shared" si="93"/>
        <v>-2.5000000000000355E-2</v>
      </c>
      <c r="BU126" s="357" t="s">
        <v>17</v>
      </c>
      <c r="BW126" s="353">
        <f t="shared" si="69"/>
        <v>8</v>
      </c>
      <c r="BX126" s="353">
        <f t="shared" si="70"/>
        <v>20</v>
      </c>
      <c r="BY126" s="347">
        <f t="shared" si="71"/>
        <v>4</v>
      </c>
      <c r="BZ126" s="347">
        <f t="shared" si="94"/>
        <v>40</v>
      </c>
      <c r="CA126" s="398">
        <v>40</v>
      </c>
      <c r="CB126" s="398">
        <f t="shared" si="95"/>
        <v>-20</v>
      </c>
      <c r="CC126" s="357" t="s">
        <v>17</v>
      </c>
      <c r="CD126" s="353">
        <f t="shared" si="96"/>
        <v>161</v>
      </c>
      <c r="CE126" s="353" t="str">
        <f t="shared" si="72"/>
        <v/>
      </c>
      <c r="CF126" s="353" t="str">
        <f t="shared" si="73"/>
        <v/>
      </c>
      <c r="CG126" s="347" t="str">
        <f t="shared" si="74"/>
        <v/>
      </c>
      <c r="CH126" s="347" t="str">
        <f t="shared" si="97"/>
        <v/>
      </c>
      <c r="CJ126" s="353">
        <f t="shared" si="98"/>
        <v>1</v>
      </c>
      <c r="CK126" s="353">
        <f t="shared" si="99"/>
        <v>8</v>
      </c>
      <c r="CL126" s="347">
        <f t="shared" si="100"/>
        <v>4</v>
      </c>
      <c r="CP126" s="371" t="s">
        <v>793</v>
      </c>
      <c r="CQ126" s="353" t="str">
        <f>IF($CJ$128="","","The")</f>
        <v>The</v>
      </c>
      <c r="CR126" s="353">
        <f>$CJ$128</f>
        <v>6</v>
      </c>
      <c r="CS126" s="353" t="s">
        <v>711</v>
      </c>
      <c r="CT126" s="353">
        <f>$CL$128</f>
        <v>30</v>
      </c>
      <c r="CU126" s="353" t="s">
        <v>712</v>
      </c>
      <c r="CV126" s="353" t="str">
        <f>IF($CL$128="","",CONCATENATE(CQ126," ",CR126," ",CS126," ",CT126," ",CU126))</f>
        <v>The 6 grade levels nagklase sulod sa 30 klasrum.</v>
      </c>
    </row>
    <row r="127" spans="1:109">
      <c r="B127" s="353">
        <f>SUM(B114:B126)</f>
        <v>1505</v>
      </c>
      <c r="E127" s="353">
        <f>IF(SUM(E114:E126)&gt;0,SUM(E114:E126),"")</f>
        <v>30</v>
      </c>
      <c r="F127" s="353">
        <f>IF(OR(ISNUMBER(E127),ISNUMBER(J119)),SUM(J119,E127),"")</f>
        <v>30</v>
      </c>
      <c r="AH127" s="353">
        <f>SUM(AH114:AH126)</f>
        <v>-1.9400000000000004</v>
      </c>
      <c r="AK127" s="353">
        <f>SUM(AK114:AK126)</f>
        <v>0</v>
      </c>
      <c r="AN127" s="353">
        <f>SUM(AN114:AN126)</f>
        <v>0</v>
      </c>
      <c r="AV127" s="353">
        <f>SUM(AV114:AV126)</f>
        <v>0</v>
      </c>
      <c r="AX127" s="353" t="s">
        <v>877</v>
      </c>
      <c r="AY127" s="353" t="str">
        <f>IF(OR(ISNUMBER(N193),ISNUMBER(R193)),SUM(N193,R193),"")</f>
        <v/>
      </c>
      <c r="AZ127" s="353" t="str">
        <f>IF(COUNT(Data!AH366)&gt;0,Data!AH366,"")</f>
        <v/>
      </c>
      <c r="BA127" s="353" t="str">
        <f t="shared" si="87"/>
        <v/>
      </c>
      <c r="BB127" s="353" t="str">
        <f>Data!S349</f>
        <v/>
      </c>
      <c r="BC127" s="353" t="str">
        <f t="shared" si="88"/>
        <v/>
      </c>
      <c r="BD127" s="353" t="str">
        <f t="shared" si="89"/>
        <v/>
      </c>
      <c r="BG127" s="371" t="s">
        <v>877</v>
      </c>
      <c r="BH127" s="371" t="str">
        <f>IF(R193="","",R193)</f>
        <v/>
      </c>
      <c r="BN127" s="351"/>
      <c r="BQ127" s="353" t="str">
        <f>IF(BN130=0,"There are enough classrooms for the school based on planning standards for enrollment.",CONCATENATE("The school"," ",BO128," ","as of"," ",A217," ","which"," ",BO129," ",BN130," ","classroom/s."))</f>
        <v>The school lack classroom/s as of SY 2018-2019 which lack/s 2 classroom/s.</v>
      </c>
      <c r="BU127" s="353" t="s">
        <v>528</v>
      </c>
      <c r="BW127" s="353" t="str">
        <f>IF(AZ127="","",AZ127)</f>
        <v/>
      </c>
      <c r="BX127" s="353" t="str">
        <f>IF(BA127="","",BA127)</f>
        <v/>
      </c>
      <c r="BY127" s="353" t="str">
        <f>IF(BB127="","",BB127)</f>
        <v/>
      </c>
      <c r="BZ127" s="353" t="str">
        <f>IF(BC127="","",BC127)</f>
        <v/>
      </c>
      <c r="CB127" s="398" t="str">
        <f t="shared" si="95"/>
        <v/>
      </c>
      <c r="CC127" s="353" t="s">
        <v>528</v>
      </c>
      <c r="CD127" s="353" t="str">
        <f>IF(AY127="","",AY127)</f>
        <v/>
      </c>
      <c r="CE127" s="353" t="str">
        <f>IF(BH127="","",BH127)</f>
        <v/>
      </c>
      <c r="CF127" s="353" t="str">
        <f>IF(BI127="","",BI127)</f>
        <v/>
      </c>
      <c r="CG127" s="353" t="str">
        <f>IF(BJ127="","",BJ127)</f>
        <v/>
      </c>
      <c r="CH127" s="353" t="str">
        <f>IF(BK127="","",BK127)</f>
        <v/>
      </c>
      <c r="CJ127" s="353" t="str">
        <f t="shared" si="98"/>
        <v/>
      </c>
      <c r="CK127" s="353" t="str">
        <f t="shared" si="99"/>
        <v/>
      </c>
      <c r="CL127" s="347" t="str">
        <f t="shared" si="100"/>
        <v/>
      </c>
      <c r="CP127" s="353" t="s">
        <v>563</v>
      </c>
    </row>
    <row r="128" spans="1:109">
      <c r="E128" s="353" t="str">
        <f>IF(OR(ISNUMBER(Data!H366),ISNUMBER(Data!T366),ISNUMBER(Data!AF367)),SUM(Data!H366,Data!T366,Data!AF367),"")</f>
        <v/>
      </c>
      <c r="F128" s="353">
        <f>IF(OR(ISNUMBER($H$647),ISNUMBER($E$127)),SUM($H$647,E127),"")</f>
        <v>30</v>
      </c>
      <c r="G128" s="353" t="str">
        <f>IF(AND(ISNUMBER(E128),ISNUMBER(E127)),SUM(E127,E128),"")</f>
        <v/>
      </c>
      <c r="O128" s="349">
        <f>IF(COUNT(O114:O126)&lt;1,"",AVERAGE(O114:O126))</f>
        <v>2.8333333333333335</v>
      </c>
      <c r="R128" s="353" t="str">
        <f>IF(BN128="","",IF(BN128&lt;0,"Generally, lots of rooms are overcrowded.","Generally, rooms are within the standard learner-classroom ratio."))</f>
        <v>Generally, lots of rooms are overcrowded.</v>
      </c>
      <c r="AY128" s="353">
        <f>SUM(AY115:AY127)</f>
        <v>0</v>
      </c>
      <c r="BB128" s="353">
        <f>SUM(BB115:BB127)</f>
        <v>0</v>
      </c>
      <c r="BJ128" s="353">
        <f>SUM(BJ115:BJ127)</f>
        <v>0</v>
      </c>
      <c r="BN128" s="353">
        <f>IF(OR(ISNUMBER(BN114),ISNUMBER(BN118),ISNUMBER(BN121),ISNUMBER(BN125)),SUM(BN114:BN127),"")</f>
        <v>-1.9400000000000004</v>
      </c>
      <c r="BO128" s="353" t="str">
        <f>IF(BN128="","",IF(BN128&lt;0.001,"lack classroom/s","has enough classroom/s"))</f>
        <v>lack classroom/s</v>
      </c>
      <c r="CJ128" s="353">
        <f>IF(SUM(CJ114:CJ127)&lt;1,"",SUM(CJ114:CJ127))</f>
        <v>6</v>
      </c>
      <c r="CK128" s="353">
        <f>IF(SUM(CK114:CK127)&lt;1,"",SUM(CK114:CK127))</f>
        <v>57</v>
      </c>
      <c r="CL128" s="353">
        <f>IF(SUM(CL114:CL127)&lt;1,"",SUM(CL114:CL127))</f>
        <v>30</v>
      </c>
      <c r="CP128" s="353" t="s">
        <v>564</v>
      </c>
    </row>
    <row r="129" spans="1:67">
      <c r="A129" s="364" t="s">
        <v>19</v>
      </c>
      <c r="R129" s="353" t="str">
        <f>IF(R128="Generally, lots of rooms are overcrowded.","beyond the recommended learner-classroom ratio.","below the recommended learner-classroom ratio.")</f>
        <v>beyond the recommended learner-classroom ratio.</v>
      </c>
      <c r="BN129" s="353">
        <f>IF(BN128="","",ROUND(BN128,0))</f>
        <v>-2</v>
      </c>
      <c r="BO129" s="353" t="str">
        <f>IF(BN128="","",IF(BN128&lt;0.001,"lack/s","has an excess of"))</f>
        <v>lack/s</v>
      </c>
    </row>
    <row r="130" spans="1:67">
      <c r="A130" s="352" t="s">
        <v>20</v>
      </c>
      <c r="B130" s="678" t="s">
        <v>21</v>
      </c>
      <c r="C130" s="678"/>
      <c r="BN130" s="353">
        <f>IF(BN129="","",IF(BN129&lt;0,-(BN129),ROUND(BN129,0)))</f>
        <v>2</v>
      </c>
    </row>
    <row r="131" spans="1:67">
      <c r="A131" s="353">
        <f>IF(Helper!AN215=0,"",Helper!AN215)</f>
        <v>1520</v>
      </c>
      <c r="B131" s="673">
        <f>IF(AND(ISNUMBER(AJ217),ISNUMBER(AN215)),ROUND(AN215/AJ217,2),"")</f>
        <v>1.01</v>
      </c>
      <c r="C131" s="673"/>
      <c r="E131" s="353">
        <f>IF(AND(ISNUMBER(AJ217),ISNUMBER(AN215)),AJ217-AN215,"")</f>
        <v>-15</v>
      </c>
      <c r="F131" s="353" t="str">
        <f>IF(A131="","",IF(B131&gt;=1,"Currently there are enough seats for all learners.","Currently there are lacking seats for some learners."))</f>
        <v>Currently there are enough seats for all learners.</v>
      </c>
      <c r="L131" s="353" t="str">
        <f>IF(A131="","",CONCATENATE(F131," ","The learner-toilet ratio is"," ",B131,":1"," ",F132," ",E132," ","toilet/s for the whole school."," ",D134))</f>
        <v xml:space="preserve">Currently there are enough seats for all learners. The learner-toilet ratio is 1.01:1 with an excess of 15 toilet/s for the whole school. </v>
      </c>
    </row>
    <row r="132" spans="1:67">
      <c r="E132" s="353">
        <f>IF(E131&lt;0,-(E131),E131)</f>
        <v>15</v>
      </c>
      <c r="F132" s="353" t="str">
        <f>IF(E131="","",IF(E131&lt;0,"with an excess of","which lack"))</f>
        <v>with an excess of</v>
      </c>
    </row>
    <row r="133" spans="1:67">
      <c r="A133" s="364" t="s">
        <v>22</v>
      </c>
      <c r="C133" s="364"/>
      <c r="H133" s="364"/>
    </row>
    <row r="134" spans="1:67">
      <c r="A134" s="352" t="s">
        <v>20</v>
      </c>
      <c r="B134" s="678" t="s">
        <v>207</v>
      </c>
      <c r="C134" s="678"/>
    </row>
    <row r="135" spans="1:67">
      <c r="A135" s="353">
        <f>IF(AP214="","",AP214)</f>
        <v>18</v>
      </c>
      <c r="B135" s="673">
        <f>IF(AJ217="","",IF(AND(ISNUMBER(AJ217),ISNUMBER(A135)),ROUND(AJ217/A135,0),""))</f>
        <v>84</v>
      </c>
      <c r="C135" s="673"/>
      <c r="E135" s="353">
        <f>IF(AND(ISNUMBER(AP214),ISNUMBER(AQ214)),AP214-AQ214,"")</f>
        <v>-12</v>
      </c>
      <c r="L135" s="353" t="str">
        <f>IF(A135="","",CONCATENATE(F135," ","The learner-toilet ratio is"," ",B135,":1"," ",F136," ",E136," ","toilet/s for the whole school."," ",D138))</f>
        <v xml:space="preserve"> The learner-toilet ratio is 84:1 which lack 12 toilet/s for the whole school. Majority of the toilets are shared between male and female learners.</v>
      </c>
    </row>
    <row r="136" spans="1:67">
      <c r="E136" s="353">
        <f>IF(E135&lt;0,-(E135),E135)</f>
        <v>12</v>
      </c>
      <c r="F136" s="353" t="str">
        <f>IF(E135&lt;0,"which lack","with an excess of")</f>
        <v>which lack</v>
      </c>
    </row>
    <row r="137" spans="1:67">
      <c r="C137" s="353">
        <f>(Data!C377+Data!E377+Data!H377)</f>
        <v>18</v>
      </c>
    </row>
    <row r="138" spans="1:67">
      <c r="C138" s="353">
        <f>Data!C377+Data!E377</f>
        <v>6</v>
      </c>
      <c r="D138" s="353" t="str">
        <f>IF(SUM(C138:C139)=0,"",IF(C139&gt;C138,"Majority of the toilets are shared between male and female learners.","Majority of the toilets in the school are used exclusively according to learners gender."))</f>
        <v>Majority of the toilets are shared between male and female learners.</v>
      </c>
    </row>
    <row r="139" spans="1:67">
      <c r="C139" s="353">
        <f>Data!H377</f>
        <v>12</v>
      </c>
    </row>
    <row r="150" spans="1:12">
      <c r="A150" s="343" t="s">
        <v>247</v>
      </c>
      <c r="D150" s="365"/>
    </row>
    <row r="151" spans="1:12" ht="15" customHeight="1">
      <c r="A151" s="677" t="s">
        <v>249</v>
      </c>
      <c r="B151" s="677"/>
      <c r="C151" s="501" t="s">
        <v>853</v>
      </c>
      <c r="D151" s="342" t="s">
        <v>819</v>
      </c>
      <c r="E151" s="342" t="s">
        <v>818</v>
      </c>
      <c r="F151" s="342" t="s">
        <v>817</v>
      </c>
      <c r="G151" s="342" t="s">
        <v>820</v>
      </c>
    </row>
    <row r="152" spans="1:12">
      <c r="A152" s="677"/>
      <c r="B152" s="677"/>
      <c r="C152" s="501"/>
      <c r="D152" s="342"/>
      <c r="E152" s="342"/>
      <c r="F152" s="342"/>
      <c r="G152" s="342"/>
      <c r="L152" s="353" t="s">
        <v>816</v>
      </c>
    </row>
    <row r="153" spans="1:12">
      <c r="A153" s="675" t="str">
        <f>IF(SRC!C819="","",SRC!C819)</f>
        <v>ENROLMENT</v>
      </c>
      <c r="B153" s="675"/>
      <c r="C153" s="353" t="str">
        <f>IF(Data!H383="","",Data!H383)</f>
        <v>Completed</v>
      </c>
      <c r="D153" s="353">
        <f>IF($C153="","",IF($C153=D$151,1,0))</f>
        <v>1</v>
      </c>
      <c r="E153" s="353">
        <f t="shared" ref="E153:G166" si="102">IF($C153="","",IF($C153=E$151,1,0))</f>
        <v>0</v>
      </c>
      <c r="F153" s="353">
        <f t="shared" si="102"/>
        <v>0</v>
      </c>
      <c r="G153" s="353">
        <f t="shared" si="102"/>
        <v>0</v>
      </c>
      <c r="L153" s="353" t="s">
        <v>817</v>
      </c>
    </row>
    <row r="154" spans="1:12">
      <c r="A154" s="675" t="str">
        <f>IF(SRC!C820="","",SRC!C820)</f>
        <v>SAKAY NA LIBRE PA</v>
      </c>
      <c r="B154" s="675"/>
      <c r="C154" s="353" t="str">
        <f>IF(Data!H384="","",Data!H384)</f>
        <v>Cancelled</v>
      </c>
      <c r="D154" s="353">
        <f t="shared" ref="D154:D166" si="103">IF($C154="","",IF($C154=D$151,1,0))</f>
        <v>0</v>
      </c>
      <c r="E154" s="353">
        <f t="shared" si="102"/>
        <v>0</v>
      </c>
      <c r="F154" s="353">
        <f t="shared" si="102"/>
        <v>0</v>
      </c>
      <c r="G154" s="353">
        <f t="shared" si="102"/>
        <v>1</v>
      </c>
      <c r="L154" s="353" t="s">
        <v>818</v>
      </c>
    </row>
    <row r="155" spans="1:12">
      <c r="A155" s="675" t="str">
        <f>IF(SRC!C821="","",SRC!C821)</f>
        <v xml:space="preserve">Talento MO- Pag-agak KO </v>
      </c>
      <c r="B155" s="675"/>
      <c r="C155" s="353" t="str">
        <f>IF(Data!H385="","",Data!H385)</f>
        <v>Completed</v>
      </c>
      <c r="D155" s="353">
        <f t="shared" si="103"/>
        <v>1</v>
      </c>
      <c r="E155" s="353">
        <f t="shared" si="102"/>
        <v>0</v>
      </c>
      <c r="F155" s="353">
        <f t="shared" si="102"/>
        <v>0</v>
      </c>
      <c r="G155" s="353">
        <f t="shared" si="102"/>
        <v>0</v>
      </c>
      <c r="L155" s="353" t="s">
        <v>819</v>
      </c>
    </row>
    <row r="156" spans="1:12">
      <c r="A156" s="675" t="str">
        <f>IF(SRC!C822="","",SRC!C822)</f>
        <v>HASHTAG ( Help Achieve High performance Teacher Assistance Group)</v>
      </c>
      <c r="B156" s="675"/>
      <c r="C156" s="353" t="str">
        <f>IF(Data!H386="","",Data!H386)</f>
        <v>Ongoing</v>
      </c>
      <c r="D156" s="353">
        <f t="shared" si="103"/>
        <v>0</v>
      </c>
      <c r="E156" s="353">
        <f t="shared" si="102"/>
        <v>1</v>
      </c>
      <c r="F156" s="353">
        <f t="shared" si="102"/>
        <v>0</v>
      </c>
      <c r="G156" s="353">
        <f t="shared" si="102"/>
        <v>0</v>
      </c>
      <c r="L156" s="353" t="s">
        <v>820</v>
      </c>
    </row>
    <row r="157" spans="1:12">
      <c r="A157" s="675" t="str">
        <f>IF(SRC!C823="","",SRC!C823)</f>
        <v>Bahay Sa Paaralan ko Pansamantalang Tirahan KO</v>
      </c>
      <c r="B157" s="675"/>
      <c r="C157" s="353" t="str">
        <f>IF(Data!H387="","",Data!H387)</f>
        <v>Ongoing</v>
      </c>
      <c r="D157" s="353">
        <f t="shared" si="103"/>
        <v>0</v>
      </c>
      <c r="E157" s="353">
        <f t="shared" si="102"/>
        <v>1</v>
      </c>
      <c r="F157" s="353">
        <f t="shared" si="102"/>
        <v>0</v>
      </c>
      <c r="G157" s="353">
        <f t="shared" si="102"/>
        <v>0</v>
      </c>
    </row>
    <row r="158" spans="1:12">
      <c r="A158" s="675" t="str">
        <f>IF(SRC!C824="","",SRC!C824)</f>
        <v xml:space="preserve"> Pagkain Alagaan, Timbang dagdagan</v>
      </c>
      <c r="B158" s="675"/>
      <c r="C158" s="353" t="str">
        <f>IF(Data!H388="","",Data!H388)</f>
        <v>Ongoing</v>
      </c>
      <c r="D158" s="353">
        <f t="shared" si="103"/>
        <v>0</v>
      </c>
      <c r="E158" s="353">
        <f t="shared" si="102"/>
        <v>1</v>
      </c>
      <c r="F158" s="353">
        <f t="shared" si="102"/>
        <v>0</v>
      </c>
      <c r="G158" s="353">
        <f t="shared" si="102"/>
        <v>0</v>
      </c>
    </row>
    <row r="159" spans="1:12">
      <c r="A159" s="675" t="str">
        <f>IF(SRC!C825="","",SRC!C825)</f>
        <v>Improved Reading Program (IRP)</v>
      </c>
      <c r="B159" s="675"/>
      <c r="C159" s="353" t="str">
        <f>IF(Data!H389="","",Data!H389)</f>
        <v>Ongoing</v>
      </c>
      <c r="D159" s="353">
        <f t="shared" si="103"/>
        <v>0</v>
      </c>
      <c r="E159" s="353">
        <f t="shared" si="102"/>
        <v>1</v>
      </c>
      <c r="F159" s="353">
        <f t="shared" si="102"/>
        <v>0</v>
      </c>
      <c r="G159" s="353">
        <f t="shared" si="102"/>
        <v>0</v>
      </c>
    </row>
    <row r="160" spans="1:12">
      <c r="A160" s="675" t="str">
        <f>IF(SRC!C826="","",SRC!C826)</f>
        <v>Kumprehensibong Programa sa Pagbasa</v>
      </c>
      <c r="B160" s="675"/>
      <c r="C160" s="353" t="str">
        <f>IF(Data!H390="","",Data!H390)</f>
        <v>Ongoing</v>
      </c>
      <c r="D160" s="353">
        <f t="shared" si="103"/>
        <v>0</v>
      </c>
      <c r="E160" s="353">
        <f t="shared" si="102"/>
        <v>1</v>
      </c>
      <c r="F160" s="353">
        <f t="shared" si="102"/>
        <v>0</v>
      </c>
      <c r="G160" s="353">
        <f t="shared" si="102"/>
        <v>0</v>
      </c>
    </row>
    <row r="161" spans="1:11">
      <c r="A161" s="675" t="str">
        <f>IF(SRC!C827="","",SRC!C827)</f>
        <v>I LOVE MATH PROGRAM</v>
      </c>
      <c r="B161" s="675"/>
      <c r="C161" s="353" t="str">
        <f>IF(Data!H391="","",Data!H391)</f>
        <v>Ongoing</v>
      </c>
      <c r="D161" s="353">
        <f t="shared" si="103"/>
        <v>0</v>
      </c>
      <c r="E161" s="353">
        <f t="shared" si="102"/>
        <v>1</v>
      </c>
      <c r="F161" s="353">
        <f t="shared" si="102"/>
        <v>0</v>
      </c>
      <c r="G161" s="353">
        <f t="shared" si="102"/>
        <v>0</v>
      </c>
    </row>
    <row r="162" spans="1:11">
      <c r="A162" s="675" t="str">
        <f>IF(SRC!C828="","",SRC!C828)</f>
        <v>Project BEST (Barangay Education Strategic Team)</v>
      </c>
      <c r="B162" s="675"/>
      <c r="C162" s="353" t="str">
        <f>IF(Data!H392="","",Data!H392)</f>
        <v>Ongoing</v>
      </c>
      <c r="D162" s="353">
        <f t="shared" si="103"/>
        <v>0</v>
      </c>
      <c r="E162" s="353">
        <f t="shared" si="102"/>
        <v>1</v>
      </c>
      <c r="F162" s="353">
        <f t="shared" si="102"/>
        <v>0</v>
      </c>
      <c r="G162" s="353">
        <f t="shared" si="102"/>
        <v>0</v>
      </c>
    </row>
    <row r="163" spans="1:11">
      <c r="A163" s="675" t="str">
        <f>IF(SRC!C829="","",SRC!C829)</f>
        <v>MVSports "ABAG" Program</v>
      </c>
      <c r="B163" s="675"/>
      <c r="C163" s="353" t="str">
        <f>IF(Data!H393="","",Data!H393)</f>
        <v>Ongoing</v>
      </c>
      <c r="D163" s="353">
        <f t="shared" si="103"/>
        <v>0</v>
      </c>
      <c r="E163" s="353">
        <f t="shared" si="102"/>
        <v>1</v>
      </c>
      <c r="F163" s="353">
        <f t="shared" si="102"/>
        <v>0</v>
      </c>
      <c r="G163" s="353">
        <f t="shared" si="102"/>
        <v>0</v>
      </c>
    </row>
    <row r="164" spans="1:11" ht="15" customHeight="1">
      <c r="A164" s="675" t="str">
        <f>IF(SRC!C830="","",SRC!C830)</f>
        <v xml:space="preserve"> MVS ARKADO (Arnis-Kali-Do)</v>
      </c>
      <c r="B164" s="675"/>
      <c r="C164" s="353" t="str">
        <f>IF(Data!H394="","",Data!H394)</f>
        <v>Proposed</v>
      </c>
      <c r="D164" s="353">
        <f t="shared" si="103"/>
        <v>0</v>
      </c>
      <c r="E164" s="353">
        <f t="shared" si="102"/>
        <v>0</v>
      </c>
      <c r="F164" s="353">
        <f t="shared" si="102"/>
        <v>1</v>
      </c>
      <c r="G164" s="353">
        <f t="shared" si="102"/>
        <v>0</v>
      </c>
      <c r="H164" s="352"/>
      <c r="I164" s="352"/>
      <c r="J164" s="352"/>
      <c r="K164" s="352"/>
    </row>
    <row r="165" spans="1:11" ht="15" customHeight="1">
      <c r="A165" s="675" t="str">
        <f>IF(SRC!C831="","",SRC!C831)</f>
        <v>The Meridian - Journalism</v>
      </c>
      <c r="B165" s="675"/>
      <c r="C165" s="353" t="str">
        <f>IF(Data!H395="","",Data!H395)</f>
        <v>Ongoing</v>
      </c>
      <c r="D165" s="353">
        <f t="shared" si="103"/>
        <v>0</v>
      </c>
      <c r="E165" s="353">
        <f t="shared" si="102"/>
        <v>1</v>
      </c>
      <c r="F165" s="353">
        <f t="shared" si="102"/>
        <v>0</v>
      </c>
      <c r="G165" s="353">
        <f t="shared" si="102"/>
        <v>0</v>
      </c>
    </row>
    <row r="166" spans="1:11" ht="18" customHeight="1">
      <c r="A166" s="675" t="str">
        <f>IF(SRC!C832="","",SRC!C832)</f>
        <v xml:space="preserve"> Repaired today, Damaged away</v>
      </c>
      <c r="B166" s="675"/>
      <c r="C166" s="353" t="str">
        <f>IF(Data!H396="","",Data!H396)</f>
        <v>Ongoing</v>
      </c>
      <c r="D166" s="353">
        <f t="shared" si="103"/>
        <v>0</v>
      </c>
      <c r="E166" s="353">
        <f t="shared" si="102"/>
        <v>1</v>
      </c>
      <c r="F166" s="353">
        <f t="shared" si="102"/>
        <v>0</v>
      </c>
      <c r="G166" s="353">
        <f t="shared" si="102"/>
        <v>0</v>
      </c>
    </row>
    <row r="167" spans="1:11">
      <c r="A167" s="366"/>
      <c r="B167" s="366"/>
      <c r="D167" s="353">
        <f>IF(SUM(D153:D166)&lt;1,"",SUM(D153:D166))</f>
        <v>2</v>
      </c>
      <c r="E167" s="353">
        <f>IF(SUM(E153:E166)&lt;1,"",SUM(E153:E166))</f>
        <v>10</v>
      </c>
      <c r="F167" s="353">
        <f>IF(SUM(F153:F166)&lt;1,"",SUM(F153:F166))</f>
        <v>1</v>
      </c>
      <c r="G167" s="353">
        <f>IF(SUM(G153:G166)&lt;1,"",SUM(G153:G166))</f>
        <v>1</v>
      </c>
      <c r="H167" s="353">
        <f>IF(SUM(D167:G167)&lt;1,"",SUM(D167:G167))</f>
        <v>14</v>
      </c>
      <c r="I167" s="353">
        <f>IF(AND(ISNUMBER(D167),ISNUMBER(H167)),H167-D167,"")</f>
        <v>12</v>
      </c>
      <c r="J167" s="353">
        <f>IF(AND(ISNUMBER(D167),ISNUMBER(H167)),ROUND(D167/H167*100,2),"")</f>
        <v>14.29</v>
      </c>
    </row>
    <row r="168" spans="1:11" hidden="1">
      <c r="A168" s="366"/>
      <c r="B168" s="366"/>
    </row>
    <row r="169" spans="1:11" hidden="1">
      <c r="A169" s="366"/>
      <c r="B169" s="366"/>
    </row>
    <row r="170" spans="1:11" hidden="1"/>
    <row r="171" spans="1:11" hidden="1"/>
    <row r="173" spans="1:11" hidden="1">
      <c r="A173" s="673"/>
      <c r="B173" s="673"/>
    </row>
    <row r="174" spans="1:11" hidden="1">
      <c r="A174" s="673"/>
      <c r="B174" s="673"/>
      <c r="C174" s="359"/>
      <c r="G174" s="349"/>
    </row>
    <row r="175" spans="1:11" hidden="1">
      <c r="A175" s="673"/>
      <c r="B175" s="673"/>
      <c r="C175" s="359"/>
      <c r="G175" s="349"/>
    </row>
    <row r="176" spans="1:11" hidden="1">
      <c r="A176" s="673"/>
      <c r="B176" s="673"/>
      <c r="C176" s="359"/>
      <c r="G176" s="349"/>
    </row>
    <row r="177" spans="1:18" hidden="1">
      <c r="A177" s="673"/>
      <c r="B177" s="673"/>
      <c r="C177" s="359"/>
      <c r="G177" s="349"/>
      <c r="H177" s="353" t="str">
        <f t="shared" ref="H177:H188" si="104">IF(F177="","",SUBSTITUTE(F177,"_"," "))</f>
        <v/>
      </c>
    </row>
    <row r="178" spans="1:18" hidden="1">
      <c r="A178" s="673"/>
      <c r="B178" s="673"/>
      <c r="C178" s="359"/>
      <c r="G178" s="349"/>
      <c r="H178" s="353" t="str">
        <f t="shared" si="104"/>
        <v/>
      </c>
    </row>
    <row r="179" spans="1:18" hidden="1">
      <c r="A179" s="673"/>
      <c r="B179" s="673"/>
      <c r="C179" s="359"/>
      <c r="G179" s="349"/>
      <c r="H179" s="353" t="str">
        <f t="shared" si="104"/>
        <v/>
      </c>
    </row>
    <row r="180" spans="1:18" hidden="1">
      <c r="A180" s="673"/>
      <c r="B180" s="673"/>
      <c r="C180" s="359"/>
      <c r="G180" s="349"/>
      <c r="H180" s="353" t="str">
        <f t="shared" si="104"/>
        <v/>
      </c>
    </row>
    <row r="181" spans="1:18" hidden="1">
      <c r="A181" s="673"/>
      <c r="B181" s="673"/>
      <c r="C181" s="359"/>
      <c r="G181" s="349"/>
      <c r="H181" s="353" t="str">
        <f t="shared" si="104"/>
        <v/>
      </c>
    </row>
    <row r="182" spans="1:18" hidden="1">
      <c r="A182" s="673"/>
      <c r="B182" s="673"/>
      <c r="C182" s="359"/>
      <c r="G182" s="349"/>
      <c r="H182" s="353" t="str">
        <f t="shared" si="104"/>
        <v/>
      </c>
    </row>
    <row r="183" spans="1:18" hidden="1">
      <c r="A183" s="673"/>
      <c r="B183" s="673"/>
      <c r="C183" s="359"/>
      <c r="G183" s="349"/>
      <c r="H183" s="353" t="str">
        <f t="shared" si="104"/>
        <v/>
      </c>
    </row>
    <row r="184" spans="1:18" hidden="1">
      <c r="A184" s="673"/>
      <c r="B184" s="673"/>
      <c r="C184" s="359"/>
      <c r="G184" s="349"/>
      <c r="H184" s="353" t="str">
        <f t="shared" si="104"/>
        <v/>
      </c>
    </row>
    <row r="185" spans="1:18" hidden="1">
      <c r="A185" s="673"/>
      <c r="B185" s="673"/>
      <c r="C185" s="359"/>
      <c r="G185" s="349"/>
      <c r="H185" s="353" t="str">
        <f t="shared" si="104"/>
        <v/>
      </c>
    </row>
    <row r="186" spans="1:18" hidden="1">
      <c r="A186" s="673"/>
      <c r="B186" s="673"/>
      <c r="C186" s="359"/>
      <c r="G186" s="349"/>
      <c r="H186" s="353" t="str">
        <f t="shared" si="104"/>
        <v/>
      </c>
    </row>
    <row r="187" spans="1:18" hidden="1">
      <c r="A187" s="673"/>
      <c r="B187" s="673"/>
      <c r="C187" s="359"/>
      <c r="G187" s="349"/>
      <c r="H187" s="353" t="str">
        <f t="shared" si="104"/>
        <v/>
      </c>
    </row>
    <row r="188" spans="1:18" hidden="1">
      <c r="A188" s="673"/>
      <c r="B188" s="673"/>
      <c r="C188" s="359"/>
      <c r="G188" s="349"/>
      <c r="H188" s="353" t="str">
        <f t="shared" si="104"/>
        <v/>
      </c>
    </row>
    <row r="189" spans="1:18" hidden="1"/>
    <row r="191" spans="1:18">
      <c r="A191" s="673" t="s">
        <v>495</v>
      </c>
      <c r="B191" s="673"/>
      <c r="C191" s="673" t="s">
        <v>512</v>
      </c>
      <c r="D191" s="673"/>
      <c r="E191" s="673"/>
      <c r="F191" s="673" t="s">
        <v>874</v>
      </c>
      <c r="G191" s="673"/>
      <c r="H191" s="673"/>
      <c r="I191" s="673" t="s">
        <v>513</v>
      </c>
      <c r="J191" s="673"/>
      <c r="K191" s="673"/>
      <c r="L191" s="673" t="s">
        <v>875</v>
      </c>
      <c r="M191" s="673"/>
      <c r="N191" s="673"/>
      <c r="P191" s="673" t="s">
        <v>876</v>
      </c>
      <c r="Q191" s="673"/>
      <c r="R191" s="673"/>
    </row>
    <row r="192" spans="1:18">
      <c r="A192" s="673" t="str">
        <f>IF(A5="","",A5)</f>
        <v>SY 2018-2019</v>
      </c>
      <c r="B192" s="673"/>
      <c r="C192" s="353" t="s">
        <v>496</v>
      </c>
      <c r="D192" s="353" t="s">
        <v>497</v>
      </c>
      <c r="E192" s="353" t="s">
        <v>18</v>
      </c>
      <c r="F192" s="353" t="s">
        <v>496</v>
      </c>
      <c r="G192" s="353" t="s">
        <v>497</v>
      </c>
      <c r="H192" s="353" t="s">
        <v>18</v>
      </c>
      <c r="I192" s="353" t="s">
        <v>496</v>
      </c>
      <c r="J192" s="353" t="s">
        <v>497</v>
      </c>
      <c r="K192" s="353" t="s">
        <v>18</v>
      </c>
      <c r="L192" s="353" t="s">
        <v>496</v>
      </c>
      <c r="M192" s="353" t="s">
        <v>497</v>
      </c>
      <c r="N192" s="353" t="s">
        <v>18</v>
      </c>
      <c r="P192" s="371" t="s">
        <v>496</v>
      </c>
      <c r="Q192" s="371" t="s">
        <v>497</v>
      </c>
      <c r="R192" s="371" t="s">
        <v>18</v>
      </c>
    </row>
    <row r="193" spans="1:18">
      <c r="A193" s="676" t="s">
        <v>498</v>
      </c>
      <c r="B193" s="676"/>
      <c r="L193" s="371" t="str">
        <f>IF(SUM(Data!P23:P25)&lt;1,"",SUM(Data!P23:P25))</f>
        <v/>
      </c>
      <c r="M193" s="371" t="str">
        <f>IF(SUM(Data!Q23:Q25)&lt;1,"",SUM(Data!Q23:Q25))</f>
        <v/>
      </c>
      <c r="N193" s="371" t="str">
        <f>IF(OR(ISNUMBER(L193),ISNUMBER(M193)),SUM(L193+M193),"")</f>
        <v/>
      </c>
      <c r="P193" s="371" t="str">
        <f>IF(SUM(Data!R23:R25)&lt;1,"",SUM(Data!R23:R25))</f>
        <v/>
      </c>
      <c r="Q193" s="371" t="str">
        <f>IF(SUM(Data!S23:S25)&lt;1,"",SUM(Data!S23:S25))</f>
        <v/>
      </c>
      <c r="R193" s="371" t="str">
        <f>IF(OR(ISNUMBER(P193),ISNUMBER(Q193)),SUM(P193+Q193),"")</f>
        <v/>
      </c>
    </row>
    <row r="194" spans="1:18">
      <c r="A194" s="676" t="s">
        <v>499</v>
      </c>
      <c r="B194" s="676"/>
      <c r="C194" s="353" t="str">
        <f>IF(Data!$B$29="","",Data!$B$29)</f>
        <v/>
      </c>
      <c r="D194" s="371" t="str">
        <f>IF(Data!$C$29="","",Data!$C$29)</f>
        <v/>
      </c>
      <c r="E194" s="353" t="str">
        <f>IF(AND(ISNUMBER(C194),ISNUMBER(D194)),SUM(C194+D194),"")</f>
        <v/>
      </c>
      <c r="F194" s="371" t="str">
        <f>IF(Data!$B$30="","",Data!$B$30)</f>
        <v/>
      </c>
      <c r="G194" s="371" t="str">
        <f>IF(Data!$C$30="","",Data!$C$30)</f>
        <v/>
      </c>
      <c r="H194" s="353" t="str">
        <f>IF(OR(ISNUMBER(F194),ISNUMBER(G194)),SUM(F194+G194),"")</f>
        <v/>
      </c>
      <c r="I194" s="371" t="str">
        <f>IF(Data!$B$31="","",Data!$B$31)</f>
        <v/>
      </c>
      <c r="J194" s="371" t="str">
        <f>IF(Data!$C$31="","",Data!$C$31)</f>
        <v/>
      </c>
      <c r="K194" s="353" t="str">
        <f>IF(AND(ISNUMBER(I194),ISNUMBER(J194)),SUM(I194+J194),"")</f>
        <v/>
      </c>
    </row>
    <row r="195" spans="1:18">
      <c r="A195" s="676" t="s">
        <v>500</v>
      </c>
      <c r="B195" s="676"/>
      <c r="C195" s="371" t="str">
        <f>IF(Data!$D$29="","",Data!$D$29)</f>
        <v/>
      </c>
      <c r="D195" s="371" t="str">
        <f>IF(Data!$E$29="","",Data!$E$29)</f>
        <v/>
      </c>
      <c r="E195" s="353" t="str">
        <f t="shared" ref="E195:E200" si="105">IF(AND(ISNUMBER(C195),ISNUMBER(D195)),SUM(C195+D195),"")</f>
        <v/>
      </c>
      <c r="F195" s="371" t="str">
        <f>IF(Data!$D$30="","",Data!$D$30)</f>
        <v/>
      </c>
      <c r="G195" s="371" t="str">
        <f>IF(Data!$E$30="","",Data!$E$30)</f>
        <v/>
      </c>
      <c r="H195" s="371" t="str">
        <f t="shared" ref="H195:H205" si="106">IF(OR(ISNUMBER(F195),ISNUMBER(G195)),SUM(F195+G195),"")</f>
        <v/>
      </c>
      <c r="I195" s="371" t="str">
        <f>IF(Data!$D$31="","",Data!$D$31)</f>
        <v/>
      </c>
      <c r="J195" s="371" t="str">
        <f>IF(Data!$E$31="","",Data!$E$31)</f>
        <v/>
      </c>
      <c r="K195" s="353" t="str">
        <f t="shared" ref="K195:K206" si="107">IF(AND(ISNUMBER(I195),ISNUMBER(J195)),SUM(I195+J195),"")</f>
        <v/>
      </c>
    </row>
    <row r="196" spans="1:18">
      <c r="A196" s="676" t="s">
        <v>501</v>
      </c>
      <c r="B196" s="676"/>
      <c r="C196" s="371" t="str">
        <f>IF(Data!$F$29="","",Data!$F$29)</f>
        <v/>
      </c>
      <c r="D196" s="371" t="str">
        <f>IF(Data!$G$29="","",Data!$G$29)</f>
        <v/>
      </c>
      <c r="E196" s="353" t="str">
        <f t="shared" si="105"/>
        <v/>
      </c>
      <c r="F196" s="371" t="str">
        <f>IF(Data!$F$30="","",Data!$F$30)</f>
        <v/>
      </c>
      <c r="G196" s="371" t="str">
        <f>IF(Data!$G$30="","",Data!$G$30)</f>
        <v/>
      </c>
      <c r="H196" s="371" t="str">
        <f t="shared" si="106"/>
        <v/>
      </c>
      <c r="I196" s="371" t="str">
        <f>IF(Data!$F$31="","",Data!$F$31)</f>
        <v/>
      </c>
      <c r="J196" s="371" t="str">
        <f>IF(Data!$G$31="","",Data!$G$31)</f>
        <v/>
      </c>
      <c r="K196" s="353" t="str">
        <f t="shared" si="107"/>
        <v/>
      </c>
    </row>
    <row r="197" spans="1:18">
      <c r="A197" s="676" t="s">
        <v>502</v>
      </c>
      <c r="B197" s="676"/>
      <c r="C197" s="371" t="str">
        <f>IF(Data!$H$29="","",Data!$H$29)</f>
        <v/>
      </c>
      <c r="D197" s="371" t="str">
        <f>IF(Data!$I$29="","",Data!$I$29)</f>
        <v/>
      </c>
      <c r="E197" s="353" t="str">
        <f t="shared" si="105"/>
        <v/>
      </c>
      <c r="F197" s="371" t="str">
        <f>IF(Data!$H$30="","",Data!$H$30)</f>
        <v/>
      </c>
      <c r="G197" s="371" t="str">
        <f>IF(Data!$I$30="","",Data!$I$30)</f>
        <v/>
      </c>
      <c r="H197" s="371" t="str">
        <f t="shared" si="106"/>
        <v/>
      </c>
      <c r="I197" s="371" t="str">
        <f>IF(Data!$H$31="","",Data!$H$31)</f>
        <v/>
      </c>
      <c r="J197" s="371" t="str">
        <f>IF(Data!$I$31="","",Data!$I$31)</f>
        <v/>
      </c>
      <c r="K197" s="353" t="str">
        <f t="shared" si="107"/>
        <v/>
      </c>
    </row>
    <row r="198" spans="1:18">
      <c r="A198" s="676" t="s">
        <v>503</v>
      </c>
      <c r="B198" s="676"/>
      <c r="C198" s="371" t="str">
        <f>IF(Data!$J$29="","",Data!$J$29)</f>
        <v/>
      </c>
      <c r="D198" s="371" t="str">
        <f>IF(Data!$K$29="","",Data!$K$29)</f>
        <v/>
      </c>
      <c r="E198" s="353" t="str">
        <f t="shared" si="105"/>
        <v/>
      </c>
      <c r="F198" s="371" t="str">
        <f>IF(Data!$J$30="","",Data!$J$30)</f>
        <v/>
      </c>
      <c r="G198" s="371" t="str">
        <f>IF(Data!$K$30="","",Data!$K$30)</f>
        <v/>
      </c>
      <c r="H198" s="371" t="str">
        <f t="shared" si="106"/>
        <v/>
      </c>
      <c r="I198" s="371" t="str">
        <f>IF(Data!$J$31="","",Data!$J$31)</f>
        <v/>
      </c>
      <c r="J198" s="371" t="str">
        <f>IF(Data!$K$31="","",Data!$K$31)</f>
        <v/>
      </c>
      <c r="K198" s="353" t="str">
        <f t="shared" si="107"/>
        <v/>
      </c>
    </row>
    <row r="199" spans="1:18">
      <c r="A199" s="676" t="s">
        <v>504</v>
      </c>
      <c r="B199" s="676"/>
      <c r="C199" s="371" t="str">
        <f>IF(Data!$L$29="","",Data!$L$29)</f>
        <v/>
      </c>
      <c r="D199" s="371" t="str">
        <f>IF(Data!$M$29="","",Data!$M$29)</f>
        <v/>
      </c>
      <c r="E199" s="353" t="str">
        <f t="shared" si="105"/>
        <v/>
      </c>
      <c r="F199" s="371" t="str">
        <f>IF(Data!$L$30="","",Data!$L$30)</f>
        <v/>
      </c>
      <c r="G199" s="371" t="str">
        <f>IF(Data!$M$30="","",Data!$M$30)</f>
        <v/>
      </c>
      <c r="H199" s="371" t="str">
        <f t="shared" si="106"/>
        <v/>
      </c>
      <c r="I199" s="371" t="str">
        <f>IF(Data!$L$31="","",Data!$L$31)</f>
        <v/>
      </c>
      <c r="J199" s="371" t="str">
        <f>IF(Data!$M$31="","",Data!$M$31)</f>
        <v/>
      </c>
      <c r="K199" s="353" t="str">
        <f t="shared" si="107"/>
        <v/>
      </c>
    </row>
    <row r="200" spans="1:18">
      <c r="A200" s="676" t="s">
        <v>505</v>
      </c>
      <c r="B200" s="676"/>
      <c r="C200" s="371" t="str">
        <f>IF(Data!$N$29="","",Data!$N$29)</f>
        <v/>
      </c>
      <c r="D200" s="371" t="str">
        <f>IF(Data!$O$29="","",Data!$O$29)</f>
        <v/>
      </c>
      <c r="E200" s="353" t="str">
        <f t="shared" si="105"/>
        <v/>
      </c>
      <c r="F200" s="371" t="str">
        <f>IF(Data!$N$30="","",Data!$N$30)</f>
        <v/>
      </c>
      <c r="G200" s="371" t="str">
        <f>IF(Data!$O$30="","",Data!$O$30)</f>
        <v/>
      </c>
      <c r="H200" s="371" t="str">
        <f t="shared" si="106"/>
        <v/>
      </c>
      <c r="I200" s="371" t="str">
        <f>IF(Data!$N$31="","",Data!$N$31)</f>
        <v/>
      </c>
      <c r="J200" s="371" t="str">
        <f>IF(Data!$O$31="","",Data!$O$31)</f>
        <v/>
      </c>
      <c r="K200" s="353" t="str">
        <f t="shared" si="107"/>
        <v/>
      </c>
    </row>
    <row r="201" spans="1:18">
      <c r="A201" s="676" t="s">
        <v>506</v>
      </c>
      <c r="B201" s="676"/>
      <c r="C201" s="371">
        <f>IF(Data!$T$29="","",Data!$T$29)</f>
        <v>176</v>
      </c>
      <c r="D201" s="371">
        <f>IF(Data!$U$29="","",Data!$U$29)</f>
        <v>188</v>
      </c>
      <c r="E201" s="353">
        <f t="shared" ref="E201:E206" si="108">IF(OR(ISNUMBER(C201),ISNUMBER(D201)),SUM(C201+D201),"")</f>
        <v>364</v>
      </c>
      <c r="F201" s="371">
        <f>IF(Data!$T$30="","",Data!$T$30)</f>
        <v>0</v>
      </c>
      <c r="G201" s="371">
        <f>IF(Data!$U$30="","",Data!$U$30)</f>
        <v>0</v>
      </c>
      <c r="H201" s="371">
        <f t="shared" si="106"/>
        <v>0</v>
      </c>
      <c r="I201" s="371">
        <f>IF(Data!$T$31="","",Data!$T$31)</f>
        <v>0</v>
      </c>
      <c r="J201" s="371">
        <f>IF(Data!$U$31="","",Data!$U$31)</f>
        <v>0</v>
      </c>
      <c r="K201" s="353">
        <f t="shared" si="107"/>
        <v>0</v>
      </c>
    </row>
    <row r="202" spans="1:18">
      <c r="A202" s="676" t="s">
        <v>507</v>
      </c>
      <c r="B202" s="676"/>
      <c r="C202" s="371">
        <f>IF(Data!$V$29="","",Data!$V$29)</f>
        <v>139</v>
      </c>
      <c r="D202" s="371">
        <f>IF(Data!$W$29="","",Data!$W$29)</f>
        <v>166</v>
      </c>
      <c r="E202" s="371">
        <f t="shared" si="108"/>
        <v>305</v>
      </c>
      <c r="F202" s="371">
        <f>IF(Data!$V$30="","",Data!$V$30)</f>
        <v>0</v>
      </c>
      <c r="G202" s="371">
        <f>IF(Data!$W$30="","",Data!$W$30)</f>
        <v>0</v>
      </c>
      <c r="H202" s="371">
        <f t="shared" si="106"/>
        <v>0</v>
      </c>
      <c r="I202" s="371">
        <f>IF(Data!$V$31="","",Data!$V$31)</f>
        <v>0</v>
      </c>
      <c r="J202" s="371">
        <f>IF(Data!$W$31="","",Data!$W$31)</f>
        <v>0</v>
      </c>
      <c r="K202" s="353">
        <f t="shared" si="107"/>
        <v>0</v>
      </c>
    </row>
    <row r="203" spans="1:18">
      <c r="A203" s="676" t="s">
        <v>508</v>
      </c>
      <c r="B203" s="676"/>
      <c r="C203" s="371">
        <f>IF(Data!$X$29="","",Data!$X$29)</f>
        <v>129</v>
      </c>
      <c r="D203" s="371">
        <f>IF(Data!$Y$29="","",Data!$Y$29)</f>
        <v>118</v>
      </c>
      <c r="E203" s="371">
        <f t="shared" si="108"/>
        <v>247</v>
      </c>
      <c r="F203" s="371">
        <f>IF(Data!$X$30="","",Data!$X$30)</f>
        <v>0</v>
      </c>
      <c r="G203" s="371">
        <f>IF(Data!$Y$30="","",Data!$Y$30)</f>
        <v>0</v>
      </c>
      <c r="H203" s="371">
        <f t="shared" si="106"/>
        <v>0</v>
      </c>
      <c r="I203" s="371">
        <f>IF(Data!$X$31="","",Data!$X$31)</f>
        <v>0</v>
      </c>
      <c r="J203" s="371">
        <f>IF(Data!$Y$31="","",Data!$Y$31)</f>
        <v>0</v>
      </c>
      <c r="K203" s="353">
        <f t="shared" si="107"/>
        <v>0</v>
      </c>
    </row>
    <row r="204" spans="1:18">
      <c r="A204" s="676" t="s">
        <v>509</v>
      </c>
      <c r="B204" s="676"/>
      <c r="C204" s="371">
        <f>IF(Data!$Z$29="","",Data!$Z$29)</f>
        <v>107</v>
      </c>
      <c r="D204" s="371">
        <f>IF(Data!$AA$29="","",Data!$AA$29)</f>
        <v>114</v>
      </c>
      <c r="E204" s="371">
        <f t="shared" si="108"/>
        <v>221</v>
      </c>
      <c r="F204" s="371">
        <f>IF(Data!$Z$30="","",Data!$Z$30)</f>
        <v>0</v>
      </c>
      <c r="G204" s="371">
        <f>IF(Data!$AA$30="","",Data!$AA$30)</f>
        <v>0</v>
      </c>
      <c r="H204" s="371">
        <f t="shared" si="106"/>
        <v>0</v>
      </c>
      <c r="I204" s="371">
        <f>IF(Data!$Z$31="","",Data!$Z$31)</f>
        <v>0</v>
      </c>
      <c r="J204" s="371">
        <f>IF(Data!$AA$31="","",Data!$AA$31)</f>
        <v>0</v>
      </c>
      <c r="K204" s="353">
        <f t="shared" si="107"/>
        <v>0</v>
      </c>
    </row>
    <row r="205" spans="1:18">
      <c r="A205" s="676" t="s">
        <v>510</v>
      </c>
      <c r="B205" s="676"/>
      <c r="C205" s="371">
        <f>IF(Data!$AB$29="","",Data!$AB$29)</f>
        <v>128</v>
      </c>
      <c r="D205" s="371">
        <f>IF(Data!$AC$29="","",Data!$AC$29)</f>
        <v>79</v>
      </c>
      <c r="E205" s="371">
        <f t="shared" si="108"/>
        <v>207</v>
      </c>
      <c r="F205" s="371">
        <f>IF(Data!$AB$30="","",Data!$AB$30)</f>
        <v>0</v>
      </c>
      <c r="G205" s="371">
        <f>IF(Data!$AC$30="","",Data!$AC$30)</f>
        <v>0</v>
      </c>
      <c r="H205" s="371">
        <f t="shared" si="106"/>
        <v>0</v>
      </c>
      <c r="I205" s="371">
        <f>IF(Data!$AB$31="","",Data!$AB$31)</f>
        <v>0</v>
      </c>
      <c r="J205" s="371">
        <f>IF(Data!$AC$31="","",Data!$AC$31)</f>
        <v>0</v>
      </c>
      <c r="K205" s="353">
        <f t="shared" si="107"/>
        <v>0</v>
      </c>
    </row>
    <row r="206" spans="1:18">
      <c r="A206" s="676" t="s">
        <v>511</v>
      </c>
      <c r="B206" s="676"/>
      <c r="C206" s="371">
        <f>IF(Data!$AD$29="","",Data!$AD$29)</f>
        <v>93</v>
      </c>
      <c r="D206" s="371">
        <f>IF(Data!$AE$29="","",Data!$AE$29)</f>
        <v>68</v>
      </c>
      <c r="E206" s="371">
        <f t="shared" si="108"/>
        <v>161</v>
      </c>
      <c r="F206" s="371">
        <f>IF(Data!$AD$30="","",Data!$AD$30)</f>
        <v>0</v>
      </c>
      <c r="G206" s="371">
        <f>IF(Data!$AE$30="","",Data!$AE$30)</f>
        <v>0</v>
      </c>
      <c r="H206" s="371">
        <f>IF(OR(ISNUMBER(F206),ISNUMBER(G206)),SUM(F206+G206),"")</f>
        <v>0</v>
      </c>
      <c r="I206" s="371">
        <f>IF(Data!$AD$31="","",Data!$AD$31)</f>
        <v>0</v>
      </c>
      <c r="J206" s="371">
        <f>IF(Data!$AE$30="","",Data!$AE$30)</f>
        <v>0</v>
      </c>
      <c r="K206" s="353">
        <f t="shared" si="107"/>
        <v>0</v>
      </c>
    </row>
    <row r="208" spans="1:18">
      <c r="A208" s="673" t="s">
        <v>514</v>
      </c>
      <c r="B208" s="673"/>
      <c r="C208" s="353" t="s">
        <v>496</v>
      </c>
      <c r="D208" s="353" t="s">
        <v>497</v>
      </c>
      <c r="E208" s="353" t="s">
        <v>18</v>
      </c>
    </row>
    <row r="209" spans="1:43" ht="20.25" customHeight="1">
      <c r="A209" s="673" t="str">
        <f>IF(A3="","",A3)</f>
        <v>SY 2016-2017</v>
      </c>
      <c r="B209" s="673"/>
    </row>
    <row r="210" spans="1:43" ht="20.25" customHeight="1">
      <c r="A210" s="673" t="str">
        <f>IF(A4="","",A4)</f>
        <v>SY 2017-2018</v>
      </c>
      <c r="B210" s="673"/>
    </row>
    <row r="211" spans="1:43" ht="20.25" customHeight="1">
      <c r="A211" s="673" t="str">
        <f>IF(A5="","",A5)</f>
        <v>SY 2018-2019</v>
      </c>
      <c r="B211" s="673"/>
    </row>
    <row r="212" spans="1:43">
      <c r="AP212" s="353" t="s">
        <v>560</v>
      </c>
    </row>
    <row r="213" spans="1:43">
      <c r="C213" s="674" t="s">
        <v>5</v>
      </c>
      <c r="D213" s="674"/>
      <c r="E213" s="674" t="s">
        <v>6</v>
      </c>
      <c r="F213" s="674"/>
      <c r="G213" s="674" t="s">
        <v>7</v>
      </c>
      <c r="H213" s="674"/>
      <c r="I213" s="674" t="s">
        <v>8</v>
      </c>
      <c r="J213" s="674"/>
      <c r="K213" s="674" t="s">
        <v>9</v>
      </c>
      <c r="L213" s="674"/>
      <c r="M213" s="674" t="s">
        <v>10</v>
      </c>
      <c r="N213" s="674"/>
      <c r="O213" s="674" t="s">
        <v>11</v>
      </c>
      <c r="P213" s="674"/>
      <c r="Q213" s="674" t="s">
        <v>810</v>
      </c>
      <c r="R213" s="674"/>
      <c r="S213" s="674" t="s">
        <v>811</v>
      </c>
      <c r="T213" s="674"/>
      <c r="U213" s="674" t="s">
        <v>12</v>
      </c>
      <c r="V213" s="674"/>
      <c r="W213" s="674" t="s">
        <v>13</v>
      </c>
      <c r="X213" s="674"/>
      <c r="Y213" s="674" t="s">
        <v>14</v>
      </c>
      <c r="Z213" s="674"/>
      <c r="AA213" s="674" t="s">
        <v>15</v>
      </c>
      <c r="AB213" s="674"/>
      <c r="AC213" s="674" t="s">
        <v>16</v>
      </c>
      <c r="AD213" s="674"/>
      <c r="AE213" s="674" t="s">
        <v>17</v>
      </c>
      <c r="AF213" s="674"/>
      <c r="AH213" s="353" t="s">
        <v>18</v>
      </c>
      <c r="AP213" s="353" t="s">
        <v>561</v>
      </c>
      <c r="AQ213" s="353" t="s">
        <v>517</v>
      </c>
    </row>
    <row r="214" spans="1:43">
      <c r="C214" s="367" t="s">
        <v>23</v>
      </c>
      <c r="D214" s="367" t="s">
        <v>24</v>
      </c>
      <c r="E214" s="367" t="s">
        <v>23</v>
      </c>
      <c r="F214" s="367" t="s">
        <v>24</v>
      </c>
      <c r="G214" s="367" t="s">
        <v>23</v>
      </c>
      <c r="H214" s="367" t="s">
        <v>24</v>
      </c>
      <c r="I214" s="367" t="s">
        <v>23</v>
      </c>
      <c r="J214" s="367" t="s">
        <v>24</v>
      </c>
      <c r="K214" s="367" t="s">
        <v>23</v>
      </c>
      <c r="L214" s="367" t="s">
        <v>24</v>
      </c>
      <c r="M214" s="367" t="s">
        <v>23</v>
      </c>
      <c r="N214" s="367" t="s">
        <v>24</v>
      </c>
      <c r="O214" s="367" t="s">
        <v>23</v>
      </c>
      <c r="P214" s="367" t="s">
        <v>24</v>
      </c>
      <c r="Q214" s="367" t="s">
        <v>23</v>
      </c>
      <c r="R214" s="367" t="s">
        <v>24</v>
      </c>
      <c r="S214" s="367" t="s">
        <v>23</v>
      </c>
      <c r="T214" s="367" t="s">
        <v>24</v>
      </c>
      <c r="U214" s="367" t="s">
        <v>23</v>
      </c>
      <c r="V214" s="367" t="s">
        <v>24</v>
      </c>
      <c r="W214" s="367" t="s">
        <v>23</v>
      </c>
      <c r="X214" s="367" t="s">
        <v>24</v>
      </c>
      <c r="Y214" s="367" t="s">
        <v>23</v>
      </c>
      <c r="Z214" s="367" t="s">
        <v>24</v>
      </c>
      <c r="AA214" s="367" t="s">
        <v>23</v>
      </c>
      <c r="AB214" s="367" t="s">
        <v>24</v>
      </c>
      <c r="AC214" s="367" t="s">
        <v>23</v>
      </c>
      <c r="AD214" s="367" t="s">
        <v>24</v>
      </c>
      <c r="AE214" s="367" t="s">
        <v>23</v>
      </c>
      <c r="AF214" s="367" t="s">
        <v>24</v>
      </c>
      <c r="AH214" s="367" t="s">
        <v>23</v>
      </c>
      <c r="AI214" s="367" t="s">
        <v>24</v>
      </c>
      <c r="AJ214" s="353" t="s">
        <v>558</v>
      </c>
      <c r="AK214" s="353" t="s">
        <v>559</v>
      </c>
      <c r="AP214" s="353">
        <f>IF(OR(ISNUMBER(Data!C377),ISNUMBER(Data!E377),ISNUMBER(Data!H377)),SUM(Data!C377,Data!E377,Data!H377),"")</f>
        <v>18</v>
      </c>
      <c r="AQ214" s="353">
        <f>IF(AJ217="","",(ROUND(AJ217/50,0)))</f>
        <v>30</v>
      </c>
    </row>
    <row r="215" spans="1:43">
      <c r="A215" s="673" t="str">
        <f>A209</f>
        <v>SY 2016-2017</v>
      </c>
      <c r="B215" s="673"/>
      <c r="C215" s="353" t="str">
        <f>IF(SUM(Data!B17:B19)&lt;1,"",SUM(Data!B17:B19))</f>
        <v/>
      </c>
      <c r="D215" s="399" t="str">
        <f>IF(SUM(Data!C17:C19)&lt;1,"",SUM(Data!C17:C19))</f>
        <v/>
      </c>
      <c r="E215" s="399" t="str">
        <f>IF(SUM(Data!D17:D19)&lt;1,"",SUM(Data!D17:D19))</f>
        <v/>
      </c>
      <c r="F215" s="399" t="str">
        <f>IF(SUM(Data!E17:E19)&lt;1,"",SUM(Data!E17:E19))</f>
        <v/>
      </c>
      <c r="G215" s="399" t="str">
        <f>IF(SUM(Data!F17:F19)&lt;1,"",SUM(Data!F17:F19))</f>
        <v/>
      </c>
      <c r="H215" s="399" t="str">
        <f>IF(SUM(Data!G17:G19)&lt;1,"",SUM(Data!G17:G19))</f>
        <v/>
      </c>
      <c r="I215" s="399" t="str">
        <f>IF(SUM(Data!H17:H19)&lt;1,"",SUM(Data!H17:H19))</f>
        <v/>
      </c>
      <c r="J215" s="399" t="str">
        <f>IF(SUM(Data!I17:I19)&lt;1,"",SUM(Data!I17:I19))</f>
        <v/>
      </c>
      <c r="K215" s="399" t="str">
        <f>IF(SUM(Data!J17:J19)&lt;1,"",SUM(Data!J17:J19))</f>
        <v/>
      </c>
      <c r="L215" s="399" t="str">
        <f>IF(SUM(Data!K17:K19)&lt;1,"",SUM(Data!K17:K19))</f>
        <v/>
      </c>
      <c r="M215" s="399" t="str">
        <f>IF(SUM(Data!L17:L19)&lt;1,"",SUM(Data!L17:L19))</f>
        <v/>
      </c>
      <c r="N215" s="399" t="str">
        <f>IF(SUM(Data!M17:M19)&lt;1,"",SUM(Data!M17:M19))</f>
        <v/>
      </c>
      <c r="O215" s="399" t="str">
        <f>IF(SUM(Data!N17:N19)&lt;1,"",SUM(Data!N17:N19))</f>
        <v/>
      </c>
      <c r="P215" s="399" t="str">
        <f>IF(SUM(Data!O17:O19)&lt;1,"",SUM(Data!O17:O19))</f>
        <v/>
      </c>
      <c r="Q215" s="399" t="str">
        <f>IF(SUM(Data!P17:P19)&lt;1,"",SUM(Data!P17:P19))</f>
        <v/>
      </c>
      <c r="R215" s="399" t="str">
        <f>IF(SUM(Data!Q17:Q19)&lt;1,"",SUM(Data!Q17:Q19))</f>
        <v/>
      </c>
      <c r="S215" s="399" t="str">
        <f>IF(SUM(Data!R17:R19)&lt;1,"",SUM(Data!R17:R19))</f>
        <v/>
      </c>
      <c r="T215" s="399" t="str">
        <f>IF(SUM(Data!S17:S19)&lt;1,"",SUM(Data!S17:S19))</f>
        <v/>
      </c>
      <c r="U215" s="399">
        <f>IF(SUM(Data!T17:T19)&lt;1,"",SUM(Data!T17:T19))</f>
        <v>168</v>
      </c>
      <c r="V215" s="399">
        <f>IF(SUM(Data!U17:U19)&lt;1,"",SUM(Data!U17:U19))</f>
        <v>132</v>
      </c>
      <c r="W215" s="399">
        <f>IF(SUM(Data!V17:V19)&lt;1,"",SUM(Data!V17:V19))</f>
        <v>129</v>
      </c>
      <c r="X215" s="399">
        <f>IF(SUM(Data!W17:W19)&lt;1,"",SUM(Data!W17:W19))</f>
        <v>138</v>
      </c>
      <c r="Y215" s="399">
        <f>IF(SUM(Data!X17:X19)&lt;1,"",SUM(Data!X17:X19))</f>
        <v>132</v>
      </c>
      <c r="Z215" s="399">
        <f>IF(SUM(Data!Y17:Y19)&lt;1,"",SUM(Data!Y17:Y19))</f>
        <v>136</v>
      </c>
      <c r="AA215" s="399">
        <f>IF(SUM(Data!Z17:Z19)&lt;1,"",SUM(Data!Z17:Z19))</f>
        <v>108</v>
      </c>
      <c r="AB215" s="399">
        <f>IF(SUM(Data!AA17:AA19)&lt;1,"",SUM(Data!AA17:AA19))</f>
        <v>138</v>
      </c>
      <c r="AC215" s="399">
        <f>IF(SUM(Data!AB17:AB19)&lt;1,"",SUM(Data!AB17:AB19))</f>
        <v>134</v>
      </c>
      <c r="AD215" s="399">
        <f>IF(SUM(Data!AC17:AC19)&lt;1,"",SUM(Data!AC17:AC19))</f>
        <v>75</v>
      </c>
      <c r="AE215" s="399" t="str">
        <f>IF(SUM(Data!AD17:AD19)&lt;1,"",SUM(Data!AD17:AD19))</f>
        <v/>
      </c>
      <c r="AF215" s="399" t="str">
        <f>IF(SUM(Data!AE17:AE19)&lt;1,"",SUM(Data!AE17:AE19))</f>
        <v/>
      </c>
      <c r="AH215" s="353">
        <f t="shared" ref="AH215:AI217" si="109">SUM(C215,E215,G215,I215,K215,M215,O215,Q215,S215,U215,W215,Y215,AA215,AC215,AE215)</f>
        <v>671</v>
      </c>
      <c r="AI215" s="353">
        <f t="shared" si="109"/>
        <v>619</v>
      </c>
      <c r="AJ215" s="326">
        <f>IF(SUM(AH215:AI215)&gt;0,SUM(AH215:AI215),"")</f>
        <v>1290</v>
      </c>
      <c r="AK215" s="353">
        <f>IF(Data!C371="","",Data!C371)</f>
        <v>1520</v>
      </c>
      <c r="AL215" s="353" t="str">
        <f>IF(AND(ISNUMBER(Data!E371),ISNUMBER(Data!F371)),Data!E371*Data!F371,"")</f>
        <v/>
      </c>
      <c r="AM215" s="353" t="str">
        <f>IF(AND(ISNUMBER(Data!G371),ISNUMBER(Data!H371)),Data!G371*Data!H371,"")</f>
        <v/>
      </c>
      <c r="AN215" s="353">
        <f>IF(OR(ISNUMBER(AK215),ISNUMBER(AL215),ISNUMBER(AM215)),SUM(AK215:AM215),"")</f>
        <v>1520</v>
      </c>
    </row>
    <row r="216" spans="1:43">
      <c r="A216" s="673" t="str">
        <f>A210</f>
        <v>SY 2017-2018</v>
      </c>
      <c r="B216" s="673"/>
      <c r="C216" s="399" t="str">
        <f>IF(SUM(Data!B23:B25)&lt;1,"",SUM(Data!B23:B25))</f>
        <v/>
      </c>
      <c r="D216" s="399" t="str">
        <f>IF(SUM(Data!C23:C25)&lt;1,"",SUM(Data!C23:C25))</f>
        <v/>
      </c>
      <c r="E216" s="399" t="str">
        <f>IF(SUM(Data!D23:D25)&lt;1,"",SUM(Data!D23:D25))</f>
        <v/>
      </c>
      <c r="F216" s="399" t="str">
        <f>IF(SUM(Data!E23:E25)&lt;1,"",SUM(Data!E23:E25))</f>
        <v/>
      </c>
      <c r="G216" s="399" t="str">
        <f>IF(SUM(Data!F23:F25)&lt;1,"",SUM(Data!F23:F25))</f>
        <v/>
      </c>
      <c r="H216" s="399" t="str">
        <f>IF(SUM(Data!G23:G25)&lt;1,"",SUM(Data!G23:G25))</f>
        <v/>
      </c>
      <c r="I216" s="399" t="str">
        <f>IF(SUM(Data!H23:H25)&lt;1,"",SUM(Data!H23:H25))</f>
        <v/>
      </c>
      <c r="J216" s="399" t="str">
        <f>IF(SUM(Data!I23:I25)&lt;1,"",SUM(Data!I23:I25))</f>
        <v/>
      </c>
      <c r="K216" s="399" t="str">
        <f>IF(SUM(Data!J23:J25)&lt;1,"",SUM(Data!J23:J25))</f>
        <v/>
      </c>
      <c r="L216" s="399" t="str">
        <f>IF(SUM(Data!K23:K25)&lt;1,"",SUM(Data!K23:K25))</f>
        <v/>
      </c>
      <c r="M216" s="399" t="str">
        <f>IF(SUM(Data!L23:L25)&lt;1,"",SUM(Data!L23:L25))</f>
        <v/>
      </c>
      <c r="N216" s="399" t="str">
        <f>IF(SUM(Data!M23:M25)&lt;1,"",SUM(Data!M23:M25))</f>
        <v/>
      </c>
      <c r="O216" s="399" t="str">
        <f>IF(SUM(Data!N23:N25)&lt;1,"",SUM(Data!N23:N25))</f>
        <v/>
      </c>
      <c r="P216" s="399" t="str">
        <f>IF(SUM(Data!O23:O25)&lt;1,"",SUM(Data!O23:O25))</f>
        <v/>
      </c>
      <c r="Q216" s="399" t="str">
        <f>IF(SUM(Data!P23:P25)&lt;1,"",SUM(Data!P23:P25))</f>
        <v/>
      </c>
      <c r="R216" s="399" t="str">
        <f>IF(SUM(Data!Q23:Q25)&lt;1,"",SUM(Data!Q23:Q25))</f>
        <v/>
      </c>
      <c r="S216" s="399" t="str">
        <f>IF(SUM(Data!R23:R25)&lt;1,"",SUM(Data!R23:R25))</f>
        <v/>
      </c>
      <c r="T216" s="399" t="str">
        <f>IF(SUM(Data!S23:S25)&lt;1,"",SUM(Data!S23:S25))</f>
        <v/>
      </c>
      <c r="U216" s="399">
        <f>IF(SUM(Data!T23:T25)&lt;1,"",SUM(Data!T23:T25))</f>
        <v>144</v>
      </c>
      <c r="V216" s="399">
        <f>IF(SUM(Data!U23:U25)&lt;1,"",SUM(Data!U23:U25))</f>
        <v>172</v>
      </c>
      <c r="W216" s="399">
        <f>IF(SUM(Data!V23:V25)&lt;1,"",SUM(Data!V23:V25))</f>
        <v>140</v>
      </c>
      <c r="X216" s="399">
        <f>IF(SUM(Data!W23:W25)&lt;1,"",SUM(Data!W23:W25))</f>
        <v>123</v>
      </c>
      <c r="Y216" s="399">
        <f>IF(SUM(Data!X23:X25)&lt;1,"",SUM(Data!X23:X25))</f>
        <v>118</v>
      </c>
      <c r="Z216" s="399">
        <f>IF(SUM(Data!Y23:Y25)&lt;1,"",SUM(Data!Y23:Y25))</f>
        <v>129</v>
      </c>
      <c r="AA216" s="399">
        <f>IF(SUM(Data!Z23:Z25)&lt;1,"",SUM(Data!Z23:Z25))</f>
        <v>109</v>
      </c>
      <c r="AB216" s="399">
        <f>IF(SUM(Data!AA23:AA25)&lt;1,"",SUM(Data!AA23:AA25))</f>
        <v>123</v>
      </c>
      <c r="AC216" s="399">
        <f>IF(SUM(Data!AB23:AB25)&lt;1,"",SUM(Data!AB23:AB25))</f>
        <v>113</v>
      </c>
      <c r="AD216" s="399">
        <f>IF(SUM(Data!AC23:AC25)&lt;1,"",SUM(Data!AC23:AC25))</f>
        <v>70</v>
      </c>
      <c r="AE216" s="399">
        <f>IF(SUM(Data!AD23:AD25)&lt;1,"",SUM(Data!AD23:AD25))</f>
        <v>117</v>
      </c>
      <c r="AF216" s="399">
        <f>IF(SUM(Data!AE23:AE25)&lt;1,"",SUM(Data!AE23:AE25))</f>
        <v>60</v>
      </c>
      <c r="AH216" s="353">
        <f t="shared" si="109"/>
        <v>741</v>
      </c>
      <c r="AI216" s="353">
        <f t="shared" si="109"/>
        <v>677</v>
      </c>
      <c r="AJ216" s="326">
        <f>IF(SUM(AH216:AI216)&gt;0,SUM(AH216:AI216),"")</f>
        <v>1418</v>
      </c>
    </row>
    <row r="217" spans="1:43">
      <c r="A217" s="673" t="str">
        <f>A211</f>
        <v>SY 2018-2019</v>
      </c>
      <c r="B217" s="673"/>
      <c r="C217" s="399" t="str">
        <f>IF(SUM(Data!B29:B31)&lt;1,"",SUM(Data!B29:B31))</f>
        <v/>
      </c>
      <c r="D217" s="399" t="str">
        <f>IF(SUM(Data!C29:C31)&lt;1,"",SUM(Data!C29:C31))</f>
        <v/>
      </c>
      <c r="E217" s="399" t="str">
        <f>IF(SUM(Data!D29:D31)&lt;1,"",SUM(Data!D29:D31))</f>
        <v/>
      </c>
      <c r="F217" s="399" t="str">
        <f>IF(SUM(Data!E29:E31)&lt;1,"",SUM(Data!E29:E31))</f>
        <v/>
      </c>
      <c r="G217" s="399" t="str">
        <f>IF(SUM(Data!F29:F31)&lt;1,"",SUM(Data!F29:F31))</f>
        <v/>
      </c>
      <c r="H217" s="399" t="str">
        <f>IF(SUM(Data!G29:G31)&lt;1,"",SUM(Data!G29:G31))</f>
        <v/>
      </c>
      <c r="I217" s="399" t="str">
        <f>IF(SUM(Data!H29:H31)&lt;1,"",SUM(Data!H29:H31))</f>
        <v/>
      </c>
      <c r="J217" s="399" t="str">
        <f>IF(SUM(Data!I29:I31)&lt;1,"",SUM(Data!I29:I31))</f>
        <v/>
      </c>
      <c r="K217" s="399" t="str">
        <f>IF(SUM(Data!J29:J31)&lt;1,"",SUM(Data!J29:J31))</f>
        <v/>
      </c>
      <c r="L217" s="399" t="str">
        <f>IF(SUM(Data!K29:K31)&lt;1,"",SUM(Data!K29:K31))</f>
        <v/>
      </c>
      <c r="M217" s="399" t="str">
        <f>IF(SUM(Data!L29:L31)&lt;1,"",SUM(Data!L29:L31))</f>
        <v/>
      </c>
      <c r="N217" s="399" t="str">
        <f>IF(SUM(Data!M29:M31)&lt;1,"",SUM(Data!M29:M31))</f>
        <v/>
      </c>
      <c r="O217" s="399" t="str">
        <f>IF(SUM(Data!N29:N31)&lt;1,"",SUM(Data!N29:N31))</f>
        <v/>
      </c>
      <c r="P217" s="399" t="str">
        <f>IF(SUM(Data!O29:O31)&lt;1,"",SUM(Data!O29:O31))</f>
        <v/>
      </c>
      <c r="Q217" s="399" t="str">
        <f>IF(SUM(Data!P29:P31)&lt;1,"",SUM(Data!P29:P31))</f>
        <v/>
      </c>
      <c r="R217" s="399" t="str">
        <f>IF(SUM(Data!Q29:Q31)&lt;1,"",SUM(Data!Q29:Q31))</f>
        <v/>
      </c>
      <c r="S217" s="399" t="str">
        <f>IF(SUM(Data!R29:R31)&lt;1,"",SUM(Data!R29:R31))</f>
        <v/>
      </c>
      <c r="T217" s="399" t="str">
        <f>IF(SUM(Data!S29:S31)&lt;1,"",SUM(Data!S29:S31))</f>
        <v/>
      </c>
      <c r="U217" s="399">
        <f>IF(SUM(Data!T29:T31)&lt;1,"",SUM(Data!T29:T31))</f>
        <v>176</v>
      </c>
      <c r="V217" s="399">
        <f>IF(SUM(Data!U29:U31)&lt;1,"",SUM(Data!U29:U31))</f>
        <v>188</v>
      </c>
      <c r="W217" s="399">
        <f>IF(SUM(Data!V29:V31)&lt;1,"",SUM(Data!V29:V31))</f>
        <v>139</v>
      </c>
      <c r="X217" s="399">
        <f>IF(SUM(Data!W29:W31)&lt;1,"",SUM(Data!W29:W31))</f>
        <v>166</v>
      </c>
      <c r="Y217" s="399">
        <f>IF(SUM(Data!X29:X31)&lt;1,"",SUM(Data!X29:X31))</f>
        <v>129</v>
      </c>
      <c r="Z217" s="399">
        <f>IF(SUM(Data!Y29:Y31)&lt;1,"",SUM(Data!Y29:Y31))</f>
        <v>118</v>
      </c>
      <c r="AA217" s="399">
        <f>IF(SUM(Data!Z29:Z31)&lt;1,"",SUM(Data!Z29:Z31))</f>
        <v>107</v>
      </c>
      <c r="AB217" s="399">
        <f>IF(SUM(Data!AA29:AA31)&lt;1,"",SUM(Data!AA29:AA31))</f>
        <v>114</v>
      </c>
      <c r="AC217" s="399">
        <f>IF(SUM(Data!AB29:AB31)&lt;1,"",SUM(Data!AB29:AB31))</f>
        <v>128</v>
      </c>
      <c r="AD217" s="399">
        <f>IF(SUM(Data!AC29:AC31)&lt;1,"",SUM(Data!AC29:AC31))</f>
        <v>79</v>
      </c>
      <c r="AE217" s="399">
        <f>IF(SUM(Data!AD29:AD31)&lt;1,"",SUM(Data!AD29:AD31))</f>
        <v>93</v>
      </c>
      <c r="AF217" s="399">
        <f>IF(SUM(Data!AE29:AE31)&lt;1,"",SUM(Data!AE29:AE31))</f>
        <v>68</v>
      </c>
      <c r="AH217" s="353">
        <f t="shared" si="109"/>
        <v>772</v>
      </c>
      <c r="AI217" s="353">
        <f t="shared" si="109"/>
        <v>733</v>
      </c>
      <c r="AJ217" s="326">
        <f>IF(SUM(AH217:AI217)&gt;0,SUM(AH217:AI217),"")</f>
        <v>1505</v>
      </c>
    </row>
    <row r="218" spans="1:43">
      <c r="D218" s="419" t="str">
        <f>IF(SUM(C217:D217)&lt;1,"",SUM(C217:D217))</f>
        <v/>
      </c>
      <c r="F218" s="419" t="str">
        <f>IF(SUM(E217:F217)&lt;1,"",SUM(E217:F217))</f>
        <v/>
      </c>
      <c r="H218" s="419" t="str">
        <f>IF(SUM(G217:H217)&lt;1,"",SUM(G217:H217))</f>
        <v/>
      </c>
      <c r="J218" s="419" t="str">
        <f>IF(SUM(I217:J217)&lt;1,"",SUM(I217:J217))</f>
        <v/>
      </c>
      <c r="L218" s="419" t="str">
        <f>IF(SUM(K217:L217)&lt;1,"",SUM(K217:L217))</f>
        <v/>
      </c>
      <c r="N218" s="419" t="str">
        <f>IF(SUM(M217:N217)&lt;1,"",SUM(M217:N217))</f>
        <v/>
      </c>
      <c r="P218" s="419" t="str">
        <f>IF(SUM(O217:P217)&lt;1,"",SUM(O217:P217))</f>
        <v/>
      </c>
      <c r="R218" s="419" t="str">
        <f>IF(SUM(Q217:R217)&lt;1,"",SUM(Q217:R217))</f>
        <v/>
      </c>
      <c r="T218" s="419" t="str">
        <f>IF(SUM(S217:T217)&lt;1,"",SUM(S217:T217))</f>
        <v/>
      </c>
      <c r="V218" s="419">
        <f>IF(SUM(U217:V217)&lt;1,"",SUM(U217:V217))</f>
        <v>364</v>
      </c>
      <c r="X218" s="419">
        <f>IF(SUM(W217:X217)&lt;1,"",SUM(W217:X217))</f>
        <v>305</v>
      </c>
      <c r="Z218" s="419">
        <f>IF(SUM(Y217:Z217)&lt;1,"",SUM(Y217:Z217))</f>
        <v>247</v>
      </c>
      <c r="AB218" s="419">
        <f>IF(SUM(AA217:AB217)&lt;1,"",SUM(AA217:AB217))</f>
        <v>221</v>
      </c>
      <c r="AD218" s="419">
        <f>IF(SUM(AC217:AD217)&lt;1,"",SUM(AC217:AD217))</f>
        <v>207</v>
      </c>
      <c r="AF218" s="419">
        <f>IF(SUM(AE217:AF217)&lt;1,"",SUM(AE217:AF217))</f>
        <v>161</v>
      </c>
      <c r="AG218" s="326"/>
      <c r="AH218" s="326"/>
      <c r="AI218" s="419">
        <f>IF(SUM(AH217:AI217)&lt;1,"",SUM(AH217:AI217))</f>
        <v>1505</v>
      </c>
    </row>
    <row r="220" spans="1:43">
      <c r="A220" s="353" t="s">
        <v>565</v>
      </c>
      <c r="AL220" s="353" t="s">
        <v>697</v>
      </c>
    </row>
    <row r="221" spans="1:43">
      <c r="A221" s="353" t="s">
        <v>562</v>
      </c>
      <c r="B221" s="353" t="str">
        <f>IF(D5="","",IF($AJ$215=0,"","From"))</f>
        <v>From</v>
      </c>
      <c r="C221" s="368" t="str">
        <f>$A$4</f>
        <v>SY 2017-2018</v>
      </c>
      <c r="D221" s="353" t="s">
        <v>615</v>
      </c>
      <c r="E221" s="353" t="str">
        <f>$F$3</f>
        <v>increased</v>
      </c>
      <c r="F221" s="353" t="str">
        <f>IF($E$221="maintained","to"&amp;" "&amp;$B$4,CONCATENATE("from"&amp;" "&amp;$B$4&amp;" "&amp;"to"&amp;" "&amp;$B$5))</f>
        <v>from 741 to 772</v>
      </c>
      <c r="G221" s="353" t="str">
        <f>$H$3</f>
        <v>and</v>
      </c>
      <c r="H221" s="353" t="s">
        <v>566</v>
      </c>
      <c r="I221" s="353" t="str">
        <f>$G$3</f>
        <v>increased</v>
      </c>
      <c r="J221" s="353" t="s">
        <v>606</v>
      </c>
      <c r="K221" s="353" t="s">
        <v>567</v>
      </c>
      <c r="L221" s="353" t="str">
        <f>IF($B$221="","",CONCATENATE(B221," ",C221," ",D221," ",E221," ",F221,","," ",G221," ",H221," ",I221," ",V221,"."," ",K221))</f>
        <v>From SY 2017-2018 the number of male enrollees increased from 741 to 772, and the number of female enrollees increased from 677 to 733. This can be attributed to:</v>
      </c>
      <c r="V221" s="353" t="str">
        <f>IF($I$221="maintained","to"&amp;" "&amp;$C$4,CONCATENATE("from"&amp;" "&amp;$C$4&amp;" "&amp;"to"&amp;" "&amp;$C$5))</f>
        <v>from 677 to 733</v>
      </c>
      <c r="AK221" s="353" t="s">
        <v>957</v>
      </c>
      <c r="AL221" s="353" t="str">
        <f>D218</f>
        <v/>
      </c>
    </row>
    <row r="222" spans="1:43">
      <c r="A222" s="353" t="s">
        <v>788</v>
      </c>
      <c r="B222" s="353" t="str">
        <f>IF(D5="","",IF($AJ$215=0,"","Mula"))</f>
        <v>Mula</v>
      </c>
      <c r="C222" s="368" t="str">
        <f>$A$4</f>
        <v>SY 2017-2018</v>
      </c>
      <c r="D222" s="353" t="s">
        <v>771</v>
      </c>
      <c r="E222" s="353" t="str">
        <f>IF($E$221="maintained","nananatili",IF($E$221="increased","tumataas",IF($E$221="decreased","bumaba","")))</f>
        <v>tumataas</v>
      </c>
      <c r="F222" s="353" t="str">
        <f>IF($E$222="nananatili","sa"&amp;" "&amp;$B$4,CONCATENATE("mula"&amp;" "&amp;$B$4&amp;" "&amp;"hanggang"&amp;" "&amp;$B$5))</f>
        <v>mula 741 hanggang 772</v>
      </c>
      <c r="G222" s="353" t="str">
        <f>IF(G221="and", "at ang","habang ang")</f>
        <v>at ang</v>
      </c>
      <c r="H222" s="353" t="s">
        <v>770</v>
      </c>
      <c r="I222" s="353" t="str">
        <f>IF($I$221="maintained","nananatili",IF($I$221="increased","tumataas",IF($I$221="decreased","bumaba","")))</f>
        <v>tumataas</v>
      </c>
      <c r="J222" s="353" t="s">
        <v>606</v>
      </c>
      <c r="K222" s="353" t="s">
        <v>568</v>
      </c>
      <c r="L222" s="353" t="str">
        <f>IF($B$221="","",CONCATENATE(B222," ",C222," ",D222," ",E222," ",F222,","," ",G222," ",H222," ",I222," ",V222,"."," ",K222))</f>
        <v>Mula SY 2017-2018 ang bilang ng mga lalaking nag-enroll ay tumataas mula 741 hanggang 772, at ang bilang ng mga babae na nag-enroll ay tumataas mula 677 hanggang 733. Ito ay dahil sa mga sumusunod:</v>
      </c>
      <c r="V222" s="353" t="str">
        <f>IF($I$222="nananatili","sa"&amp;" "&amp;$C$4,CONCATENATE("mula"&amp;" "&amp;$C$4&amp;" "&amp;"hanggang"&amp;" "&amp;$C$5))</f>
        <v>mula 677 hanggang 733</v>
      </c>
      <c r="AK222" s="353">
        <v>1</v>
      </c>
      <c r="AL222" s="353" t="str">
        <f>F218</f>
        <v/>
      </c>
    </row>
    <row r="223" spans="1:43">
      <c r="A223" s="353" t="s">
        <v>793</v>
      </c>
      <c r="B223" s="353" t="str">
        <f>IF(D5="","",IF($AJ$215=0,"","Gikan"))</f>
        <v>Gikan</v>
      </c>
      <c r="C223" s="368" t="str">
        <f>$A$4</f>
        <v>SY 2017-2018</v>
      </c>
      <c r="D223" s="353" t="s">
        <v>592</v>
      </c>
      <c r="E223" s="353" t="str">
        <f>IF($E$221="maintained","nagpabilin",IF($E$221="increased","nisaka",IF($E$221="decreased","nikunhod","")))</f>
        <v>nisaka</v>
      </c>
      <c r="F223" s="353" t="str">
        <f>IF($E$223="nagpabilin","sa"&amp;" "&amp;$B$4,CONCATENATE("gikan sa"&amp;" "&amp;$B$4&amp;" "&amp;"hangtud"&amp;" "&amp;$B$5))</f>
        <v>gikan sa 741 hangtud 772</v>
      </c>
      <c r="G223" s="353" t="str">
        <f>IF(G221="and", "ug ang","samtang ang")</f>
        <v>ug ang</v>
      </c>
      <c r="H223" s="353" t="s">
        <v>670</v>
      </c>
      <c r="I223" s="353" t="str">
        <f>IF($I$221="maintained","nagpabilin",IF($I$221="increased","nisaka",IF($I$221="decreased","nikunhod","")))</f>
        <v>nisaka</v>
      </c>
      <c r="J223" s="353" t="s">
        <v>606</v>
      </c>
      <c r="K223" s="353" t="s">
        <v>593</v>
      </c>
      <c r="L223" s="353" t="str">
        <f>IF($B$221="","",CONCATENATE(B223," ",C223," ",D223," ",E223," ",F223,","," ",G223," ",H223," ",I223," ",V223,"."," ",K223))</f>
        <v>Gikan SY 2017-2018 ang gidaghanon sa mga lalaki nga ni-enroll nisaka gikan sa 741 hangtud 772, ug ang gidaghanon sa mga babaye nga ni-enrol nisaka gikan sa 677 hangtud 733. Ug kini gumikan sa:</v>
      </c>
      <c r="V223" s="353" t="str">
        <f>IF($I$221="nagpabilin","sa"&amp;" "&amp;$C$4,CONCATENATE("gikan sa"&amp;" "&amp;$C$4&amp;" "&amp;"hangtud"&amp;" "&amp;$C$5))</f>
        <v>gikan sa 677 hangtud 733</v>
      </c>
      <c r="AK223" s="353">
        <v>2</v>
      </c>
      <c r="AL223" s="353" t="str">
        <f>H218</f>
        <v/>
      </c>
    </row>
    <row r="224" spans="1:43">
      <c r="A224" s="353" t="s">
        <v>802</v>
      </c>
      <c r="C224" s="368"/>
      <c r="AK224" s="353">
        <v>3</v>
      </c>
      <c r="AL224" s="353" t="str">
        <f>J218</f>
        <v/>
      </c>
    </row>
    <row r="225" spans="1:38">
      <c r="A225" s="353" t="s">
        <v>792</v>
      </c>
      <c r="C225" s="368"/>
      <c r="AK225" s="353">
        <v>4</v>
      </c>
      <c r="AL225" s="353" t="str">
        <f>L218</f>
        <v/>
      </c>
    </row>
    <row r="226" spans="1:38">
      <c r="A226" s="353" t="s">
        <v>798</v>
      </c>
      <c r="C226" s="368"/>
      <c r="AK226" s="353">
        <v>5</v>
      </c>
      <c r="AL226" s="353" t="str">
        <f>N218</f>
        <v/>
      </c>
    </row>
    <row r="227" spans="1:38">
      <c r="A227" s="353" t="s">
        <v>564</v>
      </c>
      <c r="C227" s="368"/>
      <c r="AK227" s="353">
        <v>6</v>
      </c>
      <c r="AL227" s="353" t="str">
        <f>P218</f>
        <v/>
      </c>
    </row>
    <row r="228" spans="1:38">
      <c r="A228" s="353" t="s">
        <v>791</v>
      </c>
      <c r="C228" s="368"/>
      <c r="AK228" s="353" t="s">
        <v>959</v>
      </c>
      <c r="AL228" s="353" t="str">
        <f>R218</f>
        <v/>
      </c>
    </row>
    <row r="229" spans="1:38">
      <c r="A229" s="353" t="s">
        <v>800</v>
      </c>
      <c r="C229" s="368"/>
      <c r="AK229" s="409" t="s">
        <v>958</v>
      </c>
      <c r="AL229" s="353" t="str">
        <f>T218</f>
        <v/>
      </c>
    </row>
    <row r="230" spans="1:38">
      <c r="A230" s="353" t="s">
        <v>789</v>
      </c>
      <c r="C230" s="368"/>
      <c r="AK230" s="409">
        <v>7</v>
      </c>
      <c r="AL230" s="353">
        <f>V218</f>
        <v>364</v>
      </c>
    </row>
    <row r="231" spans="1:38">
      <c r="A231" s="353" t="s">
        <v>803</v>
      </c>
      <c r="C231" s="368"/>
      <c r="AK231" s="409">
        <v>8</v>
      </c>
      <c r="AL231" s="353">
        <f>X218</f>
        <v>305</v>
      </c>
    </row>
    <row r="232" spans="1:38">
      <c r="A232" s="353" t="s">
        <v>796</v>
      </c>
      <c r="C232" s="368"/>
      <c r="AK232" s="409">
        <v>9</v>
      </c>
      <c r="AL232" s="353">
        <f>Z218</f>
        <v>247</v>
      </c>
    </row>
    <row r="233" spans="1:38">
      <c r="A233" s="353" t="s">
        <v>797</v>
      </c>
      <c r="C233" s="368"/>
      <c r="AK233" s="409">
        <v>10</v>
      </c>
      <c r="AL233" s="353">
        <f>AB218</f>
        <v>221</v>
      </c>
    </row>
    <row r="234" spans="1:38">
      <c r="A234" s="353" t="s">
        <v>790</v>
      </c>
      <c r="C234" s="368"/>
      <c r="AK234" s="409">
        <v>11</v>
      </c>
      <c r="AL234" s="353">
        <f>AD218</f>
        <v>207</v>
      </c>
    </row>
    <row r="235" spans="1:38">
      <c r="A235" s="353" t="s">
        <v>801</v>
      </c>
      <c r="C235" s="368"/>
      <c r="AK235" s="409">
        <v>12</v>
      </c>
      <c r="AL235" s="353">
        <f>AF218</f>
        <v>161</v>
      </c>
    </row>
    <row r="236" spans="1:38">
      <c r="A236" s="353" t="s">
        <v>805</v>
      </c>
      <c r="C236" s="368"/>
      <c r="AK236" s="353" t="s">
        <v>18</v>
      </c>
      <c r="AL236" s="353">
        <f>AI218</f>
        <v>1505</v>
      </c>
    </row>
    <row r="237" spans="1:38">
      <c r="A237" s="353" t="s">
        <v>795</v>
      </c>
      <c r="C237" s="368"/>
    </row>
    <row r="238" spans="1:38">
      <c r="A238" s="353" t="s">
        <v>794</v>
      </c>
      <c r="C238" s="368"/>
    </row>
    <row r="239" spans="1:38">
      <c r="A239" s="353" t="s">
        <v>804</v>
      </c>
      <c r="C239" s="368"/>
    </row>
    <row r="240" spans="1:38">
      <c r="A240" s="353" t="s">
        <v>799</v>
      </c>
    </row>
    <row r="242" spans="1:19">
      <c r="A242" s="353" t="s">
        <v>562</v>
      </c>
      <c r="B242" s="353" t="str">
        <f>IF($F$11="","","In the current school year,")</f>
        <v>In the current school year,</v>
      </c>
      <c r="C242" s="349">
        <f>$F$11</f>
        <v>14.77</v>
      </c>
      <c r="D242" s="353" t="s">
        <v>569</v>
      </c>
      <c r="E242" s="353" t="s">
        <v>570</v>
      </c>
      <c r="F242" s="353">
        <f>$F$8</f>
        <v>114</v>
      </c>
      <c r="G242" s="353" t="s">
        <v>571</v>
      </c>
      <c r="H242" s="353">
        <f>$F$10</f>
        <v>772</v>
      </c>
      <c r="I242" s="353" t="s">
        <v>572</v>
      </c>
      <c r="J242" s="353" t="s">
        <v>573</v>
      </c>
      <c r="K242" s="353" t="s">
        <v>574</v>
      </c>
      <c r="L242" s="349">
        <f>$G$11</f>
        <v>7.91</v>
      </c>
      <c r="M242" s="353" t="s">
        <v>569</v>
      </c>
      <c r="N242" s="353" t="s">
        <v>570</v>
      </c>
      <c r="O242" s="353">
        <f>$G$8</f>
        <v>58</v>
      </c>
      <c r="P242" s="353" t="s">
        <v>571</v>
      </c>
      <c r="Q242" s="353">
        <f>$G$10</f>
        <v>733</v>
      </c>
      <c r="R242" s="353" t="s">
        <v>575</v>
      </c>
      <c r="S242" s="353" t="str">
        <f>IF($B$242="","",CONCATENATE(B242," ",C242," ",D242," ",E242,F242," ",G242," ",H242,I242," ",J242," ",K242," ",L242," ",M242," ",N242,O242," ",P242," ",Q242,")"," ",R242))</f>
        <v>In the current school year, 14.77 percent (114 of 772) of the male learners fall outside normal health status while 7.91 percent (58 of 733) of the female learners fall outside normal health status.</v>
      </c>
    </row>
    <row r="243" spans="1:19">
      <c r="A243" s="353" t="s">
        <v>788</v>
      </c>
      <c r="B243" s="353" t="str">
        <f>IF(F11="","","Sa kasalukuyang taon ng panuruan,")</f>
        <v>Sa kasalukuyang taon ng panuruan,</v>
      </c>
      <c r="C243" s="349">
        <f>$F$11</f>
        <v>14.77</v>
      </c>
      <c r="D243" s="353" t="s">
        <v>576</v>
      </c>
      <c r="E243" s="353" t="s">
        <v>570</v>
      </c>
      <c r="F243" s="353">
        <f>$F$8</f>
        <v>114</v>
      </c>
      <c r="G243" s="353" t="s">
        <v>577</v>
      </c>
      <c r="H243" s="353">
        <f>$F$10</f>
        <v>772</v>
      </c>
      <c r="I243" s="353" t="s">
        <v>572</v>
      </c>
      <c r="J243" s="353" t="s">
        <v>772</v>
      </c>
      <c r="K243" s="353" t="s">
        <v>578</v>
      </c>
      <c r="L243" s="349">
        <f>$G$11</f>
        <v>7.91</v>
      </c>
      <c r="M243" s="353" t="s">
        <v>576</v>
      </c>
      <c r="N243" s="353" t="s">
        <v>570</v>
      </c>
      <c r="O243" s="353">
        <f>$G$8</f>
        <v>58</v>
      </c>
      <c r="P243" s="353" t="s">
        <v>577</v>
      </c>
      <c r="Q243" s="353">
        <f>$G$10</f>
        <v>733</v>
      </c>
      <c r="R243" s="353" t="s">
        <v>774</v>
      </c>
      <c r="S243" s="353" t="str">
        <f>IF($B$242="","",CONCATENATE(B243," ",C243," ",D243," ",E243,F243," ",G243," ",H243,I243," ",J243," ",K243," ",L243," ",M243," ",N243,O243," ",P243," ",Q243,")"," ",R243))</f>
        <v>Sa kasalukuyang taon ng panuruan, 14.77 porsiyento (114 ng 772) ng mga lalaking mag-aaral ay hindi kabilang sa normal na katayuan ng kalusugan habang 7.91 porsiyento (58 ng 733) ng mga babaeng mag-aaral ay hindi kabilang sa normal na katayuan ng kalusugan.</v>
      </c>
    </row>
    <row r="244" spans="1:19">
      <c r="A244" s="353" t="s">
        <v>793</v>
      </c>
      <c r="B244" s="353" t="str">
        <f>IF(F11="","","Sa kasamtangang tuig tingtungha,")</f>
        <v>Sa kasamtangang tuig tingtungha,</v>
      </c>
      <c r="C244" s="349">
        <f>$F$11</f>
        <v>14.77</v>
      </c>
      <c r="D244" s="353" t="s">
        <v>579</v>
      </c>
      <c r="E244" s="353" t="s">
        <v>570</v>
      </c>
      <c r="F244" s="353">
        <f>$F$8</f>
        <v>114</v>
      </c>
      <c r="G244" s="353" t="s">
        <v>580</v>
      </c>
      <c r="H244" s="353">
        <f>$F$10</f>
        <v>772</v>
      </c>
      <c r="I244" s="353" t="s">
        <v>572</v>
      </c>
      <c r="J244" s="353" t="s">
        <v>773</v>
      </c>
      <c r="K244" s="353" t="s">
        <v>581</v>
      </c>
      <c r="L244" s="349">
        <f>$G$11</f>
        <v>7.91</v>
      </c>
      <c r="M244" s="353" t="s">
        <v>579</v>
      </c>
      <c r="N244" s="353" t="s">
        <v>570</v>
      </c>
      <c r="O244" s="353">
        <f>$G$8</f>
        <v>58</v>
      </c>
      <c r="P244" s="353" t="s">
        <v>580</v>
      </c>
      <c r="Q244" s="353">
        <f>$G$10</f>
        <v>733</v>
      </c>
      <c r="R244" s="353" t="s">
        <v>775</v>
      </c>
      <c r="S244" s="353" t="str">
        <f>IF($B$242="","",CONCATENATE(B244," ",C244," ",D244," ",E244,F244," ",G244," ",H244,I244," ",J244," ",K244," ",L244," ",M244," ",N244,O244," ",P244," ",Q244,")"," ",R244))</f>
        <v>Sa kasamtangang tuig tingtungha, 14.77 porsyento (114 sa 772) sa mga lalaki nga tinun-an ang wala ma-apil sa normal nga kahimtang sa panglawas samtang 7.91 porsyento (58 sa 733) sa mga babaye nga tinun-an ang wala ma-apil sa normal nga kahimtang sa panglawas.</v>
      </c>
    </row>
    <row r="245" spans="1:19">
      <c r="A245" s="353" t="s">
        <v>802</v>
      </c>
      <c r="C245" s="349"/>
      <c r="L245" s="349"/>
      <c r="S245" s="353" t="str">
        <f>CONCATENATE(B245," ",C245," ",D245," ",E245,F245," ",G245," ",H245,I245," ",J245," ",K245," ", L245," ",M245," ",N245,O245," ",P245," ",Q245,")"," ",R245)</f>
        <v xml:space="preserve">            ) </v>
      </c>
    </row>
    <row r="246" spans="1:19">
      <c r="A246" s="353" t="s">
        <v>792</v>
      </c>
      <c r="S246" s="353" t="str">
        <f>CONCATENATE(B246," ",C246," ",D246," ",E246,F246," ",G246," ",H246,I246," ",J246," ",K246," ", L246," ",M246," ",N246,O246," ",P246," ",Q246,")"," ",R246)</f>
        <v xml:space="preserve">            ) </v>
      </c>
    </row>
    <row r="247" spans="1:19">
      <c r="A247" s="353" t="s">
        <v>798</v>
      </c>
    </row>
    <row r="248" spans="1:19">
      <c r="A248" s="353" t="s">
        <v>564</v>
      </c>
    </row>
    <row r="249" spans="1:19">
      <c r="A249" s="353" t="s">
        <v>791</v>
      </c>
    </row>
    <row r="250" spans="1:19">
      <c r="A250" s="353" t="s">
        <v>800</v>
      </c>
    </row>
    <row r="251" spans="1:19">
      <c r="A251" s="353" t="s">
        <v>789</v>
      </c>
    </row>
    <row r="252" spans="1:19">
      <c r="A252" s="353" t="s">
        <v>803</v>
      </c>
    </row>
    <row r="253" spans="1:19">
      <c r="A253" s="353" t="s">
        <v>796</v>
      </c>
    </row>
    <row r="254" spans="1:19">
      <c r="A254" s="353" t="s">
        <v>797</v>
      </c>
    </row>
    <row r="255" spans="1:19">
      <c r="A255" s="353" t="s">
        <v>790</v>
      </c>
    </row>
    <row r="256" spans="1:19">
      <c r="A256" s="353" t="s">
        <v>801</v>
      </c>
    </row>
    <row r="257" spans="1:12">
      <c r="A257" s="353" t="s">
        <v>805</v>
      </c>
    </row>
    <row r="258" spans="1:12">
      <c r="A258" s="353" t="s">
        <v>795</v>
      </c>
    </row>
    <row r="259" spans="1:12">
      <c r="A259" s="353" t="s">
        <v>794</v>
      </c>
    </row>
    <row r="260" spans="1:12">
      <c r="A260" s="353" t="s">
        <v>804</v>
      </c>
    </row>
    <row r="261" spans="1:12">
      <c r="A261" s="353" t="s">
        <v>799</v>
      </c>
    </row>
    <row r="263" spans="1:12">
      <c r="A263" s="353" t="s">
        <v>562</v>
      </c>
      <c r="B263" s="353" t="str">
        <f>IF(R18="","","The learning area with the highest percentage in terms of availability of books is")</f>
        <v>The learning area with the highest percentage in terms of availability of books is</v>
      </c>
      <c r="C263" s="349" t="str">
        <f>$R$18</f>
        <v>English</v>
      </c>
      <c r="D263" s="353" t="s">
        <v>582</v>
      </c>
      <c r="E263" s="349">
        <f>$X$18</f>
        <v>155.55000000000001</v>
      </c>
      <c r="F263" s="353" t="s">
        <v>584</v>
      </c>
      <c r="G263" s="353" t="str">
        <f>IF($B$263="","",CONCATENATE(B263," ",C263," ",D263," ",E263," ",F263))</f>
        <v>The learning area with the highest percentage in terms of availability of books is English with 155.55 percent as compared to other subjects.</v>
      </c>
      <c r="L263" s="349"/>
    </row>
    <row r="264" spans="1:12">
      <c r="A264" s="353" t="s">
        <v>788</v>
      </c>
      <c r="B264" s="353" t="str">
        <f>IF(V18="","","Ang subject na may pinakamataas na porsiyento na magagamit na mga aklat ay ang")</f>
        <v>Ang subject na may pinakamataas na porsiyento na magagamit na mga aklat ay ang</v>
      </c>
      <c r="C264" s="349" t="str">
        <f>$V$18</f>
        <v>MAPEH</v>
      </c>
      <c r="D264" s="353" t="s">
        <v>583</v>
      </c>
      <c r="E264" s="349">
        <f>$X$18</f>
        <v>155.55000000000001</v>
      </c>
      <c r="F264" s="353" t="s">
        <v>585</v>
      </c>
      <c r="G264" s="353" t="str">
        <f>IF($B$263="","",CONCATENATE(B264," ",C264," ",D264," ",E264," ",F264))</f>
        <v>Ang subject na may pinakamataas na porsiyento na magagamit na mga aklat ay ang MAPEH na may 155.55 porsiyento kung ihahambing sa ibang subjects.</v>
      </c>
      <c r="L264" s="349"/>
    </row>
    <row r="265" spans="1:12">
      <c r="A265" s="353" t="s">
        <v>793</v>
      </c>
      <c r="B265" s="353" t="str">
        <f>IF(V18="","","Ang subject nga adunay pinakataas nga porsyento nga magamit na libro mao ang")</f>
        <v>Ang subject nga adunay pinakataas nga porsyento nga magamit na libro mao ang</v>
      </c>
      <c r="C265" s="349" t="str">
        <f>$V$18</f>
        <v>MAPEH</v>
      </c>
      <c r="D265" s="353" t="s">
        <v>616</v>
      </c>
      <c r="E265" s="349">
        <f>$X$18</f>
        <v>155.55000000000001</v>
      </c>
      <c r="F265" s="353" t="s">
        <v>586</v>
      </c>
      <c r="G265" s="353" t="str">
        <f>IF($B$263="","",CONCATENATE(B265," ",C265," ",D265," ",E265," ",F265))</f>
        <v>Ang subject nga adunay pinakataas nga porsyento nga magamit na libro mao ang MAPEH nga adunay 155.55 porsyento kung ikumpara sa uban nga subjects.</v>
      </c>
      <c r="L265" s="349"/>
    </row>
    <row r="266" spans="1:12">
      <c r="A266" s="353" t="s">
        <v>802</v>
      </c>
      <c r="C266" s="349"/>
      <c r="G266" s="353" t="str">
        <f>CONCATENATE(B266," ",C266," ",D266," ",E266," ",F266)</f>
        <v xml:space="preserve">    </v>
      </c>
      <c r="L266" s="349"/>
    </row>
    <row r="267" spans="1:12">
      <c r="A267" s="353" t="s">
        <v>792</v>
      </c>
      <c r="G267" s="353" t="str">
        <f>CONCATENATE(B267," ",C267," ",D267," ",E267," ",F267)</f>
        <v xml:space="preserve">    </v>
      </c>
    </row>
    <row r="268" spans="1:12">
      <c r="A268" s="353" t="s">
        <v>798</v>
      </c>
    </row>
    <row r="269" spans="1:12">
      <c r="A269" s="353" t="s">
        <v>564</v>
      </c>
    </row>
    <row r="270" spans="1:12">
      <c r="A270" s="353" t="s">
        <v>791</v>
      </c>
    </row>
    <row r="271" spans="1:12">
      <c r="A271" s="353" t="s">
        <v>800</v>
      </c>
    </row>
    <row r="272" spans="1:12">
      <c r="A272" s="353" t="s">
        <v>789</v>
      </c>
    </row>
    <row r="273" spans="1:12">
      <c r="A273" s="353" t="s">
        <v>803</v>
      </c>
    </row>
    <row r="274" spans="1:12">
      <c r="A274" s="353" t="s">
        <v>796</v>
      </c>
    </row>
    <row r="275" spans="1:12">
      <c r="A275" s="353" t="s">
        <v>797</v>
      </c>
    </row>
    <row r="276" spans="1:12">
      <c r="A276" s="353" t="s">
        <v>790</v>
      </c>
    </row>
    <row r="277" spans="1:12">
      <c r="A277" s="353" t="s">
        <v>801</v>
      </c>
    </row>
    <row r="278" spans="1:12">
      <c r="A278" s="353" t="s">
        <v>805</v>
      </c>
    </row>
    <row r="279" spans="1:12">
      <c r="A279" s="353" t="s">
        <v>795</v>
      </c>
    </row>
    <row r="280" spans="1:12">
      <c r="A280" s="353" t="s">
        <v>794</v>
      </c>
    </row>
    <row r="281" spans="1:12">
      <c r="A281" s="353" t="s">
        <v>804</v>
      </c>
    </row>
    <row r="282" spans="1:12">
      <c r="A282" s="353" t="s">
        <v>799</v>
      </c>
    </row>
    <row r="284" spans="1:12">
      <c r="A284" s="353" t="s">
        <v>562</v>
      </c>
      <c r="B284" s="353" t="str">
        <f>IF(AA23="","","The grade level with the highest percentage of available learning materials  is")</f>
        <v>The grade level with the highest percentage of available learning materials  is</v>
      </c>
      <c r="C284" s="349" t="str">
        <f>$AA$23</f>
        <v>Grade 9</v>
      </c>
      <c r="D284" s="353" t="s">
        <v>582</v>
      </c>
      <c r="E284" s="349">
        <f>$AA$25</f>
        <v>88.71</v>
      </c>
      <c r="F284" s="353" t="s">
        <v>587</v>
      </c>
      <c r="G284" s="353" t="str">
        <f>IF($B$284="","",CONCATENATE(B284," ",C284," ",D284," ",E284," ",F284))</f>
        <v>The grade level with the highest percentage of available learning materials  is Grade 9 with 88.71 percent as compared to other grade levels.</v>
      </c>
      <c r="L284" s="349"/>
    </row>
    <row r="285" spans="1:12">
      <c r="A285" s="353" t="s">
        <v>788</v>
      </c>
      <c r="B285" s="353" t="str">
        <f>IF(AA23="","","Ang baitang na may pinakamataas na porsiyento na magagamit na mga aklat ay ang")</f>
        <v>Ang baitang na may pinakamataas na porsiyento na magagamit na mga aklat ay ang</v>
      </c>
      <c r="C285" s="349" t="str">
        <f>$AA$23</f>
        <v>Grade 9</v>
      </c>
      <c r="D285" s="353" t="s">
        <v>583</v>
      </c>
      <c r="E285" s="349">
        <f>$AA$25</f>
        <v>88.71</v>
      </c>
      <c r="F285" s="353" t="s">
        <v>588</v>
      </c>
      <c r="G285" s="353" t="str">
        <f>IF($B$284="","",CONCATENATE(B285," ",C285," ",D285," ",E285," ",F285))</f>
        <v>Ang baitang na may pinakamataas na porsiyento na magagamit na mga aklat ay ang Grade 9 na may 88.71 porsiyento kung ihahambing sa ibang baitang.</v>
      </c>
      <c r="L285" s="349"/>
    </row>
    <row r="286" spans="1:12">
      <c r="A286" s="353" t="s">
        <v>793</v>
      </c>
      <c r="B286" s="353" t="str">
        <f>IF(AA23="","","Ang grado nga adunay pinakataas nga porsyento nga magamit nga mga libro mao ang")</f>
        <v>Ang grado nga adunay pinakataas nga porsyento nga magamit nga mga libro mao ang</v>
      </c>
      <c r="C286" s="349" t="str">
        <f>$AA$23</f>
        <v>Grade 9</v>
      </c>
      <c r="D286" s="353" t="s">
        <v>616</v>
      </c>
      <c r="E286" s="349">
        <f>$AA$25</f>
        <v>88.71</v>
      </c>
      <c r="F286" s="353" t="s">
        <v>589</v>
      </c>
      <c r="G286" s="353" t="str">
        <f>IF($B$284="","",CONCATENATE(B286," ",C286," ",D286," ",E286," ",F286))</f>
        <v>Ang grado nga adunay pinakataas nga porsyento nga magamit nga mga libro mao ang Grade 9 nga adunay 88.71 porsyento kung ikumpara sa uban nga mga grado.</v>
      </c>
      <c r="L286" s="349"/>
    </row>
    <row r="287" spans="1:12">
      <c r="A287" s="353" t="s">
        <v>802</v>
      </c>
      <c r="C287" s="349"/>
      <c r="G287" s="353" t="str">
        <f>CONCATENATE(B287," ",C287," ",D287," ",E287," ",F287)</f>
        <v xml:space="preserve">    </v>
      </c>
      <c r="L287" s="349"/>
    </row>
    <row r="288" spans="1:12">
      <c r="A288" s="353" t="s">
        <v>792</v>
      </c>
      <c r="G288" s="353" t="str">
        <f>CONCATENATE(B288," ",C288," ",D288," ",E288," ",F288)</f>
        <v xml:space="preserve">    </v>
      </c>
    </row>
    <row r="289" spans="1:1">
      <c r="A289" s="353" t="s">
        <v>798</v>
      </c>
    </row>
    <row r="290" spans="1:1">
      <c r="A290" s="353" t="s">
        <v>564</v>
      </c>
    </row>
    <row r="291" spans="1:1">
      <c r="A291" s="353" t="s">
        <v>791</v>
      </c>
    </row>
    <row r="292" spans="1:1">
      <c r="A292" s="353" t="s">
        <v>800</v>
      </c>
    </row>
    <row r="293" spans="1:1">
      <c r="A293" s="353" t="s">
        <v>789</v>
      </c>
    </row>
    <row r="294" spans="1:1">
      <c r="A294" s="353" t="s">
        <v>803</v>
      </c>
    </row>
    <row r="295" spans="1:1">
      <c r="A295" s="353" t="s">
        <v>796</v>
      </c>
    </row>
    <row r="296" spans="1:1">
      <c r="A296" s="353" t="s">
        <v>797</v>
      </c>
    </row>
    <row r="297" spans="1:1">
      <c r="A297" s="353" t="s">
        <v>790</v>
      </c>
    </row>
    <row r="298" spans="1:1">
      <c r="A298" s="353" t="s">
        <v>801</v>
      </c>
    </row>
    <row r="299" spans="1:1">
      <c r="A299" s="353" t="s">
        <v>805</v>
      </c>
    </row>
    <row r="300" spans="1:1">
      <c r="A300" s="353" t="s">
        <v>795</v>
      </c>
    </row>
    <row r="301" spans="1:1">
      <c r="A301" s="353" t="s">
        <v>794</v>
      </c>
    </row>
    <row r="302" spans="1:1">
      <c r="A302" s="353" t="s">
        <v>804</v>
      </c>
    </row>
    <row r="303" spans="1:1">
      <c r="A303" s="353" t="s">
        <v>799</v>
      </c>
    </row>
    <row r="305" spans="1:12">
      <c r="A305" s="353" t="s">
        <v>562</v>
      </c>
      <c r="B305" s="353" t="str">
        <f>IF(H39="","","In the current school year, the highest educational attainment of most teachers is")</f>
        <v>In the current school year, the highest educational attainment of most teachers is</v>
      </c>
      <c r="C305" s="349" t="str">
        <f>$H$39</f>
        <v>Master's Degree (Units)</v>
      </c>
      <c r="D305" s="353" t="s">
        <v>582</v>
      </c>
      <c r="E305" s="349">
        <f>$G$39</f>
        <v>34</v>
      </c>
      <c r="F305" s="353" t="s">
        <v>590</v>
      </c>
      <c r="G305" s="353">
        <f>$I$39</f>
        <v>57</v>
      </c>
      <c r="H305" s="353" t="s">
        <v>591</v>
      </c>
      <c r="I305" s="353">
        <f>$J$39</f>
        <v>59.65</v>
      </c>
      <c r="J305" s="353" t="s">
        <v>601</v>
      </c>
      <c r="K305" s="353" t="str">
        <f>IF($B$305="","",CONCATENATE(B305," ",C305," ",D305," ",E305," ",F305," ",G305," ",H305," ",I305," ",J305))</f>
        <v>In the current school year, the highest educational attainment of most teachers is Master's Degree (Units) with 34 out of 57 or 59.65 percent of the total number of teachers.</v>
      </c>
      <c r="L305" s="349"/>
    </row>
    <row r="306" spans="1:12">
      <c r="A306" s="353" t="s">
        <v>788</v>
      </c>
      <c r="B306" s="353" t="str">
        <f>IF(H39="","","Sa kasalukuyang taon ng panuruan, ang pinakamataas na antas ng edukasyon na nakamit ng karamihan ng mga guro ay")</f>
        <v>Sa kasalukuyang taon ng panuruan, ang pinakamataas na antas ng edukasyon na nakamit ng karamihan ng mga guro ay</v>
      </c>
      <c r="C306" s="349" t="str">
        <f>$H$39</f>
        <v>Master's Degree (Units)</v>
      </c>
      <c r="D306" s="353" t="s">
        <v>583</v>
      </c>
      <c r="E306" s="349">
        <f>$G$39</f>
        <v>34</v>
      </c>
      <c r="F306" s="353" t="s">
        <v>595</v>
      </c>
      <c r="G306" s="353">
        <f>$I$39</f>
        <v>57</v>
      </c>
      <c r="H306" s="353" t="s">
        <v>597</v>
      </c>
      <c r="I306" s="353">
        <f>$J$39</f>
        <v>59.65</v>
      </c>
      <c r="J306" s="353" t="s">
        <v>599</v>
      </c>
      <c r="K306" s="353" t="str">
        <f>IF($B$305="","",CONCATENATE(B306," ",C306," ",D306," ",E306," ",F306," ",G306," ",H306," ",I306," ",J306))</f>
        <v>Sa kasalukuyang taon ng panuruan, ang pinakamataas na antas ng edukasyon na nakamit ng karamihan ng mga guro ay Master's Degree (Units) na may 34 mula sa 57 o  59.65 porsiyento sa kabuuang bilang ng mga guro.</v>
      </c>
      <c r="L306" s="349"/>
    </row>
    <row r="307" spans="1:12">
      <c r="A307" s="353" t="s">
        <v>793</v>
      </c>
      <c r="B307" s="353" t="str">
        <f>IF(H39="","","Sa kasamtangan nga tuig tingtungha, ang pinakataas na naabot pag-eskwela sa kadaghanan sa mga magtutudlo kay")</f>
        <v>Sa kasamtangan nga tuig tingtungha, ang pinakataas na naabot pag-eskwela sa kadaghanan sa mga magtutudlo kay</v>
      </c>
      <c r="C307" s="349" t="str">
        <f>$H$39</f>
        <v>Master's Degree (Units)</v>
      </c>
      <c r="D307" s="353" t="s">
        <v>594</v>
      </c>
      <c r="E307" s="349">
        <f>$G$39</f>
        <v>34</v>
      </c>
      <c r="F307" s="353" t="s">
        <v>596</v>
      </c>
      <c r="G307" s="353">
        <f>$I$39</f>
        <v>57</v>
      </c>
      <c r="H307" s="353" t="s">
        <v>598</v>
      </c>
      <c r="I307" s="353">
        <f>$J$39</f>
        <v>59.65</v>
      </c>
      <c r="J307" s="353" t="s">
        <v>600</v>
      </c>
      <c r="K307" s="353" t="str">
        <f>IF($B$305="","",CONCATENATE(B307," ",C307," ",D307," ",E307," ",F307," ",G307," ",H307," ",I307," ",J307))</f>
        <v>Sa kasamtangan nga tuig tingtungha, ang pinakataas na naabot pag-eskwela sa kadaghanan sa mga magtutudlo kay Master's Degree (Units) nga dunay 34 gikan sa 57 o 59.65 porsyento sa kinatibuk-ang gidaghanon sa mga magtutudlo.</v>
      </c>
      <c r="L307" s="349"/>
    </row>
    <row r="308" spans="1:12">
      <c r="A308" s="353" t="s">
        <v>802</v>
      </c>
      <c r="C308" s="349"/>
      <c r="K308" s="353" t="str">
        <f>CONCATENATE(B308," ",C308," ",D308," ",E308," ",F308," ",G308," ",H308," ",I308," ",J308)</f>
        <v xml:space="preserve">        </v>
      </c>
      <c r="L308" s="349"/>
    </row>
    <row r="309" spans="1:12">
      <c r="A309" s="353" t="s">
        <v>792</v>
      </c>
      <c r="K309" s="353" t="str">
        <f>CONCATENATE(B309," ",C309," ",D309," ",E309," ",F309," ",G309," ",H309," ",I309," ",J309)</f>
        <v xml:space="preserve">        </v>
      </c>
    </row>
    <row r="310" spans="1:12">
      <c r="A310" s="353" t="s">
        <v>798</v>
      </c>
    </row>
    <row r="311" spans="1:12">
      <c r="A311" s="353" t="s">
        <v>564</v>
      </c>
    </row>
    <row r="312" spans="1:12">
      <c r="A312" s="353" t="s">
        <v>791</v>
      </c>
    </row>
    <row r="313" spans="1:12">
      <c r="A313" s="353" t="s">
        <v>800</v>
      </c>
    </row>
    <row r="314" spans="1:12">
      <c r="A314" s="353" t="s">
        <v>789</v>
      </c>
    </row>
    <row r="315" spans="1:12">
      <c r="A315" s="353" t="s">
        <v>803</v>
      </c>
    </row>
    <row r="316" spans="1:12">
      <c r="A316" s="353" t="s">
        <v>796</v>
      </c>
    </row>
    <row r="317" spans="1:12">
      <c r="A317" s="353" t="s">
        <v>797</v>
      </c>
    </row>
    <row r="318" spans="1:12">
      <c r="A318" s="353" t="s">
        <v>790</v>
      </c>
    </row>
    <row r="319" spans="1:12">
      <c r="A319" s="353" t="s">
        <v>801</v>
      </c>
    </row>
    <row r="320" spans="1:12">
      <c r="A320" s="353" t="s">
        <v>805</v>
      </c>
    </row>
    <row r="321" spans="1:16">
      <c r="A321" s="353" t="s">
        <v>795</v>
      </c>
    </row>
    <row r="322" spans="1:16">
      <c r="A322" s="353" t="s">
        <v>794</v>
      </c>
    </row>
    <row r="323" spans="1:16">
      <c r="A323" s="353" t="s">
        <v>804</v>
      </c>
    </row>
    <row r="324" spans="1:16">
      <c r="A324" s="353" t="s">
        <v>799</v>
      </c>
    </row>
    <row r="326" spans="1:16">
      <c r="A326" s="353" t="s">
        <v>562</v>
      </c>
      <c r="B326" s="353" t="str">
        <f>IF(J48="","","The biggest source of school funding came from the")</f>
        <v>The biggest source of school funding came from the</v>
      </c>
      <c r="C326" s="349" t="str">
        <f>$J$48</f>
        <v>Donations</v>
      </c>
      <c r="D326" s="353" t="s">
        <v>602</v>
      </c>
      <c r="E326" s="359">
        <f>$I$48</f>
        <v>278713</v>
      </c>
      <c r="F326" s="350" t="s">
        <v>603</v>
      </c>
      <c r="G326" s="353">
        <f>$K$48</f>
        <v>43.15</v>
      </c>
      <c r="H326" s="353" t="s">
        <v>604</v>
      </c>
      <c r="I326" s="353" t="str">
        <f>$L$46</f>
        <v>Local Government Unit funds</v>
      </c>
      <c r="J326" s="353" t="str">
        <f>$M$46</f>
        <v>Others</v>
      </c>
      <c r="K326" s="353" t="str">
        <f>$N$46</f>
        <v>General Appropriations Act (School MOOE)</v>
      </c>
      <c r="L326" s="349" t="str">
        <f>$O$46</f>
        <v>Canteen funds</v>
      </c>
      <c r="M326" s="353" t="s">
        <v>605</v>
      </c>
      <c r="N326" s="353" t="str">
        <f>$P$46</f>
        <v>General Appropriations Act (Subsidy for Special Programs)</v>
      </c>
      <c r="O326" s="353" t="s">
        <v>606</v>
      </c>
      <c r="P326" s="353" t="str">
        <f>IF($B$326="","",CONCATENATE(B326," ",C326," ",D326," ",TEXT(E326,"#,##0"),F326," ",G326," ",H326," ",I326,","," ",J326,","," ",K326,","," ",L326," ",M326," ",N326,"."))</f>
        <v>The biggest source of school funding came from the Donations amounting to Php 278,713.00 or 43.15 percent of the total fund source. Other sources are Local Government Unit funds, Others, General Appropriations Act (School MOOE), Canteen funds and General Appropriations Act (Subsidy for Special Programs).</v>
      </c>
    </row>
    <row r="327" spans="1:16" ht="15">
      <c r="A327" s="353" t="s">
        <v>788</v>
      </c>
      <c r="B327" s="353" t="str">
        <f>IF(J48="","","Ang pinakamalaking pinagmumulan ng pondo ng paaralan ay nagmula sa")</f>
        <v>Ang pinakamalaking pinagmumulan ng pondo ng paaralan ay nagmula sa</v>
      </c>
      <c r="C327" s="349" t="str">
        <f>$J$48</f>
        <v>Donations</v>
      </c>
      <c r="D327" s="353" t="s">
        <v>613</v>
      </c>
      <c r="E327" s="359">
        <f>$I$48</f>
        <v>278713</v>
      </c>
      <c r="F327" s="350" t="s">
        <v>608</v>
      </c>
      <c r="G327" s="353">
        <f>$K$48</f>
        <v>43.15</v>
      </c>
      <c r="H327" s="355" t="s">
        <v>609</v>
      </c>
      <c r="I327" s="353" t="str">
        <f>$L$46</f>
        <v>Local Government Unit funds</v>
      </c>
      <c r="J327" s="353" t="str">
        <f>$M$46</f>
        <v>Others</v>
      </c>
      <c r="K327" s="353" t="str">
        <f>$N$46</f>
        <v>General Appropriations Act (School MOOE)</v>
      </c>
      <c r="L327" s="349" t="str">
        <f>$O$46</f>
        <v>Canteen funds</v>
      </c>
      <c r="M327" s="353" t="s">
        <v>611</v>
      </c>
      <c r="N327" s="353" t="str">
        <f>$P$46</f>
        <v>General Appropriations Act (Subsidy for Special Programs)</v>
      </c>
      <c r="O327" s="353" t="s">
        <v>606</v>
      </c>
      <c r="P327" s="353" t="str">
        <f>IF($B$326="","",CONCATENATE(B327," ",C327," ",D327," ",TEXT(E327,"#,##0"),F327," ",G327," ",H327," ",I327,","," ",J327,","," ",K327,","," ",L327," ",M327," ",N327,"."))</f>
        <v>Ang pinakamalaking pinagmumulan ng pondo ng paaralan ay nagmula sa Donations na umaabot sa halagang Php 278,713.00 o 43.15 porsyento ng kabuuang pinagkukunang pondo. Ang ibang pinagkukunan ay Local Government Unit funds, Others, General Appropriations Act (School MOOE), Canteen funds at General Appropriations Act (Subsidy for Special Programs).</v>
      </c>
    </row>
    <row r="328" spans="1:16">
      <c r="A328" s="353" t="s">
        <v>793</v>
      </c>
      <c r="B328" s="353" t="str">
        <f>IF(J48="","","Ang pinakadako nga tinubdan sa pondo sa eskwelahan nagagikan sa")</f>
        <v>Ang pinakadako nga tinubdan sa pondo sa eskwelahan nagagikan sa</v>
      </c>
      <c r="C328" s="349" t="str">
        <f>$J$48</f>
        <v>Donations</v>
      </c>
      <c r="D328" s="353" t="s">
        <v>607</v>
      </c>
      <c r="E328" s="359">
        <f>$I$48</f>
        <v>278713</v>
      </c>
      <c r="F328" s="350" t="s">
        <v>608</v>
      </c>
      <c r="G328" s="353">
        <f>$K$48</f>
        <v>43.15</v>
      </c>
      <c r="H328" s="353" t="s">
        <v>610</v>
      </c>
      <c r="I328" s="353" t="str">
        <f>$L$46</f>
        <v>Local Government Unit funds</v>
      </c>
      <c r="J328" s="353" t="str">
        <f>$M$46</f>
        <v>Others</v>
      </c>
      <c r="K328" s="353" t="str">
        <f>$N$46</f>
        <v>General Appropriations Act (School MOOE)</v>
      </c>
      <c r="L328" s="349" t="str">
        <f>$O$46</f>
        <v>Canteen funds</v>
      </c>
      <c r="M328" s="353" t="s">
        <v>612</v>
      </c>
      <c r="N328" s="353" t="str">
        <f>$P$46</f>
        <v>General Appropriations Act (Subsidy for Special Programs)</v>
      </c>
      <c r="O328" s="353" t="s">
        <v>606</v>
      </c>
      <c r="P328" s="353" t="str">
        <f>IF($B$326="","",CONCATENATE(B328," ",C328," ",D328," ",TEXT(E328,"#,##0"),F328," ",G328," ",H328," ",I328,","," ",J328,","," ",K328,","," ",L328," ",M328," ",N328,"."))</f>
        <v>Ang pinakadako nga tinubdan sa pondo sa eskwelahan nagagikan sa Donations nga nagkantidad ug Php 278,713.00 o 43.15 porsiyento sa total nga tinubdan sa pondo. Ang uban nga mga tinubdan mao ang mga musunod Local Government Unit funds, Others, General Appropriations Act (School MOOE), Canteen funds ug General Appropriations Act (Subsidy for Special Programs).</v>
      </c>
    </row>
    <row r="329" spans="1:16">
      <c r="A329" s="353" t="s">
        <v>802</v>
      </c>
      <c r="C329" s="349"/>
      <c r="E329" s="359"/>
      <c r="L329" s="349"/>
      <c r="P329" s="353" t="str">
        <f>IF(B329="","",CONCATENATE(B329," ",C329," ",D329," ",TEXT(E329,"#,##0")," ",F329," ",G329," ",H329," ",I329,","," ",J329,","," ",K329,","," ",L329," ",M329," ",N329,"."))</f>
        <v/>
      </c>
    </row>
    <row r="330" spans="1:16">
      <c r="A330" s="353" t="s">
        <v>792</v>
      </c>
      <c r="E330" s="359"/>
      <c r="P330" s="353" t="str">
        <f>IF(B330="","",CONCATENATE(B330," ",C330," ",D330," ",TEXT(E330,"#,##0")," ",F330," ",G330," ",H330," ",I330,","," ",J330,","," ",K330,","," ",L330," ",M330," ",N330,"."))</f>
        <v/>
      </c>
    </row>
    <row r="331" spans="1:16">
      <c r="A331" s="353" t="s">
        <v>798</v>
      </c>
      <c r="E331" s="359"/>
    </row>
    <row r="332" spans="1:16">
      <c r="A332" s="353" t="s">
        <v>564</v>
      </c>
      <c r="E332" s="359"/>
    </row>
    <row r="333" spans="1:16">
      <c r="A333" s="353" t="s">
        <v>791</v>
      </c>
      <c r="E333" s="359"/>
    </row>
    <row r="334" spans="1:16">
      <c r="A334" s="353" t="s">
        <v>800</v>
      </c>
      <c r="E334" s="359"/>
    </row>
    <row r="335" spans="1:16">
      <c r="A335" s="353" t="s">
        <v>789</v>
      </c>
      <c r="E335" s="359"/>
    </row>
    <row r="336" spans="1:16">
      <c r="A336" s="353" t="s">
        <v>803</v>
      </c>
      <c r="E336" s="359"/>
    </row>
    <row r="337" spans="1:22">
      <c r="A337" s="353" t="s">
        <v>796</v>
      </c>
      <c r="E337" s="359"/>
    </row>
    <row r="338" spans="1:22">
      <c r="A338" s="353" t="s">
        <v>797</v>
      </c>
      <c r="E338" s="359"/>
    </row>
    <row r="339" spans="1:22">
      <c r="A339" s="353" t="s">
        <v>790</v>
      </c>
      <c r="E339" s="359"/>
    </row>
    <row r="340" spans="1:22">
      <c r="A340" s="353" t="s">
        <v>801</v>
      </c>
      <c r="E340" s="359"/>
    </row>
    <row r="341" spans="1:22">
      <c r="A341" s="353" t="s">
        <v>805</v>
      </c>
      <c r="E341" s="359"/>
    </row>
    <row r="342" spans="1:22">
      <c r="A342" s="353" t="s">
        <v>795</v>
      </c>
      <c r="E342" s="359"/>
    </row>
    <row r="343" spans="1:22">
      <c r="A343" s="353" t="s">
        <v>794</v>
      </c>
      <c r="E343" s="359"/>
    </row>
    <row r="344" spans="1:22">
      <c r="A344" s="353" t="s">
        <v>804</v>
      </c>
      <c r="E344" s="359"/>
    </row>
    <row r="345" spans="1:22">
      <c r="A345" s="353" t="s">
        <v>799</v>
      </c>
      <c r="E345" s="359"/>
    </row>
    <row r="347" spans="1:22">
      <c r="A347" s="353" t="s">
        <v>562</v>
      </c>
      <c r="B347" s="353" t="str">
        <f>IF($I$53="","","The dropout rate of the school for S.Y.")</f>
        <v>The dropout rate of the school for S.Y.</v>
      </c>
      <c r="C347" s="349" t="str">
        <f>$A$54</f>
        <v>2018-2019</v>
      </c>
      <c r="D347" s="353" t="s">
        <v>617</v>
      </c>
      <c r="E347" s="359">
        <f>$I$54</f>
        <v>7.0000000000000007E-2</v>
      </c>
      <c r="F347" s="350" t="s">
        <v>969</v>
      </c>
      <c r="G347" s="353">
        <f>$J$54</f>
        <v>1</v>
      </c>
      <c r="H347" s="353" t="s">
        <v>590</v>
      </c>
      <c r="I347" s="353">
        <f>$D$5</f>
        <v>1505</v>
      </c>
      <c r="J347" s="350" t="s">
        <v>971</v>
      </c>
      <c r="K347" s="353" t="str">
        <f>$A$53</f>
        <v>2017-2018</v>
      </c>
      <c r="L347" s="353" t="s">
        <v>618</v>
      </c>
      <c r="M347" s="349">
        <f>$I$53</f>
        <v>0</v>
      </c>
      <c r="N347" s="353" t="s">
        <v>969</v>
      </c>
      <c r="O347" s="353">
        <f>$J$53</f>
        <v>0</v>
      </c>
      <c r="P347" s="409" t="s">
        <v>590</v>
      </c>
      <c r="Q347" s="353">
        <f>$D$4</f>
        <v>1418</v>
      </c>
      <c r="S347" s="353" t="str">
        <f>IF($I$54=0,"Lately, the school attained zero dropout rate.","The most pressing cause is")</f>
        <v>The most pressing cause is</v>
      </c>
      <c r="T347" s="349" t="str">
        <f>IF($I$54=0,"",$T$54)</f>
        <v>Individual- Related Factors</v>
      </c>
      <c r="U347" s="353" t="str">
        <f>IF($I$54=0,"",".")</f>
        <v>.</v>
      </c>
      <c r="V347" s="353" t="str">
        <f>IF($B$347="","",CONCATENATE(B347," ",C347," ",D347," ",E347," ",F347,G347," ",H347," ",I347,")"," ",J347," ",K347," ",L347," ",M347," ",N347,O347," ",P347," ",Q347,")."," ",R347," ",S347," ",T347))</f>
        <v>The dropout rate of the school for S.Y. 2018-2019 is 0.07 percent or (1 out of 1505) as compared to the dropout rate of S.Y. 2017-2018 which is 0 percent or (0 out of 1418).  The most pressing cause is Individual- Related Factors</v>
      </c>
    </row>
    <row r="348" spans="1:22">
      <c r="A348" s="353" t="s">
        <v>788</v>
      </c>
      <c r="B348" s="353" t="str">
        <f>IF($I$53="","","Ang dropout rate ng paaralan para sa S.Y.")</f>
        <v>Ang dropout rate ng paaralan para sa S.Y.</v>
      </c>
      <c r="C348" s="349" t="str">
        <f>$A$54</f>
        <v>2018-2019</v>
      </c>
      <c r="D348" s="353" t="s">
        <v>620</v>
      </c>
      <c r="E348" s="359">
        <f>$I$54</f>
        <v>7.0000000000000007E-2</v>
      </c>
      <c r="F348" s="350" t="s">
        <v>970</v>
      </c>
      <c r="G348" s="409">
        <f t="shared" ref="G348:G349" si="110">$J$54</f>
        <v>1</v>
      </c>
      <c r="H348" s="353" t="s">
        <v>580</v>
      </c>
      <c r="I348" s="409">
        <f t="shared" ref="I348:I349" si="111">$D$5</f>
        <v>1505</v>
      </c>
      <c r="J348" s="350" t="s">
        <v>972</v>
      </c>
      <c r="K348" s="353" t="str">
        <f>$A$53</f>
        <v>2017-2018</v>
      </c>
      <c r="L348" s="353" t="s">
        <v>622</v>
      </c>
      <c r="M348" s="349">
        <f>$I$53</f>
        <v>0</v>
      </c>
      <c r="N348" s="353" t="s">
        <v>970</v>
      </c>
      <c r="O348" s="409">
        <f t="shared" ref="O348:O349" si="112">$J$53</f>
        <v>0</v>
      </c>
      <c r="P348" s="409" t="s">
        <v>580</v>
      </c>
      <c r="Q348" s="409">
        <f t="shared" ref="Q348:Q349" si="113">$D$4</f>
        <v>1418</v>
      </c>
      <c r="S348" s="353" t="str">
        <f>IF($I$54=0,"Kamakailan lamang, nakamit ng paaralan ang zero dropout rate.","Ang pinaka-dahilan ay")</f>
        <v>Ang pinaka-dahilan ay</v>
      </c>
      <c r="T348" s="349" t="str">
        <f>IF($I$54=0,"",$T$54)</f>
        <v>Individual- Related Factors</v>
      </c>
      <c r="U348" s="353" t="str">
        <f>IF($I$54=0,"",".")</f>
        <v>.</v>
      </c>
      <c r="V348" s="409" t="str">
        <f t="shared" ref="V348:V349" si="114">IF($B$347="","",CONCATENATE(B348," ",C348," ",D348," ",E348," ",F348,G348," ",H348," ",I348,")"," ",J348," ",K348," ",L348," ",M348," ",N348,O348," ",P348," ",Q348,")."," ",R348," ",S348," ",T348))</f>
        <v>Ang dropout rate ng paaralan para sa S.Y. 2018-2019 ay 0.07 porsiyento o (1 sa 1505) kumpara sa dropout rate ng S.Y. 2017-2018 na kung saan ay 0 porsiyento o (0 sa 1418).  Ang pinaka-dahilan ay Individual- Related Factors</v>
      </c>
    </row>
    <row r="349" spans="1:22">
      <c r="A349" s="353" t="s">
        <v>793</v>
      </c>
      <c r="B349" s="353" t="str">
        <f>IF($I$53="","","Ang gidaghanon sa dropout sa eskwelahan sa S.Y.")</f>
        <v>Ang gidaghanon sa dropout sa eskwelahan sa S.Y.</v>
      </c>
      <c r="C349" s="349" t="str">
        <f>$A$54</f>
        <v>2018-2019</v>
      </c>
      <c r="D349" s="353" t="s">
        <v>621</v>
      </c>
      <c r="E349" s="359">
        <f>$I$54</f>
        <v>7.0000000000000007E-2</v>
      </c>
      <c r="F349" s="350" t="s">
        <v>970</v>
      </c>
      <c r="G349" s="409">
        <f t="shared" si="110"/>
        <v>1</v>
      </c>
      <c r="H349" s="353" t="s">
        <v>580</v>
      </c>
      <c r="I349" s="409">
        <f t="shared" si="111"/>
        <v>1505</v>
      </c>
      <c r="J349" s="350" t="s">
        <v>973</v>
      </c>
      <c r="K349" s="353" t="str">
        <f>$A$53</f>
        <v>2017-2018</v>
      </c>
      <c r="L349" s="353" t="s">
        <v>623</v>
      </c>
      <c r="M349" s="349">
        <f>$I$53</f>
        <v>0</v>
      </c>
      <c r="N349" s="353" t="s">
        <v>974</v>
      </c>
      <c r="O349" s="409">
        <f t="shared" si="112"/>
        <v>0</v>
      </c>
      <c r="P349" s="409" t="s">
        <v>580</v>
      </c>
      <c r="Q349" s="409">
        <f t="shared" si="113"/>
        <v>1418</v>
      </c>
      <c r="S349" s="353" t="str">
        <f>IF($I$54=0,"Sa kasamtangan,  nakab-ot sa tulunghaan ang zero dropout rate.","Ang pinaka-hinungdan mao ang")</f>
        <v>Ang pinaka-hinungdan mao ang</v>
      </c>
      <c r="T349" s="349" t="str">
        <f>IF($I$54=0,"",$T$54)</f>
        <v>Individual- Related Factors</v>
      </c>
      <c r="U349" s="353" t="str">
        <f>IF($I$54=0,"",".")</f>
        <v>.</v>
      </c>
      <c r="V349" s="409" t="str">
        <f t="shared" si="114"/>
        <v>Ang gidaghanon sa dropout sa eskwelahan sa S.Y. 2018-2019 kay 0.07 porsiyento o (1 sa 1505) kung itandi sa dropout rate sa S.Y. 2017-2018 nga mao ang 0 porsyento o (0 sa 1418).  Ang pinaka-hinungdan mao ang Individual- Related Factors</v>
      </c>
    </row>
    <row r="350" spans="1:22">
      <c r="A350" s="353" t="s">
        <v>802</v>
      </c>
      <c r="C350" s="349"/>
      <c r="E350" s="359"/>
      <c r="L350" s="349"/>
      <c r="N350" s="353" t="str">
        <f>IF($B$347="","",CONCATENATE(B350," ",C350," ",D350," ",E350," ",F350," ",G350," ",H350," ",I350," ",J350," ",K350," ",L350," ",M350))</f>
        <v xml:space="preserve">           </v>
      </c>
    </row>
    <row r="351" spans="1:22">
      <c r="A351" s="353" t="s">
        <v>792</v>
      </c>
      <c r="E351" s="359"/>
      <c r="N351" s="353" t="str">
        <f>IF($B$347="","",CONCATENATE(B351," ",C351," ",D351," ",E351," ",F351," ",G351," ",H351," ",I351," ",J351," ",K351," ",L351," ",M351))</f>
        <v xml:space="preserve">           </v>
      </c>
    </row>
    <row r="352" spans="1:22">
      <c r="A352" s="353" t="s">
        <v>798</v>
      </c>
      <c r="E352" s="359"/>
    </row>
    <row r="353" spans="1:14">
      <c r="A353" s="353" t="s">
        <v>564</v>
      </c>
      <c r="E353" s="359"/>
    </row>
    <row r="354" spans="1:14">
      <c r="A354" s="353" t="s">
        <v>791</v>
      </c>
      <c r="E354" s="359"/>
    </row>
    <row r="355" spans="1:14">
      <c r="A355" s="353" t="s">
        <v>800</v>
      </c>
      <c r="E355" s="359"/>
    </row>
    <row r="356" spans="1:14">
      <c r="A356" s="353" t="s">
        <v>789</v>
      </c>
      <c r="E356" s="359"/>
    </row>
    <row r="357" spans="1:14">
      <c r="A357" s="353" t="s">
        <v>803</v>
      </c>
      <c r="E357" s="359"/>
    </row>
    <row r="358" spans="1:14">
      <c r="A358" s="353" t="s">
        <v>796</v>
      </c>
      <c r="E358" s="359"/>
    </row>
    <row r="359" spans="1:14">
      <c r="A359" s="353" t="s">
        <v>797</v>
      </c>
      <c r="E359" s="359"/>
    </row>
    <row r="360" spans="1:14">
      <c r="A360" s="353" t="s">
        <v>790</v>
      </c>
      <c r="E360" s="359"/>
    </row>
    <row r="361" spans="1:14">
      <c r="A361" s="353" t="s">
        <v>801</v>
      </c>
      <c r="E361" s="359"/>
    </row>
    <row r="362" spans="1:14">
      <c r="A362" s="353" t="s">
        <v>805</v>
      </c>
      <c r="E362" s="359"/>
    </row>
    <row r="363" spans="1:14">
      <c r="A363" s="353" t="s">
        <v>795</v>
      </c>
      <c r="E363" s="359"/>
    </row>
    <row r="364" spans="1:14">
      <c r="A364" s="353" t="s">
        <v>794</v>
      </c>
      <c r="E364" s="359"/>
    </row>
    <row r="365" spans="1:14">
      <c r="A365" s="353" t="s">
        <v>804</v>
      </c>
      <c r="E365" s="359"/>
    </row>
    <row r="366" spans="1:14">
      <c r="A366" s="353" t="s">
        <v>799</v>
      </c>
    </row>
    <row r="368" spans="1:14">
      <c r="A368" s="353" t="s">
        <v>562</v>
      </c>
      <c r="B368" s="353" t="str">
        <f>IF($D$78="","","The average promotion rate in S.Y.")</f>
        <v>The average promotion rate in S.Y.</v>
      </c>
      <c r="C368" s="349" t="str">
        <f>$D$62</f>
        <v>2018-2019</v>
      </c>
      <c r="D368" s="353" t="s">
        <v>624</v>
      </c>
      <c r="E368" s="359">
        <f>$D$78</f>
        <v>93.09</v>
      </c>
      <c r="F368" s="350" t="s">
        <v>625</v>
      </c>
      <c r="G368" s="353">
        <f>$C$78</f>
        <v>98.55</v>
      </c>
      <c r="H368" s="353" t="s">
        <v>626</v>
      </c>
      <c r="I368" s="349" t="str">
        <f>IF($B$368="","",CONCATENATE(B368," ",C368," ",D368," ",E368," ",F368," ",G368," ",H368))</f>
        <v>The average promotion rate in S.Y. 2018-2019 is at 93.09 percent as compared to the 98.55 percent of the previous school year.</v>
      </c>
      <c r="L368" s="349"/>
      <c r="M368" s="353" t="str">
        <f>IF($I$54=0,"",".")</f>
        <v>.</v>
      </c>
      <c r="N368" s="353" t="str">
        <f>IF($B$347="","",CONCATENATE(B368," ",C368," ",D368," ",E368," ",F368," ",G368," ",H368," ",I368," ",J368," ",K368," ",L368," ",M368))</f>
        <v>The average promotion rate in S.Y. 2018-2019 is at 93.09 percent as compared to the 98.55 percent of the previous school year. The average promotion rate in S.Y. 2018-2019 is at 93.09 percent as compared to the 98.55 percent of the previous school year.    .</v>
      </c>
    </row>
    <row r="369" spans="1:14">
      <c r="A369" s="353" t="s">
        <v>788</v>
      </c>
      <c r="B369" s="353" t="str">
        <f>IF($D$78="","","Ang average promotion rate ng S.Y.")</f>
        <v>Ang average promotion rate ng S.Y.</v>
      </c>
      <c r="C369" s="349" t="str">
        <f>$D$62</f>
        <v>2018-2019</v>
      </c>
      <c r="D369" s="353" t="s">
        <v>620</v>
      </c>
      <c r="E369" s="359">
        <f>$D$78</f>
        <v>93.09</v>
      </c>
      <c r="F369" s="350" t="s">
        <v>628</v>
      </c>
      <c r="G369" s="353">
        <f>$C$78</f>
        <v>98.55</v>
      </c>
      <c r="H369" s="353" t="s">
        <v>630</v>
      </c>
      <c r="I369" s="349" t="str">
        <f>IF($B$368="","",CONCATENATE(B369," ",C369," ",D369," ",E369," ",F369," ",G369," ",H369))</f>
        <v>Ang average promotion rate ng S.Y. 2018-2019 ay 93.09 porsyento kumpara sa 98.55 porsiyento ng nakaraang taong panuruan.</v>
      </c>
      <c r="L369" s="349"/>
      <c r="M369" s="353" t="str">
        <f>IF($I$54=0,"",".")</f>
        <v>.</v>
      </c>
      <c r="N369" s="353" t="str">
        <f>IF($B$347="","",CONCATENATE(B369," ",C369," ",D369," ",E369," ",F369," ",G369," ",H369," ",I369," ",J369," ",K369," ",L369," ",M369))</f>
        <v>Ang average promotion rate ng S.Y. 2018-2019 ay 93.09 porsyento kumpara sa 98.55 porsiyento ng nakaraang taong panuruan. Ang average promotion rate ng S.Y. 2018-2019 ay 93.09 porsyento kumpara sa 98.55 porsiyento ng nakaraang taong panuruan.    .</v>
      </c>
    </row>
    <row r="370" spans="1:14">
      <c r="A370" s="353" t="s">
        <v>793</v>
      </c>
      <c r="B370" s="353" t="str">
        <f>IF($D$78="","","Ang average promotion rate sa S.Y.")</f>
        <v>Ang average promotion rate sa S.Y.</v>
      </c>
      <c r="C370" s="349" t="str">
        <f>$D$62</f>
        <v>2018-2019</v>
      </c>
      <c r="D370" s="353" t="s">
        <v>627</v>
      </c>
      <c r="E370" s="359">
        <f>$D$78</f>
        <v>93.09</v>
      </c>
      <c r="F370" s="350" t="s">
        <v>629</v>
      </c>
      <c r="G370" s="353">
        <f>$C$78</f>
        <v>98.55</v>
      </c>
      <c r="H370" s="353" t="s">
        <v>631</v>
      </c>
      <c r="I370" s="349" t="str">
        <f>IF($B$368="","",CONCATENATE(B370," ",C370," ",D370," ",E370," ",F370," ",G370," ",H370))</f>
        <v>Ang average promotion rate sa S.Y. 2018-2019 naa sa 93.09 porsyento kung itandi sa 98.55 porsyento sa miaging tuig ting-tungha.</v>
      </c>
      <c r="L370" s="349"/>
      <c r="M370" s="353" t="str">
        <f>IF($I$54=0,"",".")</f>
        <v>.</v>
      </c>
      <c r="N370" s="353" t="str">
        <f>IF($B$347="","",CONCATENATE(B370," ",C370," ",D370," ",E370," ",F370," ",G370," ",H370," ",I370," ",J370," ",K370," ",L370," ",M370))</f>
        <v>Ang average promotion rate sa S.Y. 2018-2019 naa sa 93.09 porsyento kung itandi sa 98.55 porsyento sa miaging tuig ting-tungha. Ang average promotion rate sa S.Y. 2018-2019 naa sa 93.09 porsyento kung itandi sa 98.55 porsyento sa miaging tuig ting-tungha.    .</v>
      </c>
    </row>
    <row r="371" spans="1:14">
      <c r="A371" s="353" t="s">
        <v>802</v>
      </c>
      <c r="C371" s="349"/>
      <c r="E371" s="359"/>
      <c r="L371" s="349"/>
      <c r="N371" s="353" t="str">
        <f>IF($B$347="","",CONCATENATE(B371," ",C371," ",D371," ",E371," ",F371," ",G371," ",H371," ",I371," ",J371," ",K371," ",L371," ",M371))</f>
        <v xml:space="preserve">           </v>
      </c>
    </row>
    <row r="372" spans="1:14">
      <c r="A372" s="353" t="s">
        <v>792</v>
      </c>
      <c r="E372" s="359"/>
      <c r="N372" s="353" t="str">
        <f>IF($B$347="","",CONCATENATE(B372," ",C372," ",D372," ",E372," ",F372," ",G372," ",H372," ",I372," ",J372," ",K372," ",L372," ",M372))</f>
        <v xml:space="preserve">           </v>
      </c>
    </row>
    <row r="373" spans="1:14">
      <c r="A373" s="353" t="s">
        <v>798</v>
      </c>
      <c r="E373" s="359"/>
    </row>
    <row r="374" spans="1:14">
      <c r="A374" s="353" t="s">
        <v>564</v>
      </c>
      <c r="E374" s="359"/>
    </row>
    <row r="375" spans="1:14">
      <c r="A375" s="353" t="s">
        <v>791</v>
      </c>
      <c r="E375" s="359"/>
    </row>
    <row r="376" spans="1:14">
      <c r="A376" s="353" t="s">
        <v>800</v>
      </c>
      <c r="E376" s="359"/>
    </row>
    <row r="377" spans="1:14">
      <c r="A377" s="353" t="s">
        <v>789</v>
      </c>
      <c r="E377" s="359"/>
    </row>
    <row r="378" spans="1:14">
      <c r="A378" s="353" t="s">
        <v>803</v>
      </c>
      <c r="E378" s="359"/>
    </row>
    <row r="379" spans="1:14">
      <c r="A379" s="353" t="s">
        <v>796</v>
      </c>
      <c r="E379" s="359"/>
    </row>
    <row r="380" spans="1:14">
      <c r="A380" s="353" t="s">
        <v>797</v>
      </c>
      <c r="E380" s="359"/>
    </row>
    <row r="381" spans="1:14">
      <c r="A381" s="353" t="s">
        <v>790</v>
      </c>
      <c r="E381" s="359"/>
    </row>
    <row r="382" spans="1:14">
      <c r="A382" s="353" t="s">
        <v>801</v>
      </c>
      <c r="E382" s="359"/>
    </row>
    <row r="383" spans="1:14">
      <c r="A383" s="353" t="s">
        <v>805</v>
      </c>
      <c r="E383" s="359"/>
    </row>
    <row r="384" spans="1:14">
      <c r="A384" s="353" t="s">
        <v>795</v>
      </c>
      <c r="E384" s="359"/>
    </row>
    <row r="385" spans="1:14">
      <c r="A385" s="353" t="s">
        <v>794</v>
      </c>
      <c r="E385" s="359"/>
    </row>
    <row r="386" spans="1:14">
      <c r="A386" s="353" t="s">
        <v>804</v>
      </c>
      <c r="E386" s="359"/>
    </row>
    <row r="387" spans="1:14">
      <c r="A387" s="353" t="s">
        <v>799</v>
      </c>
    </row>
    <row r="389" spans="1:14">
      <c r="A389" s="353" t="s">
        <v>562</v>
      </c>
      <c r="B389" s="353" t="str">
        <f>IF($D$78="","","The grade level with the highest Promotion Rate for the latest school year is ")</f>
        <v xml:space="preserve">The grade level with the highest Promotion Rate for the latest school year is </v>
      </c>
      <c r="C389" s="349" t="str">
        <f>$K$68</f>
        <v>Grade 12</v>
      </c>
      <c r="D389" s="359" t="s">
        <v>582</v>
      </c>
      <c r="E389" s="349">
        <f>$L$68</f>
        <v>98.384999999999991</v>
      </c>
      <c r="F389" s="353" t="s">
        <v>619</v>
      </c>
      <c r="G389" s="353" t="str">
        <f>IF($D$78="","",CONCATENATE(B389," ",C389," ",D389," ",E389," ",F389))</f>
        <v>The grade level with the highest Promotion Rate for the latest school year is  Grade 12 with 98.385 percent.</v>
      </c>
      <c r="I389" s="349"/>
      <c r="L389" s="349"/>
      <c r="M389" s="353" t="str">
        <f>IF($I$54=0,"",".")</f>
        <v>.</v>
      </c>
      <c r="N389" s="353" t="str">
        <f>IF($B$347="","",CONCATENATE(B389," ",C389," ",D389," ",E389," ",F389," ",G389," ",H389," ",I389," ",J389," ",K389," ",L389," ",M389))</f>
        <v>The grade level with the highest Promotion Rate for the latest school year is  Grade 12 with 98.385 percent. The grade level with the highest Promotion Rate for the latest school year is  Grade 12 with 98.385 percent.      .</v>
      </c>
    </row>
    <row r="390" spans="1:14">
      <c r="A390" s="353" t="s">
        <v>788</v>
      </c>
      <c r="B390" s="353" t="str">
        <f>IF($D$78="","","Ang antas ng grado na may pinakamataas na Promotion Rate para sa pinakahuling taon panuruan ay ")</f>
        <v xml:space="preserve">Ang antas ng grado na may pinakamataas na Promotion Rate para sa pinakahuling taon panuruan ay </v>
      </c>
      <c r="C390" s="349" t="str">
        <f>$K$68</f>
        <v>Grade 12</v>
      </c>
      <c r="D390" s="359" t="s">
        <v>583</v>
      </c>
      <c r="E390" s="349">
        <f>$L$68</f>
        <v>98.384999999999991</v>
      </c>
      <c r="F390" s="353" t="s">
        <v>619</v>
      </c>
      <c r="G390" s="353" t="str">
        <f>IF($D$78="","",CONCATENATE(B390," ",C390," ",D390," ",E390," ",F390))</f>
        <v>Ang antas ng grado na may pinakamataas na Promotion Rate para sa pinakahuling taon panuruan ay  Grade 12 na may 98.385 percent.</v>
      </c>
      <c r="I390" s="349"/>
      <c r="L390" s="349"/>
      <c r="M390" s="353" t="str">
        <f>IF($I$54=0,"",".")</f>
        <v>.</v>
      </c>
      <c r="N390" s="353" t="str">
        <f>IF($B$347="","",CONCATENATE(B390," ",C390," ",D390," ",E390," ",F390," ",G390," ",H390," ",I390," ",J390," ",K390," ",L390," ",M390))</f>
        <v>Ang antas ng grado na may pinakamataas na Promotion Rate para sa pinakahuling taon panuruan ay  Grade 12 na may 98.385 percent. Ang antas ng grado na may pinakamataas na Promotion Rate para sa pinakahuling taon panuruan ay  Grade 12 na may 98.385 percent.      .</v>
      </c>
    </row>
    <row r="391" spans="1:14">
      <c r="A391" s="353" t="s">
        <v>793</v>
      </c>
      <c r="B391" s="353" t="str">
        <f>IF($D$78="","","Ang lebel sa grado nga adunay pinakataas nga Rate sa Promotion alang sa pinakaulahi nga tuig ting-tungha mao ang ")</f>
        <v xml:space="preserve">Ang lebel sa grado nga adunay pinakataas nga Rate sa Promotion alang sa pinakaulahi nga tuig ting-tungha mao ang </v>
      </c>
      <c r="C391" s="349" t="str">
        <f>$K$68</f>
        <v>Grade 12</v>
      </c>
      <c r="D391" s="359" t="s">
        <v>616</v>
      </c>
      <c r="E391" s="349">
        <f>$L$68</f>
        <v>98.384999999999991</v>
      </c>
      <c r="F391" s="353" t="s">
        <v>619</v>
      </c>
      <c r="G391" s="353" t="str">
        <f>IF($D$78="","",CONCATENATE(B391," ",C391," ",D391," ",E391," ",F391))</f>
        <v>Ang lebel sa grado nga adunay pinakataas nga Rate sa Promotion alang sa pinakaulahi nga tuig ting-tungha mao ang  Grade 12 nga adunay 98.385 percent.</v>
      </c>
      <c r="I391" s="349"/>
      <c r="L391" s="349"/>
      <c r="M391" s="353" t="str">
        <f>IF($I$54=0,"",".")</f>
        <v>.</v>
      </c>
      <c r="N391" s="353" t="str">
        <f>IF($B$347="","",CONCATENATE(B391," ",C391," ",D391," ",E391," ",F391," ",G391," ",H391," ",I391," ",J391," ",K391," ",L391," ",M391))</f>
        <v>Ang lebel sa grado nga adunay pinakataas nga Rate sa Promotion alang sa pinakaulahi nga tuig ting-tungha mao ang  Grade 12 nga adunay 98.385 percent. Ang lebel sa grado nga adunay pinakataas nga Rate sa Promotion alang sa pinakaulahi nga tuig ting-tungha mao ang  Grade 12 nga adunay 98.385 percent.      .</v>
      </c>
    </row>
    <row r="392" spans="1:14">
      <c r="A392" s="353" t="s">
        <v>802</v>
      </c>
      <c r="C392" s="349"/>
      <c r="E392" s="359"/>
      <c r="L392" s="349"/>
      <c r="N392" s="353" t="str">
        <f>IF($B$347="","",CONCATENATE(B392," ",C392," ",D392," ",E392," ",F392," ",G392," ",H392," ",I392," ",J392," ",K392," ",L392," ",M392))</f>
        <v xml:space="preserve">           </v>
      </c>
    </row>
    <row r="393" spans="1:14">
      <c r="A393" s="353" t="s">
        <v>792</v>
      </c>
      <c r="E393" s="359"/>
      <c r="N393" s="353" t="str">
        <f>IF($B$347="","",CONCATENATE(B393," ",C393," ",D393," ",E393," ",F393," ",G393," ",H393," ",I393," ",J393," ",K393," ",L393," ",M393))</f>
        <v xml:space="preserve">           </v>
      </c>
    </row>
    <row r="394" spans="1:14">
      <c r="A394" s="353" t="s">
        <v>798</v>
      </c>
      <c r="E394" s="359"/>
    </row>
    <row r="395" spans="1:14">
      <c r="A395" s="353" t="s">
        <v>564</v>
      </c>
      <c r="E395" s="359"/>
    </row>
    <row r="396" spans="1:14">
      <c r="A396" s="353" t="s">
        <v>791</v>
      </c>
      <c r="E396" s="359"/>
    </row>
    <row r="397" spans="1:14">
      <c r="A397" s="353" t="s">
        <v>800</v>
      </c>
      <c r="E397" s="359"/>
    </row>
    <row r="398" spans="1:14">
      <c r="A398" s="353" t="s">
        <v>789</v>
      </c>
      <c r="E398" s="359"/>
    </row>
    <row r="399" spans="1:14">
      <c r="A399" s="353" t="s">
        <v>803</v>
      </c>
      <c r="E399" s="359"/>
    </row>
    <row r="400" spans="1:14">
      <c r="A400" s="353" t="s">
        <v>796</v>
      </c>
      <c r="E400" s="359"/>
    </row>
    <row r="401" spans="1:18">
      <c r="A401" s="353" t="s">
        <v>797</v>
      </c>
      <c r="E401" s="359"/>
    </row>
    <row r="402" spans="1:18">
      <c r="A402" s="353" t="s">
        <v>790</v>
      </c>
      <c r="E402" s="359"/>
    </row>
    <row r="403" spans="1:18">
      <c r="A403" s="353" t="s">
        <v>801</v>
      </c>
      <c r="E403" s="359"/>
    </row>
    <row r="404" spans="1:18">
      <c r="A404" s="353" t="s">
        <v>805</v>
      </c>
      <c r="E404" s="359"/>
    </row>
    <row r="405" spans="1:18">
      <c r="A405" s="353" t="s">
        <v>795</v>
      </c>
      <c r="E405" s="359"/>
    </row>
    <row r="406" spans="1:18">
      <c r="A406" s="353" t="s">
        <v>794</v>
      </c>
      <c r="E406" s="359"/>
    </row>
    <row r="407" spans="1:18">
      <c r="A407" s="353" t="s">
        <v>804</v>
      </c>
      <c r="E407" s="359"/>
    </row>
    <row r="408" spans="1:18">
      <c r="A408" s="353" t="s">
        <v>799</v>
      </c>
    </row>
    <row r="410" spans="1:18">
      <c r="A410" s="353" t="s">
        <v>562</v>
      </c>
      <c r="B410" s="353" t="str">
        <f>IF($J$80="","","In the most recent NAT, learners performed well in")</f>
        <v/>
      </c>
      <c r="C410" s="349" t="str">
        <f>$J$80</f>
        <v/>
      </c>
      <c r="D410" s="359" t="s">
        <v>582</v>
      </c>
      <c r="E410" s="349" t="str">
        <f>$J$82</f>
        <v/>
      </c>
      <c r="F410" s="353" t="s">
        <v>632</v>
      </c>
      <c r="G410" s="353" t="str">
        <f>$K$80</f>
        <v/>
      </c>
      <c r="H410" s="359" t="s">
        <v>582</v>
      </c>
      <c r="I410" s="349" t="str">
        <f>$K$82</f>
        <v/>
      </c>
      <c r="J410" s="353" t="s">
        <v>605</v>
      </c>
      <c r="K410" s="353" t="str">
        <f>$L$80</f>
        <v/>
      </c>
      <c r="L410" s="359" t="s">
        <v>582</v>
      </c>
      <c r="M410" s="349" t="str">
        <f>$L$82</f>
        <v/>
      </c>
      <c r="N410" s="353" t="s">
        <v>606</v>
      </c>
      <c r="O410" s="353" t="s">
        <v>633</v>
      </c>
      <c r="P410" s="353" t="str">
        <f>$N$80</f>
        <v/>
      </c>
      <c r="Q410" s="353" t="s">
        <v>606</v>
      </c>
      <c r="R410" s="353" t="str">
        <f>IF($J$80="","",CONCATENATE(B410," ",C410," ",D410," ",E410," ",F410," ",G410," ",H410," "," ",I410," ",J410," ",K410," ",L410," ",M410,N410," ",O410," ",P410,Q410))</f>
        <v/>
      </c>
    </row>
    <row r="411" spans="1:18">
      <c r="A411" s="353" t="s">
        <v>788</v>
      </c>
      <c r="B411" s="353" t="str">
        <f>IF($J$80="","","Sa pinakahuling NAT, ang mga mag-aaral ay mahusay sa")</f>
        <v/>
      </c>
      <c r="C411" s="349" t="str">
        <f>$J$80</f>
        <v/>
      </c>
      <c r="D411" s="359" t="s">
        <v>583</v>
      </c>
      <c r="E411" s="349" t="str">
        <f>$J$82</f>
        <v/>
      </c>
      <c r="F411" s="353" t="s">
        <v>635</v>
      </c>
      <c r="G411" s="353" t="str">
        <f>$K$80</f>
        <v/>
      </c>
      <c r="H411" s="359" t="s">
        <v>583</v>
      </c>
      <c r="I411" s="349" t="str">
        <f>$K$82</f>
        <v/>
      </c>
      <c r="J411" s="353" t="s">
        <v>611</v>
      </c>
      <c r="K411" s="353" t="str">
        <f>$L$80</f>
        <v/>
      </c>
      <c r="L411" s="359" t="s">
        <v>583</v>
      </c>
      <c r="M411" s="349" t="str">
        <f>$L$82</f>
        <v/>
      </c>
      <c r="N411" s="353" t="s">
        <v>606</v>
      </c>
      <c r="O411" s="353" t="s">
        <v>637</v>
      </c>
      <c r="P411" s="353" t="str">
        <f>$N$80</f>
        <v/>
      </c>
      <c r="Q411" s="353" t="s">
        <v>606</v>
      </c>
      <c r="R411" s="353" t="str">
        <f>IF($J$80="","",CONCATENATE(B411," ",C411," ",D411," ",E411," ",F411," ",G411," ",H411," "," ",I411," ",J411," ",K411," ",L411," ",M411,N411," ",O411," ",P411,Q411))</f>
        <v/>
      </c>
    </row>
    <row r="412" spans="1:18">
      <c r="A412" s="353" t="s">
        <v>793</v>
      </c>
      <c r="B412" s="353" t="str">
        <f>IF($J$80="","","Sa labing bag-o nga NAT, ang mga estudyante maayo ang kuha sa")</f>
        <v/>
      </c>
      <c r="C412" s="349" t="str">
        <f>$J$80</f>
        <v/>
      </c>
      <c r="D412" s="359" t="s">
        <v>634</v>
      </c>
      <c r="E412" s="349" t="str">
        <f>$J$82</f>
        <v/>
      </c>
      <c r="F412" s="353" t="s">
        <v>636</v>
      </c>
      <c r="G412" s="353" t="str">
        <f>$K$80</f>
        <v/>
      </c>
      <c r="H412" s="359" t="s">
        <v>634</v>
      </c>
      <c r="I412" s="349" t="str">
        <f>$K$82</f>
        <v/>
      </c>
      <c r="J412" s="353" t="s">
        <v>612</v>
      </c>
      <c r="K412" s="353" t="str">
        <f>$L$80</f>
        <v/>
      </c>
      <c r="L412" s="359" t="s">
        <v>634</v>
      </c>
      <c r="M412" s="349" t="str">
        <f>$L$82</f>
        <v/>
      </c>
      <c r="N412" s="353" t="s">
        <v>606</v>
      </c>
      <c r="O412" s="353" t="s">
        <v>638</v>
      </c>
      <c r="P412" s="353" t="str">
        <f>$N$80</f>
        <v/>
      </c>
      <c r="Q412" s="353" t="s">
        <v>606</v>
      </c>
      <c r="R412" s="353" t="str">
        <f>IF($J$80="","",CONCATENATE(B412," ",C412," ",D412," ",E412," ",F412," ",G412," ",H412," "," ",I412," ",J412," ",K412," ",L412," ",M412,N412," ",O412," ",P412,Q412))</f>
        <v/>
      </c>
    </row>
    <row r="413" spans="1:18">
      <c r="A413" s="353" t="s">
        <v>802</v>
      </c>
      <c r="C413" s="349"/>
      <c r="E413" s="359"/>
      <c r="L413" s="349"/>
    </row>
    <row r="414" spans="1:18">
      <c r="A414" s="353" t="s">
        <v>792</v>
      </c>
      <c r="E414" s="359"/>
    </row>
    <row r="415" spans="1:18">
      <c r="A415" s="353" t="s">
        <v>798</v>
      </c>
      <c r="E415" s="359"/>
    </row>
    <row r="416" spans="1:18">
      <c r="A416" s="353" t="s">
        <v>564</v>
      </c>
      <c r="E416" s="359"/>
    </row>
    <row r="417" spans="1:13">
      <c r="A417" s="353" t="s">
        <v>791</v>
      </c>
      <c r="E417" s="359"/>
    </row>
    <row r="418" spans="1:13">
      <c r="A418" s="353" t="s">
        <v>800</v>
      </c>
      <c r="E418" s="359"/>
    </row>
    <row r="419" spans="1:13">
      <c r="A419" s="353" t="s">
        <v>789</v>
      </c>
      <c r="E419" s="359"/>
    </row>
    <row r="420" spans="1:13">
      <c r="A420" s="353" t="s">
        <v>803</v>
      </c>
      <c r="E420" s="359"/>
    </row>
    <row r="421" spans="1:13">
      <c r="A421" s="353" t="s">
        <v>796</v>
      </c>
      <c r="E421" s="359"/>
    </row>
    <row r="422" spans="1:13">
      <c r="A422" s="353" t="s">
        <v>797</v>
      </c>
      <c r="E422" s="359"/>
    </row>
    <row r="423" spans="1:13">
      <c r="A423" s="353" t="s">
        <v>790</v>
      </c>
      <c r="E423" s="359"/>
    </row>
    <row r="424" spans="1:13">
      <c r="A424" s="353" t="s">
        <v>801</v>
      </c>
      <c r="E424" s="359"/>
    </row>
    <row r="425" spans="1:13">
      <c r="A425" s="353" t="s">
        <v>805</v>
      </c>
      <c r="E425" s="359"/>
    </row>
    <row r="426" spans="1:13">
      <c r="A426" s="353" t="s">
        <v>795</v>
      </c>
      <c r="E426" s="359"/>
    </row>
    <row r="427" spans="1:13">
      <c r="A427" s="353" t="s">
        <v>794</v>
      </c>
      <c r="E427" s="359"/>
    </row>
    <row r="428" spans="1:13">
      <c r="A428" s="353" t="s">
        <v>804</v>
      </c>
      <c r="E428" s="359"/>
    </row>
    <row r="429" spans="1:13">
      <c r="A429" s="353" t="s">
        <v>799</v>
      </c>
    </row>
    <row r="431" spans="1:13">
      <c r="A431" s="353" t="s">
        <v>562</v>
      </c>
      <c r="C431" s="349"/>
      <c r="D431" s="359"/>
      <c r="E431" s="349"/>
      <c r="H431" s="359"/>
      <c r="I431" s="349"/>
      <c r="L431" s="359"/>
      <c r="M431" s="349"/>
    </row>
    <row r="432" spans="1:13">
      <c r="A432" s="353" t="s">
        <v>788</v>
      </c>
      <c r="C432" s="349"/>
      <c r="D432" s="359"/>
      <c r="E432" s="349"/>
      <c r="H432" s="359"/>
      <c r="I432" s="349"/>
      <c r="L432" s="359"/>
      <c r="M432" s="349"/>
    </row>
    <row r="433" spans="1:13">
      <c r="A433" s="353" t="s">
        <v>793</v>
      </c>
      <c r="C433" s="349"/>
      <c r="D433" s="359"/>
      <c r="E433" s="349"/>
      <c r="H433" s="359"/>
      <c r="I433" s="349"/>
      <c r="L433" s="359"/>
      <c r="M433" s="349"/>
    </row>
    <row r="434" spans="1:13">
      <c r="A434" s="353" t="s">
        <v>802</v>
      </c>
      <c r="C434" s="349"/>
      <c r="E434" s="359"/>
      <c r="L434" s="349"/>
    </row>
    <row r="435" spans="1:13">
      <c r="A435" s="353" t="s">
        <v>792</v>
      </c>
      <c r="E435" s="359"/>
    </row>
    <row r="436" spans="1:13">
      <c r="A436" s="353" t="s">
        <v>798</v>
      </c>
      <c r="E436" s="359"/>
    </row>
    <row r="437" spans="1:13">
      <c r="A437" s="353" t="s">
        <v>564</v>
      </c>
      <c r="E437" s="359"/>
    </row>
    <row r="438" spans="1:13">
      <c r="A438" s="353" t="s">
        <v>791</v>
      </c>
      <c r="E438" s="359"/>
    </row>
    <row r="439" spans="1:13">
      <c r="A439" s="353" t="s">
        <v>800</v>
      </c>
      <c r="E439" s="359"/>
    </row>
    <row r="440" spans="1:13">
      <c r="A440" s="353" t="s">
        <v>789</v>
      </c>
      <c r="E440" s="359"/>
    </row>
    <row r="441" spans="1:13">
      <c r="A441" s="353" t="s">
        <v>803</v>
      </c>
      <c r="E441" s="359"/>
    </row>
    <row r="442" spans="1:13">
      <c r="A442" s="353" t="s">
        <v>796</v>
      </c>
      <c r="E442" s="359"/>
    </row>
    <row r="443" spans="1:13">
      <c r="A443" s="353" t="s">
        <v>797</v>
      </c>
      <c r="E443" s="359"/>
    </row>
    <row r="444" spans="1:13">
      <c r="A444" s="353" t="s">
        <v>790</v>
      </c>
      <c r="E444" s="359"/>
    </row>
    <row r="445" spans="1:13">
      <c r="A445" s="353" t="s">
        <v>801</v>
      </c>
      <c r="E445" s="359"/>
    </row>
    <row r="446" spans="1:13">
      <c r="A446" s="353" t="s">
        <v>805</v>
      </c>
      <c r="E446" s="359"/>
    </row>
    <row r="447" spans="1:13">
      <c r="A447" s="353" t="s">
        <v>795</v>
      </c>
      <c r="E447" s="359"/>
    </row>
    <row r="448" spans="1:13">
      <c r="A448" s="353" t="s">
        <v>794</v>
      </c>
      <c r="E448" s="359"/>
    </row>
    <row r="449" spans="1:13">
      <c r="A449" s="353" t="s">
        <v>804</v>
      </c>
      <c r="E449" s="359"/>
    </row>
    <row r="450" spans="1:13">
      <c r="A450" s="353" t="s">
        <v>799</v>
      </c>
    </row>
    <row r="452" spans="1:13">
      <c r="A452" s="353" t="s">
        <v>562</v>
      </c>
      <c r="B452" s="353" t="str">
        <f>IF($V$90="","","Results of the Group Screening Test (GST) in Phil-IRI during the pre-test in English showed")</f>
        <v>Results of the Group Screening Test (GST) in Phil-IRI during the pre-test in English showed</v>
      </c>
      <c r="C452" s="349" t="str">
        <f>IF($B$452="","",$V$90)</f>
        <v>Grade 11</v>
      </c>
      <c r="D452" s="359" t="str">
        <f>IF($B$452="","","has the highest number of learners who are reading at their level with")</f>
        <v>has the highest number of learners who are reading at their level with</v>
      </c>
      <c r="E452" s="349">
        <f>IF($W$90="","",ROUND($W$90,2))</f>
        <v>50.24</v>
      </c>
      <c r="F452" s="353" t="str">
        <f>IF($E$452="","","percent of the total GST takers.")</f>
        <v>percent of the total GST takers.</v>
      </c>
      <c r="G452" s="353" t="str">
        <f>IF($AH$90="","","In Filipino, the percentage of learners who are reading at their level is at")</f>
        <v>In Filipino, the percentage of learners who are reading at their level is at</v>
      </c>
      <c r="H452" s="359">
        <f>IF($AI$90="","",ROUND($AI$90,2))</f>
        <v>77.02</v>
      </c>
      <c r="I452" s="349" t="str">
        <f>IF($H$452="","","percent, with")</f>
        <v>percent, with</v>
      </c>
      <c r="J452" s="353" t="str">
        <f>IF($AH$90="","",$AH$90)</f>
        <v>Grade 12</v>
      </c>
      <c r="K452" s="353" t="str">
        <f>IF($J$452="","","having the highest percentage of learners passing the GST.")</f>
        <v>having the highest percentage of learners passing the GST.</v>
      </c>
      <c r="L452" s="359" t="str">
        <f>IF(B452="","",CONCATENATE(B452," ",C452," ",D452," ",E452," ",F452," ",G452," ",H452," ",I452," ",J452," ",K452))</f>
        <v>Results of the Group Screening Test (GST) in Phil-IRI during the pre-test in English showed Grade 11 has the highest number of learners who are reading at their level with 50.24 percent of the total GST takers. In Filipino, the percentage of learners who are reading at their level is at 77.02 percent, with Grade 12 having the highest percentage of learners passing the GST.</v>
      </c>
      <c r="M452" s="349"/>
    </row>
    <row r="453" spans="1:13">
      <c r="A453" s="353" t="s">
        <v>788</v>
      </c>
      <c r="B453" s="353" t="str">
        <f>IF($V$90="","","Ang resulta ng Group Screening Test (GST) sa Phil-IRI sa pre-test sa English ay nagpakita na ang")</f>
        <v>Ang resulta ng Group Screening Test (GST) sa Phil-IRI sa pre-test sa English ay nagpakita na ang</v>
      </c>
      <c r="C453" s="349" t="str">
        <f>IF($B$452="","",$V$90)</f>
        <v>Grade 11</v>
      </c>
      <c r="D453" s="359" t="str">
        <f>IF($B$452="","","ay may pinakamataas na bilang ng mga mag-aaral na nagbabasa sa kanilang antas na may")</f>
        <v>ay may pinakamataas na bilang ng mga mag-aaral na nagbabasa sa kanilang antas na may</v>
      </c>
      <c r="E453" s="349">
        <f>IF($W$90="","",ROUND($W$90,2))</f>
        <v>50.24</v>
      </c>
      <c r="F453" s="353" t="str">
        <f>IF($E$452="","","porsiyento sa lahat ng GST takers.")</f>
        <v>porsiyento sa lahat ng GST takers.</v>
      </c>
      <c r="G453" s="353" t="str">
        <f>IF($AH$90="","","Sa Filipino, ang porsyento ng mga mag-aaral na nakakabasa sa kanilang antas ay nasa")</f>
        <v>Sa Filipino, ang porsyento ng mga mag-aaral na nakakabasa sa kanilang antas ay nasa</v>
      </c>
      <c r="H453" s="359">
        <f>IF($AI$90="","",ROUND($AI$90,2))</f>
        <v>77.02</v>
      </c>
      <c r="I453" s="349" t="str">
        <f>IF($H$452="","","percent, na kung saan ang")</f>
        <v>percent, na kung saan ang</v>
      </c>
      <c r="J453" s="353" t="str">
        <f>IF($AH$90="","",$AH$90)</f>
        <v>Grade 12</v>
      </c>
      <c r="K453" s="353" t="str">
        <f>IF($J$452="","","ang may pinakamataas na porsiyento ng mga mag-aaral na pumasa sa GST.")</f>
        <v>ang may pinakamataas na porsiyento ng mga mag-aaral na pumasa sa GST.</v>
      </c>
      <c r="L453" s="359" t="str">
        <f>IF(B453="","",CONCATENATE(B453," ",C453," ",D453," ",E453," ",F453," ",G453," ",H453," ",I453," ",J453," ",K453))</f>
        <v>Ang resulta ng Group Screening Test (GST) sa Phil-IRI sa pre-test sa English ay nagpakita na ang Grade 11 ay may pinakamataas na bilang ng mga mag-aaral na nagbabasa sa kanilang antas na may 50.24 porsiyento sa lahat ng GST takers. Sa Filipino, ang porsyento ng mga mag-aaral na nakakabasa sa kanilang antas ay nasa 77.02 percent, na kung saan ang Grade 12 ang may pinakamataas na porsiyento ng mga mag-aaral na pumasa sa GST.</v>
      </c>
      <c r="M453" s="349"/>
    </row>
    <row r="454" spans="1:13">
      <c r="A454" s="353" t="s">
        <v>793</v>
      </c>
      <c r="B454" s="353" t="str">
        <f>IF($V$90="","","Ang resulta sa Group Screening Test (GST) sa Phil-IRI sa pre-test sa English nagpakita nga ang")</f>
        <v>Ang resulta sa Group Screening Test (GST) sa Phil-IRI sa pre-test sa English nagpakita nga ang</v>
      </c>
      <c r="C454" s="349" t="str">
        <f>IF($B$452="","",$V$90)</f>
        <v>Grade 11</v>
      </c>
      <c r="D454" s="359" t="str">
        <f>IF($B$452="","","adunay labing taas nga gidaghanon sa mga estudyante nga makabasa sa ilang lebel nga adunay")</f>
        <v>adunay labing taas nga gidaghanon sa mga estudyante nga makabasa sa ilang lebel nga adunay</v>
      </c>
      <c r="E454" s="349">
        <f>IF($W$90="","",ROUND($W$90,2))</f>
        <v>50.24</v>
      </c>
      <c r="F454" s="353" t="str">
        <f>IF($E$452="","","posyento sa tanang GST takers.")</f>
        <v>posyento sa tanang GST takers.</v>
      </c>
      <c r="G454" s="353" t="str">
        <f>IF($AH$90="","","Sa Filipino, ang porsiyento sa mga estudyante nga makabasa sa ilang lebel anaa sa")</f>
        <v>Sa Filipino, ang porsiyento sa mga estudyante nga makabasa sa ilang lebel anaa sa</v>
      </c>
      <c r="H454" s="359">
        <f>IF($AI$90="","",ROUND($AI$90,2))</f>
        <v>77.02</v>
      </c>
      <c r="I454" s="349" t="str">
        <f>IF($H$452="","","percent, diin")</f>
        <v>percent, diin</v>
      </c>
      <c r="J454" s="353" t="str">
        <f>IF($AH$90="","",$AH$90)</f>
        <v>Grade 12</v>
      </c>
      <c r="K454" s="353" t="str">
        <f>IF($J$452="","","ang adunay labing taas nga porsiyento sa mga estudyante nga nakapasar sa GST.")</f>
        <v>ang adunay labing taas nga porsiyento sa mga estudyante nga nakapasar sa GST.</v>
      </c>
      <c r="L454" s="359" t="str">
        <f>IF(B454="","",CONCATENATE(B454," ",C454," ",D454," ",E454," ",F454," ",G454," ",H454," ",I454," ",J454," ",K454))</f>
        <v>Ang resulta sa Group Screening Test (GST) sa Phil-IRI sa pre-test sa English nagpakita nga ang Grade 11 adunay labing taas nga gidaghanon sa mga estudyante nga makabasa sa ilang lebel nga adunay 50.24 posyento sa tanang GST takers. Sa Filipino, ang porsiyento sa mga estudyante nga makabasa sa ilang lebel anaa sa 77.02 percent, diin Grade 12 ang adunay labing taas nga porsiyento sa mga estudyante nga nakapasar sa GST.</v>
      </c>
      <c r="M454" s="349"/>
    </row>
    <row r="455" spans="1:13">
      <c r="A455" s="353" t="s">
        <v>802</v>
      </c>
      <c r="C455" s="349"/>
      <c r="E455" s="359"/>
      <c r="L455" s="349"/>
    </row>
    <row r="456" spans="1:13">
      <c r="A456" s="353" t="s">
        <v>792</v>
      </c>
      <c r="E456" s="359"/>
    </row>
    <row r="457" spans="1:13">
      <c r="A457" s="353" t="s">
        <v>798</v>
      </c>
      <c r="E457" s="359"/>
    </row>
    <row r="458" spans="1:13">
      <c r="A458" s="353" t="s">
        <v>564</v>
      </c>
      <c r="E458" s="359"/>
    </row>
    <row r="459" spans="1:13">
      <c r="A459" s="353" t="s">
        <v>791</v>
      </c>
      <c r="E459" s="359"/>
    </row>
    <row r="460" spans="1:13">
      <c r="A460" s="353" t="s">
        <v>800</v>
      </c>
      <c r="E460" s="359"/>
    </row>
    <row r="461" spans="1:13">
      <c r="A461" s="353" t="s">
        <v>789</v>
      </c>
      <c r="E461" s="359"/>
    </row>
    <row r="462" spans="1:13">
      <c r="A462" s="353" t="s">
        <v>803</v>
      </c>
      <c r="E462" s="359"/>
    </row>
    <row r="463" spans="1:13">
      <c r="A463" s="353" t="s">
        <v>796</v>
      </c>
      <c r="E463" s="359"/>
    </row>
    <row r="464" spans="1:13">
      <c r="A464" s="353" t="s">
        <v>797</v>
      </c>
      <c r="E464" s="359"/>
    </row>
    <row r="465" spans="1:13">
      <c r="A465" s="353" t="s">
        <v>790</v>
      </c>
      <c r="E465" s="359"/>
    </row>
    <row r="466" spans="1:13">
      <c r="A466" s="353" t="s">
        <v>801</v>
      </c>
      <c r="E466" s="359"/>
    </row>
    <row r="467" spans="1:13">
      <c r="A467" s="353" t="s">
        <v>805</v>
      </c>
      <c r="E467" s="359"/>
    </row>
    <row r="468" spans="1:13">
      <c r="A468" s="353" t="s">
        <v>795</v>
      </c>
      <c r="E468" s="359"/>
    </row>
    <row r="469" spans="1:13">
      <c r="A469" s="353" t="s">
        <v>794</v>
      </c>
      <c r="E469" s="359"/>
    </row>
    <row r="470" spans="1:13">
      <c r="A470" s="353" t="s">
        <v>804</v>
      </c>
      <c r="E470" s="359"/>
    </row>
    <row r="471" spans="1:13">
      <c r="A471" s="353" t="s">
        <v>799</v>
      </c>
      <c r="E471" s="359"/>
    </row>
    <row r="472" spans="1:13" ht="19.5" customHeight="1"/>
    <row r="473" spans="1:13">
      <c r="A473" s="353" t="s">
        <v>562</v>
      </c>
      <c r="B473" s="353" t="str">
        <f>IF($U$114="","","The biggest class size is on")</f>
        <v>The biggest class size is on</v>
      </c>
      <c r="C473" s="349" t="str">
        <f>$R$113</f>
        <v>Grade 7</v>
      </c>
      <c r="D473" s="359" t="s">
        <v>640</v>
      </c>
      <c r="E473" s="349">
        <f>$R$114</f>
        <v>61</v>
      </c>
      <c r="F473" s="353" t="s">
        <v>641</v>
      </c>
      <c r="G473" s="353" t="str">
        <f>$S$113</f>
        <v>Grade 11</v>
      </c>
      <c r="H473" s="359" t="s">
        <v>640</v>
      </c>
      <c r="I473" s="349">
        <f>$S$114</f>
        <v>52</v>
      </c>
      <c r="J473" s="353" t="s">
        <v>642</v>
      </c>
      <c r="K473" s="353" t="str">
        <f>$R$129</f>
        <v>beyond the recommended learner-classroom ratio.</v>
      </c>
      <c r="L473" s="359" t="str">
        <f>IF($B$473="","",CONCATENATE(B473," ",C473," ",D473," ",E473," ",F473," ",G473," ",H473," ",I473," ",J473," ",K473))</f>
        <v>The biggest class size is on Grade 7 with an average class size of 61 followed by Grade 11 with an average class size of 52 learner/s per class which is beyond the recommended learner-classroom ratio.</v>
      </c>
      <c r="M473" s="349"/>
    </row>
    <row r="474" spans="1:13">
      <c r="A474" s="353" t="s">
        <v>788</v>
      </c>
      <c r="B474" s="353" t="str">
        <f>IF($U$114="","","Ang may pinakamalaking class size ay ang")</f>
        <v>Ang may pinakamalaking class size ay ang</v>
      </c>
      <c r="C474" s="349" t="str">
        <f>$R$113</f>
        <v>Grade 7</v>
      </c>
      <c r="D474" s="359" t="s">
        <v>643</v>
      </c>
      <c r="E474" s="349">
        <f>$R$114</f>
        <v>61</v>
      </c>
      <c r="F474" s="353" t="s">
        <v>645</v>
      </c>
      <c r="G474" s="353" t="str">
        <f>$S$113</f>
        <v>Grade 11</v>
      </c>
      <c r="H474" s="359" t="s">
        <v>643</v>
      </c>
      <c r="I474" s="349">
        <f>$S$114</f>
        <v>52</v>
      </c>
      <c r="J474" s="353" t="s">
        <v>648</v>
      </c>
      <c r="K474" s="353" t="str">
        <f>IF($K$473="beyond the recommended learner-classroom ratio.","na kung saan ay lagpas sa recommended learner-classroom ratio.","na kung saan ay mas mababa sa recommended learner-classroom ratio.")</f>
        <v>na kung saan ay lagpas sa recommended learner-classroom ratio.</v>
      </c>
      <c r="L474" s="359" t="str">
        <f>IF($B$473="","",CONCATENATE(B474," ",C474," ",D474," ",E474," ",F474," ",G474," ",H474," ",I474," ",J474," ",K474))</f>
        <v>Ang may pinakamalaking class size ay ang Grade 7 na mayroong average class size na 61 sinundan ng Grade 11 na mayroong average class size na 52 na mag-aaral sa bawat klase na kung saan ay lagpas sa recommended learner-classroom ratio.</v>
      </c>
      <c r="M474" s="349"/>
    </row>
    <row r="475" spans="1:13">
      <c r="A475" s="353" t="s">
        <v>793</v>
      </c>
      <c r="B475" s="353" t="str">
        <f>IF($U$114="","","Ang dunay pinakadako nga class size mao ang")</f>
        <v>Ang dunay pinakadako nga class size mao ang</v>
      </c>
      <c r="C475" s="349" t="str">
        <f>$R$113</f>
        <v>Grade 7</v>
      </c>
      <c r="D475" s="359" t="s">
        <v>644</v>
      </c>
      <c r="E475" s="349">
        <f>$R$114</f>
        <v>61</v>
      </c>
      <c r="F475" s="353" t="s">
        <v>646</v>
      </c>
      <c r="G475" s="353" t="str">
        <f>$S$113</f>
        <v>Grade 11</v>
      </c>
      <c r="H475" s="359" t="s">
        <v>644</v>
      </c>
      <c r="I475" s="349">
        <f>$S$114</f>
        <v>52</v>
      </c>
      <c r="J475" s="353" t="s">
        <v>647</v>
      </c>
      <c r="K475" s="353" t="str">
        <f>IF($K$473="beyond the recommended learner-classroom ratio.","diin kini mas taas sa recommended learner-classroom ratio.","diin kini mas ubos sa recommended learner-classroom ratio.")</f>
        <v>diin kini mas taas sa recommended learner-classroom ratio.</v>
      </c>
      <c r="L475" s="359" t="str">
        <f>IF($B$473="","",CONCATENATE(B475," ",C475," ",D475," ",E475," ",F475," ",G475," ",H475," ",I475," ",J475," ",K475))</f>
        <v>Ang dunay pinakadako nga class size mao ang Grade 7 nga adunay average class size nga 61 nga gisundan sa Grade 11 nga adunay average class size nga 52 nga mga tinun-an sa kada klase nga diin kini mas taas sa recommended learner-classroom ratio.</v>
      </c>
      <c r="M475" s="349"/>
    </row>
    <row r="476" spans="1:13">
      <c r="A476" s="353" t="s">
        <v>802</v>
      </c>
      <c r="C476" s="349"/>
      <c r="D476" s="359"/>
      <c r="E476" s="349"/>
      <c r="H476" s="359"/>
      <c r="I476" s="349"/>
      <c r="L476" s="359"/>
    </row>
    <row r="477" spans="1:13">
      <c r="A477" s="353" t="s">
        <v>792</v>
      </c>
      <c r="C477" s="349"/>
      <c r="D477" s="359"/>
      <c r="E477" s="349"/>
      <c r="H477" s="359"/>
      <c r="I477" s="349"/>
      <c r="L477" s="359"/>
    </row>
    <row r="478" spans="1:13">
      <c r="A478" s="353" t="s">
        <v>798</v>
      </c>
      <c r="C478" s="349"/>
      <c r="D478" s="359"/>
      <c r="E478" s="349"/>
      <c r="H478" s="359"/>
      <c r="I478" s="349"/>
      <c r="L478" s="359"/>
    </row>
    <row r="479" spans="1:13">
      <c r="A479" s="353" t="s">
        <v>564</v>
      </c>
      <c r="C479" s="349"/>
      <c r="D479" s="359"/>
      <c r="E479" s="349"/>
      <c r="H479" s="359"/>
      <c r="I479" s="349"/>
      <c r="L479" s="359"/>
    </row>
    <row r="480" spans="1:13">
      <c r="A480" s="353" t="s">
        <v>791</v>
      </c>
      <c r="C480" s="349"/>
      <c r="D480" s="359"/>
      <c r="E480" s="349"/>
      <c r="H480" s="359"/>
      <c r="I480" s="349"/>
      <c r="L480" s="359"/>
    </row>
    <row r="481" spans="1:13">
      <c r="A481" s="353" t="s">
        <v>800</v>
      </c>
      <c r="C481" s="349"/>
      <c r="D481" s="359"/>
      <c r="E481" s="349"/>
      <c r="H481" s="359"/>
      <c r="I481" s="349"/>
      <c r="L481" s="359"/>
    </row>
    <row r="482" spans="1:13">
      <c r="A482" s="353" t="s">
        <v>789</v>
      </c>
      <c r="C482" s="349"/>
      <c r="D482" s="359"/>
      <c r="E482" s="349"/>
      <c r="H482" s="359"/>
      <c r="I482" s="349"/>
      <c r="L482" s="359"/>
    </row>
    <row r="483" spans="1:13">
      <c r="A483" s="353" t="s">
        <v>803</v>
      </c>
      <c r="C483" s="349"/>
      <c r="D483" s="359"/>
      <c r="E483" s="349"/>
      <c r="H483" s="359"/>
      <c r="I483" s="349"/>
      <c r="L483" s="359"/>
    </row>
    <row r="484" spans="1:13">
      <c r="A484" s="353" t="s">
        <v>796</v>
      </c>
      <c r="C484" s="349"/>
      <c r="D484" s="359"/>
      <c r="E484" s="349"/>
      <c r="H484" s="359"/>
      <c r="I484" s="349"/>
      <c r="L484" s="359"/>
    </row>
    <row r="485" spans="1:13">
      <c r="A485" s="353" t="s">
        <v>797</v>
      </c>
      <c r="C485" s="349"/>
      <c r="D485" s="359"/>
      <c r="E485" s="349"/>
      <c r="H485" s="359"/>
      <c r="I485" s="349"/>
      <c r="L485" s="359"/>
    </row>
    <row r="486" spans="1:13">
      <c r="A486" s="353" t="s">
        <v>790</v>
      </c>
      <c r="C486" s="349"/>
      <c r="D486" s="359"/>
      <c r="E486" s="349"/>
      <c r="H486" s="359"/>
      <c r="I486" s="349"/>
      <c r="L486" s="359"/>
    </row>
    <row r="487" spans="1:13">
      <c r="A487" s="353" t="s">
        <v>801</v>
      </c>
      <c r="C487" s="349"/>
      <c r="D487" s="359"/>
      <c r="E487" s="349"/>
      <c r="H487" s="359"/>
      <c r="I487" s="349"/>
      <c r="L487" s="359"/>
    </row>
    <row r="488" spans="1:13">
      <c r="A488" s="353" t="s">
        <v>805</v>
      </c>
      <c r="C488" s="349"/>
      <c r="D488" s="359"/>
      <c r="E488" s="349"/>
      <c r="H488" s="359"/>
      <c r="I488" s="349"/>
      <c r="L488" s="359"/>
    </row>
    <row r="489" spans="1:13">
      <c r="A489" s="353" t="s">
        <v>795</v>
      </c>
      <c r="C489" s="349"/>
      <c r="D489" s="359"/>
      <c r="E489" s="349"/>
      <c r="H489" s="359"/>
      <c r="I489" s="349"/>
      <c r="L489" s="359"/>
    </row>
    <row r="490" spans="1:13">
      <c r="A490" s="353" t="s">
        <v>794</v>
      </c>
      <c r="C490" s="349"/>
      <c r="D490" s="359"/>
      <c r="E490" s="349"/>
      <c r="H490" s="359"/>
      <c r="I490" s="349"/>
      <c r="L490" s="359"/>
    </row>
    <row r="491" spans="1:13">
      <c r="A491" s="353" t="s">
        <v>804</v>
      </c>
      <c r="C491" s="349"/>
      <c r="D491" s="359"/>
      <c r="E491" s="349"/>
      <c r="H491" s="359"/>
      <c r="I491" s="349"/>
      <c r="L491" s="359"/>
    </row>
    <row r="492" spans="1:13">
      <c r="A492" s="353" t="s">
        <v>799</v>
      </c>
    </row>
    <row r="494" spans="1:13">
      <c r="A494" s="353" t="s">
        <v>562</v>
      </c>
      <c r="B494" s="353" t="str">
        <f>IF(K119="","",IF($K$119="All classrooms utilized are standard instructional rooms.","All classrooms utilized are standard instructional rooms.","There are classrooms utilized which are non-standard or makeshift rooms with"))</f>
        <v>All classrooms utilized are standard instructional rooms.</v>
      </c>
      <c r="C494" s="349" t="str">
        <f>$J$119</f>
        <v/>
      </c>
      <c r="D494" s="359" t="s">
        <v>649</v>
      </c>
      <c r="E494" s="349">
        <f>$J$120</f>
        <v>30</v>
      </c>
      <c r="F494" s="353" t="s">
        <v>650</v>
      </c>
      <c r="G494" s="353" t="str">
        <f>IF(B494="","",IF(B494="All classrooms utilized are standard instructional rooms.","All classrooms utilized are standard instructional rooms.",CONCATENATE(B494," ",C494," ",D494," ",E494," ",F494)))</f>
        <v>All classrooms utilized are standard instructional rooms.</v>
      </c>
      <c r="H494" s="359"/>
      <c r="I494" s="349"/>
      <c r="L494" s="359"/>
      <c r="M494" s="349"/>
    </row>
    <row r="495" spans="1:13">
      <c r="A495" s="353" t="s">
        <v>788</v>
      </c>
      <c r="B495" s="353" t="str">
        <f>IF($B$494="","",IF($B$494="All classrooms utilized are standard instructional rooms.","Lahat ng silid paaralan na ginagamit ay mga standard instructional rooms.","May mga silid aralan na ginagamit na non-standard o makeshift rooms na may"))</f>
        <v>Lahat ng silid paaralan na ginagamit ay mga standard instructional rooms.</v>
      </c>
      <c r="C495" s="349" t="str">
        <f>$J$119</f>
        <v/>
      </c>
      <c r="D495" s="359" t="s">
        <v>651</v>
      </c>
      <c r="E495" s="349">
        <f>$J$120</f>
        <v>30</v>
      </c>
      <c r="F495" s="353" t="s">
        <v>650</v>
      </c>
      <c r="G495" s="353" t="str">
        <f>IF(B494="","",IF(B494="All classrooms utilized are standard instructional rooms.","Lahat ng silid-aralan na ginagamit ay nasa maayos na kalagayan,",CONCATENATE(B495," ",C495," ",D495," ",E495," ",F495)))</f>
        <v>Lahat ng silid-aralan na ginagamit ay nasa maayos na kalagayan,</v>
      </c>
      <c r="H495" s="359"/>
      <c r="I495" s="349"/>
      <c r="L495" s="359"/>
      <c r="M495" s="349"/>
    </row>
    <row r="496" spans="1:13">
      <c r="A496" s="353" t="s">
        <v>793</v>
      </c>
      <c r="B496" s="353" t="str">
        <f>IF($B$494="","",IF($B$494="All classrooms utilized are standard instructional rooms.","Tanan nga mga gigamit nga klasehanan puro mga standard instructional rooms.","May mga klasehanan nga non-standard o makeshift rooms nga adunay"))</f>
        <v>Tanan nga mga gigamit nga klasehanan puro mga standard instructional rooms.</v>
      </c>
      <c r="C496" s="349" t="str">
        <f>$J$119</f>
        <v/>
      </c>
      <c r="D496" s="359" t="s">
        <v>652</v>
      </c>
      <c r="E496" s="349">
        <f>$J$120</f>
        <v>30</v>
      </c>
      <c r="F496" s="353" t="s">
        <v>650</v>
      </c>
      <c r="G496" s="353" t="str">
        <f>IF(B496="","",IF(B494="All classrooms utilized are standard instructional rooms.","Tanan nga mga gigamit nga klasehanan puro mga standard instructional rooms..",CONCATENATE(B496," ",C496," ",D496," ",E496," ",F496)))</f>
        <v>Tanan nga mga gigamit nga klasehanan puro mga standard instructional rooms..</v>
      </c>
      <c r="H496" s="359"/>
      <c r="I496" s="349"/>
      <c r="L496" s="359"/>
      <c r="M496" s="349"/>
    </row>
    <row r="497" spans="1:12">
      <c r="A497" s="353" t="s">
        <v>802</v>
      </c>
      <c r="C497" s="349"/>
      <c r="D497" s="359"/>
      <c r="E497" s="349"/>
      <c r="H497" s="359"/>
      <c r="I497" s="349"/>
      <c r="L497" s="359"/>
    </row>
    <row r="498" spans="1:12">
      <c r="A498" s="353" t="s">
        <v>792</v>
      </c>
      <c r="C498" s="349"/>
      <c r="D498" s="359"/>
      <c r="E498" s="349"/>
      <c r="H498" s="359"/>
      <c r="I498" s="349"/>
      <c r="L498" s="359"/>
    </row>
    <row r="499" spans="1:12">
      <c r="A499" s="353" t="s">
        <v>798</v>
      </c>
      <c r="C499" s="349"/>
      <c r="D499" s="359"/>
      <c r="E499" s="349"/>
      <c r="H499" s="359"/>
      <c r="I499" s="349"/>
      <c r="L499" s="359"/>
    </row>
    <row r="500" spans="1:12">
      <c r="A500" s="353" t="s">
        <v>564</v>
      </c>
      <c r="C500" s="349"/>
      <c r="D500" s="359"/>
      <c r="E500" s="349"/>
      <c r="H500" s="359"/>
      <c r="I500" s="349"/>
      <c r="L500" s="359"/>
    </row>
    <row r="501" spans="1:12">
      <c r="A501" s="353" t="s">
        <v>791</v>
      </c>
      <c r="C501" s="349"/>
      <c r="D501" s="359"/>
      <c r="E501" s="349"/>
      <c r="H501" s="359"/>
      <c r="I501" s="349"/>
      <c r="L501" s="359"/>
    </row>
    <row r="502" spans="1:12">
      <c r="A502" s="353" t="s">
        <v>800</v>
      </c>
      <c r="C502" s="349"/>
      <c r="D502" s="359"/>
      <c r="E502" s="349"/>
      <c r="H502" s="359"/>
      <c r="I502" s="349"/>
      <c r="L502" s="359"/>
    </row>
    <row r="503" spans="1:12">
      <c r="A503" s="353" t="s">
        <v>789</v>
      </c>
      <c r="C503" s="349"/>
      <c r="D503" s="359"/>
      <c r="E503" s="349"/>
      <c r="H503" s="359"/>
      <c r="I503" s="349"/>
      <c r="L503" s="359"/>
    </row>
    <row r="504" spans="1:12">
      <c r="A504" s="353" t="s">
        <v>803</v>
      </c>
      <c r="C504" s="349"/>
      <c r="D504" s="359"/>
      <c r="E504" s="349"/>
      <c r="H504" s="359"/>
      <c r="I504" s="349"/>
      <c r="L504" s="359"/>
    </row>
    <row r="505" spans="1:12">
      <c r="A505" s="353" t="s">
        <v>796</v>
      </c>
      <c r="C505" s="349"/>
      <c r="D505" s="359"/>
      <c r="E505" s="349"/>
      <c r="H505" s="359"/>
      <c r="I505" s="349"/>
      <c r="L505" s="359"/>
    </row>
    <row r="506" spans="1:12">
      <c r="A506" s="353" t="s">
        <v>797</v>
      </c>
      <c r="C506" s="349"/>
      <c r="D506" s="359"/>
      <c r="E506" s="349"/>
      <c r="H506" s="359"/>
      <c r="I506" s="349"/>
      <c r="L506" s="359"/>
    </row>
    <row r="507" spans="1:12">
      <c r="A507" s="353" t="s">
        <v>790</v>
      </c>
      <c r="C507" s="349"/>
      <c r="D507" s="359"/>
      <c r="E507" s="349"/>
      <c r="H507" s="359"/>
      <c r="I507" s="349"/>
      <c r="L507" s="359"/>
    </row>
    <row r="508" spans="1:12">
      <c r="A508" s="353" t="s">
        <v>801</v>
      </c>
      <c r="C508" s="349"/>
      <c r="D508" s="359"/>
      <c r="E508" s="349"/>
      <c r="H508" s="359"/>
      <c r="I508" s="349"/>
      <c r="L508" s="359"/>
    </row>
    <row r="509" spans="1:12">
      <c r="A509" s="353" t="s">
        <v>805</v>
      </c>
      <c r="C509" s="349"/>
      <c r="D509" s="359"/>
      <c r="E509" s="349"/>
      <c r="H509" s="359"/>
      <c r="I509" s="349"/>
      <c r="L509" s="359"/>
    </row>
    <row r="510" spans="1:12">
      <c r="A510" s="353" t="s">
        <v>795</v>
      </c>
      <c r="C510" s="349"/>
      <c r="D510" s="359"/>
      <c r="E510" s="349"/>
      <c r="H510" s="359"/>
      <c r="I510" s="349"/>
      <c r="L510" s="359"/>
    </row>
    <row r="511" spans="1:12">
      <c r="A511" s="353" t="s">
        <v>794</v>
      </c>
      <c r="C511" s="349"/>
      <c r="D511" s="359"/>
      <c r="E511" s="349"/>
      <c r="H511" s="359"/>
      <c r="I511" s="349"/>
      <c r="L511" s="359"/>
    </row>
    <row r="512" spans="1:12">
      <c r="A512" s="353" t="s">
        <v>804</v>
      </c>
      <c r="C512" s="349"/>
      <c r="D512" s="359"/>
      <c r="E512" s="349"/>
      <c r="H512" s="359"/>
      <c r="I512" s="349"/>
      <c r="L512" s="359"/>
    </row>
    <row r="513" spans="1:13">
      <c r="A513" s="353" t="s">
        <v>799</v>
      </c>
    </row>
    <row r="515" spans="1:13">
      <c r="A515" s="353" t="s">
        <v>562</v>
      </c>
      <c r="B515" s="353" t="str">
        <f>IF(K123="","",IF($K$123="Generally, all classrooms utilized are in good condition.","Generally, all classrooms utilized are in good condition.","There are classrom/s which require/s repair with"))</f>
        <v>Generally, all classrooms utilized are in good condition.</v>
      </c>
      <c r="C515" s="349" t="str">
        <f>$J$122</f>
        <v/>
      </c>
      <c r="D515" s="359" t="s">
        <v>653</v>
      </c>
      <c r="E515" s="349">
        <f>$J$123</f>
        <v>30</v>
      </c>
      <c r="F515" s="353" t="s">
        <v>650</v>
      </c>
      <c r="G515" s="353" t="str">
        <f>IF(B515="","",IF(B515="Generally, all classrooms utilized are in good condition.",B515,CONCATENATE(B515," ",C515," ",D515," ",E515," ",F515)))</f>
        <v>Generally, all classrooms utilized are in good condition.</v>
      </c>
      <c r="H515" s="359"/>
      <c r="I515" s="349"/>
      <c r="L515" s="359"/>
      <c r="M515" s="349"/>
    </row>
    <row r="516" spans="1:13">
      <c r="A516" s="353" t="s">
        <v>788</v>
      </c>
      <c r="B516" s="353" t="str">
        <f>IF(B515="","",IF($B$515="Generally, all classrooms utilized are in good condition.","Lahat ng silid-aralan na ginagamit ay nasa maayos na kalagayan.","May mga silid-aralan na nangangailangan ng repair na may"))</f>
        <v>Lahat ng silid-aralan na ginagamit ay nasa maayos na kalagayan.</v>
      </c>
      <c r="C516" s="349" t="str">
        <f>$J$122</f>
        <v/>
      </c>
      <c r="D516" s="359" t="s">
        <v>654</v>
      </c>
      <c r="E516" s="349">
        <f>$J$123</f>
        <v>30</v>
      </c>
      <c r="F516" s="353" t="s">
        <v>650</v>
      </c>
      <c r="G516" s="353" t="str">
        <f>IF(B515="","",IF(B515="Generally, all classrooms utilized are in good condition.","Lahat ng silid-aralan na ginagamit ay nasa maayos na kalagayan.",CONCATENATE(B516," ",C516," ",D516," ",E516," ",F516)))</f>
        <v>Lahat ng silid-aralan na ginagamit ay nasa maayos na kalagayan.</v>
      </c>
      <c r="H516" s="359"/>
      <c r="I516" s="349"/>
      <c r="L516" s="359"/>
      <c r="M516" s="349"/>
    </row>
    <row r="517" spans="1:13">
      <c r="A517" s="353" t="s">
        <v>793</v>
      </c>
      <c r="B517" s="353" t="str">
        <f>IF(B515="","",IF($B$515="Generally, all classrooms utilized are in good condition.","Tanan nga mga gigamit nga klasehanan puro anaa sa maayong kondisyon.","May mga klasehanan nga nanginahanglan ug repair nga adunay"))</f>
        <v>Tanan nga mga gigamit nga klasehanan puro anaa sa maayong kondisyon.</v>
      </c>
      <c r="C517" s="349" t="str">
        <f>$J$122</f>
        <v/>
      </c>
      <c r="D517" s="359" t="s">
        <v>655</v>
      </c>
      <c r="E517" s="349">
        <f>$J$123</f>
        <v>30</v>
      </c>
      <c r="F517" s="353" t="s">
        <v>650</v>
      </c>
      <c r="G517" s="353" t="str">
        <f>IF(B515="","",IF(B515="Generally, all classrooms utilized are in good condition.","Tanan nga mga gigamit nga klasehanan puro anaa sa maayong kondisyon.",CONCATENATE(B517," ",C517," ",D517," ",E517," ",F517)))</f>
        <v>Tanan nga mga gigamit nga klasehanan puro anaa sa maayong kondisyon.</v>
      </c>
      <c r="H517" s="359"/>
      <c r="I517" s="349"/>
      <c r="L517" s="359"/>
      <c r="M517" s="349"/>
    </row>
    <row r="518" spans="1:13">
      <c r="A518" s="353" t="s">
        <v>802</v>
      </c>
      <c r="C518" s="349"/>
      <c r="D518" s="359"/>
      <c r="E518" s="349"/>
      <c r="H518" s="359"/>
      <c r="I518" s="349"/>
      <c r="L518" s="359"/>
    </row>
    <row r="519" spans="1:13">
      <c r="A519" s="353" t="s">
        <v>792</v>
      </c>
      <c r="C519" s="349"/>
      <c r="D519" s="359"/>
      <c r="E519" s="349"/>
      <c r="H519" s="359"/>
      <c r="I519" s="349"/>
      <c r="L519" s="359"/>
    </row>
    <row r="520" spans="1:13">
      <c r="A520" s="353" t="s">
        <v>798</v>
      </c>
      <c r="C520" s="349"/>
      <c r="D520" s="359"/>
      <c r="E520" s="349"/>
      <c r="H520" s="359"/>
      <c r="I520" s="349"/>
      <c r="L520" s="359"/>
    </row>
    <row r="521" spans="1:13">
      <c r="A521" s="353" t="s">
        <v>564</v>
      </c>
      <c r="C521" s="349"/>
      <c r="D521" s="359"/>
      <c r="E521" s="349"/>
      <c r="H521" s="359"/>
      <c r="I521" s="349"/>
      <c r="L521" s="359"/>
    </row>
    <row r="522" spans="1:13">
      <c r="A522" s="353" t="s">
        <v>791</v>
      </c>
      <c r="C522" s="349"/>
      <c r="D522" s="359"/>
      <c r="E522" s="349"/>
      <c r="H522" s="359"/>
      <c r="I522" s="349"/>
      <c r="L522" s="359"/>
    </row>
    <row r="523" spans="1:13">
      <c r="A523" s="353" t="s">
        <v>800</v>
      </c>
      <c r="C523" s="349"/>
      <c r="D523" s="359"/>
      <c r="E523" s="349"/>
      <c r="H523" s="359"/>
      <c r="I523" s="349"/>
      <c r="L523" s="359"/>
    </row>
    <row r="524" spans="1:13">
      <c r="A524" s="353" t="s">
        <v>789</v>
      </c>
      <c r="C524" s="349"/>
      <c r="D524" s="359"/>
      <c r="E524" s="349"/>
      <c r="H524" s="359"/>
      <c r="I524" s="349"/>
      <c r="L524" s="359"/>
    </row>
    <row r="525" spans="1:13">
      <c r="A525" s="353" t="s">
        <v>803</v>
      </c>
      <c r="C525" s="349"/>
      <c r="D525" s="359"/>
      <c r="E525" s="349"/>
      <c r="H525" s="359"/>
      <c r="I525" s="349"/>
      <c r="L525" s="359"/>
    </row>
    <row r="526" spans="1:13">
      <c r="A526" s="353" t="s">
        <v>796</v>
      </c>
      <c r="C526" s="349"/>
      <c r="D526" s="359"/>
      <c r="E526" s="349"/>
      <c r="H526" s="359"/>
      <c r="I526" s="349"/>
      <c r="L526" s="359"/>
    </row>
    <row r="527" spans="1:13">
      <c r="A527" s="353" t="s">
        <v>797</v>
      </c>
      <c r="C527" s="349"/>
      <c r="D527" s="359"/>
      <c r="E527" s="349"/>
      <c r="H527" s="359"/>
      <c r="I527" s="349"/>
      <c r="L527" s="359"/>
    </row>
    <row r="528" spans="1:13">
      <c r="A528" s="353" t="s">
        <v>790</v>
      </c>
      <c r="C528" s="349"/>
      <c r="D528" s="359"/>
      <c r="E528" s="349"/>
      <c r="H528" s="359"/>
      <c r="I528" s="349"/>
      <c r="L528" s="359"/>
    </row>
    <row r="529" spans="1:13">
      <c r="A529" s="353" t="s">
        <v>801</v>
      </c>
      <c r="C529" s="349"/>
      <c r="D529" s="359"/>
      <c r="E529" s="349"/>
      <c r="H529" s="359"/>
      <c r="I529" s="349"/>
      <c r="L529" s="359"/>
    </row>
    <row r="530" spans="1:13">
      <c r="A530" s="353" t="s">
        <v>805</v>
      </c>
      <c r="C530" s="349"/>
      <c r="D530" s="359"/>
      <c r="E530" s="349"/>
      <c r="H530" s="359"/>
      <c r="I530" s="349"/>
      <c r="L530" s="359"/>
    </row>
    <row r="531" spans="1:13">
      <c r="A531" s="353" t="s">
        <v>795</v>
      </c>
      <c r="C531" s="349"/>
      <c r="D531" s="359"/>
      <c r="E531" s="349"/>
      <c r="H531" s="359"/>
      <c r="I531" s="349"/>
      <c r="L531" s="359"/>
    </row>
    <row r="532" spans="1:13">
      <c r="A532" s="353" t="s">
        <v>794</v>
      </c>
      <c r="C532" s="349"/>
      <c r="D532" s="359"/>
      <c r="E532" s="349"/>
      <c r="H532" s="359"/>
      <c r="I532" s="349"/>
      <c r="L532" s="359"/>
    </row>
    <row r="533" spans="1:13">
      <c r="A533" s="353" t="s">
        <v>804</v>
      </c>
      <c r="C533" s="349"/>
      <c r="D533" s="359"/>
      <c r="E533" s="349"/>
      <c r="H533" s="359"/>
      <c r="I533" s="349"/>
      <c r="L533" s="359"/>
    </row>
    <row r="534" spans="1:13">
      <c r="A534" s="353" t="s">
        <v>799</v>
      </c>
    </row>
    <row r="536" spans="1:13">
      <c r="A536" s="353" t="s">
        <v>562</v>
      </c>
      <c r="B536" s="353" t="str">
        <f>IF($BN$130=0,"There are enough classrooms for the school based on the planning standards for enrollment.","The school")</f>
        <v>The school</v>
      </c>
      <c r="C536" s="349" t="str">
        <f>IF($BO$128="lack classroom/s",$BO$128,"have enough classroom/s")</f>
        <v>lack classroom/s</v>
      </c>
      <c r="D536" s="359" t="s">
        <v>656</v>
      </c>
      <c r="E536" s="349" t="str">
        <f>$A$217&amp;"."</f>
        <v>SY 2018-2019.</v>
      </c>
      <c r="F536" s="353" t="s">
        <v>657</v>
      </c>
      <c r="G536" s="353" t="str">
        <f>IF($BO$129="lack/s",$BO$129,"have an excess of")</f>
        <v>lack/s</v>
      </c>
      <c r="H536" s="359">
        <f>$BN$130</f>
        <v>2</v>
      </c>
      <c r="I536" s="349" t="s">
        <v>776</v>
      </c>
      <c r="J536" s="353" t="str">
        <f>IF($BN$130="","",CONCATENATE(B536," ",G536," ",H536," ",I536," ",D536," ",E536))</f>
        <v>The school lack/s 2 classroom/s as of SY 2018-2019.</v>
      </c>
      <c r="L536" s="359"/>
      <c r="M536" s="349"/>
    </row>
    <row r="537" spans="1:13">
      <c r="A537" s="353" t="s">
        <v>788</v>
      </c>
      <c r="B537" s="353" t="str">
        <f>IF($B$536="There are enough classrooms for the school based on the planning standards for enrollment.","May sapat na silid-aralan para sa paaralan batay sa planning standards ng enrollment.","Ang paaralan ay")</f>
        <v>Ang paaralan ay</v>
      </c>
      <c r="C537" s="349" t="str">
        <f>IF($C$536="lack classroom/s","ay may kulang na silid-aralan","ay may sapat na bilang ng silid-aralan")</f>
        <v>ay may kulang na silid-aralan</v>
      </c>
      <c r="D537" s="359" t="s">
        <v>580</v>
      </c>
      <c r="E537" s="349" t="str">
        <f>$A$217&amp;"."</f>
        <v>SY 2018-2019.</v>
      </c>
      <c r="F537" s="353" t="s">
        <v>659</v>
      </c>
      <c r="G537" s="353" t="str">
        <f>IF($G$536="lack/s","may kulang na","may sobra na")</f>
        <v>may kulang na</v>
      </c>
      <c r="H537" s="359">
        <f>$BN$130</f>
        <v>2</v>
      </c>
      <c r="I537" s="349" t="s">
        <v>777</v>
      </c>
      <c r="J537" s="353" t="str">
        <f>IF($BN$130="","",CONCATENATE(B537," ",G537," ",H537," ",I537," ",D537," ",E537))</f>
        <v>Ang paaralan ay may kulang na 2 silid-aralan sa SY 2018-2019.</v>
      </c>
      <c r="L537" s="359"/>
      <c r="M537" s="349"/>
    </row>
    <row r="538" spans="1:13">
      <c r="A538" s="353" t="s">
        <v>793</v>
      </c>
      <c r="B538" s="353" t="str">
        <f>IF($B$536="There are enough classrooms for the school based on the planning standards for enrollment.","Ang tulughaan adunay igo nga klasehanan base sa planning standards sa enrollment.","Ang tulunghaan")</f>
        <v>Ang tulunghaan</v>
      </c>
      <c r="C538" s="349" t="str">
        <f>IF($C$536="lack classroom/s","adunay kulang nga klasehanan","adunay igo nga gidaghanon sa klasehanan")</f>
        <v>adunay kulang nga klasehanan</v>
      </c>
      <c r="D538" s="359" t="s">
        <v>580</v>
      </c>
      <c r="E538" s="349" t="str">
        <f>$A$217&amp;"."</f>
        <v>SY 2018-2019.</v>
      </c>
      <c r="F538" s="353" t="s">
        <v>660</v>
      </c>
      <c r="G538" s="353" t="str">
        <f>IF($G$536="lack/s","adunay kuwang nga","nga adunay sobra nga")</f>
        <v>adunay kuwang nga</v>
      </c>
      <c r="H538" s="359">
        <f>$BN$130</f>
        <v>2</v>
      </c>
      <c r="I538" s="349" t="s">
        <v>778</v>
      </c>
      <c r="J538" s="353" t="str">
        <f>IF($BN$130="","",CONCATENATE(B538," ",G538," ",H538," ",I538," ",D538," ",E538))</f>
        <v>Ang tulunghaan adunay kuwang nga 2 klasehanan sa SY 2018-2019.</v>
      </c>
      <c r="L538" s="359"/>
      <c r="M538" s="349"/>
    </row>
    <row r="539" spans="1:13">
      <c r="A539" s="353" t="s">
        <v>802</v>
      </c>
      <c r="C539" s="349"/>
      <c r="D539" s="359"/>
      <c r="E539" s="349"/>
      <c r="H539" s="359"/>
      <c r="I539" s="349"/>
      <c r="L539" s="359"/>
    </row>
    <row r="540" spans="1:13">
      <c r="A540" s="353" t="s">
        <v>792</v>
      </c>
      <c r="C540" s="349"/>
      <c r="D540" s="359"/>
      <c r="E540" s="349"/>
      <c r="H540" s="359"/>
      <c r="I540" s="349"/>
      <c r="L540" s="359"/>
    </row>
    <row r="541" spans="1:13">
      <c r="A541" s="353" t="s">
        <v>798</v>
      </c>
      <c r="C541" s="349"/>
      <c r="D541" s="359"/>
      <c r="E541" s="349"/>
      <c r="H541" s="359"/>
      <c r="I541" s="349"/>
      <c r="L541" s="359"/>
    </row>
    <row r="542" spans="1:13">
      <c r="A542" s="353" t="s">
        <v>564</v>
      </c>
      <c r="C542" s="349"/>
      <c r="D542" s="359"/>
      <c r="E542" s="349"/>
      <c r="H542" s="359"/>
      <c r="I542" s="349"/>
      <c r="L542" s="359"/>
    </row>
    <row r="543" spans="1:13">
      <c r="A543" s="353" t="s">
        <v>791</v>
      </c>
      <c r="C543" s="349"/>
      <c r="D543" s="359"/>
      <c r="E543" s="349"/>
      <c r="H543" s="359"/>
      <c r="I543" s="349"/>
      <c r="L543" s="359"/>
    </row>
    <row r="544" spans="1:13">
      <c r="A544" s="353" t="s">
        <v>800</v>
      </c>
      <c r="C544" s="349"/>
      <c r="D544" s="359"/>
      <c r="E544" s="349"/>
      <c r="H544" s="359"/>
      <c r="I544" s="349"/>
      <c r="L544" s="359"/>
    </row>
    <row r="545" spans="1:13">
      <c r="A545" s="353" t="s">
        <v>789</v>
      </c>
      <c r="C545" s="349"/>
      <c r="D545" s="359"/>
      <c r="E545" s="349"/>
      <c r="H545" s="359"/>
      <c r="I545" s="349"/>
      <c r="L545" s="359"/>
    </row>
    <row r="546" spans="1:13">
      <c r="A546" s="353" t="s">
        <v>803</v>
      </c>
      <c r="C546" s="349"/>
      <c r="D546" s="359"/>
      <c r="E546" s="349"/>
      <c r="H546" s="359"/>
      <c r="I546" s="349"/>
      <c r="L546" s="359"/>
    </row>
    <row r="547" spans="1:13">
      <c r="A547" s="353" t="s">
        <v>796</v>
      </c>
      <c r="C547" s="349"/>
      <c r="D547" s="359"/>
      <c r="E547" s="349"/>
      <c r="H547" s="359"/>
      <c r="I547" s="349"/>
      <c r="L547" s="359"/>
    </row>
    <row r="548" spans="1:13">
      <c r="A548" s="353" t="s">
        <v>797</v>
      </c>
      <c r="C548" s="349"/>
      <c r="D548" s="359"/>
      <c r="E548" s="349"/>
      <c r="H548" s="359"/>
      <c r="I548" s="349"/>
      <c r="L548" s="359"/>
    </row>
    <row r="549" spans="1:13">
      <c r="A549" s="353" t="s">
        <v>790</v>
      </c>
      <c r="C549" s="349"/>
      <c r="D549" s="359"/>
      <c r="E549" s="349"/>
      <c r="H549" s="359"/>
      <c r="I549" s="349"/>
      <c r="L549" s="359"/>
    </row>
    <row r="550" spans="1:13">
      <c r="A550" s="353" t="s">
        <v>801</v>
      </c>
      <c r="C550" s="349"/>
      <c r="D550" s="359"/>
      <c r="E550" s="349"/>
      <c r="H550" s="359"/>
      <c r="I550" s="349"/>
      <c r="L550" s="359"/>
    </row>
    <row r="551" spans="1:13">
      <c r="A551" s="353" t="s">
        <v>805</v>
      </c>
      <c r="C551" s="349"/>
      <c r="D551" s="359"/>
      <c r="E551" s="349"/>
      <c r="H551" s="359"/>
      <c r="I551" s="349"/>
      <c r="L551" s="359"/>
    </row>
    <row r="552" spans="1:13">
      <c r="A552" s="353" t="s">
        <v>795</v>
      </c>
      <c r="C552" s="349"/>
      <c r="D552" s="359"/>
      <c r="E552" s="349"/>
      <c r="H552" s="359"/>
      <c r="I552" s="349"/>
      <c r="L552" s="359"/>
    </row>
    <row r="553" spans="1:13">
      <c r="A553" s="353" t="s">
        <v>794</v>
      </c>
      <c r="C553" s="349"/>
      <c r="D553" s="359"/>
      <c r="E553" s="349"/>
      <c r="H553" s="359"/>
      <c r="I553" s="349"/>
      <c r="L553" s="359"/>
    </row>
    <row r="554" spans="1:13">
      <c r="A554" s="353" t="s">
        <v>804</v>
      </c>
      <c r="C554" s="349"/>
      <c r="D554" s="359"/>
      <c r="E554" s="349"/>
      <c r="H554" s="359"/>
      <c r="I554" s="349"/>
      <c r="L554" s="359"/>
    </row>
    <row r="555" spans="1:13">
      <c r="A555" s="353" t="s">
        <v>799</v>
      </c>
    </row>
    <row r="557" spans="1:13">
      <c r="A557" s="353" t="s">
        <v>562</v>
      </c>
      <c r="B557" s="353" t="str">
        <f>IF($J$113="","","The grade level with the highest learner to teacher ratio is")</f>
        <v>The grade level with the highest learner to teacher ratio is</v>
      </c>
      <c r="C557" s="349" t="str">
        <f>$J$113</f>
        <v>Grade 7</v>
      </c>
      <c r="D557" s="359" t="str">
        <f>IF($J$116="","",$J$116)</f>
        <v>which can still accommodate</v>
      </c>
      <c r="E557" s="347">
        <f>IF($D$557="which is compliant to the standard of pupil to teacher ratio while other grade levels are still below the planning standards.","",$J$115)</f>
        <v>10</v>
      </c>
      <c r="F557" s="353" t="s">
        <v>671</v>
      </c>
      <c r="G557" s="353" t="str">
        <f>IF(B557="","",CONCATENATE(B557," ",C557," ",D557," ",E557," ",F557))</f>
        <v>The grade level with the highest learner to teacher ratio is Grade 7 which can still accommodate 10 learners per class as compared to the recommended pupil-teacher ratio.</v>
      </c>
      <c r="H557" s="359"/>
      <c r="I557" s="349"/>
      <c r="L557" s="359"/>
      <c r="M557" s="349"/>
    </row>
    <row r="558" spans="1:13">
      <c r="A558" s="353" t="s">
        <v>788</v>
      </c>
      <c r="B558" s="353" t="str">
        <f>IF($J$113="","","Ang antas na may pinakamataas na learner to teacher ratio ay ang")</f>
        <v>Ang antas na may pinakamataas na learner to teacher ratio ay ang</v>
      </c>
      <c r="C558" s="349" t="str">
        <f>$J$113</f>
        <v>Grade 7</v>
      </c>
      <c r="D558" s="359" t="str">
        <f>IF($D$557="which is compliant to the standard of pupil to teacher ratio while other grade levels are still below the planning standards.","na naayon sa learner to teacher ratio habang may ibang mga antas na pwede pang tumanngap ng mga mag-aaral dahil nasa below planning standards pa ang mga ito.",IF($D$557="with an excess of","na may sobra na","kung saan maaari pa ring tumanggap ng"))</f>
        <v>kung saan maaari pa ring tumanggap ng</v>
      </c>
      <c r="E558" s="347">
        <f>IF($D$557="which is compliant to the standard of pupil to teacher ratio while other grade levels are still below the planning standards.","",$J$115)</f>
        <v>10</v>
      </c>
      <c r="F558" s="353" t="s">
        <v>672</v>
      </c>
      <c r="G558" s="353" t="str">
        <f>IF(B558="","",CONCATENATE(B558," ",C558," ",D558," ",E558," ",F558))</f>
        <v>Ang antas na may pinakamataas na learner to teacher ratio ay ang Grade 7 kung saan maaari pa ring tumanggap ng 10 mag-aaral sa bawat klase kumpara sa inirekumendang pupil-teacher ratio.</v>
      </c>
      <c r="H558" s="359"/>
      <c r="I558" s="349"/>
      <c r="L558" s="359"/>
      <c r="M558" s="349"/>
    </row>
    <row r="559" spans="1:13">
      <c r="A559" s="353" t="s">
        <v>793</v>
      </c>
      <c r="B559" s="353" t="str">
        <f>IF($J$113="","","Ang grado nga adunay pinakataas  nga learner to teacher ratio mao ang")</f>
        <v>Ang grado nga adunay pinakataas  nga learner to teacher ratio mao ang</v>
      </c>
      <c r="C559" s="349" t="str">
        <f>$J$113</f>
        <v>Grade 7</v>
      </c>
      <c r="D559" s="359" t="str">
        <f>IF($D$557="which is compliant to the standard of pupil to teacher ratio while other grade levels are still below the planning standards.","nga haum sa learner to teacher ratio samtang adunay mga grado nga pwede pang modawat ug mga estudyante tungod kay anaa pa kini sa below planning standards.",IF($D$557="with an excess of","nga adunay sobra nga","kung diin pwede pang modawat ug"))</f>
        <v>kung diin pwede pang modawat ug</v>
      </c>
      <c r="E559" s="347">
        <f>IF($D$557="which is compliant to the standard of pupil to teacher ratio while other grade levels are still below the planning standards.","",$J$115)</f>
        <v>10</v>
      </c>
      <c r="F559" s="353" t="s">
        <v>673</v>
      </c>
      <c r="G559" s="353" t="str">
        <f>IF(B559="","",CONCATENATE(B559," ",C559," ",D559," ",E559," ",F559))</f>
        <v>Ang grado nga adunay pinakataas  nga learner to teacher ratio mao ang Grade 7 kung diin pwede pang modawat ug 10 ka mga estudyante kada klase kon itandi sa girekomendar nga pupil-teacher ratio.</v>
      </c>
      <c r="H559" s="359"/>
      <c r="I559" s="349"/>
      <c r="L559" s="359"/>
      <c r="M559" s="349"/>
    </row>
    <row r="560" spans="1:13">
      <c r="A560" s="353" t="s">
        <v>802</v>
      </c>
      <c r="C560" s="349"/>
      <c r="D560" s="359"/>
      <c r="E560" s="349"/>
      <c r="H560" s="359"/>
      <c r="I560" s="349"/>
      <c r="L560" s="359"/>
    </row>
    <row r="561" spans="1:12">
      <c r="A561" s="353" t="s">
        <v>792</v>
      </c>
      <c r="C561" s="349"/>
      <c r="D561" s="359"/>
      <c r="E561" s="349"/>
      <c r="H561" s="359"/>
      <c r="I561" s="349"/>
      <c r="L561" s="359"/>
    </row>
    <row r="562" spans="1:12">
      <c r="A562" s="353" t="s">
        <v>798</v>
      </c>
      <c r="C562" s="349"/>
      <c r="D562" s="359"/>
      <c r="E562" s="349"/>
      <c r="H562" s="359"/>
      <c r="I562" s="349"/>
      <c r="L562" s="359"/>
    </row>
    <row r="563" spans="1:12">
      <c r="A563" s="353" t="s">
        <v>564</v>
      </c>
      <c r="C563" s="349"/>
      <c r="D563" s="359"/>
      <c r="E563" s="349"/>
      <c r="H563" s="359"/>
      <c r="I563" s="349"/>
      <c r="L563" s="359"/>
    </row>
    <row r="564" spans="1:12">
      <c r="A564" s="353" t="s">
        <v>791</v>
      </c>
      <c r="C564" s="349"/>
      <c r="D564" s="359"/>
      <c r="E564" s="349"/>
      <c r="H564" s="359"/>
      <c r="I564" s="349"/>
      <c r="L564" s="359"/>
    </row>
    <row r="565" spans="1:12">
      <c r="A565" s="353" t="s">
        <v>800</v>
      </c>
      <c r="C565" s="349"/>
      <c r="D565" s="359"/>
      <c r="E565" s="349"/>
      <c r="H565" s="359"/>
      <c r="I565" s="349"/>
      <c r="L565" s="359"/>
    </row>
    <row r="566" spans="1:12">
      <c r="A566" s="353" t="s">
        <v>789</v>
      </c>
      <c r="C566" s="349"/>
      <c r="D566" s="359"/>
      <c r="E566" s="349"/>
      <c r="H566" s="359"/>
      <c r="I566" s="349"/>
      <c r="L566" s="359"/>
    </row>
    <row r="567" spans="1:12">
      <c r="A567" s="353" t="s">
        <v>803</v>
      </c>
      <c r="C567" s="349"/>
      <c r="D567" s="359"/>
      <c r="E567" s="349"/>
      <c r="H567" s="359"/>
      <c r="I567" s="349"/>
      <c r="L567" s="359"/>
    </row>
    <row r="568" spans="1:12">
      <c r="A568" s="353" t="s">
        <v>796</v>
      </c>
      <c r="C568" s="349"/>
      <c r="D568" s="359"/>
      <c r="E568" s="349"/>
      <c r="H568" s="359"/>
      <c r="I568" s="349"/>
      <c r="L568" s="359"/>
    </row>
    <row r="569" spans="1:12">
      <c r="A569" s="353" t="s">
        <v>797</v>
      </c>
      <c r="C569" s="349"/>
      <c r="D569" s="359"/>
      <c r="E569" s="349"/>
      <c r="H569" s="359"/>
      <c r="I569" s="349"/>
      <c r="L569" s="359"/>
    </row>
    <row r="570" spans="1:12">
      <c r="A570" s="353" t="s">
        <v>790</v>
      </c>
      <c r="C570" s="349"/>
      <c r="D570" s="359"/>
      <c r="E570" s="349"/>
      <c r="H570" s="359"/>
      <c r="I570" s="349"/>
      <c r="L570" s="359"/>
    </row>
    <row r="571" spans="1:12">
      <c r="A571" s="353" t="s">
        <v>801</v>
      </c>
      <c r="C571" s="349"/>
      <c r="D571" s="359"/>
      <c r="E571" s="349"/>
      <c r="H571" s="359"/>
      <c r="I571" s="349"/>
      <c r="L571" s="359"/>
    </row>
    <row r="572" spans="1:12">
      <c r="A572" s="353" t="s">
        <v>805</v>
      </c>
      <c r="C572" s="349"/>
      <c r="D572" s="359"/>
      <c r="E572" s="349"/>
      <c r="H572" s="359"/>
      <c r="I572" s="349"/>
      <c r="L572" s="359"/>
    </row>
    <row r="573" spans="1:12">
      <c r="A573" s="353" t="s">
        <v>795</v>
      </c>
      <c r="C573" s="349"/>
      <c r="D573" s="359"/>
      <c r="E573" s="349"/>
      <c r="H573" s="359"/>
      <c r="I573" s="349"/>
      <c r="L573" s="359"/>
    </row>
    <row r="574" spans="1:12">
      <c r="A574" s="353" t="s">
        <v>794</v>
      </c>
      <c r="C574" s="349"/>
      <c r="D574" s="359"/>
      <c r="E574" s="349"/>
      <c r="H574" s="359"/>
      <c r="I574" s="349"/>
      <c r="L574" s="359"/>
    </row>
    <row r="575" spans="1:12">
      <c r="A575" s="353" t="s">
        <v>804</v>
      </c>
      <c r="C575" s="349"/>
      <c r="D575" s="359"/>
      <c r="E575" s="349"/>
      <c r="H575" s="359"/>
      <c r="I575" s="349"/>
      <c r="L575" s="359"/>
    </row>
    <row r="576" spans="1:12">
      <c r="A576" s="353" t="s">
        <v>799</v>
      </c>
    </row>
    <row r="578" spans="1:13">
      <c r="A578" s="353" t="s">
        <v>562</v>
      </c>
      <c r="B578" s="353" t="str">
        <f>IF(AP214="","",IF(F136="with an excess of","Currently there are enough toilets for all learners.","There are currently lacking toilets for some learners."))</f>
        <v>There are currently lacking toilets for some learners.</v>
      </c>
      <c r="C578" s="349" t="s">
        <v>685</v>
      </c>
      <c r="D578" s="359">
        <f>$B$135</f>
        <v>84</v>
      </c>
      <c r="E578" s="347" t="s">
        <v>693</v>
      </c>
      <c r="F578" s="353" t="str">
        <f>IF($F$136="with an excess of","with an excess of","with a lacking of")</f>
        <v>with a lacking of</v>
      </c>
      <c r="G578" s="353">
        <f>$E$136</f>
        <v>12</v>
      </c>
      <c r="H578" s="359" t="s">
        <v>687</v>
      </c>
      <c r="I578" s="349" t="str">
        <f>IF($D$138="Majority of the toilets are shared between male and female learners.","Majority of the toilets are shared between male and female learners.","Majority of the toilets in the school are used exclusively according to learners gender.")</f>
        <v>Majority of the toilets are shared between male and female learners.</v>
      </c>
      <c r="J578" s="353" t="str">
        <f>IF(B578="","",CONCATENATE(B578," ",C578," ",D578,E578," ",F578," ",G578," ",H578," ",I578))</f>
        <v>There are currently lacking toilets for some learners. The learner-toilet ratio is 84:1, with a lacking of 12 toilet/s for the whole school. Majority of the toilets are shared between male and female learners.</v>
      </c>
      <c r="L578" s="359"/>
      <c r="M578" s="349"/>
    </row>
    <row r="579" spans="1:13">
      <c r="A579" s="353" t="s">
        <v>788</v>
      </c>
      <c r="B579" s="353" t="str">
        <f>IF(AP214="","",IF($B$578="Currently there are enough toilets for all learners.","Sa kasalukuyan ay may sapat na mga banyo para sa lahat ng mga mag-aaral.","Sa kasalukuyan ay may kulang na  banyo para sa lahat ng mga mag-aaral."))</f>
        <v>Sa kasalukuyan ay may kulang na  banyo para sa lahat ng mga mag-aaral.</v>
      </c>
      <c r="C579" s="349" t="s">
        <v>686</v>
      </c>
      <c r="D579" s="359">
        <f>$B$135</f>
        <v>84</v>
      </c>
      <c r="E579" s="347" t="s">
        <v>693</v>
      </c>
      <c r="F579" s="353" t="str">
        <f>IF($F$578="with an excess of","na may sobra na","na may kulang na")</f>
        <v>na may kulang na</v>
      </c>
      <c r="G579" s="353">
        <f>$E$136</f>
        <v>12</v>
      </c>
      <c r="H579" s="359" t="s">
        <v>688</v>
      </c>
      <c r="I579" s="349" t="str">
        <f>IF($I$578="Majority of the toilets are shared between male and female learners.","Karamihan sa mga banyo ay ibinabahagi sa pagitan ng mga mag-aaral na lalaki at babae.","Karamihan sa mga banyo sa paaralan ay ginagamit lamang ayon sa kasarian ng mag-aaral.")</f>
        <v>Karamihan sa mga banyo ay ibinabahagi sa pagitan ng mga mag-aaral na lalaki at babae.</v>
      </c>
      <c r="J579" s="353" t="str">
        <f>IF(B579="","",CONCATENATE(B579," ",C579," ",D579,E579," ",F579," ",G579," ",H579," ",I579))</f>
        <v>Sa kasalukuyan ay may kulang na  banyo para sa lahat ng mga mag-aaral. Ang learner-toilet ratio ay 84:1, na may kulang na 12 toilet/s para sa buong paaralan. Karamihan sa mga banyo ay ibinabahagi sa pagitan ng mga mag-aaral na lalaki at babae.</v>
      </c>
      <c r="L579" s="359"/>
      <c r="M579" s="349"/>
    </row>
    <row r="580" spans="1:13">
      <c r="A580" s="353" t="s">
        <v>793</v>
      </c>
      <c r="B580" s="353" t="str">
        <f>IF(AP214="","",IF($B$578="Currently there are enough toilets for all learners.","Sa pagkakaron adunay igo nga mga kasilyas alang sa tanang mga estudyante.","Sa pagkakaron adunay kuwang nga mga kasilyas alang sa tanang mga estudyante."))</f>
        <v>Sa pagkakaron adunay kuwang nga mga kasilyas alang sa tanang mga estudyante.</v>
      </c>
      <c r="C580" s="349" t="s">
        <v>786</v>
      </c>
      <c r="D580" s="359">
        <f>$B$135</f>
        <v>84</v>
      </c>
      <c r="E580" s="347" t="s">
        <v>693</v>
      </c>
      <c r="F580" s="353" t="str">
        <f>IF($F$578="with an excess of","nga adunay sobra nga","nga adunay kuwang nga")</f>
        <v>nga adunay kuwang nga</v>
      </c>
      <c r="G580" s="353">
        <f>$E$136</f>
        <v>12</v>
      </c>
      <c r="H580" s="359" t="s">
        <v>689</v>
      </c>
      <c r="I580" s="349" t="str">
        <f>IF($I$578="Majority of the toilets are shared between male and female learners.","Kadaghanan sa mga kasilyas ginasaw-an sa mga lalaki ug babaye nga mga tinun-an.","Kadaghanan sa mga kasilyas sa tulunghaan gigamit lamang sumala sa gender sa mga tinun-an.")</f>
        <v>Kadaghanan sa mga kasilyas ginasaw-an sa mga lalaki ug babaye nga mga tinun-an.</v>
      </c>
      <c r="J580" s="353" t="str">
        <f>IF(B580="","",CONCATENATE(B580," ",C580," ",D580,E580," ",F580," ",G580," ",H580," ",I580))</f>
        <v>Sa pagkakaron adunay kuwang nga mga kasilyas alang sa tanang mga estudyante. Ang learner-toilet ratio niabot ug 84:1, nga adunay kuwang nga 12 toilet/s para sa tibuok tulunghaan. Kadaghanan sa mga kasilyas ginasaw-an sa mga lalaki ug babaye nga mga tinun-an.</v>
      </c>
      <c r="L580" s="359"/>
      <c r="M580" s="349"/>
    </row>
    <row r="581" spans="1:13">
      <c r="A581" s="353" t="s">
        <v>802</v>
      </c>
      <c r="C581" s="349"/>
      <c r="D581" s="359"/>
      <c r="E581" s="349"/>
      <c r="H581" s="359"/>
      <c r="I581" s="349"/>
      <c r="L581" s="359"/>
    </row>
    <row r="582" spans="1:13">
      <c r="A582" s="353" t="s">
        <v>792</v>
      </c>
      <c r="C582" s="349"/>
      <c r="D582" s="359"/>
      <c r="E582" s="349"/>
      <c r="H582" s="359"/>
      <c r="I582" s="349"/>
      <c r="L582" s="359"/>
    </row>
    <row r="583" spans="1:13">
      <c r="A583" s="353" t="s">
        <v>798</v>
      </c>
      <c r="C583" s="349"/>
      <c r="D583" s="359"/>
      <c r="E583" s="349"/>
      <c r="H583" s="359"/>
      <c r="I583" s="349"/>
      <c r="L583" s="359"/>
    </row>
    <row r="584" spans="1:13">
      <c r="A584" s="353" t="s">
        <v>564</v>
      </c>
      <c r="C584" s="349"/>
      <c r="D584" s="359"/>
      <c r="E584" s="349"/>
      <c r="H584" s="359"/>
      <c r="I584" s="349"/>
      <c r="L584" s="359"/>
    </row>
    <row r="585" spans="1:13">
      <c r="A585" s="353" t="s">
        <v>791</v>
      </c>
      <c r="C585" s="349"/>
      <c r="D585" s="359"/>
      <c r="E585" s="349"/>
      <c r="H585" s="359"/>
      <c r="I585" s="349"/>
      <c r="L585" s="359"/>
    </row>
    <row r="586" spans="1:13">
      <c r="A586" s="353" t="s">
        <v>800</v>
      </c>
      <c r="C586" s="349"/>
      <c r="D586" s="359"/>
      <c r="E586" s="349"/>
      <c r="H586" s="359"/>
      <c r="I586" s="349"/>
      <c r="L586" s="359"/>
    </row>
    <row r="587" spans="1:13">
      <c r="A587" s="353" t="s">
        <v>789</v>
      </c>
      <c r="C587" s="349"/>
      <c r="D587" s="359"/>
      <c r="E587" s="349"/>
      <c r="H587" s="359"/>
      <c r="I587" s="349"/>
      <c r="L587" s="359"/>
    </row>
    <row r="588" spans="1:13">
      <c r="A588" s="353" t="s">
        <v>803</v>
      </c>
      <c r="C588" s="349"/>
      <c r="D588" s="359"/>
      <c r="E588" s="349"/>
      <c r="H588" s="359"/>
      <c r="I588" s="349"/>
      <c r="L588" s="359"/>
    </row>
    <row r="589" spans="1:13">
      <c r="A589" s="353" t="s">
        <v>796</v>
      </c>
      <c r="C589" s="349"/>
      <c r="D589" s="359"/>
      <c r="E589" s="349"/>
      <c r="H589" s="359"/>
      <c r="I589" s="349"/>
      <c r="L589" s="359"/>
    </row>
    <row r="590" spans="1:13">
      <c r="A590" s="353" t="s">
        <v>797</v>
      </c>
      <c r="C590" s="349"/>
      <c r="D590" s="359"/>
      <c r="E590" s="349"/>
      <c r="H590" s="359"/>
      <c r="I590" s="349"/>
      <c r="L590" s="359"/>
    </row>
    <row r="591" spans="1:13">
      <c r="A591" s="353" t="s">
        <v>790</v>
      </c>
      <c r="C591" s="349"/>
      <c r="D591" s="359"/>
      <c r="E591" s="349"/>
      <c r="H591" s="359"/>
      <c r="I591" s="349"/>
      <c r="L591" s="359"/>
    </row>
    <row r="592" spans="1:13">
      <c r="A592" s="353" t="s">
        <v>801</v>
      </c>
      <c r="C592" s="349"/>
      <c r="D592" s="359"/>
      <c r="E592" s="349"/>
      <c r="H592" s="359"/>
      <c r="I592" s="349"/>
      <c r="L592" s="359"/>
    </row>
    <row r="593" spans="1:13">
      <c r="A593" s="353" t="s">
        <v>805</v>
      </c>
      <c r="C593" s="349"/>
      <c r="D593" s="359"/>
      <c r="E593" s="349"/>
      <c r="H593" s="359"/>
      <c r="I593" s="349"/>
      <c r="L593" s="359"/>
    </row>
    <row r="594" spans="1:13">
      <c r="A594" s="353" t="s">
        <v>795</v>
      </c>
      <c r="C594" s="349"/>
      <c r="D594" s="359"/>
      <c r="E594" s="349"/>
      <c r="H594" s="359"/>
      <c r="I594" s="349"/>
      <c r="L594" s="359"/>
    </row>
    <row r="595" spans="1:13">
      <c r="A595" s="353" t="s">
        <v>794</v>
      </c>
      <c r="C595" s="349"/>
      <c r="D595" s="359"/>
      <c r="E595" s="349"/>
      <c r="H595" s="359"/>
      <c r="I595" s="349"/>
      <c r="L595" s="359"/>
    </row>
    <row r="596" spans="1:13">
      <c r="A596" s="353" t="s">
        <v>804</v>
      </c>
      <c r="C596" s="349"/>
      <c r="D596" s="359"/>
      <c r="E596" s="349"/>
      <c r="H596" s="359"/>
      <c r="I596" s="349"/>
      <c r="L596" s="359"/>
    </row>
    <row r="597" spans="1:13">
      <c r="A597" s="353" t="s">
        <v>799</v>
      </c>
    </row>
    <row r="599" spans="1:13">
      <c r="A599" s="353" t="s">
        <v>562</v>
      </c>
      <c r="B599" s="353" t="str">
        <f>IF($F$131="","",IF($F$131="Currently there are enough seats for all learners.","Currently there are enough seats for all learners.","Currently there are lacking seats for some learners."))</f>
        <v>Currently there are enough seats for all learners.</v>
      </c>
      <c r="C599" s="349" t="s">
        <v>690</v>
      </c>
      <c r="D599" s="326">
        <f>$B$131</f>
        <v>1.01</v>
      </c>
      <c r="E599" s="347" t="s">
        <v>693</v>
      </c>
      <c r="F599" s="353" t="str">
        <f>IF($F$132="with an excess of","with an excess of","with a lacking of")</f>
        <v>with an excess of</v>
      </c>
      <c r="G599" s="353">
        <f>$E$132</f>
        <v>15</v>
      </c>
      <c r="H599" s="359" t="s">
        <v>694</v>
      </c>
      <c r="I599" s="349"/>
      <c r="J599" s="353" t="str">
        <f>IF(B599="","",CONCATENATE(B599," ",C599," ",D599,E599," ",F599," ",G599," ",H599))</f>
        <v>Currently there are enough seats for all learners. The learner-seat ratio is 1.01:1, with an excess of 15 seat/s for the whole school.</v>
      </c>
      <c r="L599" s="359"/>
      <c r="M599" s="349"/>
    </row>
    <row r="600" spans="1:13">
      <c r="A600" s="353" t="s">
        <v>788</v>
      </c>
      <c r="B600" s="353" t="str">
        <f>IF($F$131="","",IF($F$131="Currently there are enough seats for all learners.","Sa kasalukuyan, mayroong sapat na mga upuan para sa buong paaralan.","Sa kasalukuyan, mayroong kulang na mga upuan para sa buong paaralan."))</f>
        <v>Sa kasalukuyan, mayroong sapat na mga upuan para sa buong paaralan.</v>
      </c>
      <c r="C600" s="349" t="s">
        <v>691</v>
      </c>
      <c r="D600" s="326">
        <f>$B$131</f>
        <v>1.01</v>
      </c>
      <c r="E600" s="347" t="s">
        <v>693</v>
      </c>
      <c r="F600" s="353" t="str">
        <f>IF($F$599="with an excess of","na may sobra na","na may kulang na")</f>
        <v>na may sobra na</v>
      </c>
      <c r="G600" s="353">
        <f>$E$132</f>
        <v>15</v>
      </c>
      <c r="H600" s="359" t="s">
        <v>695</v>
      </c>
      <c r="I600" s="349"/>
      <c r="J600" s="353" t="str">
        <f>IF(B600="","",CONCATENATE(B600," ",C600," ",D600,E600," ",F600," ",G600," ",H600))</f>
        <v>Sa kasalukuyan, mayroong sapat na mga upuan para sa buong paaralan. Ang learner-seat ratio ay 1.01:1, na may sobra na 15 upuan para sa buong paaralan.</v>
      </c>
      <c r="L600" s="359"/>
      <c r="M600" s="349"/>
    </row>
    <row r="601" spans="1:13">
      <c r="A601" s="353" t="s">
        <v>793</v>
      </c>
      <c r="B601" s="353" t="str">
        <f>IF($F$131="","",IF($F$131="Currently there are enough seats for all learners.","Sa pagkakaron adunay igo nga mga lingkuranan alang sa tanan nga mga tinun-an sa tibuok tulunghaan.","Sa pagkakaron adunay kuwang nga mga lingkuranan alang sa mga tinun-an sa tibuok tulunghaan."))</f>
        <v>Sa pagkakaron adunay igo nga mga lingkuranan alang sa tanan nga mga tinun-an sa tibuok tulunghaan.</v>
      </c>
      <c r="C601" s="349" t="s">
        <v>692</v>
      </c>
      <c r="D601" s="326">
        <f>$B$131</f>
        <v>1.01</v>
      </c>
      <c r="E601" s="347" t="s">
        <v>693</v>
      </c>
      <c r="F601" s="353" t="str">
        <f>IF($F$599="with an excess of","nga adunay sobra nga","nga adunay kuwang nga")</f>
        <v>nga adunay sobra nga</v>
      </c>
      <c r="G601" s="353">
        <f>$E$132</f>
        <v>15</v>
      </c>
      <c r="H601" s="359" t="s">
        <v>696</v>
      </c>
      <c r="I601" s="349"/>
      <c r="J601" s="353" t="str">
        <f>IF(B601="","",CONCATENATE(B601," ",C601," ",D601,E601," ",F601," ",G601," ",H601))</f>
        <v>Sa pagkakaron adunay igo nga mga lingkuranan alang sa tanan nga mga tinun-an sa tibuok tulunghaan. Ang learner-seat ratio mao ang 1.01:1, nga adunay sobra nga 15 lingkuranan para sa tibuok tulunghaan.</v>
      </c>
      <c r="L601" s="359"/>
      <c r="M601" s="349"/>
    </row>
    <row r="602" spans="1:13">
      <c r="A602" s="353" t="s">
        <v>802</v>
      </c>
      <c r="C602" s="349"/>
      <c r="D602" s="359"/>
      <c r="E602" s="349"/>
      <c r="H602" s="359"/>
      <c r="I602" s="349"/>
      <c r="L602" s="359"/>
    </row>
    <row r="603" spans="1:13">
      <c r="A603" s="353" t="s">
        <v>792</v>
      </c>
      <c r="C603" s="349"/>
      <c r="D603" s="359"/>
      <c r="E603" s="349"/>
      <c r="H603" s="359"/>
      <c r="I603" s="349"/>
      <c r="L603" s="359"/>
    </row>
    <row r="604" spans="1:13">
      <c r="A604" s="353" t="s">
        <v>798</v>
      </c>
      <c r="C604" s="349"/>
      <c r="D604" s="359"/>
      <c r="E604" s="349"/>
      <c r="H604" s="359"/>
      <c r="I604" s="349"/>
      <c r="L604" s="359"/>
    </row>
    <row r="605" spans="1:13">
      <c r="A605" s="353" t="s">
        <v>564</v>
      </c>
      <c r="C605" s="349"/>
      <c r="D605" s="359"/>
      <c r="E605" s="349"/>
      <c r="H605" s="359"/>
      <c r="I605" s="349"/>
      <c r="L605" s="359"/>
    </row>
    <row r="606" spans="1:13">
      <c r="A606" s="353" t="s">
        <v>791</v>
      </c>
      <c r="C606" s="349"/>
      <c r="D606" s="359"/>
      <c r="E606" s="349"/>
      <c r="H606" s="359"/>
      <c r="I606" s="349"/>
      <c r="L606" s="359"/>
    </row>
    <row r="607" spans="1:13">
      <c r="A607" s="353" t="s">
        <v>800</v>
      </c>
      <c r="C607" s="349"/>
      <c r="D607" s="359"/>
      <c r="E607" s="349"/>
      <c r="H607" s="359"/>
      <c r="I607" s="349"/>
      <c r="L607" s="359"/>
    </row>
    <row r="608" spans="1:13">
      <c r="A608" s="353" t="s">
        <v>789</v>
      </c>
      <c r="C608" s="349"/>
      <c r="D608" s="359"/>
      <c r="E608" s="349"/>
      <c r="H608" s="359"/>
      <c r="I608" s="349"/>
      <c r="L608" s="359"/>
    </row>
    <row r="609" spans="1:24">
      <c r="A609" s="353" t="s">
        <v>803</v>
      </c>
      <c r="C609" s="349"/>
      <c r="D609" s="359"/>
      <c r="E609" s="349"/>
      <c r="H609" s="359"/>
      <c r="I609" s="349"/>
      <c r="L609" s="359"/>
    </row>
    <row r="610" spans="1:24">
      <c r="A610" s="353" t="s">
        <v>796</v>
      </c>
      <c r="C610" s="349"/>
      <c r="D610" s="359"/>
      <c r="E610" s="349"/>
      <c r="H610" s="359"/>
      <c r="I610" s="349"/>
      <c r="L610" s="359"/>
    </row>
    <row r="611" spans="1:24">
      <c r="A611" s="353" t="s">
        <v>797</v>
      </c>
      <c r="C611" s="349"/>
      <c r="D611" s="359"/>
      <c r="E611" s="349"/>
      <c r="H611" s="359"/>
      <c r="I611" s="349"/>
      <c r="L611" s="359"/>
    </row>
    <row r="612" spans="1:24">
      <c r="A612" s="353" t="s">
        <v>790</v>
      </c>
      <c r="C612" s="349"/>
      <c r="D612" s="359"/>
      <c r="E612" s="349"/>
      <c r="H612" s="359"/>
      <c r="I612" s="349"/>
      <c r="L612" s="359"/>
    </row>
    <row r="613" spans="1:24">
      <c r="A613" s="353" t="s">
        <v>801</v>
      </c>
      <c r="C613" s="349"/>
      <c r="D613" s="359"/>
      <c r="E613" s="349"/>
      <c r="H613" s="359"/>
      <c r="I613" s="349"/>
      <c r="L613" s="359"/>
    </row>
    <row r="614" spans="1:24">
      <c r="A614" s="353" t="s">
        <v>805</v>
      </c>
      <c r="C614" s="349"/>
      <c r="D614" s="359"/>
      <c r="E614" s="349"/>
      <c r="H614" s="359"/>
      <c r="I614" s="349"/>
      <c r="L614" s="359"/>
    </row>
    <row r="615" spans="1:24">
      <c r="A615" s="353" t="s">
        <v>795</v>
      </c>
      <c r="C615" s="349"/>
      <c r="D615" s="359"/>
      <c r="E615" s="349"/>
      <c r="H615" s="359"/>
      <c r="I615" s="349"/>
      <c r="L615" s="359"/>
    </row>
    <row r="616" spans="1:24">
      <c r="A616" s="353" t="s">
        <v>794</v>
      </c>
      <c r="C616" s="349"/>
      <c r="D616" s="359"/>
      <c r="E616" s="349"/>
      <c r="H616" s="359"/>
      <c r="I616" s="349"/>
      <c r="L616" s="359"/>
    </row>
    <row r="617" spans="1:24">
      <c r="A617" s="353" t="s">
        <v>804</v>
      </c>
      <c r="C617" s="349"/>
      <c r="D617" s="359"/>
      <c r="E617" s="349"/>
      <c r="H617" s="359"/>
      <c r="I617" s="349"/>
      <c r="L617" s="359"/>
    </row>
    <row r="618" spans="1:24">
      <c r="A618" s="353" t="s">
        <v>799</v>
      </c>
    </row>
    <row r="620" spans="1:24">
      <c r="A620" s="353" t="s">
        <v>562</v>
      </c>
      <c r="B620" s="353" t="str">
        <f>IF($H$167="","","For the current year, the school proposed")</f>
        <v>For the current year, the school proposed</v>
      </c>
      <c r="C620" s="353">
        <f>IF($B$620="","",$H$167)</f>
        <v>14</v>
      </c>
      <c r="D620" s="353" t="str">
        <f>IF($C$620="","","major projects as included in the AIP.")</f>
        <v>major projects as included in the AIP.</v>
      </c>
      <c r="E620" s="353" t="str">
        <f>IF($F$620="","",IF($F$620&gt;1,"There are","There is"))</f>
        <v>There are</v>
      </c>
      <c r="F620" s="353">
        <f>IF($B$620="","",$D$167)</f>
        <v>2</v>
      </c>
      <c r="G620" s="353" t="str">
        <f>IF($F$620="","",IF($F$620&gt;1,"projects completed and","project completed and"))</f>
        <v>projects completed and</v>
      </c>
      <c r="H620" s="326">
        <f>IF($G$620="","",ROUND($I$167,0))</f>
        <v>12</v>
      </c>
      <c r="I620" s="349" t="str">
        <f>IF($H$620="","",IF($H$620&gt;1,"projects which are still in proposed, ongoing or cancelled status.","project which are still in proposed, ongoing or cancelled status."))</f>
        <v>projects which are still in proposed, ongoing or cancelled status.</v>
      </c>
      <c r="J620" s="359" t="str">
        <f>IF($I$620="","","The total percentage of accomplishment for the completed projects is")</f>
        <v>The total percentage of accomplishment for the completed projects is</v>
      </c>
      <c r="K620" s="359">
        <f>IF($J$620="","",$J$167)</f>
        <v>14.29</v>
      </c>
      <c r="L620" s="359" t="str">
        <f>IF($K$620="","","percent.")</f>
        <v>percent.</v>
      </c>
      <c r="M620" s="354"/>
      <c r="N620" s="353" t="str">
        <f>IF(F620="","",CONCATENATE(B620," ",C620," ",D620," ",E620," ",F620," ",G620," ",H620," ",I620," ",J620," ",K620," ",L620))</f>
        <v>For the current year, the school proposed 14 major projects as included in the AIP. There are 2 projects completed and 12 projects which are still in proposed, ongoing or cancelled status. The total percentage of accomplishment for the completed projects is 14.29 percent.</v>
      </c>
      <c r="V620" s="349"/>
      <c r="X620" s="353" t="str">
        <f>IF(H620="","",CONCATENATE(H620," ",I620," ",J620," ",TEXT(K620,"#,##0"),L620," ",M620," ",N620," ",O620," ",P620," ",Q620," ",R620," ",S620," ",T620," ",U620," ",TEXT(V620,"#,##0"),W620))</f>
        <v>12 projects which are still in proposed, ongoing or cancelled status. The total percentage of accomplishment for the completed projects is 14percent.  For the current year, the school proposed 14 major projects as included in the AIP. There are 2 projects completed and 12 projects which are still in proposed, ongoing or cancelled status. The total percentage of accomplishment for the completed projects is 14.29 percent.        0</v>
      </c>
    </row>
    <row r="621" spans="1:24">
      <c r="A621" s="353" t="s">
        <v>788</v>
      </c>
      <c r="B621" s="353" t="str">
        <f>IF($H$167="","","Para sa kasalukuyang taon, ang paaralan ay nag-proposed ng")</f>
        <v>Para sa kasalukuyang taon, ang paaralan ay nag-proposed ng</v>
      </c>
      <c r="C621" s="353">
        <f>IF($B$620="","",$H$167)</f>
        <v>14</v>
      </c>
      <c r="D621" s="353" t="str">
        <f>IF($C$620="","","na pangunahing mga proyekto na naisama sa AIP.")</f>
        <v>na pangunahing mga proyekto na naisama sa AIP.</v>
      </c>
      <c r="E621" s="353" t="str">
        <f>IF($F$620="","",IF($F$620&gt;1,"Mayroong","Mayroong"))</f>
        <v>Mayroong</v>
      </c>
      <c r="F621" s="353">
        <f>IF($B$620="","",$D$167)</f>
        <v>2</v>
      </c>
      <c r="G621" s="353" t="str">
        <f>IF($F$620="","",IF($F$620&gt;1,"nakumpletong mga proyekto at","nakumpletong proyekto at"))</f>
        <v>nakumpletong mga proyekto at</v>
      </c>
      <c r="H621" s="326">
        <f>IF($G$620="","",ROUND($I$167,0))</f>
        <v>12</v>
      </c>
      <c r="I621" s="349" t="str">
        <f>IF($H$620="","",IF($H$620&gt;1,"mga proyekto na nasa proposed, ongoing o cancelled status.","proyekto na nasa proposed, ongoing o cancelled status."))</f>
        <v>mga proyekto na nasa proposed, ongoing o cancelled status.</v>
      </c>
      <c r="J621" s="359" t="str">
        <f>IF($I$620="","","Ang kabuuang percentage of accomplishment sa lahat ng mga natapos na mga proyekto ay")</f>
        <v>Ang kabuuang percentage of accomplishment sa lahat ng mga natapos na mga proyekto ay</v>
      </c>
      <c r="K621" s="359">
        <f>IF($J$620="","",$J$167)</f>
        <v>14.29</v>
      </c>
      <c r="L621" s="359" t="str">
        <f>IF($K$620="","","porsiyento.")</f>
        <v>porsiyento.</v>
      </c>
      <c r="M621" s="349"/>
      <c r="N621" s="353" t="str">
        <f>IF(F621="","",CONCATENATE(B621," ",C621," ",D621," ",E621," ",F621," ",G621," ",H621," ",I621," ",J621," ",K621," ",L621))</f>
        <v>Para sa kasalukuyang taon, ang paaralan ay nag-proposed ng 14 na pangunahing mga proyekto na naisama sa AIP. Mayroong 2 nakumpletong mga proyekto at 12 mga proyekto na nasa proposed, ongoing o cancelled status. Ang kabuuang percentage of accomplishment sa lahat ng mga natapos na mga proyekto ay 14.29 porsiyento.</v>
      </c>
      <c r="V621" s="349"/>
      <c r="X621" s="353" t="str">
        <f>IF(H621="","",CONCATENATE(H621," ",I621," ",J621," ",TEXT(K621,"#,##0"),L621," ",M621," ",N621," ",O621," ",P621," ",Q621," ",R621," ",S621," ",T621," ",U621," ",TEXT(V621,"#,##0"),W621))</f>
        <v>12 mga proyekto na nasa proposed, ongoing o cancelled status. Ang kabuuang percentage of accomplishment sa lahat ng mga natapos na mga proyekto ay 14porsiyento.  Para sa kasalukuyang taon, ang paaralan ay nag-proposed ng 14 na pangunahing mga proyekto na naisama sa AIP. Mayroong 2 nakumpletong mga proyekto at 12 mga proyekto na nasa proposed, ongoing o cancelled status. Ang kabuuang percentage of accomplishment sa lahat ng mga natapos na mga proyekto ay 14.29 porsiyento.        0</v>
      </c>
    </row>
    <row r="622" spans="1:24">
      <c r="A622" s="353" t="s">
        <v>793</v>
      </c>
      <c r="B622" s="353" t="str">
        <f>IF($H$167="","","Alang sa kasamtangan nga tuig, ang tunghaan nagsugyot ug")</f>
        <v>Alang sa kasamtangan nga tuig, ang tunghaan nagsugyot ug</v>
      </c>
      <c r="C622" s="353">
        <f>IF($B$620="","",$H$167)</f>
        <v>14</v>
      </c>
      <c r="D622" s="353" t="str">
        <f>IF($C$620="","","ka mga proyekto nga gilakip sa AIP.")</f>
        <v>ka mga proyekto nga gilakip sa AIP.</v>
      </c>
      <c r="E622" s="353" t="str">
        <f>IF($F$620="","",IF($F$620&gt;1,"Adunay","Adunay"))</f>
        <v>Adunay</v>
      </c>
      <c r="F622" s="353">
        <f>IF($B$620="","",$D$167)</f>
        <v>2</v>
      </c>
      <c r="G622" s="353" t="str">
        <f>IF($F$620="","",IF($F$620&gt;1,"nakumpleto nga mga proyekto ug","nakumpleto nga proyekto ug"))</f>
        <v>nakumpleto nga mga proyekto ug</v>
      </c>
      <c r="H622" s="326">
        <f>IF($G$620="","",ROUND($I$167,0))</f>
        <v>12</v>
      </c>
      <c r="I622" s="349" t="str">
        <f>IF($H$620="","",IF($H$620&gt;1,"ka mga proyekto nga anaa pa sa proposed, ongoing o cancelled status.","ka proyekto nga anaa pa sa proposed, ongoing o cancelled status."))</f>
        <v>ka mga proyekto nga anaa pa sa proposed, ongoing o cancelled status.</v>
      </c>
      <c r="J622" s="359" t="str">
        <f>IF($I$620="","","Ang kinatibuk-ang percentage of accomplishment sa tanan nga mga nahuman nga proyekto anaa sa")</f>
        <v>Ang kinatibuk-ang percentage of accomplishment sa tanan nga mga nahuman nga proyekto anaa sa</v>
      </c>
      <c r="K622" s="359">
        <f>IF($J$620="","",$J$167)</f>
        <v>14.29</v>
      </c>
      <c r="L622" s="359" t="str">
        <f>IF($K$620="","","porsyento.")</f>
        <v>porsyento.</v>
      </c>
      <c r="M622" s="349"/>
      <c r="N622" s="353" t="str">
        <f>IF(F622="","",CONCATENATE(B622," ",C622," ",D622," ",E622," ",F622," ",G622," ",H622," ",I622," ",J622," ",K622," ",L622))</f>
        <v>Alang sa kasamtangan nga tuig, ang tunghaan nagsugyot ug 14 ka mga proyekto nga gilakip sa AIP. Adunay 2 nakumpleto nga mga proyekto ug 12 ka mga proyekto nga anaa pa sa proposed, ongoing o cancelled status. Ang kinatibuk-ang percentage of accomplishment sa tanan nga mga nahuman nga proyekto anaa sa 14.29 porsyento.</v>
      </c>
      <c r="V622" s="349"/>
      <c r="X622" s="353" t="str">
        <f>IF(H622="","",CONCATENATE(H622," ",I622," ",J622," ",TEXT(K622,"#,##0"),L622," ",M622," ",N622," ",O622," ",P622," ",Q622," ",R622," ",S622," ",T622," ",U622," ",TEXT(V622,"#,##0"),W622))</f>
        <v>12 ka mga proyekto nga anaa pa sa proposed, ongoing o cancelled status. Ang kinatibuk-ang percentage of accomplishment sa tanan nga mga nahuman nga proyekto anaa sa 14porsyento.  Alang sa kasamtangan nga tuig, ang tunghaan nagsugyot ug 14 ka mga proyekto nga gilakip sa AIP. Adunay 2 nakumpleto nga mga proyekto ug 12 ka mga proyekto nga anaa pa sa proposed, ongoing o cancelled status. Ang kinatibuk-ang percentage of accomplishment sa tanan nga mga nahuman nga proyekto anaa sa 14.29 porsyento.        0</v>
      </c>
    </row>
    <row r="623" spans="1:24">
      <c r="A623" s="353" t="s">
        <v>802</v>
      </c>
      <c r="H623" s="359"/>
      <c r="I623" s="349"/>
      <c r="L623" s="359"/>
    </row>
    <row r="624" spans="1:24">
      <c r="A624" s="353" t="s">
        <v>792</v>
      </c>
      <c r="H624" s="359"/>
      <c r="I624" s="349"/>
      <c r="L624" s="359"/>
    </row>
    <row r="625" spans="1:12">
      <c r="A625" s="353" t="s">
        <v>798</v>
      </c>
      <c r="C625" s="349"/>
      <c r="D625" s="359"/>
      <c r="E625" s="349"/>
      <c r="H625" s="359"/>
      <c r="I625" s="349"/>
      <c r="L625" s="359"/>
    </row>
    <row r="626" spans="1:12">
      <c r="A626" s="353" t="s">
        <v>564</v>
      </c>
      <c r="C626" s="349"/>
      <c r="D626" s="359"/>
      <c r="E626" s="349"/>
      <c r="H626" s="359"/>
      <c r="I626" s="349"/>
      <c r="L626" s="359"/>
    </row>
    <row r="627" spans="1:12">
      <c r="A627" s="353" t="s">
        <v>791</v>
      </c>
      <c r="C627" s="349"/>
      <c r="D627" s="359"/>
      <c r="E627" s="349"/>
      <c r="H627" s="359"/>
      <c r="I627" s="349"/>
      <c r="L627" s="359"/>
    </row>
    <row r="628" spans="1:12">
      <c r="A628" s="353" t="s">
        <v>800</v>
      </c>
      <c r="C628" s="349"/>
      <c r="D628" s="359"/>
      <c r="E628" s="349"/>
      <c r="H628" s="359"/>
      <c r="I628" s="349"/>
      <c r="L628" s="359"/>
    </row>
    <row r="629" spans="1:12">
      <c r="A629" s="353" t="s">
        <v>789</v>
      </c>
      <c r="C629" s="349"/>
      <c r="D629" s="359"/>
      <c r="E629" s="349"/>
      <c r="H629" s="359"/>
      <c r="I629" s="349"/>
      <c r="L629" s="359"/>
    </row>
    <row r="630" spans="1:12">
      <c r="A630" s="353" t="s">
        <v>803</v>
      </c>
      <c r="C630" s="349"/>
      <c r="D630" s="359"/>
      <c r="E630" s="349"/>
      <c r="H630" s="359"/>
      <c r="I630" s="349"/>
      <c r="L630" s="359"/>
    </row>
    <row r="631" spans="1:12">
      <c r="A631" s="353" t="s">
        <v>796</v>
      </c>
      <c r="C631" s="349"/>
      <c r="D631" s="359"/>
      <c r="E631" s="349"/>
      <c r="H631" s="359"/>
      <c r="I631" s="349"/>
      <c r="L631" s="359"/>
    </row>
    <row r="632" spans="1:12">
      <c r="A632" s="353" t="s">
        <v>797</v>
      </c>
      <c r="C632" s="349"/>
      <c r="D632" s="359"/>
      <c r="E632" s="349"/>
      <c r="H632" s="359"/>
      <c r="I632" s="349"/>
      <c r="L632" s="359"/>
    </row>
    <row r="633" spans="1:12">
      <c r="A633" s="353" t="s">
        <v>790</v>
      </c>
      <c r="C633" s="349"/>
      <c r="D633" s="359"/>
      <c r="E633" s="349"/>
      <c r="H633" s="359"/>
      <c r="I633" s="349"/>
      <c r="L633" s="359"/>
    </row>
    <row r="634" spans="1:12">
      <c r="A634" s="353" t="s">
        <v>801</v>
      </c>
      <c r="C634" s="349"/>
      <c r="D634" s="359"/>
      <c r="E634" s="349"/>
      <c r="H634" s="359"/>
      <c r="I634" s="349"/>
      <c r="L634" s="359"/>
    </row>
    <row r="635" spans="1:12">
      <c r="A635" s="353" t="s">
        <v>805</v>
      </c>
      <c r="C635" s="349"/>
      <c r="D635" s="359"/>
      <c r="E635" s="349"/>
      <c r="H635" s="359"/>
      <c r="I635" s="349"/>
      <c r="L635" s="359"/>
    </row>
    <row r="636" spans="1:12">
      <c r="A636" s="353" t="s">
        <v>795</v>
      </c>
      <c r="C636" s="349"/>
      <c r="D636" s="359"/>
      <c r="E636" s="349"/>
      <c r="H636" s="359"/>
      <c r="I636" s="349"/>
      <c r="L636" s="359"/>
    </row>
    <row r="637" spans="1:12">
      <c r="A637" s="353" t="s">
        <v>794</v>
      </c>
      <c r="C637" s="349"/>
      <c r="D637" s="359"/>
      <c r="E637" s="349"/>
      <c r="H637" s="359"/>
      <c r="I637" s="349"/>
      <c r="L637" s="359"/>
    </row>
    <row r="638" spans="1:12">
      <c r="A638" s="353" t="s">
        <v>804</v>
      </c>
      <c r="C638" s="349"/>
      <c r="D638" s="359"/>
      <c r="E638" s="349"/>
      <c r="H638" s="359"/>
      <c r="I638" s="349"/>
      <c r="L638" s="359"/>
    </row>
    <row r="639" spans="1:12">
      <c r="A639" s="353" t="s">
        <v>799</v>
      </c>
    </row>
    <row r="641" spans="1:17">
      <c r="A641" s="353" t="s">
        <v>562</v>
      </c>
      <c r="B641" s="353" t="str">
        <f>IF($Y$701="","","Stakeholders of the school showed significant contributions and participation in different programs and activities.")</f>
        <v>Stakeholders of the school showed significant contributions and participation in different programs and activities.</v>
      </c>
      <c r="C641" s="349" t="str">
        <f>IF($B$641="","","The most common general partner type")</f>
        <v>The most common general partner type</v>
      </c>
      <c r="D641" s="326" t="str">
        <f>IF($X$701="","",IF($X$701&gt;0,"is","are"))</f>
        <v>are</v>
      </c>
      <c r="E641" s="349" t="str">
        <f>IF($Y$701="","",$Y$701)</f>
        <v>Private Sector and Public Sector</v>
      </c>
      <c r="F641" s="353" t="str">
        <f>IF($E$641="","",".")</f>
        <v>.</v>
      </c>
      <c r="G641" s="353" t="str">
        <f>IF($Y$702="","","As to the specific type of partner the")</f>
        <v>As to the specific type of partner the</v>
      </c>
      <c r="H641" s="359" t="str">
        <f>IF($Y$702="","",$Y$702)</f>
        <v>Private Company and People's Organizations</v>
      </c>
      <c r="I641" s="349" t="str">
        <f>IF($X$702&gt;0,"is the top contributor.","are the top contributors.")</f>
        <v>are the top contributors.</v>
      </c>
      <c r="J641" s="353" t="str">
        <f>IF($Y$703="","","And the type of contribution commonly given to the school")</f>
        <v>And the type of contribution commonly given to the school</v>
      </c>
      <c r="K641" s="353" t="str">
        <f>IF($X$703="","",IF($X$703&gt;0,"is","are"))</f>
        <v>are</v>
      </c>
      <c r="L641" s="359" t="str">
        <f>IF($Y$703="","",$Y$703)</f>
        <v>Policy Support and Technical Assistance</v>
      </c>
      <c r="M641" s="349" t="str">
        <f>IF($L$641="","",".")</f>
        <v>.</v>
      </c>
      <c r="N641" s="353" t="str">
        <f>IF($Y$704="","","The total amount generated by the school from the different stakeholders is amounting to Php")</f>
        <v/>
      </c>
      <c r="O641" s="359" t="str">
        <f>IF($N$641="","",$Y$704)</f>
        <v/>
      </c>
      <c r="P641" s="353" t="str">
        <f>IF($O$641="","",".00.")</f>
        <v/>
      </c>
      <c r="Q641" s="353" t="str">
        <f>IF(Y701="","",CONCATENATE(B641," ",C641," ",D641," ",E641," ",F641," ",G641," ",H641," ",I641," ",J641," ",K641," ",L641," ",M641," ",N641," ",TEXT(O641,"#,##0"),P641))</f>
        <v xml:space="preserve">Stakeholders of the school showed significant contributions and participation in different programs and activities. The most common general partner type are Private Sector and Public Sector . As to the specific type of partner the Private Company and People's Organizations are the top contributors. And the type of contribution commonly given to the school are Policy Support and Technical Assistance .  </v>
      </c>
    </row>
    <row r="642" spans="1:17">
      <c r="A642" s="353" t="s">
        <v>788</v>
      </c>
      <c r="B642" s="353" t="str">
        <f>IF($Y$701="","","Ang mga stakeholder ng paaralan ay nagpakita ng malaking kontribusyon at paglahok sa ibat-ibang mga programa at gawain .")</f>
        <v>Ang mga stakeholder ng paaralan ay nagpakita ng malaking kontribusyon at paglahok sa ibat-ibang mga programa at gawain .</v>
      </c>
      <c r="C642" s="349" t="str">
        <f>IF($B$641="","","Ang pinaka-karaniwang general partner type")</f>
        <v>Ang pinaka-karaniwang general partner type</v>
      </c>
      <c r="D642" s="326" t="str">
        <f>IF($X$701="","",IF($X$701&gt;0,"ay ang","ay ang"))</f>
        <v>ay ang</v>
      </c>
      <c r="E642" s="349" t="str">
        <f>IF($Y$701="","",$Y$701)</f>
        <v>Private Sector and Public Sector</v>
      </c>
      <c r="F642" s="353" t="str">
        <f>IF($E$641="","",".")</f>
        <v>.</v>
      </c>
      <c r="G642" s="353" t="str">
        <f>IF($Y$702="","","At sa specific type of partner ang")</f>
        <v>At sa specific type of partner ang</v>
      </c>
      <c r="H642" s="359" t="str">
        <f>IF($Y$702="","",$Y$702)</f>
        <v>Private Company and People's Organizations</v>
      </c>
      <c r="I642" s="349" t="str">
        <f>IF($X$702&gt;0,"ay ang top contributor.","ay mga top contributors.")</f>
        <v>ay mga top contributors.</v>
      </c>
      <c r="J642" s="353" t="str">
        <f>IF($Y$703="","","Ang karaniwang uri ng kontribusyon na ibinibigay sa paaralan ay")</f>
        <v>Ang karaniwang uri ng kontribusyon na ibinibigay sa paaralan ay</v>
      </c>
      <c r="K642" s="353" t="str">
        <f>IF($X$703="","",IF($X$703&gt;0,"ang","ang mga"))</f>
        <v>ang mga</v>
      </c>
      <c r="L642" s="359" t="str">
        <f>IF($Y$703="","",$Y$703)</f>
        <v>Policy Support and Technical Assistance</v>
      </c>
      <c r="M642" s="349" t="str">
        <f>IF($L$641="","",".")</f>
        <v>.</v>
      </c>
      <c r="N642" s="353" t="str">
        <f>IF($Y$704="","","Ang kabuuang halaga na nabuo ng paaralan mula sa ibat-ibang mga stakeholder ay nagkahalaga ng Php")</f>
        <v/>
      </c>
      <c r="O642" s="359" t="str">
        <f>IF($N$641="","",$Y$704)</f>
        <v/>
      </c>
      <c r="P642" s="353" t="str">
        <f>IF($O$641="","",".00.")</f>
        <v/>
      </c>
      <c r="Q642" s="353" t="str">
        <f>IF(Y702="","",CONCATENATE(B642," ",C642," ",D642," ",E642," ",F642," ",G642," ",H642," ",I642," ",J642," ",K642," ",L642," ",M642," ",N642," ",TEXT(O642,"#,##0"),P642))</f>
        <v xml:space="preserve">Ang mga stakeholder ng paaralan ay nagpakita ng malaking kontribusyon at paglahok sa ibat-ibang mga programa at gawain . Ang pinaka-karaniwang general partner type ay ang Private Sector and Public Sector . At sa specific type of partner ang Private Company and People's Organizations ay mga top contributors. Ang karaniwang uri ng kontribusyon na ibinibigay sa paaralan ay ang mga Policy Support and Technical Assistance .  </v>
      </c>
    </row>
    <row r="643" spans="1:17">
      <c r="A643" s="353" t="s">
        <v>793</v>
      </c>
      <c r="B643" s="353" t="str">
        <f>IF($Y$701="","","Ang mga stakeholder sa tulunghaan nagpakita sa mga bililhong kontribusyon ug mga partisipasyon sa nagkalain-laing mga programa ug kalihokan.")</f>
        <v>Ang mga stakeholder sa tulunghaan nagpakita sa mga bililhong kontribusyon ug mga partisipasyon sa nagkalain-laing mga programa ug kalihokan.</v>
      </c>
      <c r="C643" s="349" t="str">
        <f>IF($B$641="","","Ang labing komon nga general partner type")</f>
        <v>Ang labing komon nga general partner type</v>
      </c>
      <c r="D643" s="326" t="str">
        <f>IF($X$701="","",IF($X$701&gt;0,"mao ang","mao ang"))</f>
        <v>mao ang</v>
      </c>
      <c r="E643" s="349" t="str">
        <f>IF($Y$701="","",$Y$701)</f>
        <v>Private Sector and Public Sector</v>
      </c>
      <c r="F643" s="353" t="str">
        <f>IF($E$641="","",".")</f>
        <v>.</v>
      </c>
      <c r="G643" s="353" t="str">
        <f>IF($Y$702="","","Ug sa specific type of partner ang")</f>
        <v>Ug sa specific type of partner ang</v>
      </c>
      <c r="H643" s="359" t="str">
        <f>IF($Y$702="","",$Y$702)</f>
        <v>Private Company and People's Organizations</v>
      </c>
      <c r="I643" s="349" t="str">
        <f>IF($X$702&gt;0,"nga maoy top contributor.","nga maoy mga top contributors.")</f>
        <v>nga maoy mga top contributors.</v>
      </c>
      <c r="J643" s="353" t="str">
        <f>IF($Y$703="","","Ang komon nga kontibusyon nga gihatag sa tulughaan mao")</f>
        <v>Ang komon nga kontibusyon nga gihatag sa tulughaan mao</v>
      </c>
      <c r="K643" s="353" t="str">
        <f>IF($X$703="","",IF($X$703&gt;0,"ang","ang mga"))</f>
        <v>ang mga</v>
      </c>
      <c r="L643" s="359" t="str">
        <f>IF($Y$703="","",$Y$703)</f>
        <v>Policy Support and Technical Assistance</v>
      </c>
      <c r="M643" s="349" t="str">
        <f>IF($L$641="","",".")</f>
        <v>.</v>
      </c>
      <c r="N643" s="353" t="str">
        <f>IF($Y$704="","","Ang kinatibuk-ang kantidad nga nakuha sa tulunghaan gikan sa nagkalain-laing stakeholders mao ang Php")</f>
        <v/>
      </c>
      <c r="O643" s="359" t="str">
        <f>IF($N$641="","",$Y$704)</f>
        <v/>
      </c>
      <c r="P643" s="353" t="str">
        <f>IF($O$641="","",".00.")</f>
        <v/>
      </c>
      <c r="Q643" s="353" t="str">
        <f>IF(Y703="","",CONCATENATE(B643," ",C643," ",D643," ",E643," ",F643," ",G643," ",H643," ",I643," ",J643," ",K643," ",L643," ",M643," ",N643," ",TEXT(O643,"#,##0"),P643))</f>
        <v xml:space="preserve">Ang mga stakeholder sa tulunghaan nagpakita sa mga bililhong kontribusyon ug mga partisipasyon sa nagkalain-laing mga programa ug kalihokan. Ang labing komon nga general partner type mao ang Private Sector and Public Sector . Ug sa specific type of partner ang Private Company and People's Organizations nga maoy mga top contributors. Ang komon nga kontibusyon nga gihatag sa tulughaan mao ang mga Policy Support and Technical Assistance .  </v>
      </c>
    </row>
    <row r="644" spans="1:17">
      <c r="A644" s="353" t="s">
        <v>802</v>
      </c>
      <c r="C644" s="349"/>
      <c r="D644" s="359"/>
      <c r="E644" s="349"/>
      <c r="H644" s="359"/>
      <c r="I644" s="349"/>
      <c r="L644" s="359"/>
    </row>
    <row r="645" spans="1:17">
      <c r="A645" s="353" t="s">
        <v>792</v>
      </c>
      <c r="C645" s="349"/>
      <c r="D645" s="359"/>
      <c r="E645" s="349"/>
      <c r="H645" s="359"/>
      <c r="I645" s="349"/>
      <c r="L645" s="359"/>
    </row>
    <row r="646" spans="1:17">
      <c r="A646" s="353" t="s">
        <v>798</v>
      </c>
    </row>
    <row r="647" spans="1:17">
      <c r="A647" s="353" t="s">
        <v>564</v>
      </c>
    </row>
    <row r="648" spans="1:17">
      <c r="A648" s="353" t="s">
        <v>791</v>
      </c>
    </row>
    <row r="649" spans="1:17">
      <c r="A649" s="353" t="s">
        <v>800</v>
      </c>
    </row>
    <row r="650" spans="1:17">
      <c r="A650" s="353" t="s">
        <v>789</v>
      </c>
    </row>
    <row r="651" spans="1:17">
      <c r="A651" s="353" t="s">
        <v>803</v>
      </c>
    </row>
    <row r="652" spans="1:17">
      <c r="A652" s="353" t="s">
        <v>796</v>
      </c>
    </row>
    <row r="653" spans="1:17">
      <c r="A653" s="353" t="s">
        <v>797</v>
      </c>
    </row>
    <row r="654" spans="1:17">
      <c r="A654" s="353" t="s">
        <v>790</v>
      </c>
    </row>
    <row r="655" spans="1:17">
      <c r="A655" s="353" t="s">
        <v>801</v>
      </c>
    </row>
    <row r="656" spans="1:17">
      <c r="A656" s="353" t="s">
        <v>805</v>
      </c>
    </row>
    <row r="657" spans="1:1">
      <c r="A657" s="353" t="s">
        <v>795</v>
      </c>
    </row>
    <row r="658" spans="1:1">
      <c r="A658" s="353" t="s">
        <v>794</v>
      </c>
    </row>
    <row r="659" spans="1:1">
      <c r="A659" s="353" t="s">
        <v>804</v>
      </c>
    </row>
    <row r="660" spans="1:1">
      <c r="A660" s="353" t="s">
        <v>799</v>
      </c>
    </row>
    <row r="698" spans="2:25">
      <c r="L698" s="673" t="s">
        <v>480</v>
      </c>
      <c r="M698" s="673"/>
      <c r="N698" s="673"/>
      <c r="O698" s="673"/>
      <c r="P698" s="673" t="s">
        <v>484</v>
      </c>
      <c r="Q698" s="673"/>
      <c r="R698" s="673"/>
      <c r="S698" s="673"/>
      <c r="T698" s="673" t="s">
        <v>348</v>
      </c>
      <c r="U698" s="673"/>
      <c r="V698" s="673"/>
      <c r="W698" s="673"/>
    </row>
    <row r="699" spans="2:25">
      <c r="L699" s="673"/>
      <c r="M699" s="673"/>
      <c r="N699" s="673"/>
      <c r="O699" s="673"/>
      <c r="P699" s="673"/>
      <c r="Q699" s="673"/>
      <c r="R699" s="673"/>
      <c r="S699" s="673"/>
      <c r="T699" s="673"/>
      <c r="U699" s="673"/>
      <c r="V699" s="673"/>
      <c r="W699" s="673"/>
      <c r="X699" s="353" t="s">
        <v>857</v>
      </c>
    </row>
    <row r="700" spans="2:25">
      <c r="B700" s="353" t="s">
        <v>480</v>
      </c>
      <c r="C700" s="353" t="s">
        <v>484</v>
      </c>
      <c r="D700" s="353" t="s">
        <v>487</v>
      </c>
      <c r="E700" s="353" t="s">
        <v>41</v>
      </c>
      <c r="F700" s="353" t="s">
        <v>480</v>
      </c>
      <c r="G700" s="353" t="s">
        <v>854</v>
      </c>
      <c r="H700" s="353" t="s">
        <v>484</v>
      </c>
      <c r="I700" s="353" t="s">
        <v>854</v>
      </c>
      <c r="J700" s="353" t="s">
        <v>855</v>
      </c>
      <c r="K700" s="353" t="s">
        <v>854</v>
      </c>
      <c r="L700" s="353" t="s">
        <v>219</v>
      </c>
      <c r="M700" s="353" t="s">
        <v>242</v>
      </c>
      <c r="N700" s="353" t="s">
        <v>856</v>
      </c>
      <c r="P700" s="353" t="s">
        <v>219</v>
      </c>
      <c r="Q700" s="353" t="s">
        <v>242</v>
      </c>
      <c r="R700" s="353" t="s">
        <v>856</v>
      </c>
      <c r="T700" s="353" t="s">
        <v>219</v>
      </c>
      <c r="U700" s="353" t="s">
        <v>242</v>
      </c>
      <c r="V700" s="353" t="s">
        <v>856</v>
      </c>
    </row>
    <row r="701" spans="2:25">
      <c r="B701" s="353" t="str">
        <f>IF(Data!A423="","",Data!A423)</f>
        <v>Private Sector</v>
      </c>
      <c r="C701" s="353" t="str">
        <f>IF(Data!D423="","",Data!D423)</f>
        <v>Private Company</v>
      </c>
      <c r="D701" s="353" t="str">
        <f>IF(Data!I423="","",Data!I423)</f>
        <v>Learner Wellness Health Nutrition</v>
      </c>
      <c r="E701" s="359" t="str">
        <f>IF(Data!Q423="","",Data!Q423)</f>
        <v/>
      </c>
      <c r="F701" s="354" t="s">
        <v>481</v>
      </c>
      <c r="G701" s="353">
        <f>COUNTIF($B$701:$B$900,"Private Sector")</f>
        <v>1</v>
      </c>
      <c r="H701" s="354" t="s">
        <v>485</v>
      </c>
      <c r="I701" s="353">
        <f>COUNTIF($C$701:$C$900,H701)</f>
        <v>1</v>
      </c>
      <c r="J701" s="353" t="s">
        <v>361</v>
      </c>
      <c r="K701" s="353">
        <f>COUNTIF($D$701:$D$900,J701)</f>
        <v>0</v>
      </c>
      <c r="L701" s="354">
        <f>IF(G701=0,"",RANK(G701,$G$701:$G$705)+COUNTIF($G$701:$G701,G701)-1)</f>
        <v>1</v>
      </c>
      <c r="M701" s="353">
        <v>1</v>
      </c>
      <c r="N701" s="354" t="str">
        <f>IFERROR(INDEX($F$701:$F$705,MATCH(M701,$L$701:$L$705,0)),"")</f>
        <v>Private Sector</v>
      </c>
      <c r="O701" s="354">
        <f>IFERROR(INDEX($G$701:$G$705,MATCH(N701,$F$701:$F$705,0)),"")</f>
        <v>1</v>
      </c>
      <c r="P701" s="354">
        <f>IF(I701=0,"",RANK(I701,$I$701:$I$721)+COUNTIF($I$701:$I701,I701)-1)</f>
        <v>1</v>
      </c>
      <c r="Q701" s="353">
        <v>1</v>
      </c>
      <c r="R701" s="354" t="str">
        <f t="shared" ref="R701:R721" si="115">IFERROR(INDEX($H$701:$H$721,MATCH(Q701,$P$701:$P$721,0)),"")</f>
        <v>Private Company</v>
      </c>
      <c r="S701" s="354">
        <f>IFERROR(INDEX($I$701:$I$721,MATCH(R701,$H$701:$H$721,0)),"")</f>
        <v>1</v>
      </c>
      <c r="T701" s="354" t="str">
        <f>IF(K701=0,"",RANK(K701,$K$701:$K$716)+COUNTIF($K$701:$K701,K701)-1)</f>
        <v/>
      </c>
      <c r="U701" s="353">
        <v>1</v>
      </c>
      <c r="V701" s="354" t="str">
        <f t="shared" ref="V701:V716" si="116">IFERROR(INDEX($J$701:$J$716,MATCH(U701,$T$701:$T$716,0)),"")</f>
        <v>Policy Support</v>
      </c>
      <c r="W701" s="354">
        <f>IFERROR(INDEX($K$701:$K$716,MATCH(V701,$J$701:$J$716,0)),"")</f>
        <v>2</v>
      </c>
      <c r="X701" s="353">
        <f>IF(AND(ISNUMBER(O701),ISNUMBER(O702)),O701-O702,"")</f>
        <v>0</v>
      </c>
      <c r="Y701" s="353" t="str">
        <f>IF(X701="","",IF(X701=0,CONCATENATE(N701," ","and"," ",N702),IF(X701&gt;0,N701)))</f>
        <v>Private Sector and Public Sector</v>
      </c>
    </row>
    <row r="702" spans="2:25">
      <c r="B702" s="353" t="str">
        <f>IF(Data!A424="","",Data!A424)</f>
        <v>Public Sector</v>
      </c>
      <c r="C702" s="353" t="str">
        <f>IF(Data!D424="","",Data!D424)</f>
        <v>Others</v>
      </c>
      <c r="D702" s="353" t="str">
        <f>IF(Data!I424="","",Data!I424)</f>
        <v>Learner School Supplies Uniforms</v>
      </c>
      <c r="E702" s="359" t="str">
        <f>IF(Data!Q424="","",Data!Q424)</f>
        <v/>
      </c>
      <c r="F702" s="354" t="s">
        <v>482</v>
      </c>
      <c r="G702" s="353">
        <f>COUNTIF($B$701:$B$900,"Public Sector")</f>
        <v>1</v>
      </c>
      <c r="H702" s="354" t="s">
        <v>830</v>
      </c>
      <c r="I702" s="353">
        <f t="shared" ref="I702:I721" si="117">COUNTIF($C$701:$C$900,H702)</f>
        <v>0</v>
      </c>
      <c r="J702" s="353" t="s">
        <v>745</v>
      </c>
      <c r="K702" s="353">
        <f t="shared" ref="K702:K715" si="118">COUNTIF($D$701:$D$900,J702)</f>
        <v>0</v>
      </c>
      <c r="L702" s="354">
        <f>IF(G702=0,"",RANK(G702,$G$701:$G$705)+COUNTIF($G$701:$G702,G702)-1)</f>
        <v>2</v>
      </c>
      <c r="M702" s="353">
        <v>2</v>
      </c>
      <c r="N702" s="354" t="str">
        <f>IFERROR(INDEX($F$701:$F$705,MATCH(M702,$L$701:$L$705,0)),"")</f>
        <v>Public Sector</v>
      </c>
      <c r="O702" s="354">
        <f>IFERROR(INDEX($G$701:$G$705,MATCH(N702,$F$701:$F$705,0)),"")</f>
        <v>1</v>
      </c>
      <c r="P702" s="354" t="str">
        <f>IF(I702=0,"",RANK(I702,$I$701:$I$721)+COUNTIF($I$701:$I702,I702)-1)</f>
        <v/>
      </c>
      <c r="Q702" s="353">
        <v>2</v>
      </c>
      <c r="R702" s="354" t="str">
        <f t="shared" si="115"/>
        <v>People's Organizations</v>
      </c>
      <c r="S702" s="354">
        <f t="shared" ref="S702:S721" si="119">IFERROR(INDEX($I$701:$I$721,MATCH(R702,$H$701:$H$721,0)),"")</f>
        <v>1</v>
      </c>
      <c r="T702" s="354" t="str">
        <f>IF(K702=0,"",RANK(K702,$K$701:$K$716)+COUNTIF($K$701:$K702,K702)-1)</f>
        <v/>
      </c>
      <c r="U702" s="353">
        <v>2</v>
      </c>
      <c r="V702" s="354" t="str">
        <f t="shared" si="116"/>
        <v>Technical Assistance</v>
      </c>
      <c r="W702" s="354">
        <f t="shared" ref="W702:W716" si="120">IFERROR(INDEX($K$701:$K$716,MATCH(V702,$J$701:$J$716,0)),"")</f>
        <v>2</v>
      </c>
      <c r="X702" s="353">
        <f>IF(AND(ISNUMBER(S701),ISNUMBER(S702)),S701-S702,"")</f>
        <v>0</v>
      </c>
      <c r="Y702" s="353" t="str">
        <f>IF(X702="","",IF(X702=0,CONCATENATE(R701," ","and"," ",R702),IF(X702&gt;0,R701)))</f>
        <v>Private Company and People's Organizations</v>
      </c>
    </row>
    <row r="703" spans="2:25">
      <c r="B703" s="353" t="str">
        <f>IF(Data!A425="","",Data!A425)</f>
        <v>Civil Society Organizations</v>
      </c>
      <c r="C703" s="353" t="str">
        <f>IF(Data!D425="","",Data!D425)</f>
        <v>People's Organizations</v>
      </c>
      <c r="D703" s="353" t="str">
        <f>IF(Data!I425="","",Data!I425)</f>
        <v>Policy Support</v>
      </c>
      <c r="E703" s="359" t="str">
        <f>IF(Data!Q425="","",Data!Q425)</f>
        <v/>
      </c>
      <c r="F703" s="354" t="s">
        <v>483</v>
      </c>
      <c r="G703" s="353">
        <f>COUNTIF($B$701:$B$900,"Civil Society Organizations")</f>
        <v>1</v>
      </c>
      <c r="H703" s="354" t="s">
        <v>486</v>
      </c>
      <c r="I703" s="353">
        <f t="shared" si="117"/>
        <v>0</v>
      </c>
      <c r="J703" s="353" t="s">
        <v>32</v>
      </c>
      <c r="K703" s="353">
        <f t="shared" si="118"/>
        <v>0</v>
      </c>
      <c r="L703" s="354">
        <f>IF(G703=0,"",RANK(G703,$G$701:$G$705)+COUNTIF($G$701:$G703,G703)-1)</f>
        <v>3</v>
      </c>
      <c r="M703" s="353">
        <v>3</v>
      </c>
      <c r="N703" s="354" t="str">
        <f>IFERROR(INDEX($F$701:$F$705,MATCH(M703,$L$701:$L$705,0)),"")</f>
        <v>Civil Society Organizations</v>
      </c>
      <c r="O703" s="354">
        <f>IFERROR(INDEX($G$701:$G$705,MATCH(N703,$F$701:$F$705,0)),"")</f>
        <v>1</v>
      </c>
      <c r="P703" s="354" t="str">
        <f>IF(I703=0,"",RANK(I703,$I$701:$I$721)+COUNTIF($I$701:$I703,I703)-1)</f>
        <v/>
      </c>
      <c r="Q703" s="353">
        <v>3</v>
      </c>
      <c r="R703" s="354" t="str">
        <f t="shared" si="115"/>
        <v>Others</v>
      </c>
      <c r="S703" s="354">
        <f t="shared" si="119"/>
        <v>1</v>
      </c>
      <c r="T703" s="354" t="str">
        <f>IF(K703=0,"",RANK(K703,$K$701:$K$716)+COUNTIF($K$701:$K703,K703)-1)</f>
        <v/>
      </c>
      <c r="U703" s="353">
        <v>3</v>
      </c>
      <c r="V703" s="354" t="str">
        <f t="shared" si="116"/>
        <v>Learner School Supplies Uniforms</v>
      </c>
      <c r="W703" s="354">
        <f t="shared" si="120"/>
        <v>1</v>
      </c>
      <c r="X703" s="353">
        <f>IF(AND(ISNUMBER(W701),ISNUMBER(W702)),W701-W702,"")</f>
        <v>0</v>
      </c>
      <c r="Y703" s="353" t="str">
        <f>IF(X703="","",IF(X703=0,CONCATENATE(V701," ","and"," ",V702),IF(X703&gt;0,V701)))</f>
        <v>Policy Support and Technical Assistance</v>
      </c>
    </row>
    <row r="704" spans="2:25">
      <c r="B704" s="353" t="str">
        <f>IF(Data!A426="","",Data!A426)</f>
        <v>International</v>
      </c>
      <c r="C704" s="353" t="str">
        <f>IF(Data!D426="","",Data!D426)</f>
        <v/>
      </c>
      <c r="D704" s="353" t="str">
        <f>IF(Data!I426="","",Data!I426)</f>
        <v>Policy Support</v>
      </c>
      <c r="E704" s="359" t="str">
        <f>IF(Data!Q426="","",Data!Q426)</f>
        <v/>
      </c>
      <c r="F704" s="354" t="s">
        <v>66</v>
      </c>
      <c r="G704" s="353">
        <f>COUNTIF($B$701:$B$900,"International")</f>
        <v>1</v>
      </c>
      <c r="H704" s="354" t="s">
        <v>832</v>
      </c>
      <c r="I704" s="353">
        <f t="shared" si="117"/>
        <v>0</v>
      </c>
      <c r="J704" s="353" t="s">
        <v>746</v>
      </c>
      <c r="K704" s="353">
        <f t="shared" si="118"/>
        <v>0</v>
      </c>
      <c r="L704" s="354">
        <f>IF(G704=0,"",RANK(G704,$G$701:$G$705)+COUNTIF($G$701:$G704,G704)-1)</f>
        <v>4</v>
      </c>
      <c r="M704" s="353">
        <v>4</v>
      </c>
      <c r="N704" s="354" t="str">
        <f>IFERROR(INDEX($F$701:$F$705,MATCH(M704,$L$701:$L$705,0)),"")</f>
        <v>International</v>
      </c>
      <c r="O704" s="354">
        <f>IFERROR(INDEX($G$701:$G$705,MATCH(N704,$F$701:$F$705,0)),"")</f>
        <v>1</v>
      </c>
      <c r="P704" s="354" t="str">
        <f>IF(I704=0,"",RANK(I704,$I$701:$I$721)+COUNTIF($I$701:$I704,I704)-1)</f>
        <v/>
      </c>
      <c r="Q704" s="353">
        <v>4</v>
      </c>
      <c r="R704" s="354" t="str">
        <f t="shared" si="115"/>
        <v/>
      </c>
      <c r="S704" s="354" t="str">
        <f t="shared" si="119"/>
        <v/>
      </c>
      <c r="T704" s="354" t="str">
        <f>IF(K704=0,"",RANK(K704,$K$701:$K$716)+COUNTIF($K$701:$K704,K704)-1)</f>
        <v/>
      </c>
      <c r="U704" s="353">
        <v>4</v>
      </c>
      <c r="V704" s="354" t="str">
        <f t="shared" si="116"/>
        <v>Learner Wellness Health Nutrition</v>
      </c>
      <c r="W704" s="354">
        <f t="shared" si="120"/>
        <v>1</v>
      </c>
      <c r="Y704" s="359" t="str">
        <f>IF(SUM(E701:E900)&lt;1,"",(SUM(E701:E900)))</f>
        <v/>
      </c>
    </row>
    <row r="705" spans="2:23">
      <c r="B705" s="353" t="str">
        <f>IF(Data!A427="","",Data!A427)</f>
        <v/>
      </c>
      <c r="C705" s="353" t="str">
        <f>IF(Data!D427="","",Data!D427)</f>
        <v/>
      </c>
      <c r="D705" s="353" t="str">
        <f>IF(Data!I427="","",Data!I427)</f>
        <v>Technical Assistance</v>
      </c>
      <c r="E705" s="359" t="str">
        <f>IF(Data!Q427="","",Data!Q427)</f>
        <v/>
      </c>
      <c r="F705" s="354" t="s">
        <v>47</v>
      </c>
      <c r="G705" s="353">
        <f>COUNTIF($B$701:$B$900,"Others")</f>
        <v>0</v>
      </c>
      <c r="H705" s="354" t="s">
        <v>833</v>
      </c>
      <c r="I705" s="353">
        <f t="shared" si="117"/>
        <v>0</v>
      </c>
      <c r="J705" s="353" t="s">
        <v>353</v>
      </c>
      <c r="K705" s="353">
        <f t="shared" si="118"/>
        <v>0</v>
      </c>
      <c r="L705" s="354" t="str">
        <f>IF(G705=0,"",RANK(G705,$G$701:$G$705)+COUNTIF($G$701:$G705,G705)-1)</f>
        <v/>
      </c>
      <c r="M705" s="353">
        <v>5</v>
      </c>
      <c r="N705" s="354" t="str">
        <f>IFERROR(INDEX($F$701:$F$705,MATCH(M705,$L$701:$L$705,0)),"")</f>
        <v/>
      </c>
      <c r="O705" s="354" t="str">
        <f>IFERROR(INDEX($G$701:$G$705,MATCH(N705,$F$701:$F$705,0)),"")</f>
        <v/>
      </c>
      <c r="P705" s="354" t="str">
        <f>IF(I705=0,"",RANK(I705,$I$701:$I$721)+COUNTIF($I$701:$I705,I705)-1)</f>
        <v/>
      </c>
      <c r="Q705" s="353">
        <v>5</v>
      </c>
      <c r="R705" s="354" t="str">
        <f t="shared" si="115"/>
        <v/>
      </c>
      <c r="S705" s="354" t="str">
        <f t="shared" si="119"/>
        <v/>
      </c>
      <c r="T705" s="354" t="str">
        <f>IF(K705=0,"",RANK(K705,$K$701:$K$716)+COUNTIF($K$701:$K705,K705)-1)</f>
        <v/>
      </c>
      <c r="U705" s="353">
        <v>5</v>
      </c>
      <c r="V705" s="354" t="str">
        <f t="shared" si="116"/>
        <v>Technology</v>
      </c>
      <c r="W705" s="354">
        <f t="shared" si="120"/>
        <v>1</v>
      </c>
    </row>
    <row r="706" spans="2:23">
      <c r="B706" s="353" t="str">
        <f>IF(Data!A428="","",Data!A428)</f>
        <v/>
      </c>
      <c r="C706" s="353" t="str">
        <f>IF(Data!D428="","",Data!D428)</f>
        <v/>
      </c>
      <c r="D706" s="353" t="str">
        <f>IF(Data!I428="","",Data!I428)</f>
        <v>Technology</v>
      </c>
      <c r="E706" s="359" t="str">
        <f>IF(Data!Q428="","",Data!Q428)</f>
        <v/>
      </c>
      <c r="H706" s="354" t="s">
        <v>834</v>
      </c>
      <c r="I706" s="353">
        <f t="shared" si="117"/>
        <v>0</v>
      </c>
      <c r="J706" s="353" t="s">
        <v>352</v>
      </c>
      <c r="K706" s="353">
        <f t="shared" si="118"/>
        <v>0</v>
      </c>
      <c r="L706" s="354"/>
      <c r="P706" s="354" t="str">
        <f>IF(I706=0,"",RANK(I706,$I$701:$I$721)+COUNTIF($I$701:$I706,I706)-1)</f>
        <v/>
      </c>
      <c r="Q706" s="353">
        <v>6</v>
      </c>
      <c r="R706" s="354" t="str">
        <f t="shared" si="115"/>
        <v/>
      </c>
      <c r="S706" s="354" t="str">
        <f t="shared" si="119"/>
        <v/>
      </c>
      <c r="T706" s="354" t="str">
        <f>IF(K706=0,"",RANK(K706,$K$701:$K$716)+COUNTIF($K$701:$K706,K706)-1)</f>
        <v/>
      </c>
      <c r="U706" s="353">
        <v>6</v>
      </c>
      <c r="V706" s="354" t="str">
        <f t="shared" si="116"/>
        <v>Use of Facilities</v>
      </c>
      <c r="W706" s="354">
        <f t="shared" si="120"/>
        <v>1</v>
      </c>
    </row>
    <row r="707" spans="2:23">
      <c r="B707" s="353" t="str">
        <f>IF(Data!A429="","",Data!A429)</f>
        <v/>
      </c>
      <c r="C707" s="353" t="str">
        <f>IF(Data!D429="","",Data!D429)</f>
        <v/>
      </c>
      <c r="D707" s="353" t="str">
        <f>IF(Data!I429="","",Data!I429)</f>
        <v>Use of Facilities</v>
      </c>
      <c r="E707" s="359" t="str">
        <f>IF(Data!Q429="","",Data!Q429)</f>
        <v/>
      </c>
      <c r="H707" s="354" t="s">
        <v>835</v>
      </c>
      <c r="I707" s="353">
        <f t="shared" si="117"/>
        <v>0</v>
      </c>
      <c r="J707" s="353" t="s">
        <v>747</v>
      </c>
      <c r="K707" s="353">
        <f t="shared" si="118"/>
        <v>1</v>
      </c>
      <c r="L707" s="354"/>
      <c r="P707" s="354" t="str">
        <f>IF(I707=0,"",RANK(I707,$I$701:$I$721)+COUNTIF($I$701:$I707,I707)-1)</f>
        <v/>
      </c>
      <c r="Q707" s="353">
        <v>7</v>
      </c>
      <c r="R707" s="354" t="str">
        <f t="shared" si="115"/>
        <v/>
      </c>
      <c r="S707" s="354" t="str">
        <f t="shared" si="119"/>
        <v/>
      </c>
      <c r="T707" s="354">
        <f>IF(K707=0,"",RANK(K707,$K$701:$K$716)+COUNTIF($K$701:$K707,K707)-1)</f>
        <v>3</v>
      </c>
      <c r="U707" s="353">
        <v>7</v>
      </c>
      <c r="V707" s="354" t="str">
        <f t="shared" si="116"/>
        <v>Volunteer Hours</v>
      </c>
      <c r="W707" s="354">
        <f t="shared" si="120"/>
        <v>1</v>
      </c>
    </row>
    <row r="708" spans="2:23">
      <c r="B708" s="353" t="str">
        <f>IF(Data!A430="","",Data!A430)</f>
        <v/>
      </c>
      <c r="C708" s="353" t="str">
        <f>IF(Data!D430="","",Data!D430)</f>
        <v/>
      </c>
      <c r="D708" s="353" t="str">
        <f>IF(Data!I430="","",Data!I430)</f>
        <v>Technical Assistance</v>
      </c>
      <c r="E708" s="359" t="str">
        <f>IF(Data!Q430="","",Data!Q430)</f>
        <v/>
      </c>
      <c r="H708" s="354" t="s">
        <v>836</v>
      </c>
      <c r="I708" s="353">
        <f t="shared" si="117"/>
        <v>0</v>
      </c>
      <c r="J708" s="353" t="s">
        <v>748</v>
      </c>
      <c r="K708" s="353">
        <f t="shared" si="118"/>
        <v>1</v>
      </c>
      <c r="P708" s="354" t="str">
        <f>IF(I708=0,"",RANK(I708,$I$701:$I$721)+COUNTIF($I$701:$I708,I708)-1)</f>
        <v/>
      </c>
      <c r="Q708" s="353">
        <v>8</v>
      </c>
      <c r="R708" s="354" t="str">
        <f t="shared" si="115"/>
        <v/>
      </c>
      <c r="S708" s="354" t="str">
        <f t="shared" si="119"/>
        <v/>
      </c>
      <c r="T708" s="354">
        <f>IF(K708=0,"",RANK(K708,$K$701:$K$716)+COUNTIF($K$701:$K708,K708)-1)</f>
        <v>4</v>
      </c>
      <c r="U708" s="353">
        <v>8</v>
      </c>
      <c r="V708" s="354" t="str">
        <f t="shared" si="116"/>
        <v>Work Immersion</v>
      </c>
      <c r="W708" s="354">
        <f t="shared" si="120"/>
        <v>1</v>
      </c>
    </row>
    <row r="709" spans="2:23">
      <c r="B709" s="353" t="str">
        <f>IF(Data!A431="","",Data!A431)</f>
        <v/>
      </c>
      <c r="C709" s="353" t="str">
        <f>IF(Data!D431="","",Data!D431)</f>
        <v/>
      </c>
      <c r="D709" s="353" t="str">
        <f>IF(Data!I431="","",Data!I431)</f>
        <v>Volunteer Hours</v>
      </c>
      <c r="E709" s="359" t="str">
        <f>IF(Data!Q431="","",Data!Q431)</f>
        <v/>
      </c>
      <c r="H709" s="354" t="s">
        <v>837</v>
      </c>
      <c r="I709" s="353">
        <f t="shared" si="117"/>
        <v>0</v>
      </c>
      <c r="J709" s="353" t="s">
        <v>362</v>
      </c>
      <c r="K709" s="353">
        <f t="shared" si="118"/>
        <v>2</v>
      </c>
      <c r="P709" s="354" t="str">
        <f>IF(I709=0,"",RANK(I709,$I$701:$I$721)+COUNTIF($I$701:$I709,I709)-1)</f>
        <v/>
      </c>
      <c r="Q709" s="353">
        <v>9</v>
      </c>
      <c r="R709" s="354" t="str">
        <f t="shared" si="115"/>
        <v/>
      </c>
      <c r="S709" s="354" t="str">
        <f t="shared" si="119"/>
        <v/>
      </c>
      <c r="T709" s="354">
        <f>IF(K709=0,"",RANK(K709,$K$701:$K$716)+COUNTIF($K$701:$K709,K709)-1)</f>
        <v>1</v>
      </c>
      <c r="U709" s="353">
        <v>9</v>
      </c>
      <c r="V709" s="354" t="str">
        <f t="shared" si="116"/>
        <v/>
      </c>
      <c r="W709" s="354" t="str">
        <f t="shared" si="120"/>
        <v/>
      </c>
    </row>
    <row r="710" spans="2:23">
      <c r="B710" s="353" t="str">
        <f>IF(Data!A432="","",Data!A432)</f>
        <v/>
      </c>
      <c r="C710" s="353" t="str">
        <f>IF(Data!D432="","",Data!D432)</f>
        <v/>
      </c>
      <c r="D710" s="353" t="str">
        <f>IF(Data!I432="","",Data!I432)</f>
        <v>Work Immersion</v>
      </c>
      <c r="E710" s="359" t="str">
        <f>IF(Data!Q432="","",Data!Q432)</f>
        <v/>
      </c>
      <c r="H710" s="354" t="s">
        <v>838</v>
      </c>
      <c r="I710" s="353">
        <f t="shared" si="117"/>
        <v>0</v>
      </c>
      <c r="J710" s="353" t="s">
        <v>749</v>
      </c>
      <c r="K710" s="353">
        <f t="shared" si="118"/>
        <v>0</v>
      </c>
      <c r="P710" s="354" t="str">
        <f>IF(I710=0,"",RANK(I710,$I$701:$I$721)+COUNTIF($I$701:$I710,I710)-1)</f>
        <v/>
      </c>
      <c r="Q710" s="353">
        <v>10</v>
      </c>
      <c r="R710" s="354" t="str">
        <f t="shared" si="115"/>
        <v/>
      </c>
      <c r="S710" s="354" t="str">
        <f t="shared" si="119"/>
        <v/>
      </c>
      <c r="T710" s="354" t="str">
        <f>IF(K710=0,"",RANK(K710,$K$701:$K$716)+COUNTIF($K$701:$K710,K710)-1)</f>
        <v/>
      </c>
      <c r="U710" s="353">
        <v>10</v>
      </c>
      <c r="V710" s="354" t="str">
        <f t="shared" si="116"/>
        <v/>
      </c>
      <c r="W710" s="354" t="str">
        <f t="shared" si="120"/>
        <v/>
      </c>
    </row>
    <row r="711" spans="2:23">
      <c r="B711" s="353" t="str">
        <f>IF(Data!A433="","",Data!A433)</f>
        <v/>
      </c>
      <c r="C711" s="353" t="str">
        <f>IF(Data!D433="","",Data!D433)</f>
        <v/>
      </c>
      <c r="D711" s="353" t="str">
        <f>IF(Data!I433="","",Data!I433)</f>
        <v/>
      </c>
      <c r="E711" s="359" t="str">
        <f>IF(Data!Q433="","",Data!Q433)</f>
        <v/>
      </c>
      <c r="H711" s="354" t="s">
        <v>839</v>
      </c>
      <c r="I711" s="353">
        <f t="shared" si="117"/>
        <v>0</v>
      </c>
      <c r="J711" s="353" t="s">
        <v>750</v>
      </c>
      <c r="K711" s="353">
        <f t="shared" si="118"/>
        <v>2</v>
      </c>
      <c r="P711" s="354" t="str">
        <f>IF(I711=0,"",RANK(I711,$I$701:$I$721)+COUNTIF($I$701:$I711,I711)-1)</f>
        <v/>
      </c>
      <c r="Q711" s="353">
        <v>11</v>
      </c>
      <c r="R711" s="354" t="str">
        <f t="shared" si="115"/>
        <v/>
      </c>
      <c r="S711" s="354" t="str">
        <f t="shared" si="119"/>
        <v/>
      </c>
      <c r="T711" s="354">
        <f>IF(K711=0,"",RANK(K711,$K$701:$K$716)+COUNTIF($K$701:$K711,K711)-1)</f>
        <v>2</v>
      </c>
      <c r="U711" s="353">
        <v>11</v>
      </c>
      <c r="V711" s="354" t="str">
        <f t="shared" si="116"/>
        <v/>
      </c>
      <c r="W711" s="354" t="str">
        <f t="shared" si="120"/>
        <v/>
      </c>
    </row>
    <row r="712" spans="2:23">
      <c r="B712" s="353" t="str">
        <f>IF(Data!A434="","",Data!A434)</f>
        <v/>
      </c>
      <c r="C712" s="353" t="str">
        <f>IF(Data!D434="","",Data!D434)</f>
        <v/>
      </c>
      <c r="D712" s="353" t="str">
        <f>IF(Data!I434="","",Data!I434)</f>
        <v/>
      </c>
      <c r="E712" s="359" t="str">
        <f>IF(Data!Q434="","",Data!Q434)</f>
        <v/>
      </c>
      <c r="H712" s="354" t="s">
        <v>840</v>
      </c>
      <c r="I712" s="353">
        <f t="shared" si="117"/>
        <v>0</v>
      </c>
      <c r="J712" s="353" t="s">
        <v>354</v>
      </c>
      <c r="K712" s="353">
        <f t="shared" si="118"/>
        <v>1</v>
      </c>
      <c r="P712" s="354" t="str">
        <f>IF(I712=0,"",RANK(I712,$I$701:$I$721)+COUNTIF($I$701:$I712,I712)-1)</f>
        <v/>
      </c>
      <c r="Q712" s="353">
        <v>12</v>
      </c>
      <c r="R712" s="354" t="str">
        <f t="shared" si="115"/>
        <v/>
      </c>
      <c r="S712" s="354" t="str">
        <f t="shared" si="119"/>
        <v/>
      </c>
      <c r="T712" s="354">
        <f>IF(K712=0,"",RANK(K712,$K$701:$K$716)+COUNTIF($K$701:$K712,K712)-1)</f>
        <v>5</v>
      </c>
      <c r="U712" s="353">
        <v>12</v>
      </c>
      <c r="V712" s="354" t="str">
        <f t="shared" si="116"/>
        <v/>
      </c>
      <c r="W712" s="354" t="str">
        <f t="shared" si="120"/>
        <v/>
      </c>
    </row>
    <row r="713" spans="2:23">
      <c r="B713" s="353" t="str">
        <f>IF(Data!A435="","",Data!A435)</f>
        <v/>
      </c>
      <c r="C713" s="353" t="str">
        <f>IF(Data!D435="","",Data!D435)</f>
        <v/>
      </c>
      <c r="D713" s="353" t="str">
        <f>IF(Data!I435="","",Data!I435)</f>
        <v/>
      </c>
      <c r="E713" s="359" t="str">
        <f>IF(Data!Q435="","",Data!Q435)</f>
        <v/>
      </c>
      <c r="H713" s="354" t="s">
        <v>841</v>
      </c>
      <c r="I713" s="353">
        <f t="shared" si="117"/>
        <v>0</v>
      </c>
      <c r="J713" s="353" t="s">
        <v>360</v>
      </c>
      <c r="K713" s="353">
        <f t="shared" si="118"/>
        <v>1</v>
      </c>
      <c r="P713" s="354" t="str">
        <f>IF(I713=0,"",RANK(I713,$I$701:$I$721)+COUNTIF($I$701:$I713,I713)-1)</f>
        <v/>
      </c>
      <c r="Q713" s="353">
        <v>13</v>
      </c>
      <c r="R713" s="354" t="str">
        <f t="shared" si="115"/>
        <v/>
      </c>
      <c r="S713" s="354" t="str">
        <f t="shared" si="119"/>
        <v/>
      </c>
      <c r="T713" s="354">
        <f>IF(K713=0,"",RANK(K713,$K$701:$K$716)+COUNTIF($K$701:$K713,K713)-1)</f>
        <v>6</v>
      </c>
      <c r="U713" s="353">
        <v>13</v>
      </c>
      <c r="V713" s="354" t="str">
        <f t="shared" si="116"/>
        <v/>
      </c>
      <c r="W713" s="354" t="str">
        <f t="shared" si="120"/>
        <v/>
      </c>
    </row>
    <row r="714" spans="2:23">
      <c r="B714" s="353" t="str">
        <f>IF(Data!A436="","",Data!A436)</f>
        <v/>
      </c>
      <c r="C714" s="353" t="str">
        <f>IF(Data!D436="","",Data!D436)</f>
        <v/>
      </c>
      <c r="D714" s="353" t="str">
        <f>IF(Data!I436="","",Data!I436)</f>
        <v/>
      </c>
      <c r="E714" s="359" t="str">
        <f>IF(Data!Q436="","",Data!Q436)</f>
        <v/>
      </c>
      <c r="H714" s="354" t="s">
        <v>842</v>
      </c>
      <c r="I714" s="353">
        <f t="shared" si="117"/>
        <v>1</v>
      </c>
      <c r="J714" s="353" t="s">
        <v>751</v>
      </c>
      <c r="K714" s="353">
        <f t="shared" si="118"/>
        <v>1</v>
      </c>
      <c r="P714" s="354">
        <f>IF(I714=0,"",RANK(I714,$I$701:$I$721)+COUNTIF($I$701:$I714,I714)-1)</f>
        <v>2</v>
      </c>
      <c r="Q714" s="353">
        <v>14</v>
      </c>
      <c r="R714" s="354" t="str">
        <f t="shared" si="115"/>
        <v/>
      </c>
      <c r="S714" s="354" t="str">
        <f t="shared" si="119"/>
        <v/>
      </c>
      <c r="T714" s="354">
        <f>IF(K714=0,"",RANK(K714,$K$701:$K$716)+COUNTIF($K$701:$K714,K714)-1)</f>
        <v>7</v>
      </c>
      <c r="U714" s="353">
        <v>14</v>
      </c>
      <c r="V714" s="354" t="str">
        <f t="shared" si="116"/>
        <v/>
      </c>
      <c r="W714" s="354" t="str">
        <f t="shared" si="120"/>
        <v/>
      </c>
    </row>
    <row r="715" spans="2:23">
      <c r="B715" s="353" t="str">
        <f>IF(Data!A437="","",Data!A437)</f>
        <v/>
      </c>
      <c r="C715" s="353" t="str">
        <f>IF(Data!D437="","",Data!D437)</f>
        <v/>
      </c>
      <c r="D715" s="353" t="str">
        <f>IF(Data!I437="","",Data!I437)</f>
        <v/>
      </c>
      <c r="E715" s="359" t="str">
        <f>IF(Data!Q437="","",Data!Q437)</f>
        <v/>
      </c>
      <c r="H715" s="354" t="s">
        <v>843</v>
      </c>
      <c r="I715" s="353">
        <f t="shared" si="117"/>
        <v>0</v>
      </c>
      <c r="J715" s="353" t="s">
        <v>752</v>
      </c>
      <c r="K715" s="353">
        <f t="shared" si="118"/>
        <v>1</v>
      </c>
      <c r="P715" s="354" t="str">
        <f>IF(I715=0,"",RANK(I715,$I$701:$I$721)+COUNTIF($I$701:$I715,I715)-1)</f>
        <v/>
      </c>
      <c r="Q715" s="353">
        <v>15</v>
      </c>
      <c r="R715" s="354" t="str">
        <f t="shared" si="115"/>
        <v/>
      </c>
      <c r="S715" s="354" t="str">
        <f t="shared" si="119"/>
        <v/>
      </c>
      <c r="T715" s="354">
        <f>IF(K715=0,"",RANK(K715,$K$701:$K$716)+COUNTIF($K$701:$K715,K715)-1)</f>
        <v>8</v>
      </c>
      <c r="U715" s="353">
        <v>15</v>
      </c>
      <c r="V715" s="354" t="str">
        <f t="shared" si="116"/>
        <v/>
      </c>
      <c r="W715" s="354" t="str">
        <f t="shared" si="120"/>
        <v/>
      </c>
    </row>
    <row r="716" spans="2:23">
      <c r="B716" s="353" t="str">
        <f>IF(Data!A438="","",Data!A438)</f>
        <v/>
      </c>
      <c r="C716" s="353" t="str">
        <f>IF(Data!D438="","",Data!D438)</f>
        <v/>
      </c>
      <c r="D716" s="353" t="str">
        <f>IF(Data!I438="","",Data!I438)</f>
        <v/>
      </c>
      <c r="E716" s="359" t="str">
        <f>IF(Data!Q438="","",Data!Q438)</f>
        <v/>
      </c>
      <c r="H716" s="354" t="s">
        <v>844</v>
      </c>
      <c r="I716" s="353">
        <f t="shared" si="117"/>
        <v>0</v>
      </c>
      <c r="J716" s="353" t="s">
        <v>47</v>
      </c>
      <c r="K716" s="353">
        <f>COUNTIF($D$701:$D$900,J716)</f>
        <v>0</v>
      </c>
      <c r="P716" s="354" t="str">
        <f>IF(I716=0,"",RANK(I716,$I$701:$I$721)+COUNTIF($I$701:$I716,I716)-1)</f>
        <v/>
      </c>
      <c r="Q716" s="353">
        <v>16</v>
      </c>
      <c r="R716" s="354" t="str">
        <f t="shared" si="115"/>
        <v/>
      </c>
      <c r="S716" s="354" t="str">
        <f t="shared" si="119"/>
        <v/>
      </c>
      <c r="T716" s="354" t="str">
        <f>IF(K716=0,"",RANK(K716,$K$701:$K$716)+COUNTIF($K$701:$K716,K716)-1)</f>
        <v/>
      </c>
      <c r="U716" s="353">
        <v>16</v>
      </c>
      <c r="V716" s="354" t="str">
        <f t="shared" si="116"/>
        <v/>
      </c>
      <c r="W716" s="354" t="str">
        <f t="shared" si="120"/>
        <v/>
      </c>
    </row>
    <row r="717" spans="2:23">
      <c r="B717" s="353" t="str">
        <f>IF(Data!A439="","",Data!A439)</f>
        <v/>
      </c>
      <c r="C717" s="353" t="str">
        <f>IF(Data!D439="","",Data!D439)</f>
        <v/>
      </c>
      <c r="D717" s="353" t="str">
        <f>IF(Data!I439="","",Data!I439)</f>
        <v/>
      </c>
      <c r="E717" s="359" t="str">
        <f>IF(Data!Q439="","",Data!Q439)</f>
        <v/>
      </c>
      <c r="H717" s="354" t="s">
        <v>845</v>
      </c>
      <c r="I717" s="353">
        <f t="shared" si="117"/>
        <v>0</v>
      </c>
      <c r="P717" s="354" t="str">
        <f>IF(I717=0,"",RANK(I717,$I$701:$I$721)+COUNTIF($I$701:$I717,I717)-1)</f>
        <v/>
      </c>
      <c r="Q717" s="353">
        <v>17</v>
      </c>
      <c r="R717" s="354" t="str">
        <f t="shared" si="115"/>
        <v/>
      </c>
      <c r="S717" s="354" t="str">
        <f t="shared" si="119"/>
        <v/>
      </c>
    </row>
    <row r="718" spans="2:23">
      <c r="B718" s="353" t="str">
        <f>IF(Data!A440="","",Data!A440)</f>
        <v/>
      </c>
      <c r="C718" s="353" t="str">
        <f>IF(Data!D440="","",Data!D440)</f>
        <v/>
      </c>
      <c r="D718" s="353" t="str">
        <f>IF(Data!I440="","",Data!I440)</f>
        <v/>
      </c>
      <c r="E718" s="359" t="str">
        <f>IF(Data!Q440="","",Data!Q440)</f>
        <v/>
      </c>
      <c r="H718" s="354" t="s">
        <v>846</v>
      </c>
      <c r="I718" s="353">
        <f t="shared" si="117"/>
        <v>0</v>
      </c>
      <c r="P718" s="354" t="str">
        <f>IF(I718=0,"",RANK(I718,$I$701:$I$721)+COUNTIF($I$701:$I718,I718)-1)</f>
        <v/>
      </c>
      <c r="Q718" s="353">
        <v>18</v>
      </c>
      <c r="R718" s="354" t="str">
        <f t="shared" si="115"/>
        <v/>
      </c>
      <c r="S718" s="354" t="str">
        <f t="shared" si="119"/>
        <v/>
      </c>
    </row>
    <row r="719" spans="2:23">
      <c r="B719" s="353" t="str">
        <f>IF(Data!A441="","",Data!A441)</f>
        <v/>
      </c>
      <c r="C719" s="353" t="str">
        <f>IF(Data!D441="","",Data!D441)</f>
        <v/>
      </c>
      <c r="D719" s="353" t="str">
        <f>IF(Data!I441="","",Data!I441)</f>
        <v/>
      </c>
      <c r="E719" s="359" t="str">
        <f>IF(Data!Q441="","",Data!Q441)</f>
        <v/>
      </c>
      <c r="H719" s="354" t="s">
        <v>847</v>
      </c>
      <c r="I719" s="353">
        <f t="shared" si="117"/>
        <v>0</v>
      </c>
      <c r="P719" s="354" t="str">
        <f>IF(I719=0,"",RANK(I719,$I$701:$I$721)+COUNTIF($I$701:$I719,I719)-1)</f>
        <v/>
      </c>
      <c r="Q719" s="353">
        <v>19</v>
      </c>
      <c r="R719" s="354" t="str">
        <f t="shared" si="115"/>
        <v/>
      </c>
      <c r="S719" s="354" t="str">
        <f t="shared" si="119"/>
        <v/>
      </c>
    </row>
    <row r="720" spans="2:23">
      <c r="B720" s="353" t="str">
        <f>IF(Data!A442="","",Data!A442)</f>
        <v/>
      </c>
      <c r="C720" s="353" t="str">
        <f>IF(Data!D442="","",Data!D442)</f>
        <v/>
      </c>
      <c r="D720" s="353" t="str">
        <f>IF(Data!I442="","",Data!I442)</f>
        <v/>
      </c>
      <c r="E720" s="359" t="str">
        <f>IF(Data!Q442="","",Data!Q442)</f>
        <v/>
      </c>
      <c r="H720" s="354" t="s">
        <v>848</v>
      </c>
      <c r="I720" s="353">
        <f t="shared" si="117"/>
        <v>0</v>
      </c>
      <c r="P720" s="354" t="str">
        <f>IF(I720=0,"",RANK(I720,$I$701:$I$721)+COUNTIF($I$701:$I720,I720)-1)</f>
        <v/>
      </c>
      <c r="Q720" s="353">
        <v>20</v>
      </c>
      <c r="R720" s="354" t="str">
        <f t="shared" si="115"/>
        <v/>
      </c>
      <c r="S720" s="354" t="str">
        <f t="shared" si="119"/>
        <v/>
      </c>
    </row>
    <row r="721" spans="2:19">
      <c r="B721" s="353" t="str">
        <f>IF(Data!A443="","",Data!A443)</f>
        <v/>
      </c>
      <c r="C721" s="353" t="str">
        <f>IF(Data!D443="","",Data!D443)</f>
        <v/>
      </c>
      <c r="D721" s="353" t="str">
        <f>IF(Data!I443="","",Data!I443)</f>
        <v/>
      </c>
      <c r="E721" s="359" t="str">
        <f>IF(Data!Q443="","",Data!Q443)</f>
        <v/>
      </c>
      <c r="H721" s="353" t="s">
        <v>47</v>
      </c>
      <c r="I721" s="353">
        <f t="shared" si="117"/>
        <v>1</v>
      </c>
      <c r="P721" s="354">
        <f>IF(I721=0,"",RANK(I721,$I$701:$I$721)+COUNTIF($I$701:$I721,I721)-1)</f>
        <v>3</v>
      </c>
      <c r="Q721" s="353">
        <v>21</v>
      </c>
      <c r="R721" s="354" t="str">
        <f t="shared" si="115"/>
        <v/>
      </c>
      <c r="S721" s="354" t="str">
        <f t="shared" si="119"/>
        <v/>
      </c>
    </row>
    <row r="722" spans="2:19">
      <c r="B722" s="353" t="str">
        <f>IF(Data!A444="","",Data!A444)</f>
        <v/>
      </c>
      <c r="C722" s="353" t="str">
        <f>IF(Data!D444="","",Data!D444)</f>
        <v/>
      </c>
      <c r="D722" s="353" t="str">
        <f>IF(Data!I444="","",Data!I444)</f>
        <v/>
      </c>
      <c r="E722" s="359" t="str">
        <f>IF(Data!Q444="","",Data!Q444)</f>
        <v/>
      </c>
    </row>
    <row r="723" spans="2:19">
      <c r="B723" s="353" t="str">
        <f>IF(Data!A445="","",Data!A445)</f>
        <v/>
      </c>
      <c r="C723" s="353" t="str">
        <f>IF(Data!D445="","",Data!D445)</f>
        <v/>
      </c>
      <c r="D723" s="353" t="str">
        <f>IF(Data!I445="","",Data!I445)</f>
        <v/>
      </c>
      <c r="E723" s="359" t="str">
        <f>IF(Data!Q445="","",Data!Q445)</f>
        <v/>
      </c>
    </row>
    <row r="724" spans="2:19">
      <c r="B724" s="353" t="str">
        <f>IF(Data!A446="","",Data!A446)</f>
        <v/>
      </c>
      <c r="C724" s="353" t="str">
        <f>IF(Data!D446="","",Data!D446)</f>
        <v/>
      </c>
      <c r="D724" s="353" t="str">
        <f>IF(Data!I446="","",Data!I446)</f>
        <v/>
      </c>
      <c r="E724" s="359" t="str">
        <f>IF(Data!Q446="","",Data!Q446)</f>
        <v/>
      </c>
    </row>
    <row r="725" spans="2:19">
      <c r="B725" s="353" t="str">
        <f>IF(Data!A447="","",Data!A447)</f>
        <v/>
      </c>
      <c r="C725" s="353" t="str">
        <f>IF(Data!D447="","",Data!D447)</f>
        <v/>
      </c>
      <c r="D725" s="353" t="str">
        <f>IF(Data!I447="","",Data!I447)</f>
        <v/>
      </c>
      <c r="E725" s="359" t="str">
        <f>IF(Data!Q447="","",Data!Q447)</f>
        <v/>
      </c>
    </row>
    <row r="726" spans="2:19">
      <c r="B726" s="353" t="str">
        <f>IF(Data!A448="","",Data!A448)</f>
        <v/>
      </c>
      <c r="C726" s="353" t="str">
        <f>IF(Data!D448="","",Data!D448)</f>
        <v/>
      </c>
      <c r="D726" s="353" t="str">
        <f>IF(Data!I448="","",Data!I448)</f>
        <v/>
      </c>
      <c r="E726" s="359" t="str">
        <f>IF(Data!Q448="","",Data!Q448)</f>
        <v/>
      </c>
    </row>
    <row r="727" spans="2:19">
      <c r="B727" s="353" t="str">
        <f>IF(Data!A449="","",Data!A449)</f>
        <v/>
      </c>
      <c r="C727" s="353" t="str">
        <f>IF(Data!D449="","",Data!D449)</f>
        <v/>
      </c>
      <c r="D727" s="353" t="str">
        <f>IF(Data!I449="","",Data!I449)</f>
        <v/>
      </c>
      <c r="E727" s="359" t="str">
        <f>IF(Data!Q449="","",Data!Q449)</f>
        <v/>
      </c>
    </row>
    <row r="728" spans="2:19">
      <c r="B728" s="353" t="str">
        <f>IF(Data!A450="","",Data!A450)</f>
        <v/>
      </c>
      <c r="C728" s="353" t="str">
        <f>IF(Data!D450="","",Data!D450)</f>
        <v/>
      </c>
      <c r="D728" s="353" t="str">
        <f>IF(Data!I450="","",Data!I450)</f>
        <v/>
      </c>
      <c r="E728" s="359" t="str">
        <f>IF(Data!Q450="","",Data!Q450)</f>
        <v/>
      </c>
    </row>
    <row r="729" spans="2:19">
      <c r="B729" s="353" t="str">
        <f>IF(Data!A451="","",Data!A451)</f>
        <v/>
      </c>
      <c r="C729" s="353" t="str">
        <f>IF(Data!D451="","",Data!D451)</f>
        <v/>
      </c>
      <c r="D729" s="353" t="str">
        <f>IF(Data!I451="","",Data!I451)</f>
        <v/>
      </c>
      <c r="E729" s="359" t="str">
        <f>IF(Data!Q451="","",Data!Q451)</f>
        <v/>
      </c>
    </row>
    <row r="730" spans="2:19">
      <c r="B730" s="353" t="str">
        <f>IF(Data!A452="","",Data!A452)</f>
        <v/>
      </c>
      <c r="C730" s="353" t="str">
        <f>IF(Data!D452="","",Data!D452)</f>
        <v/>
      </c>
      <c r="D730" s="353" t="str">
        <f>IF(Data!I452="","",Data!I452)</f>
        <v/>
      </c>
      <c r="E730" s="359" t="str">
        <f>IF(Data!Q452="","",Data!Q452)</f>
        <v/>
      </c>
    </row>
    <row r="731" spans="2:19">
      <c r="B731" s="353" t="str">
        <f>IF(Data!A453="","",Data!A453)</f>
        <v/>
      </c>
      <c r="C731" s="353" t="str">
        <f>IF(Data!D453="","",Data!D453)</f>
        <v/>
      </c>
      <c r="D731" s="353" t="str">
        <f>IF(Data!I453="","",Data!I453)</f>
        <v/>
      </c>
      <c r="E731" s="359" t="str">
        <f>IF(Data!Q453="","",Data!Q453)</f>
        <v/>
      </c>
    </row>
    <row r="732" spans="2:19">
      <c r="B732" s="353" t="str">
        <f>IF(Data!A454="","",Data!A454)</f>
        <v/>
      </c>
      <c r="C732" s="353" t="str">
        <f>IF(Data!D454="","",Data!D454)</f>
        <v/>
      </c>
      <c r="D732" s="353" t="str">
        <f>IF(Data!I454="","",Data!I454)</f>
        <v/>
      </c>
      <c r="E732" s="359" t="str">
        <f>IF(Data!Q454="","",Data!Q454)</f>
        <v/>
      </c>
    </row>
    <row r="733" spans="2:19">
      <c r="B733" s="353" t="str">
        <f>IF(Data!A455="","",Data!A455)</f>
        <v/>
      </c>
      <c r="C733" s="353" t="str">
        <f>IF(Data!D455="","",Data!D455)</f>
        <v/>
      </c>
      <c r="D733" s="353" t="str">
        <f>IF(Data!I455="","",Data!I455)</f>
        <v/>
      </c>
      <c r="E733" s="359" t="str">
        <f>IF(Data!Q455="","",Data!Q455)</f>
        <v/>
      </c>
    </row>
    <row r="734" spans="2:19">
      <c r="B734" s="353" t="str">
        <f>IF(Data!A456="","",Data!A456)</f>
        <v/>
      </c>
      <c r="C734" s="353" t="str">
        <f>IF(Data!D456="","",Data!D456)</f>
        <v/>
      </c>
      <c r="D734" s="353" t="str">
        <f>IF(Data!I456="","",Data!I456)</f>
        <v/>
      </c>
      <c r="E734" s="359" t="str">
        <f>IF(Data!Q456="","",Data!Q456)</f>
        <v/>
      </c>
    </row>
    <row r="735" spans="2:19">
      <c r="B735" s="353" t="str">
        <f>IF(Data!A457="","",Data!A457)</f>
        <v/>
      </c>
      <c r="C735" s="353" t="str">
        <f>IF(Data!D457="","",Data!D457)</f>
        <v/>
      </c>
      <c r="D735" s="353" t="str">
        <f>IF(Data!I457="","",Data!I457)</f>
        <v/>
      </c>
      <c r="E735" s="359" t="str">
        <f>IF(Data!Q457="","",Data!Q457)</f>
        <v/>
      </c>
    </row>
    <row r="736" spans="2:19">
      <c r="B736" s="353" t="str">
        <f>IF(Data!A458="","",Data!A458)</f>
        <v/>
      </c>
      <c r="C736" s="353" t="str">
        <f>IF(Data!D458="","",Data!D458)</f>
        <v/>
      </c>
      <c r="D736" s="353" t="str">
        <f>IF(Data!I458="","",Data!I458)</f>
        <v/>
      </c>
      <c r="E736" s="359" t="str">
        <f>IF(Data!Q458="","",Data!Q458)</f>
        <v/>
      </c>
    </row>
    <row r="737" spans="2:5">
      <c r="B737" s="353" t="str">
        <f>IF(Data!A459="","",Data!A459)</f>
        <v/>
      </c>
      <c r="C737" s="353" t="str">
        <f>IF(Data!D459="","",Data!D459)</f>
        <v/>
      </c>
      <c r="D737" s="353" t="str">
        <f>IF(Data!I459="","",Data!I459)</f>
        <v/>
      </c>
      <c r="E737" s="359" t="str">
        <f>IF(Data!Q459="","",Data!Q459)</f>
        <v/>
      </c>
    </row>
    <row r="738" spans="2:5">
      <c r="B738" s="353" t="str">
        <f>IF(Data!A460="","",Data!A460)</f>
        <v/>
      </c>
      <c r="C738" s="353" t="str">
        <f>IF(Data!D460="","",Data!D460)</f>
        <v/>
      </c>
      <c r="D738" s="353" t="str">
        <f>IF(Data!I460="","",Data!I460)</f>
        <v/>
      </c>
      <c r="E738" s="359" t="str">
        <f>IF(Data!Q460="","",Data!Q460)</f>
        <v/>
      </c>
    </row>
    <row r="739" spans="2:5">
      <c r="B739" s="353" t="str">
        <f>IF(Data!A461="","",Data!A461)</f>
        <v/>
      </c>
      <c r="C739" s="353" t="str">
        <f>IF(Data!D461="","",Data!D461)</f>
        <v/>
      </c>
      <c r="D739" s="353" t="str">
        <f>IF(Data!I461="","",Data!I461)</f>
        <v/>
      </c>
      <c r="E739" s="359" t="str">
        <f>IF(Data!Q461="","",Data!Q461)</f>
        <v/>
      </c>
    </row>
    <row r="740" spans="2:5">
      <c r="B740" s="353" t="str">
        <f>IF(Data!A462="","",Data!A462)</f>
        <v/>
      </c>
      <c r="C740" s="353" t="str">
        <f>IF(Data!D462="","",Data!D462)</f>
        <v/>
      </c>
      <c r="D740" s="353" t="str">
        <f>IF(Data!I462="","",Data!I462)</f>
        <v/>
      </c>
      <c r="E740" s="359" t="str">
        <f>IF(Data!Q462="","",Data!Q462)</f>
        <v/>
      </c>
    </row>
    <row r="741" spans="2:5">
      <c r="B741" s="353" t="str">
        <f>IF(Data!A463="","",Data!A463)</f>
        <v/>
      </c>
      <c r="C741" s="353" t="str">
        <f>IF(Data!D463="","",Data!D463)</f>
        <v/>
      </c>
      <c r="D741" s="353" t="str">
        <f>IF(Data!I463="","",Data!I463)</f>
        <v/>
      </c>
      <c r="E741" s="359" t="str">
        <f>IF(Data!Q463="","",Data!Q463)</f>
        <v/>
      </c>
    </row>
    <row r="742" spans="2:5">
      <c r="B742" s="353" t="str">
        <f>IF(Data!A464="","",Data!A464)</f>
        <v/>
      </c>
      <c r="C742" s="353" t="str">
        <f>IF(Data!D464="","",Data!D464)</f>
        <v/>
      </c>
      <c r="D742" s="353" t="str">
        <f>IF(Data!I464="","",Data!I464)</f>
        <v/>
      </c>
      <c r="E742" s="359" t="str">
        <f>IF(Data!Q464="","",Data!Q464)</f>
        <v/>
      </c>
    </row>
    <row r="743" spans="2:5">
      <c r="B743" s="353" t="str">
        <f>IF(Data!A465="","",Data!A465)</f>
        <v/>
      </c>
      <c r="C743" s="353" t="str">
        <f>IF(Data!D465="","",Data!D465)</f>
        <v/>
      </c>
      <c r="D743" s="353" t="str">
        <f>IF(Data!I465="","",Data!I465)</f>
        <v/>
      </c>
      <c r="E743" s="359" t="str">
        <f>IF(Data!Q465="","",Data!Q465)</f>
        <v/>
      </c>
    </row>
    <row r="744" spans="2:5">
      <c r="B744" s="353" t="str">
        <f>IF(Data!A466="","",Data!A466)</f>
        <v/>
      </c>
      <c r="C744" s="353" t="str">
        <f>IF(Data!D466="","",Data!D466)</f>
        <v/>
      </c>
      <c r="D744" s="353" t="str">
        <f>IF(Data!I466="","",Data!I466)</f>
        <v/>
      </c>
      <c r="E744" s="359" t="str">
        <f>IF(Data!Q466="","",Data!Q466)</f>
        <v/>
      </c>
    </row>
    <row r="745" spans="2:5">
      <c r="B745" s="353" t="str">
        <f>IF(Data!A467="","",Data!A467)</f>
        <v/>
      </c>
      <c r="C745" s="353" t="str">
        <f>IF(Data!D467="","",Data!D467)</f>
        <v/>
      </c>
      <c r="D745" s="353" t="str">
        <f>IF(Data!I467="","",Data!I467)</f>
        <v/>
      </c>
      <c r="E745" s="359" t="str">
        <f>IF(Data!Q467="","",Data!Q467)</f>
        <v/>
      </c>
    </row>
    <row r="746" spans="2:5">
      <c r="B746" s="353" t="str">
        <f>IF(Data!A468="","",Data!A468)</f>
        <v/>
      </c>
      <c r="C746" s="353" t="str">
        <f>IF(Data!D468="","",Data!D468)</f>
        <v/>
      </c>
      <c r="D746" s="353" t="str">
        <f>IF(Data!I468="","",Data!I468)</f>
        <v/>
      </c>
      <c r="E746" s="359" t="str">
        <f>IF(Data!Q468="","",Data!Q468)</f>
        <v/>
      </c>
    </row>
    <row r="747" spans="2:5">
      <c r="B747" s="353" t="str">
        <f>IF(Data!A469="","",Data!A469)</f>
        <v/>
      </c>
      <c r="C747" s="353" t="str">
        <f>IF(Data!D469="","",Data!D469)</f>
        <v/>
      </c>
      <c r="D747" s="353" t="str">
        <f>IF(Data!I469="","",Data!I469)</f>
        <v/>
      </c>
      <c r="E747" s="359" t="str">
        <f>IF(Data!Q469="","",Data!Q469)</f>
        <v/>
      </c>
    </row>
    <row r="748" spans="2:5">
      <c r="B748" s="353" t="str">
        <f>IF(Data!A470="","",Data!A470)</f>
        <v/>
      </c>
      <c r="C748" s="353" t="str">
        <f>IF(Data!D470="","",Data!D470)</f>
        <v/>
      </c>
      <c r="D748" s="353" t="str">
        <f>IF(Data!I470="","",Data!I470)</f>
        <v/>
      </c>
      <c r="E748" s="359" t="str">
        <f>IF(Data!Q470="","",Data!Q470)</f>
        <v/>
      </c>
    </row>
    <row r="749" spans="2:5">
      <c r="B749" s="353" t="str">
        <f>IF(Data!A471="","",Data!A471)</f>
        <v/>
      </c>
      <c r="C749" s="353" t="str">
        <f>IF(Data!D471="","",Data!D471)</f>
        <v/>
      </c>
      <c r="D749" s="353" t="str">
        <f>IF(Data!I471="","",Data!I471)</f>
        <v/>
      </c>
      <c r="E749" s="359" t="str">
        <f>IF(Data!Q471="","",Data!Q471)</f>
        <v/>
      </c>
    </row>
    <row r="750" spans="2:5">
      <c r="B750" s="353" t="str">
        <f>IF(Data!A472="","",Data!A472)</f>
        <v/>
      </c>
      <c r="C750" s="353" t="str">
        <f>IF(Data!D472="","",Data!D472)</f>
        <v/>
      </c>
      <c r="D750" s="353" t="str">
        <f>IF(Data!I472="","",Data!I472)</f>
        <v/>
      </c>
      <c r="E750" s="359" t="str">
        <f>IF(Data!Q472="","",Data!Q472)</f>
        <v/>
      </c>
    </row>
    <row r="751" spans="2:5">
      <c r="B751" s="353" t="str">
        <f>IF(Data!A473="","",Data!A473)</f>
        <v/>
      </c>
      <c r="C751" s="353" t="str">
        <f>IF(Data!D473="","",Data!D473)</f>
        <v/>
      </c>
      <c r="D751" s="353" t="str">
        <f>IF(Data!I473="","",Data!I473)</f>
        <v/>
      </c>
      <c r="E751" s="359" t="str">
        <f>IF(Data!Q473="","",Data!Q473)</f>
        <v/>
      </c>
    </row>
    <row r="752" spans="2:5">
      <c r="B752" s="353" t="str">
        <f>IF(Data!A474="","",Data!A474)</f>
        <v/>
      </c>
      <c r="C752" s="353" t="str">
        <f>IF(Data!D474="","",Data!D474)</f>
        <v/>
      </c>
      <c r="D752" s="353" t="str">
        <f>IF(Data!I474="","",Data!I474)</f>
        <v/>
      </c>
      <c r="E752" s="359" t="str">
        <f>IF(Data!Q474="","",Data!Q474)</f>
        <v/>
      </c>
    </row>
    <row r="753" spans="2:5">
      <c r="B753" s="353" t="str">
        <f>IF(Data!A475="","",Data!A475)</f>
        <v/>
      </c>
      <c r="C753" s="353" t="str">
        <f>IF(Data!D475="","",Data!D475)</f>
        <v/>
      </c>
      <c r="D753" s="353" t="str">
        <f>IF(Data!I475="","",Data!I475)</f>
        <v/>
      </c>
      <c r="E753" s="359" t="str">
        <f>IF(Data!Q475="","",Data!Q475)</f>
        <v/>
      </c>
    </row>
    <row r="754" spans="2:5">
      <c r="B754" s="353" t="str">
        <f>IF(Data!A476="","",Data!A476)</f>
        <v/>
      </c>
      <c r="C754" s="353" t="str">
        <f>IF(Data!D476="","",Data!D476)</f>
        <v/>
      </c>
      <c r="D754" s="353" t="str">
        <f>IF(Data!I476="","",Data!I476)</f>
        <v/>
      </c>
      <c r="E754" s="359" t="str">
        <f>IF(Data!Q476="","",Data!Q476)</f>
        <v/>
      </c>
    </row>
    <row r="755" spans="2:5">
      <c r="B755" s="353" t="str">
        <f>IF(Data!A477="","",Data!A477)</f>
        <v/>
      </c>
      <c r="C755" s="353" t="str">
        <f>IF(Data!D477="","",Data!D477)</f>
        <v/>
      </c>
      <c r="D755" s="353" t="str">
        <f>IF(Data!I477="","",Data!I477)</f>
        <v/>
      </c>
      <c r="E755" s="359" t="str">
        <f>IF(Data!Q477="","",Data!Q477)</f>
        <v/>
      </c>
    </row>
    <row r="756" spans="2:5">
      <c r="B756" s="353" t="str">
        <f>IF(Data!A478="","",Data!A478)</f>
        <v/>
      </c>
      <c r="C756" s="353" t="str">
        <f>IF(Data!D478="","",Data!D478)</f>
        <v/>
      </c>
      <c r="D756" s="353" t="str">
        <f>IF(Data!I478="","",Data!I478)</f>
        <v/>
      </c>
      <c r="E756" s="359" t="str">
        <f>IF(Data!Q478="","",Data!Q478)</f>
        <v/>
      </c>
    </row>
    <row r="757" spans="2:5">
      <c r="B757" s="353" t="str">
        <f>IF(Data!A479="","",Data!A479)</f>
        <v/>
      </c>
      <c r="C757" s="353" t="str">
        <f>IF(Data!D479="","",Data!D479)</f>
        <v/>
      </c>
      <c r="D757" s="353" t="str">
        <f>IF(Data!I479="","",Data!I479)</f>
        <v/>
      </c>
      <c r="E757" s="359" t="str">
        <f>IF(Data!Q479="","",Data!Q479)</f>
        <v/>
      </c>
    </row>
    <row r="758" spans="2:5">
      <c r="B758" s="353" t="str">
        <f>IF(Data!A480="","",Data!A480)</f>
        <v/>
      </c>
      <c r="C758" s="353" t="str">
        <f>IF(Data!D480="","",Data!D480)</f>
        <v/>
      </c>
      <c r="D758" s="353" t="str">
        <f>IF(Data!I480="","",Data!I480)</f>
        <v/>
      </c>
      <c r="E758" s="359" t="str">
        <f>IF(Data!Q480="","",Data!Q480)</f>
        <v/>
      </c>
    </row>
    <row r="759" spans="2:5">
      <c r="B759" s="353" t="str">
        <f>IF(Data!A481="","",Data!A481)</f>
        <v/>
      </c>
      <c r="C759" s="353" t="str">
        <f>IF(Data!D481="","",Data!D481)</f>
        <v/>
      </c>
      <c r="D759" s="353" t="str">
        <f>IF(Data!I481="","",Data!I481)</f>
        <v/>
      </c>
      <c r="E759" s="359" t="str">
        <f>IF(Data!Q481="","",Data!Q481)</f>
        <v/>
      </c>
    </row>
    <row r="760" spans="2:5">
      <c r="B760" s="353" t="str">
        <f>IF(Data!A482="","",Data!A482)</f>
        <v/>
      </c>
      <c r="C760" s="353" t="str">
        <f>IF(Data!D482="","",Data!D482)</f>
        <v/>
      </c>
      <c r="D760" s="353" t="str">
        <f>IF(Data!I482="","",Data!I482)</f>
        <v/>
      </c>
      <c r="E760" s="359" t="str">
        <f>IF(Data!Q482="","",Data!Q482)</f>
        <v/>
      </c>
    </row>
    <row r="761" spans="2:5">
      <c r="B761" s="353" t="str">
        <f>IF(Data!A483="","",Data!A483)</f>
        <v/>
      </c>
      <c r="C761" s="353" t="str">
        <f>IF(Data!D483="","",Data!D483)</f>
        <v/>
      </c>
      <c r="D761" s="353" t="str">
        <f>IF(Data!I483="","",Data!I483)</f>
        <v/>
      </c>
      <c r="E761" s="359" t="str">
        <f>IF(Data!Q483="","",Data!Q483)</f>
        <v/>
      </c>
    </row>
    <row r="762" spans="2:5">
      <c r="B762" s="353" t="str">
        <f>IF(Data!A484="","",Data!A484)</f>
        <v/>
      </c>
      <c r="C762" s="353" t="str">
        <f>IF(Data!D484="","",Data!D484)</f>
        <v/>
      </c>
      <c r="D762" s="353" t="str">
        <f>IF(Data!I484="","",Data!I484)</f>
        <v/>
      </c>
      <c r="E762" s="359" t="str">
        <f>IF(Data!Q484="","",Data!Q484)</f>
        <v/>
      </c>
    </row>
    <row r="763" spans="2:5">
      <c r="B763" s="353" t="str">
        <f>IF(Data!A485="","",Data!A485)</f>
        <v/>
      </c>
      <c r="C763" s="353" t="str">
        <f>IF(Data!D485="","",Data!D485)</f>
        <v/>
      </c>
      <c r="D763" s="353" t="str">
        <f>IF(Data!I485="","",Data!I485)</f>
        <v/>
      </c>
      <c r="E763" s="359" t="str">
        <f>IF(Data!Q485="","",Data!Q485)</f>
        <v/>
      </c>
    </row>
    <row r="764" spans="2:5">
      <c r="B764" s="353" t="str">
        <f>IF(Data!A486="","",Data!A486)</f>
        <v/>
      </c>
      <c r="C764" s="353" t="str">
        <f>IF(Data!D486="","",Data!D486)</f>
        <v/>
      </c>
      <c r="D764" s="353" t="str">
        <f>IF(Data!I486="","",Data!I486)</f>
        <v/>
      </c>
      <c r="E764" s="359" t="str">
        <f>IF(Data!Q486="","",Data!Q486)</f>
        <v/>
      </c>
    </row>
    <row r="765" spans="2:5">
      <c r="B765" s="353" t="str">
        <f>IF(Data!A487="","",Data!A487)</f>
        <v/>
      </c>
      <c r="C765" s="353" t="str">
        <f>IF(Data!D487="","",Data!D487)</f>
        <v/>
      </c>
      <c r="D765" s="353" t="str">
        <f>IF(Data!I487="","",Data!I487)</f>
        <v/>
      </c>
      <c r="E765" s="359" t="str">
        <f>IF(Data!Q487="","",Data!Q487)</f>
        <v/>
      </c>
    </row>
    <row r="766" spans="2:5">
      <c r="B766" s="353" t="str">
        <f>IF(Data!A488="","",Data!A488)</f>
        <v/>
      </c>
      <c r="C766" s="353" t="str">
        <f>IF(Data!D488="","",Data!D488)</f>
        <v/>
      </c>
      <c r="D766" s="353" t="str">
        <f>IF(Data!I488="","",Data!I488)</f>
        <v/>
      </c>
      <c r="E766" s="359" t="str">
        <f>IF(Data!Q488="","",Data!Q488)</f>
        <v/>
      </c>
    </row>
    <row r="767" spans="2:5">
      <c r="B767" s="353" t="str">
        <f>IF(Data!A489="","",Data!A489)</f>
        <v/>
      </c>
      <c r="C767" s="353" t="str">
        <f>IF(Data!D489="","",Data!D489)</f>
        <v/>
      </c>
      <c r="D767" s="353" t="str">
        <f>IF(Data!I489="","",Data!I489)</f>
        <v/>
      </c>
      <c r="E767" s="359" t="str">
        <f>IF(Data!Q489="","",Data!Q489)</f>
        <v/>
      </c>
    </row>
    <row r="768" spans="2:5">
      <c r="B768" s="353" t="str">
        <f>IF(Data!A490="","",Data!A490)</f>
        <v/>
      </c>
      <c r="C768" s="353" t="str">
        <f>IF(Data!D490="","",Data!D490)</f>
        <v/>
      </c>
      <c r="D768" s="353" t="str">
        <f>IF(Data!I490="","",Data!I490)</f>
        <v/>
      </c>
      <c r="E768" s="359" t="str">
        <f>IF(Data!Q490="","",Data!Q490)</f>
        <v/>
      </c>
    </row>
    <row r="769" spans="2:5">
      <c r="B769" s="353" t="str">
        <f>IF(Data!A491="","",Data!A491)</f>
        <v/>
      </c>
      <c r="C769" s="353" t="str">
        <f>IF(Data!D491="","",Data!D491)</f>
        <v/>
      </c>
      <c r="D769" s="353" t="str">
        <f>IF(Data!I491="","",Data!I491)</f>
        <v/>
      </c>
      <c r="E769" s="359" t="str">
        <f>IF(Data!Q491="","",Data!Q491)</f>
        <v/>
      </c>
    </row>
    <row r="770" spans="2:5">
      <c r="B770" s="353" t="str">
        <f>IF(Data!A492="","",Data!A492)</f>
        <v/>
      </c>
      <c r="C770" s="353" t="str">
        <f>IF(Data!D492="","",Data!D492)</f>
        <v/>
      </c>
      <c r="D770" s="353" t="str">
        <f>IF(Data!I492="","",Data!I492)</f>
        <v/>
      </c>
      <c r="E770" s="359" t="str">
        <f>IF(Data!Q492="","",Data!Q492)</f>
        <v/>
      </c>
    </row>
    <row r="771" spans="2:5">
      <c r="B771" s="353" t="str">
        <f>IF(Data!A493="","",Data!A493)</f>
        <v/>
      </c>
      <c r="C771" s="353" t="str">
        <f>IF(Data!D493="","",Data!D493)</f>
        <v/>
      </c>
      <c r="D771" s="353" t="str">
        <f>IF(Data!I493="","",Data!I493)</f>
        <v/>
      </c>
      <c r="E771" s="359" t="str">
        <f>IF(Data!Q493="","",Data!Q493)</f>
        <v/>
      </c>
    </row>
    <row r="772" spans="2:5">
      <c r="B772" s="353" t="str">
        <f>IF(Data!A494="","",Data!A494)</f>
        <v/>
      </c>
      <c r="C772" s="353" t="str">
        <f>IF(Data!D494="","",Data!D494)</f>
        <v/>
      </c>
      <c r="D772" s="353" t="str">
        <f>IF(Data!I494="","",Data!I494)</f>
        <v/>
      </c>
      <c r="E772" s="359" t="str">
        <f>IF(Data!Q494="","",Data!Q494)</f>
        <v/>
      </c>
    </row>
    <row r="773" spans="2:5">
      <c r="B773" s="353" t="str">
        <f>IF(Data!A495="","",Data!A495)</f>
        <v/>
      </c>
      <c r="C773" s="353" t="str">
        <f>IF(Data!D495="","",Data!D495)</f>
        <v/>
      </c>
      <c r="D773" s="353" t="str">
        <f>IF(Data!I495="","",Data!I495)</f>
        <v/>
      </c>
      <c r="E773" s="359" t="str">
        <f>IF(Data!Q495="","",Data!Q495)</f>
        <v/>
      </c>
    </row>
    <row r="774" spans="2:5">
      <c r="B774" s="353" t="str">
        <f>IF(Data!A496="","",Data!A496)</f>
        <v/>
      </c>
      <c r="C774" s="353" t="str">
        <f>IF(Data!D496="","",Data!D496)</f>
        <v/>
      </c>
      <c r="D774" s="353" t="str">
        <f>IF(Data!I496="","",Data!I496)</f>
        <v/>
      </c>
      <c r="E774" s="359" t="str">
        <f>IF(Data!Q496="","",Data!Q496)</f>
        <v/>
      </c>
    </row>
    <row r="775" spans="2:5">
      <c r="B775" s="353" t="str">
        <f>IF(Data!A497="","",Data!A497)</f>
        <v/>
      </c>
      <c r="C775" s="353" t="str">
        <f>IF(Data!D497="","",Data!D497)</f>
        <v/>
      </c>
      <c r="D775" s="353" t="str">
        <f>IF(Data!I497="","",Data!I497)</f>
        <v/>
      </c>
      <c r="E775" s="359" t="str">
        <f>IF(Data!Q497="","",Data!Q497)</f>
        <v/>
      </c>
    </row>
    <row r="776" spans="2:5">
      <c r="B776" s="353" t="str">
        <f>IF(Data!A498="","",Data!A498)</f>
        <v/>
      </c>
      <c r="C776" s="353" t="str">
        <f>IF(Data!D498="","",Data!D498)</f>
        <v/>
      </c>
      <c r="D776" s="353" t="str">
        <f>IF(Data!I498="","",Data!I498)</f>
        <v/>
      </c>
      <c r="E776" s="359" t="str">
        <f>IF(Data!Q498="","",Data!Q498)</f>
        <v/>
      </c>
    </row>
    <row r="777" spans="2:5">
      <c r="B777" s="353" t="str">
        <f>IF(Data!A499="","",Data!A499)</f>
        <v/>
      </c>
      <c r="C777" s="353" t="str">
        <f>IF(Data!D499="","",Data!D499)</f>
        <v/>
      </c>
      <c r="D777" s="353" t="str">
        <f>IF(Data!I499="","",Data!I499)</f>
        <v/>
      </c>
      <c r="E777" s="359" t="str">
        <f>IF(Data!Q499="","",Data!Q499)</f>
        <v/>
      </c>
    </row>
    <row r="778" spans="2:5">
      <c r="B778" s="353" t="str">
        <f>IF(Data!A500="","",Data!A500)</f>
        <v/>
      </c>
      <c r="C778" s="353" t="str">
        <f>IF(Data!D500="","",Data!D500)</f>
        <v/>
      </c>
      <c r="D778" s="353" t="str">
        <f>IF(Data!I500="","",Data!I500)</f>
        <v/>
      </c>
      <c r="E778" s="359" t="str">
        <f>IF(Data!Q500="","",Data!Q500)</f>
        <v/>
      </c>
    </row>
    <row r="779" spans="2:5">
      <c r="B779" s="353" t="str">
        <f>IF(Data!A501="","",Data!A501)</f>
        <v/>
      </c>
      <c r="C779" s="353" t="str">
        <f>IF(Data!D501="","",Data!D501)</f>
        <v/>
      </c>
      <c r="D779" s="353" t="str">
        <f>IF(Data!I501="","",Data!I501)</f>
        <v/>
      </c>
      <c r="E779" s="359" t="str">
        <f>IF(Data!Q501="","",Data!Q501)</f>
        <v/>
      </c>
    </row>
    <row r="780" spans="2:5">
      <c r="B780" s="353" t="str">
        <f>IF(Data!A502="","",Data!A502)</f>
        <v/>
      </c>
      <c r="C780" s="353" t="str">
        <f>IF(Data!D502="","",Data!D502)</f>
        <v/>
      </c>
      <c r="D780" s="353" t="str">
        <f>IF(Data!I502="","",Data!I502)</f>
        <v/>
      </c>
      <c r="E780" s="359" t="str">
        <f>IF(Data!Q502="","",Data!Q502)</f>
        <v/>
      </c>
    </row>
    <row r="781" spans="2:5">
      <c r="B781" s="353" t="str">
        <f>IF(Data!A503="","",Data!A503)</f>
        <v/>
      </c>
      <c r="C781" s="353" t="str">
        <f>IF(Data!D503="","",Data!D503)</f>
        <v/>
      </c>
      <c r="D781" s="353" t="str">
        <f>IF(Data!I503="","",Data!I503)</f>
        <v/>
      </c>
      <c r="E781" s="359" t="str">
        <f>IF(Data!Q503="","",Data!Q503)</f>
        <v/>
      </c>
    </row>
    <row r="782" spans="2:5">
      <c r="B782" s="353" t="str">
        <f>IF(Data!A504="","",Data!A504)</f>
        <v/>
      </c>
      <c r="C782" s="353" t="str">
        <f>IF(Data!D504="","",Data!D504)</f>
        <v/>
      </c>
      <c r="D782" s="353" t="str">
        <f>IF(Data!I504="","",Data!I504)</f>
        <v/>
      </c>
      <c r="E782" s="359" t="str">
        <f>IF(Data!Q504="","",Data!Q504)</f>
        <v/>
      </c>
    </row>
    <row r="783" spans="2:5">
      <c r="B783" s="353" t="str">
        <f>IF(Data!A505="","",Data!A505)</f>
        <v/>
      </c>
      <c r="C783" s="353" t="str">
        <f>IF(Data!D505="","",Data!D505)</f>
        <v/>
      </c>
      <c r="D783" s="353" t="str">
        <f>IF(Data!I505="","",Data!I505)</f>
        <v/>
      </c>
      <c r="E783" s="359" t="str">
        <f>IF(Data!Q505="","",Data!Q505)</f>
        <v/>
      </c>
    </row>
    <row r="784" spans="2:5">
      <c r="B784" s="353" t="str">
        <f>IF(Data!A506="","",Data!A506)</f>
        <v/>
      </c>
      <c r="C784" s="353" t="str">
        <f>IF(Data!D506="","",Data!D506)</f>
        <v/>
      </c>
      <c r="D784" s="353" t="str">
        <f>IF(Data!I506="","",Data!I506)</f>
        <v/>
      </c>
      <c r="E784" s="359" t="str">
        <f>IF(Data!Q506="","",Data!Q506)</f>
        <v/>
      </c>
    </row>
    <row r="785" spans="2:5">
      <c r="B785" s="353" t="str">
        <f>IF(Data!A507="","",Data!A507)</f>
        <v/>
      </c>
      <c r="C785" s="353" t="str">
        <f>IF(Data!D507="","",Data!D507)</f>
        <v/>
      </c>
      <c r="D785" s="353" t="str">
        <f>IF(Data!I507="","",Data!I507)</f>
        <v/>
      </c>
      <c r="E785" s="359" t="str">
        <f>IF(Data!Q507="","",Data!Q507)</f>
        <v/>
      </c>
    </row>
    <row r="786" spans="2:5">
      <c r="B786" s="353" t="str">
        <f>IF(Data!A508="","",Data!A508)</f>
        <v/>
      </c>
      <c r="C786" s="353" t="str">
        <f>IF(Data!D508="","",Data!D508)</f>
        <v/>
      </c>
      <c r="D786" s="353" t="str">
        <f>IF(Data!I508="","",Data!I508)</f>
        <v/>
      </c>
      <c r="E786" s="359" t="str">
        <f>IF(Data!Q508="","",Data!Q508)</f>
        <v/>
      </c>
    </row>
    <row r="787" spans="2:5">
      <c r="B787" s="353" t="str">
        <f>IF(Data!A509="","",Data!A509)</f>
        <v/>
      </c>
      <c r="C787" s="353" t="str">
        <f>IF(Data!D509="","",Data!D509)</f>
        <v/>
      </c>
      <c r="D787" s="353" t="str">
        <f>IF(Data!I509="","",Data!I509)</f>
        <v/>
      </c>
      <c r="E787" s="359" t="str">
        <f>IF(Data!Q509="","",Data!Q509)</f>
        <v/>
      </c>
    </row>
    <row r="788" spans="2:5">
      <c r="B788" s="353" t="str">
        <f>IF(Data!A510="","",Data!A510)</f>
        <v/>
      </c>
      <c r="C788" s="353" t="str">
        <f>IF(Data!D510="","",Data!D510)</f>
        <v/>
      </c>
      <c r="D788" s="353" t="str">
        <f>IF(Data!I510="","",Data!I510)</f>
        <v/>
      </c>
      <c r="E788" s="359" t="str">
        <f>IF(Data!Q510="","",Data!Q510)</f>
        <v/>
      </c>
    </row>
    <row r="789" spans="2:5">
      <c r="B789" s="353" t="str">
        <f>IF(Data!A511="","",Data!A511)</f>
        <v/>
      </c>
      <c r="C789" s="353" t="str">
        <f>IF(Data!D511="","",Data!D511)</f>
        <v/>
      </c>
      <c r="D789" s="353" t="str">
        <f>IF(Data!I511="","",Data!I511)</f>
        <v/>
      </c>
      <c r="E789" s="359" t="str">
        <f>IF(Data!Q511="","",Data!Q511)</f>
        <v/>
      </c>
    </row>
    <row r="790" spans="2:5">
      <c r="B790" s="353" t="str">
        <f>IF(Data!A512="","",Data!A512)</f>
        <v/>
      </c>
      <c r="C790" s="353" t="str">
        <f>IF(Data!D512="","",Data!D512)</f>
        <v/>
      </c>
      <c r="D790" s="353" t="str">
        <f>IF(Data!I512="","",Data!I512)</f>
        <v/>
      </c>
      <c r="E790" s="359" t="str">
        <f>IF(Data!Q512="","",Data!Q512)</f>
        <v/>
      </c>
    </row>
    <row r="791" spans="2:5">
      <c r="B791" s="353" t="str">
        <f>IF(Data!A513="","",Data!A513)</f>
        <v/>
      </c>
      <c r="C791" s="353" t="str">
        <f>IF(Data!D513="","",Data!D513)</f>
        <v/>
      </c>
      <c r="D791" s="353" t="str">
        <f>IF(Data!I513="","",Data!I513)</f>
        <v/>
      </c>
      <c r="E791" s="359" t="str">
        <f>IF(Data!Q513="","",Data!Q513)</f>
        <v/>
      </c>
    </row>
    <row r="792" spans="2:5">
      <c r="B792" s="353" t="str">
        <f>IF(Data!A514="","",Data!A514)</f>
        <v/>
      </c>
      <c r="C792" s="353" t="str">
        <f>IF(Data!D514="","",Data!D514)</f>
        <v/>
      </c>
      <c r="D792" s="353" t="str">
        <f>IF(Data!I514="","",Data!I514)</f>
        <v/>
      </c>
      <c r="E792" s="359" t="str">
        <f>IF(Data!Q514="","",Data!Q514)</f>
        <v/>
      </c>
    </row>
    <row r="793" spans="2:5">
      <c r="B793" s="353" t="str">
        <f>IF(Data!A515="","",Data!A515)</f>
        <v/>
      </c>
      <c r="C793" s="353" t="str">
        <f>IF(Data!D515="","",Data!D515)</f>
        <v/>
      </c>
      <c r="D793" s="353" t="str">
        <f>IF(Data!I515="","",Data!I515)</f>
        <v/>
      </c>
      <c r="E793" s="359" t="str">
        <f>IF(Data!Q515="","",Data!Q515)</f>
        <v/>
      </c>
    </row>
    <row r="794" spans="2:5">
      <c r="B794" s="353" t="str">
        <f>IF(Data!A516="","",Data!A516)</f>
        <v/>
      </c>
      <c r="C794" s="353" t="str">
        <f>IF(Data!D516="","",Data!D516)</f>
        <v/>
      </c>
      <c r="D794" s="353" t="str">
        <f>IF(Data!I516="","",Data!I516)</f>
        <v/>
      </c>
      <c r="E794" s="359" t="str">
        <f>IF(Data!Q516="","",Data!Q516)</f>
        <v/>
      </c>
    </row>
    <row r="795" spans="2:5">
      <c r="B795" s="353" t="str">
        <f>IF(Data!A517="","",Data!A517)</f>
        <v/>
      </c>
      <c r="C795" s="353" t="str">
        <f>IF(Data!D517="","",Data!D517)</f>
        <v/>
      </c>
      <c r="D795" s="353" t="str">
        <f>IF(Data!I517="","",Data!I517)</f>
        <v/>
      </c>
      <c r="E795" s="359" t="str">
        <f>IF(Data!Q517="","",Data!Q517)</f>
        <v/>
      </c>
    </row>
    <row r="796" spans="2:5">
      <c r="B796" s="353" t="str">
        <f>IF(Data!A518="","",Data!A518)</f>
        <v/>
      </c>
      <c r="C796" s="353" t="str">
        <f>IF(Data!D518="","",Data!D518)</f>
        <v/>
      </c>
      <c r="D796" s="353" t="str">
        <f>IF(Data!I518="","",Data!I518)</f>
        <v/>
      </c>
      <c r="E796" s="359" t="str">
        <f>IF(Data!Q518="","",Data!Q518)</f>
        <v/>
      </c>
    </row>
    <row r="797" spans="2:5">
      <c r="B797" s="353" t="str">
        <f>IF(Data!A519="","",Data!A519)</f>
        <v/>
      </c>
      <c r="C797" s="353" t="str">
        <f>IF(Data!D519="","",Data!D519)</f>
        <v/>
      </c>
      <c r="D797" s="353" t="str">
        <f>IF(Data!I519="","",Data!I519)</f>
        <v/>
      </c>
      <c r="E797" s="359" t="str">
        <f>IF(Data!Q519="","",Data!Q519)</f>
        <v/>
      </c>
    </row>
    <row r="798" spans="2:5">
      <c r="B798" s="353" t="str">
        <f>IF(Data!A520="","",Data!A520)</f>
        <v/>
      </c>
      <c r="C798" s="353" t="str">
        <f>IF(Data!D520="","",Data!D520)</f>
        <v/>
      </c>
      <c r="D798" s="353" t="str">
        <f>IF(Data!I520="","",Data!I520)</f>
        <v/>
      </c>
      <c r="E798" s="359" t="str">
        <f>IF(Data!Q520="","",Data!Q520)</f>
        <v/>
      </c>
    </row>
    <row r="799" spans="2:5">
      <c r="B799" s="353" t="str">
        <f>IF(Data!A521="","",Data!A521)</f>
        <v/>
      </c>
      <c r="C799" s="353" t="str">
        <f>IF(Data!D521="","",Data!D521)</f>
        <v/>
      </c>
      <c r="D799" s="353" t="str">
        <f>IF(Data!I521="","",Data!I521)</f>
        <v/>
      </c>
      <c r="E799" s="359" t="str">
        <f>IF(Data!Q521="","",Data!Q521)</f>
        <v/>
      </c>
    </row>
    <row r="800" spans="2:5">
      <c r="B800" s="353" t="str">
        <f>IF(Data!A522="","",Data!A522)</f>
        <v/>
      </c>
      <c r="C800" s="353" t="str">
        <f>IF(Data!D522="","",Data!D522)</f>
        <v/>
      </c>
      <c r="D800" s="353" t="str">
        <f>IF(Data!I522="","",Data!I522)</f>
        <v/>
      </c>
      <c r="E800" s="359" t="str">
        <f>IF(Data!Q522="","",Data!Q522)</f>
        <v/>
      </c>
    </row>
    <row r="801" spans="2:5">
      <c r="B801" s="353" t="str">
        <f>IF(Data!A523="","",Data!A523)</f>
        <v/>
      </c>
      <c r="C801" s="353" t="str">
        <f>IF(Data!D523="","",Data!D523)</f>
        <v/>
      </c>
      <c r="D801" s="353" t="str">
        <f>IF(Data!I523="","",Data!I523)</f>
        <v/>
      </c>
      <c r="E801" s="359" t="str">
        <f>IF(Data!Q523="","",Data!Q523)</f>
        <v/>
      </c>
    </row>
    <row r="802" spans="2:5">
      <c r="B802" s="353" t="str">
        <f>IF(Data!A524="","",Data!A524)</f>
        <v/>
      </c>
      <c r="C802" s="353" t="str">
        <f>IF(Data!D524="","",Data!D524)</f>
        <v/>
      </c>
      <c r="D802" s="353" t="str">
        <f>IF(Data!I524="","",Data!I524)</f>
        <v/>
      </c>
      <c r="E802" s="359" t="str">
        <f>IF(Data!Q524="","",Data!Q524)</f>
        <v/>
      </c>
    </row>
    <row r="803" spans="2:5">
      <c r="B803" s="353" t="str">
        <f>IF(Data!A525="","",Data!A525)</f>
        <v/>
      </c>
      <c r="C803" s="353" t="str">
        <f>IF(Data!D525="","",Data!D525)</f>
        <v/>
      </c>
      <c r="D803" s="353" t="str">
        <f>IF(Data!I525="","",Data!I525)</f>
        <v/>
      </c>
      <c r="E803" s="359" t="str">
        <f>IF(Data!Q525="","",Data!Q525)</f>
        <v/>
      </c>
    </row>
    <row r="804" spans="2:5">
      <c r="B804" s="353" t="str">
        <f>IF(Data!A526="","",Data!A526)</f>
        <v/>
      </c>
      <c r="C804" s="353" t="str">
        <f>IF(Data!D526="","",Data!D526)</f>
        <v/>
      </c>
      <c r="D804" s="353" t="str">
        <f>IF(Data!I526="","",Data!I526)</f>
        <v/>
      </c>
      <c r="E804" s="359" t="str">
        <f>IF(Data!Q526="","",Data!Q526)</f>
        <v/>
      </c>
    </row>
    <row r="805" spans="2:5">
      <c r="B805" s="353" t="str">
        <f>IF(Data!A527="","",Data!A527)</f>
        <v/>
      </c>
      <c r="C805" s="353" t="str">
        <f>IF(Data!D527="","",Data!D527)</f>
        <v/>
      </c>
      <c r="D805" s="353" t="str">
        <f>IF(Data!I527="","",Data!I527)</f>
        <v/>
      </c>
      <c r="E805" s="359" t="str">
        <f>IF(Data!Q527="","",Data!Q527)</f>
        <v/>
      </c>
    </row>
    <row r="806" spans="2:5">
      <c r="B806" s="353" t="str">
        <f>IF(Data!A528="","",Data!A528)</f>
        <v/>
      </c>
      <c r="C806" s="353" t="str">
        <f>IF(Data!D528="","",Data!D528)</f>
        <v/>
      </c>
      <c r="D806" s="353" t="str">
        <f>IF(Data!I528="","",Data!I528)</f>
        <v/>
      </c>
      <c r="E806" s="359" t="str">
        <f>IF(Data!Q528="","",Data!Q528)</f>
        <v/>
      </c>
    </row>
    <row r="807" spans="2:5">
      <c r="B807" s="353" t="str">
        <f>IF(Data!A529="","",Data!A529)</f>
        <v/>
      </c>
      <c r="C807" s="353" t="str">
        <f>IF(Data!D529="","",Data!D529)</f>
        <v/>
      </c>
      <c r="D807" s="353" t="str">
        <f>IF(Data!I529="","",Data!I529)</f>
        <v/>
      </c>
      <c r="E807" s="359" t="str">
        <f>IF(Data!Q529="","",Data!Q529)</f>
        <v/>
      </c>
    </row>
    <row r="808" spans="2:5">
      <c r="B808" s="353" t="str">
        <f>IF(Data!A530="","",Data!A530)</f>
        <v/>
      </c>
      <c r="C808" s="353" t="str">
        <f>IF(Data!D530="","",Data!D530)</f>
        <v/>
      </c>
      <c r="D808" s="353" t="str">
        <f>IF(Data!I530="","",Data!I530)</f>
        <v/>
      </c>
      <c r="E808" s="359" t="str">
        <f>IF(Data!Q530="","",Data!Q530)</f>
        <v/>
      </c>
    </row>
    <row r="809" spans="2:5">
      <c r="B809" s="353" t="str">
        <f>IF(Data!A531="","",Data!A531)</f>
        <v/>
      </c>
      <c r="C809" s="353" t="str">
        <f>IF(Data!D531="","",Data!D531)</f>
        <v/>
      </c>
      <c r="D809" s="353" t="str">
        <f>IF(Data!I531="","",Data!I531)</f>
        <v/>
      </c>
      <c r="E809" s="359" t="str">
        <f>IF(Data!Q531="","",Data!Q531)</f>
        <v/>
      </c>
    </row>
    <row r="810" spans="2:5">
      <c r="B810" s="353" t="str">
        <f>IF(Data!A532="","",Data!A532)</f>
        <v/>
      </c>
      <c r="C810" s="353" t="str">
        <f>IF(Data!D532="","",Data!D532)</f>
        <v/>
      </c>
      <c r="D810" s="353" t="str">
        <f>IF(Data!I532="","",Data!I532)</f>
        <v/>
      </c>
      <c r="E810" s="359" t="str">
        <f>IF(Data!Q532="","",Data!Q532)</f>
        <v/>
      </c>
    </row>
    <row r="811" spans="2:5">
      <c r="B811" s="353" t="str">
        <f>IF(Data!A533="","",Data!A533)</f>
        <v/>
      </c>
      <c r="C811" s="353" t="str">
        <f>IF(Data!D533="","",Data!D533)</f>
        <v/>
      </c>
      <c r="D811" s="353" t="str">
        <f>IF(Data!I533="","",Data!I533)</f>
        <v/>
      </c>
      <c r="E811" s="359" t="str">
        <f>IF(Data!Q533="","",Data!Q533)</f>
        <v/>
      </c>
    </row>
    <row r="812" spans="2:5">
      <c r="B812" s="353" t="str">
        <f>IF(Data!A534="","",Data!A534)</f>
        <v/>
      </c>
      <c r="C812" s="353" t="str">
        <f>IF(Data!D534="","",Data!D534)</f>
        <v/>
      </c>
      <c r="D812" s="353" t="str">
        <f>IF(Data!I534="","",Data!I534)</f>
        <v/>
      </c>
      <c r="E812" s="359" t="str">
        <f>IF(Data!Q534="","",Data!Q534)</f>
        <v/>
      </c>
    </row>
    <row r="813" spans="2:5">
      <c r="B813" s="353" t="str">
        <f>IF(Data!A535="","",Data!A535)</f>
        <v/>
      </c>
      <c r="C813" s="353" t="str">
        <f>IF(Data!D535="","",Data!D535)</f>
        <v/>
      </c>
      <c r="D813" s="353" t="str">
        <f>IF(Data!I535="","",Data!I535)</f>
        <v/>
      </c>
      <c r="E813" s="359" t="str">
        <f>IF(Data!Q535="","",Data!Q535)</f>
        <v/>
      </c>
    </row>
    <row r="814" spans="2:5">
      <c r="B814" s="353" t="str">
        <f>IF(Data!A536="","",Data!A536)</f>
        <v/>
      </c>
      <c r="C814" s="353" t="str">
        <f>IF(Data!D536="","",Data!D536)</f>
        <v/>
      </c>
      <c r="D814" s="353" t="str">
        <f>IF(Data!I536="","",Data!I536)</f>
        <v/>
      </c>
      <c r="E814" s="359" t="str">
        <f>IF(Data!Q536="","",Data!Q536)</f>
        <v/>
      </c>
    </row>
    <row r="815" spans="2:5">
      <c r="B815" s="353" t="str">
        <f>IF(Data!A537="","",Data!A537)</f>
        <v/>
      </c>
      <c r="C815" s="353" t="str">
        <f>IF(Data!D537="","",Data!D537)</f>
        <v/>
      </c>
      <c r="D815" s="353" t="str">
        <f>IF(Data!I537="","",Data!I537)</f>
        <v/>
      </c>
      <c r="E815" s="359" t="str">
        <f>IF(Data!Q537="","",Data!Q537)</f>
        <v/>
      </c>
    </row>
    <row r="816" spans="2:5">
      <c r="B816" s="353" t="str">
        <f>IF(Data!A538="","",Data!A538)</f>
        <v/>
      </c>
      <c r="C816" s="353" t="str">
        <f>IF(Data!D538="","",Data!D538)</f>
        <v/>
      </c>
      <c r="D816" s="353" t="str">
        <f>IF(Data!I538="","",Data!I538)</f>
        <v/>
      </c>
      <c r="E816" s="359" t="str">
        <f>IF(Data!Q538="","",Data!Q538)</f>
        <v/>
      </c>
    </row>
    <row r="817" spans="2:5">
      <c r="B817" s="353" t="str">
        <f>IF(Data!A539="","",Data!A539)</f>
        <v/>
      </c>
      <c r="C817" s="353" t="str">
        <f>IF(Data!D539="","",Data!D539)</f>
        <v/>
      </c>
      <c r="D817" s="353" t="str">
        <f>IF(Data!I539="","",Data!I539)</f>
        <v/>
      </c>
      <c r="E817" s="359" t="str">
        <f>IF(Data!Q539="","",Data!Q539)</f>
        <v/>
      </c>
    </row>
    <row r="818" spans="2:5">
      <c r="B818" s="353" t="str">
        <f>IF(Data!A540="","",Data!A540)</f>
        <v/>
      </c>
      <c r="C818" s="353" t="str">
        <f>IF(Data!D540="","",Data!D540)</f>
        <v/>
      </c>
      <c r="D818" s="353" t="str">
        <f>IF(Data!I540="","",Data!I540)</f>
        <v/>
      </c>
      <c r="E818" s="359" t="str">
        <f>IF(Data!Q540="","",Data!Q540)</f>
        <v/>
      </c>
    </row>
    <row r="819" spans="2:5">
      <c r="B819" s="353" t="str">
        <f>IF(Data!A541="","",Data!A541)</f>
        <v/>
      </c>
      <c r="C819" s="353" t="str">
        <f>IF(Data!D541="","",Data!D541)</f>
        <v/>
      </c>
      <c r="D819" s="353" t="str">
        <f>IF(Data!I541="","",Data!I541)</f>
        <v/>
      </c>
      <c r="E819" s="359" t="str">
        <f>IF(Data!Q541="","",Data!Q541)</f>
        <v/>
      </c>
    </row>
    <row r="820" spans="2:5">
      <c r="B820" s="353" t="str">
        <f>IF(Data!A542="","",Data!A542)</f>
        <v/>
      </c>
      <c r="C820" s="353" t="str">
        <f>IF(Data!D542="","",Data!D542)</f>
        <v/>
      </c>
      <c r="D820" s="353" t="str">
        <f>IF(Data!I542="","",Data!I542)</f>
        <v/>
      </c>
      <c r="E820" s="359" t="str">
        <f>IF(Data!Q542="","",Data!Q542)</f>
        <v/>
      </c>
    </row>
    <row r="821" spans="2:5">
      <c r="B821" s="353" t="str">
        <f>IF(Data!A543="","",Data!A543)</f>
        <v/>
      </c>
      <c r="C821" s="353" t="str">
        <f>IF(Data!D543="","",Data!D543)</f>
        <v/>
      </c>
      <c r="D821" s="353" t="str">
        <f>IF(Data!I543="","",Data!I543)</f>
        <v/>
      </c>
      <c r="E821" s="359" t="str">
        <f>IF(Data!Q543="","",Data!Q543)</f>
        <v/>
      </c>
    </row>
    <row r="822" spans="2:5">
      <c r="B822" s="353" t="str">
        <f>IF(Data!A544="","",Data!A544)</f>
        <v/>
      </c>
      <c r="C822" s="353" t="str">
        <f>IF(Data!D544="","",Data!D544)</f>
        <v/>
      </c>
      <c r="D822" s="353" t="str">
        <f>IF(Data!I544="","",Data!I544)</f>
        <v/>
      </c>
      <c r="E822" s="359" t="str">
        <f>IF(Data!Q544="","",Data!Q544)</f>
        <v/>
      </c>
    </row>
    <row r="823" spans="2:5">
      <c r="B823" s="353" t="str">
        <f>IF(Data!A545="","",Data!A545)</f>
        <v/>
      </c>
      <c r="C823" s="353" t="str">
        <f>IF(Data!D545="","",Data!D545)</f>
        <v/>
      </c>
      <c r="D823" s="353" t="str">
        <f>IF(Data!I545="","",Data!I545)</f>
        <v/>
      </c>
      <c r="E823" s="359" t="str">
        <f>IF(Data!Q545="","",Data!Q545)</f>
        <v/>
      </c>
    </row>
    <row r="824" spans="2:5">
      <c r="B824" s="353" t="str">
        <f>IF(Data!A546="","",Data!A546)</f>
        <v/>
      </c>
      <c r="C824" s="353" t="str">
        <f>IF(Data!D546="","",Data!D546)</f>
        <v/>
      </c>
      <c r="D824" s="353" t="str">
        <f>IF(Data!I546="","",Data!I546)</f>
        <v/>
      </c>
      <c r="E824" s="359" t="str">
        <f>IF(Data!Q546="","",Data!Q546)</f>
        <v/>
      </c>
    </row>
    <row r="825" spans="2:5">
      <c r="B825" s="353" t="str">
        <f>IF(Data!A547="","",Data!A547)</f>
        <v/>
      </c>
      <c r="C825" s="353" t="str">
        <f>IF(Data!D547="","",Data!D547)</f>
        <v/>
      </c>
      <c r="D825" s="353" t="str">
        <f>IF(Data!I547="","",Data!I547)</f>
        <v/>
      </c>
      <c r="E825" s="359" t="str">
        <f>IF(Data!Q547="","",Data!Q547)</f>
        <v/>
      </c>
    </row>
    <row r="826" spans="2:5">
      <c r="B826" s="353" t="str">
        <f>IF(Data!A548="","",Data!A548)</f>
        <v/>
      </c>
      <c r="C826" s="353" t="str">
        <f>IF(Data!D548="","",Data!D548)</f>
        <v/>
      </c>
      <c r="D826" s="353" t="str">
        <f>IF(Data!I548="","",Data!I548)</f>
        <v/>
      </c>
      <c r="E826" s="359" t="str">
        <f>IF(Data!Q548="","",Data!Q548)</f>
        <v/>
      </c>
    </row>
    <row r="827" spans="2:5">
      <c r="B827" s="353" t="str">
        <f>IF(Data!A549="","",Data!A549)</f>
        <v/>
      </c>
      <c r="C827" s="353" t="str">
        <f>IF(Data!D549="","",Data!D549)</f>
        <v/>
      </c>
      <c r="D827" s="353" t="str">
        <f>IF(Data!I549="","",Data!I549)</f>
        <v/>
      </c>
      <c r="E827" s="359" t="str">
        <f>IF(Data!Q549="","",Data!Q549)</f>
        <v/>
      </c>
    </row>
    <row r="828" spans="2:5">
      <c r="B828" s="353" t="str">
        <f>IF(Data!A550="","",Data!A550)</f>
        <v/>
      </c>
      <c r="C828" s="353" t="str">
        <f>IF(Data!D550="","",Data!D550)</f>
        <v/>
      </c>
      <c r="D828" s="353" t="str">
        <f>IF(Data!I550="","",Data!I550)</f>
        <v/>
      </c>
      <c r="E828" s="359" t="str">
        <f>IF(Data!Q550="","",Data!Q550)</f>
        <v/>
      </c>
    </row>
    <row r="829" spans="2:5">
      <c r="B829" s="353" t="str">
        <f>IF(Data!A551="","",Data!A551)</f>
        <v/>
      </c>
      <c r="C829" s="353" t="str">
        <f>IF(Data!D551="","",Data!D551)</f>
        <v/>
      </c>
      <c r="D829" s="353" t="str">
        <f>IF(Data!I551="","",Data!I551)</f>
        <v/>
      </c>
      <c r="E829" s="359" t="str">
        <f>IF(Data!Q551="","",Data!Q551)</f>
        <v/>
      </c>
    </row>
    <row r="830" spans="2:5">
      <c r="B830" s="353" t="str">
        <f>IF(Data!A552="","",Data!A552)</f>
        <v/>
      </c>
      <c r="C830" s="353" t="str">
        <f>IF(Data!D552="","",Data!D552)</f>
        <v/>
      </c>
      <c r="D830" s="353" t="str">
        <f>IF(Data!I552="","",Data!I552)</f>
        <v/>
      </c>
      <c r="E830" s="359" t="str">
        <f>IF(Data!Q552="","",Data!Q552)</f>
        <v/>
      </c>
    </row>
    <row r="831" spans="2:5">
      <c r="B831" s="353" t="str">
        <f>IF(Data!A553="","",Data!A553)</f>
        <v/>
      </c>
      <c r="C831" s="353" t="str">
        <f>IF(Data!D553="","",Data!D553)</f>
        <v/>
      </c>
      <c r="D831" s="353" t="str">
        <f>IF(Data!I553="","",Data!I553)</f>
        <v/>
      </c>
      <c r="E831" s="359" t="str">
        <f>IF(Data!Q553="","",Data!Q553)</f>
        <v/>
      </c>
    </row>
    <row r="832" spans="2:5">
      <c r="B832" s="353" t="str">
        <f>IF(Data!A554="","",Data!A554)</f>
        <v/>
      </c>
      <c r="C832" s="353" t="str">
        <f>IF(Data!D554="","",Data!D554)</f>
        <v/>
      </c>
      <c r="D832" s="353" t="str">
        <f>IF(Data!I554="","",Data!I554)</f>
        <v/>
      </c>
      <c r="E832" s="359" t="str">
        <f>IF(Data!Q554="","",Data!Q554)</f>
        <v/>
      </c>
    </row>
    <row r="833" spans="2:5">
      <c r="B833" s="353" t="str">
        <f>IF(Data!A555="","",Data!A555)</f>
        <v/>
      </c>
      <c r="C833" s="353" t="str">
        <f>IF(Data!D555="","",Data!D555)</f>
        <v/>
      </c>
      <c r="D833" s="353" t="str">
        <f>IF(Data!I555="","",Data!I555)</f>
        <v/>
      </c>
      <c r="E833" s="359" t="str">
        <f>IF(Data!Q555="","",Data!Q555)</f>
        <v/>
      </c>
    </row>
    <row r="834" spans="2:5">
      <c r="B834" s="353" t="str">
        <f>IF(Data!A556="","",Data!A556)</f>
        <v/>
      </c>
      <c r="C834" s="353" t="str">
        <f>IF(Data!D556="","",Data!D556)</f>
        <v/>
      </c>
      <c r="D834" s="353" t="str">
        <f>IF(Data!I556="","",Data!I556)</f>
        <v/>
      </c>
      <c r="E834" s="359" t="str">
        <f>IF(Data!Q556="","",Data!Q556)</f>
        <v/>
      </c>
    </row>
    <row r="835" spans="2:5">
      <c r="B835" s="353" t="str">
        <f>IF(Data!A557="","",Data!A557)</f>
        <v/>
      </c>
      <c r="C835" s="353" t="str">
        <f>IF(Data!D557="","",Data!D557)</f>
        <v/>
      </c>
      <c r="D835" s="353" t="str">
        <f>IF(Data!I557="","",Data!I557)</f>
        <v/>
      </c>
      <c r="E835" s="359" t="str">
        <f>IF(Data!Q557="","",Data!Q557)</f>
        <v/>
      </c>
    </row>
    <row r="836" spans="2:5">
      <c r="B836" s="353" t="str">
        <f>IF(Data!A558="","",Data!A558)</f>
        <v/>
      </c>
      <c r="C836" s="353" t="str">
        <f>IF(Data!D558="","",Data!D558)</f>
        <v/>
      </c>
      <c r="D836" s="353" t="str">
        <f>IF(Data!I558="","",Data!I558)</f>
        <v/>
      </c>
      <c r="E836" s="359" t="str">
        <f>IF(Data!Q558="","",Data!Q558)</f>
        <v/>
      </c>
    </row>
    <row r="837" spans="2:5">
      <c r="B837" s="353" t="str">
        <f>IF(Data!A559="","",Data!A559)</f>
        <v/>
      </c>
      <c r="C837" s="353" t="str">
        <f>IF(Data!D559="","",Data!D559)</f>
        <v/>
      </c>
      <c r="D837" s="353" t="str">
        <f>IF(Data!I559="","",Data!I559)</f>
        <v/>
      </c>
      <c r="E837" s="359" t="str">
        <f>IF(Data!Q559="","",Data!Q559)</f>
        <v/>
      </c>
    </row>
    <row r="838" spans="2:5">
      <c r="B838" s="353" t="str">
        <f>IF(Data!A560="","",Data!A560)</f>
        <v/>
      </c>
      <c r="C838" s="353" t="str">
        <f>IF(Data!D560="","",Data!D560)</f>
        <v/>
      </c>
      <c r="D838" s="353" t="str">
        <f>IF(Data!I560="","",Data!I560)</f>
        <v/>
      </c>
      <c r="E838" s="359" t="str">
        <f>IF(Data!Q560="","",Data!Q560)</f>
        <v/>
      </c>
    </row>
    <row r="839" spans="2:5">
      <c r="B839" s="353" t="str">
        <f>IF(Data!A561="","",Data!A561)</f>
        <v/>
      </c>
      <c r="C839" s="353" t="str">
        <f>IF(Data!D561="","",Data!D561)</f>
        <v/>
      </c>
      <c r="D839" s="353" t="str">
        <f>IF(Data!I561="","",Data!I561)</f>
        <v/>
      </c>
      <c r="E839" s="359" t="str">
        <f>IF(Data!Q561="","",Data!Q561)</f>
        <v/>
      </c>
    </row>
    <row r="840" spans="2:5">
      <c r="B840" s="353" t="str">
        <f>IF(Data!A562="","",Data!A562)</f>
        <v/>
      </c>
      <c r="C840" s="353" t="str">
        <f>IF(Data!D562="","",Data!D562)</f>
        <v/>
      </c>
      <c r="D840" s="353" t="str">
        <f>IF(Data!I562="","",Data!I562)</f>
        <v/>
      </c>
      <c r="E840" s="359" t="str">
        <f>IF(Data!Q562="","",Data!Q562)</f>
        <v/>
      </c>
    </row>
    <row r="841" spans="2:5">
      <c r="B841" s="353" t="str">
        <f>IF(Data!A563="","",Data!A563)</f>
        <v/>
      </c>
      <c r="C841" s="353" t="str">
        <f>IF(Data!D563="","",Data!D563)</f>
        <v/>
      </c>
      <c r="D841" s="353" t="str">
        <f>IF(Data!I563="","",Data!I563)</f>
        <v/>
      </c>
      <c r="E841" s="359" t="str">
        <f>IF(Data!Q563="","",Data!Q563)</f>
        <v/>
      </c>
    </row>
    <row r="842" spans="2:5">
      <c r="B842" s="353" t="str">
        <f>IF(Data!A564="","",Data!A564)</f>
        <v/>
      </c>
      <c r="C842" s="353" t="str">
        <f>IF(Data!D564="","",Data!D564)</f>
        <v/>
      </c>
      <c r="D842" s="353" t="str">
        <f>IF(Data!I564="","",Data!I564)</f>
        <v/>
      </c>
      <c r="E842" s="359" t="str">
        <f>IF(Data!Q564="","",Data!Q564)</f>
        <v/>
      </c>
    </row>
    <row r="843" spans="2:5">
      <c r="B843" s="353" t="str">
        <f>IF(Data!A565="","",Data!A565)</f>
        <v/>
      </c>
      <c r="C843" s="353" t="str">
        <f>IF(Data!D565="","",Data!D565)</f>
        <v/>
      </c>
      <c r="D843" s="353" t="str">
        <f>IF(Data!I565="","",Data!I565)</f>
        <v/>
      </c>
      <c r="E843" s="359" t="str">
        <f>IF(Data!Q565="","",Data!Q565)</f>
        <v/>
      </c>
    </row>
    <row r="844" spans="2:5">
      <c r="B844" s="353" t="str">
        <f>IF(Data!A566="","",Data!A566)</f>
        <v/>
      </c>
      <c r="C844" s="353" t="str">
        <f>IF(Data!D566="","",Data!D566)</f>
        <v/>
      </c>
      <c r="D844" s="353" t="str">
        <f>IF(Data!I566="","",Data!I566)</f>
        <v/>
      </c>
      <c r="E844" s="359" t="str">
        <f>IF(Data!Q566="","",Data!Q566)</f>
        <v/>
      </c>
    </row>
    <row r="845" spans="2:5">
      <c r="B845" s="353" t="str">
        <f>IF(Data!A567="","",Data!A567)</f>
        <v/>
      </c>
      <c r="C845" s="353" t="str">
        <f>IF(Data!D567="","",Data!D567)</f>
        <v/>
      </c>
      <c r="D845" s="353" t="str">
        <f>IF(Data!I567="","",Data!I567)</f>
        <v/>
      </c>
      <c r="E845" s="359" t="str">
        <f>IF(Data!Q567="","",Data!Q567)</f>
        <v/>
      </c>
    </row>
    <row r="846" spans="2:5">
      <c r="B846" s="353" t="str">
        <f>IF(Data!A568="","",Data!A568)</f>
        <v/>
      </c>
      <c r="C846" s="353" t="str">
        <f>IF(Data!D568="","",Data!D568)</f>
        <v/>
      </c>
      <c r="D846" s="353" t="str">
        <f>IF(Data!I568="","",Data!I568)</f>
        <v/>
      </c>
      <c r="E846" s="359" t="str">
        <f>IF(Data!Q568="","",Data!Q568)</f>
        <v/>
      </c>
    </row>
    <row r="847" spans="2:5">
      <c r="B847" s="353" t="str">
        <f>IF(Data!A569="","",Data!A569)</f>
        <v/>
      </c>
      <c r="C847" s="353" t="str">
        <f>IF(Data!D569="","",Data!D569)</f>
        <v/>
      </c>
      <c r="D847" s="353" t="str">
        <f>IF(Data!I569="","",Data!I569)</f>
        <v/>
      </c>
      <c r="E847" s="359" t="str">
        <f>IF(Data!Q569="","",Data!Q569)</f>
        <v/>
      </c>
    </row>
    <row r="848" spans="2:5">
      <c r="B848" s="353" t="str">
        <f>IF(Data!A570="","",Data!A570)</f>
        <v/>
      </c>
      <c r="C848" s="353" t="str">
        <f>IF(Data!D570="","",Data!D570)</f>
        <v/>
      </c>
      <c r="D848" s="353" t="str">
        <f>IF(Data!I570="","",Data!I570)</f>
        <v/>
      </c>
      <c r="E848" s="359" t="str">
        <f>IF(Data!Q570="","",Data!Q570)</f>
        <v/>
      </c>
    </row>
    <row r="849" spans="2:5">
      <c r="B849" s="353" t="str">
        <f>IF(Data!A571="","",Data!A571)</f>
        <v/>
      </c>
      <c r="C849" s="353" t="str">
        <f>IF(Data!D571="","",Data!D571)</f>
        <v/>
      </c>
      <c r="D849" s="353" t="str">
        <f>IF(Data!I571="","",Data!I571)</f>
        <v/>
      </c>
      <c r="E849" s="359" t="str">
        <f>IF(Data!Q571="","",Data!Q571)</f>
        <v/>
      </c>
    </row>
    <row r="850" spans="2:5">
      <c r="B850" s="353" t="str">
        <f>IF(Data!A572="","",Data!A572)</f>
        <v/>
      </c>
      <c r="C850" s="353" t="str">
        <f>IF(Data!D572="","",Data!D572)</f>
        <v/>
      </c>
      <c r="D850" s="353" t="str">
        <f>IF(Data!I572="","",Data!I572)</f>
        <v/>
      </c>
      <c r="E850" s="359" t="str">
        <f>IF(Data!Q572="","",Data!Q572)</f>
        <v/>
      </c>
    </row>
    <row r="851" spans="2:5">
      <c r="B851" s="353" t="str">
        <f>IF(Data!A573="","",Data!A573)</f>
        <v/>
      </c>
      <c r="C851" s="353" t="str">
        <f>IF(Data!D573="","",Data!D573)</f>
        <v/>
      </c>
      <c r="D851" s="353" t="str">
        <f>IF(Data!I573="","",Data!I573)</f>
        <v/>
      </c>
      <c r="E851" s="359" t="str">
        <f>IF(Data!Q573="","",Data!Q573)</f>
        <v/>
      </c>
    </row>
    <row r="852" spans="2:5">
      <c r="B852" s="353" t="str">
        <f>IF(Data!A574="","",Data!A574)</f>
        <v/>
      </c>
      <c r="C852" s="353" t="str">
        <f>IF(Data!D574="","",Data!D574)</f>
        <v/>
      </c>
      <c r="D852" s="353" t="str">
        <f>IF(Data!I574="","",Data!I574)</f>
        <v/>
      </c>
      <c r="E852" s="359" t="str">
        <f>IF(Data!Q574="","",Data!Q574)</f>
        <v/>
      </c>
    </row>
    <row r="853" spans="2:5">
      <c r="B853" s="353" t="str">
        <f>IF(Data!A575="","",Data!A575)</f>
        <v/>
      </c>
      <c r="C853" s="353" t="str">
        <f>IF(Data!D575="","",Data!D575)</f>
        <v/>
      </c>
      <c r="D853" s="353" t="str">
        <f>IF(Data!I575="","",Data!I575)</f>
        <v/>
      </c>
      <c r="E853" s="359" t="str">
        <f>IF(Data!Q575="","",Data!Q575)</f>
        <v/>
      </c>
    </row>
    <row r="854" spans="2:5">
      <c r="B854" s="353" t="str">
        <f>IF(Data!A576="","",Data!A576)</f>
        <v/>
      </c>
      <c r="C854" s="353" t="str">
        <f>IF(Data!D576="","",Data!D576)</f>
        <v/>
      </c>
      <c r="D854" s="353" t="str">
        <f>IF(Data!I576="","",Data!I576)</f>
        <v/>
      </c>
      <c r="E854" s="359" t="str">
        <f>IF(Data!Q576="","",Data!Q576)</f>
        <v/>
      </c>
    </row>
    <row r="855" spans="2:5">
      <c r="B855" s="353" t="str">
        <f>IF(Data!A577="","",Data!A577)</f>
        <v/>
      </c>
      <c r="C855" s="353" t="str">
        <f>IF(Data!D577="","",Data!D577)</f>
        <v/>
      </c>
      <c r="D855" s="353" t="str">
        <f>IF(Data!I577="","",Data!I577)</f>
        <v/>
      </c>
      <c r="E855" s="359" t="str">
        <f>IF(Data!Q577="","",Data!Q577)</f>
        <v/>
      </c>
    </row>
    <row r="856" spans="2:5">
      <c r="B856" s="353" t="str">
        <f>IF(Data!A578="","",Data!A578)</f>
        <v/>
      </c>
      <c r="C856" s="353" t="str">
        <f>IF(Data!D578="","",Data!D578)</f>
        <v/>
      </c>
      <c r="D856" s="353" t="str">
        <f>IF(Data!I578="","",Data!I578)</f>
        <v/>
      </c>
      <c r="E856" s="359" t="str">
        <f>IF(Data!Q578="","",Data!Q578)</f>
        <v/>
      </c>
    </row>
    <row r="857" spans="2:5">
      <c r="B857" s="353" t="str">
        <f>IF(Data!A579="","",Data!A579)</f>
        <v/>
      </c>
      <c r="C857" s="353" t="str">
        <f>IF(Data!D579="","",Data!D579)</f>
        <v/>
      </c>
      <c r="D857" s="353" t="str">
        <f>IF(Data!I579="","",Data!I579)</f>
        <v/>
      </c>
      <c r="E857" s="359" t="str">
        <f>IF(Data!Q579="","",Data!Q579)</f>
        <v/>
      </c>
    </row>
    <row r="858" spans="2:5">
      <c r="B858" s="353" t="str">
        <f>IF(Data!A580="","",Data!A580)</f>
        <v/>
      </c>
      <c r="C858" s="353" t="str">
        <f>IF(Data!D580="","",Data!D580)</f>
        <v/>
      </c>
      <c r="D858" s="353" t="str">
        <f>IF(Data!I580="","",Data!I580)</f>
        <v/>
      </c>
      <c r="E858" s="359" t="str">
        <f>IF(Data!Q580="","",Data!Q580)</f>
        <v/>
      </c>
    </row>
    <row r="859" spans="2:5">
      <c r="B859" s="353" t="str">
        <f>IF(Data!A581="","",Data!A581)</f>
        <v/>
      </c>
      <c r="C859" s="353" t="str">
        <f>IF(Data!D581="","",Data!D581)</f>
        <v/>
      </c>
      <c r="D859" s="353" t="str">
        <f>IF(Data!I581="","",Data!I581)</f>
        <v/>
      </c>
      <c r="E859" s="359" t="str">
        <f>IF(Data!Q581="","",Data!Q581)</f>
        <v/>
      </c>
    </row>
    <row r="860" spans="2:5">
      <c r="B860" s="353" t="str">
        <f>IF(Data!A582="","",Data!A582)</f>
        <v/>
      </c>
      <c r="C860" s="353" t="str">
        <f>IF(Data!D582="","",Data!D582)</f>
        <v/>
      </c>
      <c r="D860" s="353" t="str">
        <f>IF(Data!I582="","",Data!I582)</f>
        <v/>
      </c>
      <c r="E860" s="359" t="str">
        <f>IF(Data!Q582="","",Data!Q582)</f>
        <v/>
      </c>
    </row>
    <row r="861" spans="2:5">
      <c r="B861" s="353" t="str">
        <f>IF(Data!A583="","",Data!A583)</f>
        <v/>
      </c>
      <c r="C861" s="353" t="str">
        <f>IF(Data!D583="","",Data!D583)</f>
        <v/>
      </c>
      <c r="D861" s="353" t="str">
        <f>IF(Data!I583="","",Data!I583)</f>
        <v/>
      </c>
      <c r="E861" s="359" t="str">
        <f>IF(Data!Q583="","",Data!Q583)</f>
        <v/>
      </c>
    </row>
    <row r="862" spans="2:5">
      <c r="B862" s="353" t="str">
        <f>IF(Data!A584="","",Data!A584)</f>
        <v/>
      </c>
      <c r="C862" s="353" t="str">
        <f>IF(Data!D584="","",Data!D584)</f>
        <v/>
      </c>
      <c r="D862" s="353" t="str">
        <f>IF(Data!I584="","",Data!I584)</f>
        <v/>
      </c>
      <c r="E862" s="359" t="str">
        <f>IF(Data!Q584="","",Data!Q584)</f>
        <v/>
      </c>
    </row>
    <row r="863" spans="2:5">
      <c r="B863" s="353" t="str">
        <f>IF(Data!A585="","",Data!A585)</f>
        <v/>
      </c>
      <c r="C863" s="353" t="str">
        <f>IF(Data!D585="","",Data!D585)</f>
        <v/>
      </c>
      <c r="D863" s="353" t="str">
        <f>IF(Data!I585="","",Data!I585)</f>
        <v/>
      </c>
      <c r="E863" s="359" t="str">
        <f>IF(Data!Q585="","",Data!Q585)</f>
        <v/>
      </c>
    </row>
    <row r="864" spans="2:5">
      <c r="B864" s="353" t="str">
        <f>IF(Data!A586="","",Data!A586)</f>
        <v/>
      </c>
      <c r="C864" s="353" t="str">
        <f>IF(Data!D586="","",Data!D586)</f>
        <v/>
      </c>
      <c r="D864" s="353" t="str">
        <f>IF(Data!I586="","",Data!I586)</f>
        <v/>
      </c>
      <c r="E864" s="359" t="str">
        <f>IF(Data!Q586="","",Data!Q586)</f>
        <v/>
      </c>
    </row>
    <row r="865" spans="2:5">
      <c r="B865" s="353" t="str">
        <f>IF(Data!A587="","",Data!A587)</f>
        <v/>
      </c>
      <c r="C865" s="353" t="str">
        <f>IF(Data!D587="","",Data!D587)</f>
        <v/>
      </c>
      <c r="D865" s="353" t="str">
        <f>IF(Data!I587="","",Data!I587)</f>
        <v/>
      </c>
      <c r="E865" s="359" t="str">
        <f>IF(Data!Q587="","",Data!Q587)</f>
        <v/>
      </c>
    </row>
    <row r="866" spans="2:5">
      <c r="B866" s="353" t="str">
        <f>IF(Data!A588="","",Data!A588)</f>
        <v/>
      </c>
      <c r="C866" s="353" t="str">
        <f>IF(Data!D588="","",Data!D588)</f>
        <v/>
      </c>
      <c r="D866" s="353" t="str">
        <f>IF(Data!I588="","",Data!I588)</f>
        <v/>
      </c>
      <c r="E866" s="359" t="str">
        <f>IF(Data!Q588="","",Data!Q588)</f>
        <v/>
      </c>
    </row>
    <row r="867" spans="2:5">
      <c r="B867" s="353" t="str">
        <f>IF(Data!A589="","",Data!A589)</f>
        <v/>
      </c>
      <c r="C867" s="353" t="str">
        <f>IF(Data!D589="","",Data!D589)</f>
        <v/>
      </c>
      <c r="D867" s="353" t="str">
        <f>IF(Data!I589="","",Data!I589)</f>
        <v/>
      </c>
      <c r="E867" s="359" t="str">
        <f>IF(Data!Q589="","",Data!Q589)</f>
        <v/>
      </c>
    </row>
    <row r="868" spans="2:5">
      <c r="B868" s="353" t="str">
        <f>IF(Data!A590="","",Data!A590)</f>
        <v/>
      </c>
      <c r="C868" s="353" t="str">
        <f>IF(Data!D590="","",Data!D590)</f>
        <v/>
      </c>
      <c r="D868" s="353" t="str">
        <f>IF(Data!I590="","",Data!I590)</f>
        <v/>
      </c>
      <c r="E868" s="359" t="str">
        <f>IF(Data!Q590="","",Data!Q590)</f>
        <v/>
      </c>
    </row>
    <row r="869" spans="2:5">
      <c r="B869" s="353" t="str">
        <f>IF(Data!A591="","",Data!A591)</f>
        <v/>
      </c>
      <c r="C869" s="353" t="str">
        <f>IF(Data!D591="","",Data!D591)</f>
        <v/>
      </c>
      <c r="D869" s="353" t="str">
        <f>IF(Data!I591="","",Data!I591)</f>
        <v/>
      </c>
      <c r="E869" s="359" t="str">
        <f>IF(Data!Q591="","",Data!Q591)</f>
        <v/>
      </c>
    </row>
    <row r="870" spans="2:5">
      <c r="B870" s="353" t="str">
        <f>IF(Data!A592="","",Data!A592)</f>
        <v/>
      </c>
      <c r="C870" s="353" t="str">
        <f>IF(Data!D592="","",Data!D592)</f>
        <v/>
      </c>
      <c r="D870" s="353" t="str">
        <f>IF(Data!I592="","",Data!I592)</f>
        <v/>
      </c>
      <c r="E870" s="359" t="str">
        <f>IF(Data!Q592="","",Data!Q592)</f>
        <v/>
      </c>
    </row>
    <row r="871" spans="2:5">
      <c r="B871" s="353" t="str">
        <f>IF(Data!A593="","",Data!A593)</f>
        <v/>
      </c>
      <c r="C871" s="353" t="str">
        <f>IF(Data!D593="","",Data!D593)</f>
        <v/>
      </c>
      <c r="D871" s="353" t="str">
        <f>IF(Data!I593="","",Data!I593)</f>
        <v/>
      </c>
      <c r="E871" s="359" t="str">
        <f>IF(Data!Q593="","",Data!Q593)</f>
        <v/>
      </c>
    </row>
    <row r="872" spans="2:5">
      <c r="B872" s="353" t="str">
        <f>IF(Data!A594="","",Data!A594)</f>
        <v/>
      </c>
      <c r="C872" s="353" t="str">
        <f>IF(Data!D594="","",Data!D594)</f>
        <v/>
      </c>
      <c r="D872" s="353" t="str">
        <f>IF(Data!I594="","",Data!I594)</f>
        <v/>
      </c>
      <c r="E872" s="359" t="str">
        <f>IF(Data!Q594="","",Data!Q594)</f>
        <v/>
      </c>
    </row>
    <row r="873" spans="2:5">
      <c r="B873" s="353" t="str">
        <f>IF(Data!A595="","",Data!A595)</f>
        <v/>
      </c>
      <c r="C873" s="353" t="str">
        <f>IF(Data!D595="","",Data!D595)</f>
        <v/>
      </c>
      <c r="D873" s="353" t="str">
        <f>IF(Data!I595="","",Data!I595)</f>
        <v/>
      </c>
      <c r="E873" s="359" t="str">
        <f>IF(Data!Q595="","",Data!Q595)</f>
        <v/>
      </c>
    </row>
    <row r="874" spans="2:5">
      <c r="B874" s="353" t="str">
        <f>IF(Data!A596="","",Data!A596)</f>
        <v/>
      </c>
      <c r="C874" s="353" t="str">
        <f>IF(Data!D596="","",Data!D596)</f>
        <v/>
      </c>
      <c r="D874" s="353" t="str">
        <f>IF(Data!I596="","",Data!I596)</f>
        <v/>
      </c>
      <c r="E874" s="359" t="str">
        <f>IF(Data!Q596="","",Data!Q596)</f>
        <v/>
      </c>
    </row>
    <row r="875" spans="2:5">
      <c r="B875" s="353" t="str">
        <f>IF(Data!A597="","",Data!A597)</f>
        <v/>
      </c>
      <c r="C875" s="353" t="str">
        <f>IF(Data!D597="","",Data!D597)</f>
        <v/>
      </c>
      <c r="D875" s="353" t="str">
        <f>IF(Data!I597="","",Data!I597)</f>
        <v/>
      </c>
      <c r="E875" s="359" t="str">
        <f>IF(Data!Q597="","",Data!Q597)</f>
        <v/>
      </c>
    </row>
    <row r="876" spans="2:5">
      <c r="B876" s="353" t="str">
        <f>IF(Data!A598="","",Data!A598)</f>
        <v/>
      </c>
      <c r="C876" s="353" t="str">
        <f>IF(Data!D598="","",Data!D598)</f>
        <v/>
      </c>
      <c r="D876" s="353" t="str">
        <f>IF(Data!I598="","",Data!I598)</f>
        <v/>
      </c>
      <c r="E876" s="359" t="str">
        <f>IF(Data!Q598="","",Data!Q598)</f>
        <v/>
      </c>
    </row>
    <row r="877" spans="2:5">
      <c r="B877" s="353" t="str">
        <f>IF(Data!A599="","",Data!A599)</f>
        <v/>
      </c>
      <c r="C877" s="353" t="str">
        <f>IF(Data!D599="","",Data!D599)</f>
        <v/>
      </c>
      <c r="D877" s="353" t="str">
        <f>IF(Data!I599="","",Data!I599)</f>
        <v/>
      </c>
      <c r="E877" s="359" t="str">
        <f>IF(Data!Q599="","",Data!Q599)</f>
        <v/>
      </c>
    </row>
    <row r="878" spans="2:5">
      <c r="B878" s="353" t="str">
        <f>IF(Data!A600="","",Data!A600)</f>
        <v/>
      </c>
      <c r="C878" s="353" t="str">
        <f>IF(Data!D600="","",Data!D600)</f>
        <v/>
      </c>
      <c r="D878" s="353" t="str">
        <f>IF(Data!I600="","",Data!I600)</f>
        <v/>
      </c>
      <c r="E878" s="359" t="str">
        <f>IF(Data!Q600="","",Data!Q600)</f>
        <v/>
      </c>
    </row>
    <row r="879" spans="2:5">
      <c r="B879" s="353" t="str">
        <f>IF(Data!A601="","",Data!A601)</f>
        <v/>
      </c>
      <c r="C879" s="353" t="str">
        <f>IF(Data!D601="","",Data!D601)</f>
        <v/>
      </c>
      <c r="D879" s="353" t="str">
        <f>IF(Data!I601="","",Data!I601)</f>
        <v/>
      </c>
      <c r="E879" s="359" t="str">
        <f>IF(Data!Q601="","",Data!Q601)</f>
        <v/>
      </c>
    </row>
    <row r="880" spans="2:5">
      <c r="B880" s="353" t="str">
        <f>IF(Data!A602="","",Data!A602)</f>
        <v/>
      </c>
      <c r="C880" s="353" t="str">
        <f>IF(Data!D602="","",Data!D602)</f>
        <v/>
      </c>
      <c r="D880" s="353" t="str">
        <f>IF(Data!I602="","",Data!I602)</f>
        <v/>
      </c>
      <c r="E880" s="359" t="str">
        <f>IF(Data!Q602="","",Data!Q602)</f>
        <v/>
      </c>
    </row>
    <row r="881" spans="2:5">
      <c r="B881" s="353" t="str">
        <f>IF(Data!A603="","",Data!A603)</f>
        <v/>
      </c>
      <c r="C881" s="353" t="str">
        <f>IF(Data!D603="","",Data!D603)</f>
        <v/>
      </c>
      <c r="D881" s="353" t="str">
        <f>IF(Data!I603="","",Data!I603)</f>
        <v/>
      </c>
      <c r="E881" s="359" t="str">
        <f>IF(Data!Q603="","",Data!Q603)</f>
        <v/>
      </c>
    </row>
    <row r="882" spans="2:5">
      <c r="B882" s="353" t="str">
        <f>IF(Data!A604="","",Data!A604)</f>
        <v/>
      </c>
      <c r="C882" s="353" t="str">
        <f>IF(Data!D604="","",Data!D604)</f>
        <v/>
      </c>
      <c r="D882" s="353" t="str">
        <f>IF(Data!I604="","",Data!I604)</f>
        <v/>
      </c>
      <c r="E882" s="359" t="str">
        <f>IF(Data!Q604="","",Data!Q604)</f>
        <v/>
      </c>
    </row>
    <row r="883" spans="2:5">
      <c r="B883" s="353" t="str">
        <f>IF(Data!A605="","",Data!A605)</f>
        <v/>
      </c>
      <c r="C883" s="353" t="str">
        <f>IF(Data!D605="","",Data!D605)</f>
        <v/>
      </c>
      <c r="D883" s="353" t="str">
        <f>IF(Data!I605="","",Data!I605)</f>
        <v/>
      </c>
      <c r="E883" s="359" t="str">
        <f>IF(Data!Q605="","",Data!Q605)</f>
        <v/>
      </c>
    </row>
    <row r="884" spans="2:5">
      <c r="B884" s="353" t="str">
        <f>IF(Data!A606="","",Data!A606)</f>
        <v/>
      </c>
      <c r="C884" s="353" t="str">
        <f>IF(Data!D606="","",Data!D606)</f>
        <v/>
      </c>
      <c r="D884" s="353" t="str">
        <f>IF(Data!I606="","",Data!I606)</f>
        <v/>
      </c>
      <c r="E884" s="359" t="str">
        <f>IF(Data!Q606="","",Data!Q606)</f>
        <v/>
      </c>
    </row>
    <row r="885" spans="2:5">
      <c r="B885" s="353" t="str">
        <f>IF(Data!A607="","",Data!A607)</f>
        <v/>
      </c>
      <c r="C885" s="353" t="str">
        <f>IF(Data!D607="","",Data!D607)</f>
        <v/>
      </c>
      <c r="D885" s="353" t="str">
        <f>IF(Data!I607="","",Data!I607)</f>
        <v/>
      </c>
      <c r="E885" s="359" t="str">
        <f>IF(Data!Q607="","",Data!Q607)</f>
        <v/>
      </c>
    </row>
    <row r="886" spans="2:5">
      <c r="B886" s="353" t="str">
        <f>IF(Data!A608="","",Data!A608)</f>
        <v/>
      </c>
      <c r="C886" s="353" t="str">
        <f>IF(Data!D608="","",Data!D608)</f>
        <v/>
      </c>
      <c r="D886" s="353" t="str">
        <f>IF(Data!I608="","",Data!I608)</f>
        <v/>
      </c>
      <c r="E886" s="359" t="str">
        <f>IF(Data!Q608="","",Data!Q608)</f>
        <v/>
      </c>
    </row>
    <row r="887" spans="2:5">
      <c r="B887" s="353" t="str">
        <f>IF(Data!A609="","",Data!A609)</f>
        <v/>
      </c>
      <c r="C887" s="353" t="str">
        <f>IF(Data!D609="","",Data!D609)</f>
        <v/>
      </c>
      <c r="D887" s="353" t="str">
        <f>IF(Data!I609="","",Data!I609)</f>
        <v/>
      </c>
      <c r="E887" s="359" t="str">
        <f>IF(Data!Q609="","",Data!Q609)</f>
        <v/>
      </c>
    </row>
    <row r="888" spans="2:5">
      <c r="B888" s="353" t="str">
        <f>IF(Data!A610="","",Data!A610)</f>
        <v/>
      </c>
      <c r="C888" s="353" t="str">
        <f>IF(Data!D610="","",Data!D610)</f>
        <v/>
      </c>
      <c r="D888" s="353" t="str">
        <f>IF(Data!I610="","",Data!I610)</f>
        <v/>
      </c>
      <c r="E888" s="359" t="str">
        <f>IF(Data!Q610="","",Data!Q610)</f>
        <v/>
      </c>
    </row>
    <row r="889" spans="2:5">
      <c r="B889" s="353" t="str">
        <f>IF(Data!A611="","",Data!A611)</f>
        <v/>
      </c>
      <c r="C889" s="353" t="str">
        <f>IF(Data!D611="","",Data!D611)</f>
        <v/>
      </c>
      <c r="D889" s="353" t="str">
        <f>IF(Data!I611="","",Data!I611)</f>
        <v/>
      </c>
      <c r="E889" s="359" t="str">
        <f>IF(Data!Q611="","",Data!Q611)</f>
        <v/>
      </c>
    </row>
    <row r="890" spans="2:5">
      <c r="B890" s="353" t="str">
        <f>IF(Data!A612="","",Data!A612)</f>
        <v/>
      </c>
      <c r="C890" s="353" t="str">
        <f>IF(Data!D612="","",Data!D612)</f>
        <v/>
      </c>
      <c r="D890" s="353" t="str">
        <f>IF(Data!I612="","",Data!I612)</f>
        <v/>
      </c>
      <c r="E890" s="359" t="str">
        <f>IF(Data!Q612="","",Data!Q612)</f>
        <v/>
      </c>
    </row>
    <row r="891" spans="2:5">
      <c r="B891" s="353" t="str">
        <f>IF(Data!A613="","",Data!A613)</f>
        <v/>
      </c>
      <c r="C891" s="353" t="str">
        <f>IF(Data!D613="","",Data!D613)</f>
        <v/>
      </c>
      <c r="D891" s="353" t="str">
        <f>IF(Data!I613="","",Data!I613)</f>
        <v/>
      </c>
      <c r="E891" s="359" t="str">
        <f>IF(Data!Q613="","",Data!Q613)</f>
        <v/>
      </c>
    </row>
    <row r="892" spans="2:5">
      <c r="B892" s="353" t="str">
        <f>IF(Data!A614="","",Data!A614)</f>
        <v/>
      </c>
      <c r="C892" s="353" t="str">
        <f>IF(Data!D614="","",Data!D614)</f>
        <v/>
      </c>
      <c r="D892" s="353" t="str">
        <f>IF(Data!I614="","",Data!I614)</f>
        <v/>
      </c>
      <c r="E892" s="359" t="str">
        <f>IF(Data!Q614="","",Data!Q614)</f>
        <v/>
      </c>
    </row>
    <row r="893" spans="2:5">
      <c r="B893" s="353" t="str">
        <f>IF(Data!A615="","",Data!A615)</f>
        <v/>
      </c>
      <c r="C893" s="353" t="str">
        <f>IF(Data!D615="","",Data!D615)</f>
        <v/>
      </c>
      <c r="D893" s="353" t="str">
        <f>IF(Data!I615="","",Data!I615)</f>
        <v/>
      </c>
      <c r="E893" s="359" t="str">
        <f>IF(Data!Q615="","",Data!Q615)</f>
        <v/>
      </c>
    </row>
    <row r="894" spans="2:5">
      <c r="B894" s="353" t="str">
        <f>IF(Data!A616="","",Data!A616)</f>
        <v/>
      </c>
      <c r="C894" s="353" t="str">
        <f>IF(Data!D616="","",Data!D616)</f>
        <v/>
      </c>
      <c r="D894" s="353" t="str">
        <f>IF(Data!I616="","",Data!I616)</f>
        <v/>
      </c>
      <c r="E894" s="359" t="str">
        <f>IF(Data!Q616="","",Data!Q616)</f>
        <v/>
      </c>
    </row>
    <row r="895" spans="2:5">
      <c r="B895" s="353" t="str">
        <f>IF(Data!A617="","",Data!A617)</f>
        <v/>
      </c>
      <c r="C895" s="353" t="str">
        <f>IF(Data!D617="","",Data!D617)</f>
        <v/>
      </c>
      <c r="D895" s="353" t="str">
        <f>IF(Data!I617="","",Data!I617)</f>
        <v/>
      </c>
      <c r="E895" s="359" t="str">
        <f>IF(Data!Q617="","",Data!Q617)</f>
        <v/>
      </c>
    </row>
    <row r="896" spans="2:5">
      <c r="B896" s="353" t="str">
        <f>IF(Data!A618="","",Data!A618)</f>
        <v/>
      </c>
      <c r="C896" s="353" t="str">
        <f>IF(Data!D618="","",Data!D618)</f>
        <v/>
      </c>
      <c r="D896" s="353" t="str">
        <f>IF(Data!I618="","",Data!I618)</f>
        <v/>
      </c>
      <c r="E896" s="359" t="str">
        <f>IF(Data!Q618="","",Data!Q618)</f>
        <v/>
      </c>
    </row>
    <row r="897" spans="2:5">
      <c r="B897" s="353" t="str">
        <f>IF(Data!A619="","",Data!A619)</f>
        <v/>
      </c>
      <c r="C897" s="353" t="str">
        <f>IF(Data!D619="","",Data!D619)</f>
        <v/>
      </c>
      <c r="D897" s="353" t="str">
        <f>IF(Data!I619="","",Data!I619)</f>
        <v/>
      </c>
      <c r="E897" s="359" t="str">
        <f>IF(Data!Q619="","",Data!Q619)</f>
        <v/>
      </c>
    </row>
    <row r="898" spans="2:5">
      <c r="B898" s="353" t="str">
        <f>IF(Data!A620="","",Data!A620)</f>
        <v/>
      </c>
      <c r="C898" s="353" t="str">
        <f>IF(Data!D620="","",Data!D620)</f>
        <v/>
      </c>
      <c r="D898" s="353" t="str">
        <f>IF(Data!I620="","",Data!I620)</f>
        <v/>
      </c>
      <c r="E898" s="359" t="str">
        <f>IF(Data!Q620="","",Data!Q620)</f>
        <v/>
      </c>
    </row>
    <row r="899" spans="2:5">
      <c r="B899" s="353" t="str">
        <f>IF(Data!A621="","",Data!A621)</f>
        <v/>
      </c>
      <c r="C899" s="353" t="str">
        <f>IF(Data!D621="","",Data!D621)</f>
        <v/>
      </c>
      <c r="D899" s="353" t="str">
        <f>IF(Data!I621="","",Data!I621)</f>
        <v/>
      </c>
      <c r="E899" s="359" t="str">
        <f>IF(Data!Q621="","",Data!Q621)</f>
        <v/>
      </c>
    </row>
    <row r="900" spans="2:5">
      <c r="B900" s="353" t="str">
        <f>IF(Data!A622="","",Data!A622)</f>
        <v/>
      </c>
      <c r="C900" s="353" t="str">
        <f>IF(Data!D622="","",Data!D622)</f>
        <v/>
      </c>
      <c r="D900" s="353" t="str">
        <f>IF(Data!I622="","",Data!I622)</f>
        <v/>
      </c>
      <c r="E900" s="359" t="str">
        <f>IF(Data!Q622="","",Data!Q622)</f>
        <v/>
      </c>
    </row>
    <row r="1285" spans="1:47" s="354" customFormat="1">
      <c r="A1285" s="369" t="s">
        <v>348</v>
      </c>
      <c r="D1285" s="354" t="s">
        <v>349</v>
      </c>
      <c r="F1285" s="354" t="s">
        <v>350</v>
      </c>
      <c r="H1285" s="354" t="s">
        <v>351</v>
      </c>
      <c r="J1285" s="354" t="s">
        <v>32</v>
      </c>
      <c r="L1285" s="354" t="s">
        <v>352</v>
      </c>
      <c r="Q1285" s="354" t="s">
        <v>353</v>
      </c>
      <c r="T1285" s="354" t="s">
        <v>354</v>
      </c>
      <c r="X1285" s="354" t="s">
        <v>355</v>
      </c>
      <c r="AA1285" s="354" t="s">
        <v>356</v>
      </c>
      <c r="AE1285" s="370" t="s">
        <v>357</v>
      </c>
      <c r="AH1285" s="354" t="s">
        <v>358</v>
      </c>
      <c r="AM1285" s="354" t="s">
        <v>359</v>
      </c>
      <c r="AO1285" s="354" t="s">
        <v>360</v>
      </c>
      <c r="AQ1285" s="354" t="s">
        <v>361</v>
      </c>
      <c r="AS1285" s="354" t="s">
        <v>362</v>
      </c>
      <c r="AU1285" s="354" t="s">
        <v>363</v>
      </c>
    </row>
    <row r="1286" spans="1:47" s="354" customFormat="1">
      <c r="A1286" s="354" t="s">
        <v>361</v>
      </c>
      <c r="D1286" s="354" t="s">
        <v>307</v>
      </c>
      <c r="F1286" s="354" t="s">
        <v>364</v>
      </c>
      <c r="H1286" s="354" t="s">
        <v>307</v>
      </c>
      <c r="J1286" s="354" t="s">
        <v>307</v>
      </c>
      <c r="L1286" s="354" t="s">
        <v>365</v>
      </c>
      <c r="Q1286" s="354" t="s">
        <v>366</v>
      </c>
      <c r="T1286" s="354" t="s">
        <v>367</v>
      </c>
      <c r="X1286" s="354" t="s">
        <v>368</v>
      </c>
      <c r="AA1286" s="354" t="s">
        <v>369</v>
      </c>
      <c r="AE1286" s="354" t="s">
        <v>370</v>
      </c>
      <c r="AH1286" s="354" t="s">
        <v>371</v>
      </c>
      <c r="AM1286" s="354" t="s">
        <v>372</v>
      </c>
      <c r="AO1286" s="354" t="s">
        <v>307</v>
      </c>
      <c r="AQ1286" s="354" t="s">
        <v>307</v>
      </c>
      <c r="AS1286" s="354" t="s">
        <v>307</v>
      </c>
      <c r="AU1286" s="354" t="s">
        <v>307</v>
      </c>
    </row>
    <row r="1287" spans="1:47" s="354" customFormat="1">
      <c r="A1287" s="354" t="s">
        <v>745</v>
      </c>
      <c r="F1287" s="354" t="s">
        <v>373</v>
      </c>
      <c r="L1287" s="354" t="s">
        <v>374</v>
      </c>
      <c r="Q1287" s="354" t="s">
        <v>375</v>
      </c>
      <c r="T1287" s="354" t="s">
        <v>376</v>
      </c>
      <c r="X1287" s="354" t="s">
        <v>377</v>
      </c>
      <c r="AA1287" s="354" t="s">
        <v>378</v>
      </c>
      <c r="AE1287" s="354" t="s">
        <v>379</v>
      </c>
      <c r="AH1287" s="354" t="s">
        <v>380</v>
      </c>
      <c r="AM1287" s="354" t="s">
        <v>381</v>
      </c>
    </row>
    <row r="1288" spans="1:47" s="354" customFormat="1">
      <c r="A1288" s="354" t="s">
        <v>32</v>
      </c>
      <c r="F1288" s="354" t="s">
        <v>382</v>
      </c>
      <c r="L1288" s="354" t="s">
        <v>383</v>
      </c>
      <c r="Q1288" s="354" t="s">
        <v>384</v>
      </c>
      <c r="T1288" s="354" t="s">
        <v>385</v>
      </c>
      <c r="X1288" s="354" t="s">
        <v>386</v>
      </c>
      <c r="AA1288" s="354" t="s">
        <v>387</v>
      </c>
      <c r="AE1288" s="354" t="s">
        <v>388</v>
      </c>
      <c r="AH1288" s="354" t="s">
        <v>389</v>
      </c>
      <c r="AM1288" s="354" t="s">
        <v>390</v>
      </c>
    </row>
    <row r="1289" spans="1:47" s="354" customFormat="1">
      <c r="A1289" s="354" t="s">
        <v>746</v>
      </c>
      <c r="F1289" s="354" t="s">
        <v>391</v>
      </c>
      <c r="L1289" s="354" t="s">
        <v>392</v>
      </c>
      <c r="Q1289" s="354" t="s">
        <v>393</v>
      </c>
      <c r="T1289" s="354" t="s">
        <v>394</v>
      </c>
      <c r="X1289" s="354" t="s">
        <v>395</v>
      </c>
      <c r="AA1289" s="354" t="s">
        <v>396</v>
      </c>
      <c r="AE1289" s="354" t="s">
        <v>397</v>
      </c>
      <c r="AH1289" s="354" t="s">
        <v>47</v>
      </c>
      <c r="AM1289" s="354" t="s">
        <v>398</v>
      </c>
    </row>
    <row r="1290" spans="1:47" s="354" customFormat="1">
      <c r="A1290" s="354" t="s">
        <v>353</v>
      </c>
      <c r="F1290" s="354" t="s">
        <v>399</v>
      </c>
      <c r="L1290" s="354" t="s">
        <v>400</v>
      </c>
      <c r="Q1290" s="354" t="s">
        <v>401</v>
      </c>
      <c r="T1290" s="354" t="s">
        <v>402</v>
      </c>
      <c r="X1290" s="354" t="s">
        <v>403</v>
      </c>
      <c r="AA1290" s="354" t="s">
        <v>404</v>
      </c>
      <c r="AE1290" s="354" t="s">
        <v>405</v>
      </c>
    </row>
    <row r="1291" spans="1:47" s="354" customFormat="1">
      <c r="A1291" s="354" t="s">
        <v>352</v>
      </c>
      <c r="F1291" s="354" t="s">
        <v>406</v>
      </c>
      <c r="L1291" s="354" t="s">
        <v>407</v>
      </c>
      <c r="Q1291" s="354" t="s">
        <v>408</v>
      </c>
      <c r="T1291" s="354" t="s">
        <v>409</v>
      </c>
      <c r="X1291" s="354" t="s">
        <v>410</v>
      </c>
      <c r="AA1291" s="354" t="s">
        <v>411</v>
      </c>
      <c r="AE1291" s="354" t="s">
        <v>412</v>
      </c>
    </row>
    <row r="1292" spans="1:47" s="354" customFormat="1">
      <c r="A1292" s="354" t="s">
        <v>747</v>
      </c>
      <c r="F1292" s="354" t="s">
        <v>413</v>
      </c>
      <c r="L1292" s="354" t="s">
        <v>414</v>
      </c>
      <c r="Q1292" s="354" t="s">
        <v>415</v>
      </c>
      <c r="T1292" s="354" t="s">
        <v>416</v>
      </c>
      <c r="X1292" s="354" t="s">
        <v>417</v>
      </c>
      <c r="AA1292" s="354" t="s">
        <v>418</v>
      </c>
      <c r="AE1292" s="354" t="s">
        <v>419</v>
      </c>
    </row>
    <row r="1293" spans="1:47" s="354" customFormat="1">
      <c r="A1293" s="354" t="s">
        <v>748</v>
      </c>
      <c r="F1293" s="354" t="s">
        <v>47</v>
      </c>
      <c r="L1293" s="354" t="s">
        <v>420</v>
      </c>
      <c r="Q1293" s="354" t="s">
        <v>421</v>
      </c>
      <c r="T1293" s="354" t="s">
        <v>422</v>
      </c>
      <c r="X1293" s="354" t="s">
        <v>423</v>
      </c>
      <c r="AA1293" s="354" t="s">
        <v>424</v>
      </c>
      <c r="AE1293" s="354" t="s">
        <v>425</v>
      </c>
    </row>
    <row r="1294" spans="1:47" s="354" customFormat="1">
      <c r="A1294" s="354" t="s">
        <v>362</v>
      </c>
      <c r="L1294" s="354" t="s">
        <v>426</v>
      </c>
      <c r="Q1294" s="354" t="s">
        <v>427</v>
      </c>
      <c r="T1294" s="354" t="s">
        <v>428</v>
      </c>
      <c r="X1294" s="354" t="s">
        <v>429</v>
      </c>
      <c r="AA1294" s="354" t="s">
        <v>430</v>
      </c>
      <c r="AE1294" s="354" t="s">
        <v>431</v>
      </c>
    </row>
    <row r="1295" spans="1:47" s="354" customFormat="1">
      <c r="A1295" s="354" t="s">
        <v>749</v>
      </c>
      <c r="L1295" s="354" t="s">
        <v>432</v>
      </c>
      <c r="Q1295" s="354" t="s">
        <v>433</v>
      </c>
      <c r="T1295" s="354" t="s">
        <v>434</v>
      </c>
      <c r="X1295" s="354" t="s">
        <v>435</v>
      </c>
      <c r="AA1295" s="354" t="s">
        <v>436</v>
      </c>
      <c r="AE1295" s="354" t="s">
        <v>437</v>
      </c>
    </row>
    <row r="1296" spans="1:47" s="354" customFormat="1">
      <c r="A1296" s="354" t="s">
        <v>750</v>
      </c>
      <c r="L1296" s="354" t="s">
        <v>438</v>
      </c>
      <c r="Q1296" s="354" t="s">
        <v>439</v>
      </c>
      <c r="T1296" s="354" t="s">
        <v>440</v>
      </c>
      <c r="X1296" s="354" t="s">
        <v>441</v>
      </c>
      <c r="AA1296" s="354" t="s">
        <v>442</v>
      </c>
      <c r="AE1296" s="354" t="s">
        <v>443</v>
      </c>
    </row>
    <row r="1297" spans="1:31" s="354" customFormat="1">
      <c r="A1297" s="354" t="s">
        <v>354</v>
      </c>
      <c r="L1297" s="354" t="s">
        <v>444</v>
      </c>
      <c r="Q1297" s="354" t="s">
        <v>850</v>
      </c>
      <c r="T1297" s="354" t="s">
        <v>445</v>
      </c>
      <c r="X1297" s="354" t="s">
        <v>446</v>
      </c>
      <c r="AA1297" s="354" t="s">
        <v>447</v>
      </c>
      <c r="AE1297" s="354" t="s">
        <v>47</v>
      </c>
    </row>
    <row r="1298" spans="1:31" s="354" customFormat="1">
      <c r="A1298" s="354" t="s">
        <v>360</v>
      </c>
      <c r="L1298" s="354" t="s">
        <v>448</v>
      </c>
      <c r="T1298" s="354" t="s">
        <v>449</v>
      </c>
      <c r="X1298" s="354" t="s">
        <v>450</v>
      </c>
      <c r="AA1298" s="354" t="s">
        <v>451</v>
      </c>
    </row>
    <row r="1299" spans="1:31" s="354" customFormat="1">
      <c r="A1299" s="354" t="s">
        <v>751</v>
      </c>
      <c r="L1299" s="354" t="s">
        <v>452</v>
      </c>
      <c r="T1299" s="354" t="s">
        <v>453</v>
      </c>
      <c r="X1299" s="354" t="s">
        <v>454</v>
      </c>
      <c r="AA1299" s="354" t="s">
        <v>47</v>
      </c>
    </row>
    <row r="1300" spans="1:31" s="354" customFormat="1">
      <c r="A1300" s="354" t="s">
        <v>752</v>
      </c>
      <c r="L1300" s="354" t="s">
        <v>455</v>
      </c>
      <c r="T1300" s="354" t="s">
        <v>456</v>
      </c>
      <c r="X1300" s="354" t="s">
        <v>457</v>
      </c>
    </row>
    <row r="1301" spans="1:31" s="354" customFormat="1">
      <c r="A1301" s="354" t="s">
        <v>47</v>
      </c>
      <c r="L1301" s="354" t="s">
        <v>458</v>
      </c>
      <c r="T1301" s="354" t="s">
        <v>459</v>
      </c>
      <c r="X1301" s="354" t="s">
        <v>460</v>
      </c>
    </row>
    <row r="1302" spans="1:31" s="354" customFormat="1">
      <c r="L1302" s="354" t="s">
        <v>461</v>
      </c>
      <c r="T1302" s="354" t="s">
        <v>462</v>
      </c>
      <c r="X1302" s="354" t="s">
        <v>463</v>
      </c>
    </row>
    <row r="1303" spans="1:31" s="354" customFormat="1">
      <c r="L1303" s="354" t="s">
        <v>464</v>
      </c>
      <c r="T1303" s="354" t="s">
        <v>465</v>
      </c>
      <c r="X1303" s="354" t="s">
        <v>466</v>
      </c>
    </row>
    <row r="1304" spans="1:31" s="354" customFormat="1">
      <c r="L1304" s="354" t="s">
        <v>467</v>
      </c>
      <c r="T1304" s="354" t="s">
        <v>468</v>
      </c>
      <c r="X1304" s="354" t="s">
        <v>852</v>
      </c>
    </row>
    <row r="1305" spans="1:31" s="354" customFormat="1">
      <c r="A1305" s="354" t="s">
        <v>480</v>
      </c>
      <c r="D1305" s="354" t="s">
        <v>829</v>
      </c>
      <c r="F1305" s="354" t="s">
        <v>831</v>
      </c>
      <c r="H1305" s="354" t="s">
        <v>483</v>
      </c>
      <c r="J1305" s="354" t="s">
        <v>66</v>
      </c>
      <c r="L1305" s="354" t="s">
        <v>469</v>
      </c>
      <c r="T1305" s="354" t="s">
        <v>470</v>
      </c>
    </row>
    <row r="1306" spans="1:31" s="354" customFormat="1">
      <c r="A1306" s="354" t="s">
        <v>481</v>
      </c>
      <c r="D1306" s="354" t="s">
        <v>485</v>
      </c>
      <c r="F1306" s="354" t="s">
        <v>832</v>
      </c>
      <c r="H1306" s="354" t="s">
        <v>840</v>
      </c>
      <c r="J1306" s="354" t="s">
        <v>847</v>
      </c>
      <c r="L1306" s="354" t="s">
        <v>471</v>
      </c>
      <c r="T1306" s="354" t="s">
        <v>851</v>
      </c>
    </row>
    <row r="1307" spans="1:31" s="354" customFormat="1">
      <c r="A1307" s="354" t="s">
        <v>482</v>
      </c>
      <c r="D1307" s="354" t="s">
        <v>830</v>
      </c>
      <c r="F1307" s="354" t="s">
        <v>833</v>
      </c>
      <c r="H1307" s="354" t="s">
        <v>841</v>
      </c>
      <c r="J1307" s="354" t="s">
        <v>848</v>
      </c>
      <c r="L1307" s="354" t="s">
        <v>472</v>
      </c>
    </row>
    <row r="1308" spans="1:31" s="354" customFormat="1">
      <c r="A1308" s="354" t="s">
        <v>483</v>
      </c>
      <c r="D1308" s="354" t="s">
        <v>486</v>
      </c>
      <c r="F1308" s="354" t="s">
        <v>834</v>
      </c>
      <c r="H1308" s="354" t="s">
        <v>842</v>
      </c>
      <c r="L1308" s="354" t="s">
        <v>473</v>
      </c>
    </row>
    <row r="1309" spans="1:31" s="354" customFormat="1">
      <c r="A1309" s="354" t="s">
        <v>66</v>
      </c>
      <c r="D1309" s="354" t="s">
        <v>47</v>
      </c>
      <c r="F1309" s="354" t="s">
        <v>835</v>
      </c>
      <c r="H1309" s="354" t="s">
        <v>843</v>
      </c>
      <c r="L1309" s="354" t="s">
        <v>474</v>
      </c>
    </row>
    <row r="1310" spans="1:31" s="354" customFormat="1">
      <c r="A1310" s="354" t="s">
        <v>47</v>
      </c>
      <c r="F1310" s="354" t="s">
        <v>836</v>
      </c>
      <c r="H1310" s="354" t="s">
        <v>844</v>
      </c>
      <c r="L1310" s="354" t="s">
        <v>475</v>
      </c>
    </row>
    <row r="1311" spans="1:31" s="354" customFormat="1">
      <c r="F1311" s="354" t="s">
        <v>837</v>
      </c>
      <c r="H1311" s="354" t="s">
        <v>845</v>
      </c>
      <c r="L1311" s="354" t="s">
        <v>476</v>
      </c>
    </row>
    <row r="1312" spans="1:31" s="354" customFormat="1">
      <c r="F1312" s="354" t="s">
        <v>838</v>
      </c>
      <c r="H1312" s="354" t="s">
        <v>846</v>
      </c>
      <c r="L1312" s="354" t="s">
        <v>477</v>
      </c>
    </row>
    <row r="1313" spans="2:12" s="354" customFormat="1">
      <c r="F1313" s="354" t="s">
        <v>839</v>
      </c>
      <c r="L1313" s="354" t="s">
        <v>478</v>
      </c>
    </row>
    <row r="1314" spans="2:12" s="354" customFormat="1">
      <c r="F1314" s="354" t="s">
        <v>47</v>
      </c>
      <c r="L1314" s="354" t="s">
        <v>479</v>
      </c>
    </row>
    <row r="1315" spans="2:12" s="354" customFormat="1">
      <c r="L1315" s="354" t="s">
        <v>849</v>
      </c>
    </row>
    <row r="1319" spans="2:12">
      <c r="B1319" s="353" t="s">
        <v>243</v>
      </c>
    </row>
    <row r="1321" spans="2:12">
      <c r="B1321" s="353" t="s">
        <v>806</v>
      </c>
    </row>
    <row r="1322" spans="2:12" s="409" customFormat="1">
      <c r="B1322" s="409" t="s">
        <v>949</v>
      </c>
    </row>
    <row r="1323" spans="2:12">
      <c r="B1323" s="353" t="s">
        <v>808</v>
      </c>
    </row>
    <row r="1324" spans="2:12">
      <c r="B1324" s="353" t="s">
        <v>246</v>
      </c>
    </row>
    <row r="1325" spans="2:12" s="409" customFormat="1">
      <c r="B1325" s="412" t="s">
        <v>947</v>
      </c>
    </row>
    <row r="1326" spans="2:12" s="409" customFormat="1">
      <c r="B1326" s="409" t="s">
        <v>948</v>
      </c>
    </row>
    <row r="1327" spans="2:12" s="409" customFormat="1">
      <c r="B1327" s="409" t="s">
        <v>950</v>
      </c>
    </row>
    <row r="1328" spans="2:12">
      <c r="B1328" s="353" t="s">
        <v>244</v>
      </c>
    </row>
    <row r="1329" spans="2:2">
      <c r="B1329" s="353" t="s">
        <v>807</v>
      </c>
    </row>
    <row r="1330" spans="2:2">
      <c r="B1330" s="353" t="s">
        <v>245</v>
      </c>
    </row>
    <row r="1337" spans="2:2">
      <c r="B1337" s="353" t="s">
        <v>219</v>
      </c>
    </row>
    <row r="1339" spans="2:2">
      <c r="B1339" s="353" t="s">
        <v>962</v>
      </c>
    </row>
    <row r="1340" spans="2:2">
      <c r="B1340" s="353" t="s">
        <v>963</v>
      </c>
    </row>
    <row r="1341" spans="2:2">
      <c r="B1341" s="353" t="s">
        <v>964</v>
      </c>
    </row>
    <row r="1342" spans="2:2">
      <c r="B1342" s="353" t="s">
        <v>965</v>
      </c>
    </row>
    <row r="1343" spans="2:2">
      <c r="B1343" s="353" t="s">
        <v>966</v>
      </c>
    </row>
    <row r="1346" spans="2:2">
      <c r="B1346" s="409" t="s">
        <v>565</v>
      </c>
    </row>
    <row r="1347" spans="2:2">
      <c r="B1347" s="409"/>
    </row>
    <row r="1348" spans="2:2">
      <c r="B1348" s="409" t="s">
        <v>562</v>
      </c>
    </row>
    <row r="1349" spans="2:2">
      <c r="B1349" s="409" t="s">
        <v>788</v>
      </c>
    </row>
    <row r="1350" spans="2:2">
      <c r="B1350" s="409" t="s">
        <v>793</v>
      </c>
    </row>
    <row r="1351" spans="2:2">
      <c r="B1351" s="409" t="s">
        <v>802</v>
      </c>
    </row>
    <row r="1352" spans="2:2">
      <c r="B1352" s="409" t="s">
        <v>792</v>
      </c>
    </row>
    <row r="1353" spans="2:2">
      <c r="B1353" s="409" t="s">
        <v>798</v>
      </c>
    </row>
    <row r="1354" spans="2:2">
      <c r="B1354" s="409" t="s">
        <v>564</v>
      </c>
    </row>
    <row r="1355" spans="2:2">
      <c r="B1355" s="409" t="s">
        <v>791</v>
      </c>
    </row>
    <row r="1356" spans="2:2">
      <c r="B1356" s="409" t="s">
        <v>800</v>
      </c>
    </row>
    <row r="1357" spans="2:2">
      <c r="B1357" s="409" t="s">
        <v>789</v>
      </c>
    </row>
    <row r="1358" spans="2:2">
      <c r="B1358" s="409" t="s">
        <v>803</v>
      </c>
    </row>
    <row r="1359" spans="2:2">
      <c r="B1359" s="409" t="s">
        <v>796</v>
      </c>
    </row>
    <row r="1360" spans="2:2">
      <c r="B1360" s="409" t="s">
        <v>797</v>
      </c>
    </row>
    <row r="1361" spans="2:2">
      <c r="B1361" s="409" t="s">
        <v>790</v>
      </c>
    </row>
    <row r="1362" spans="2:2">
      <c r="B1362" s="409" t="s">
        <v>801</v>
      </c>
    </row>
    <row r="1363" spans="2:2">
      <c r="B1363" s="409" t="s">
        <v>805</v>
      </c>
    </row>
    <row r="1364" spans="2:2">
      <c r="B1364" s="409" t="s">
        <v>795</v>
      </c>
    </row>
    <row r="1365" spans="2:2">
      <c r="B1365" s="409" t="s">
        <v>794</v>
      </c>
    </row>
    <row r="1366" spans="2:2">
      <c r="B1366" s="409" t="s">
        <v>804</v>
      </c>
    </row>
    <row r="1367" spans="2:2">
      <c r="B1367" s="409" t="s">
        <v>799</v>
      </c>
    </row>
  </sheetData>
  <sheetProtection algorithmName="SHA-512" hashValue="DhC7We43IBgfc0xfYkNjvsEMoZJYuo5NMBicBqObhLdJJ+nTMgcsoCertW8GMgR92CcJGlpyKpS82CvVjZRGTA==" saltValue="CAL0pLEwbod50pWc2GIgnA==" spinCount="100000" sheet="1" objects="1" scenarios="1"/>
  <sortState ref="A141:A146">
    <sortCondition ref="A141"/>
  </sortState>
  <mergeCells count="92">
    <mergeCell ref="T698:W699"/>
    <mergeCell ref="AE213:AF213"/>
    <mergeCell ref="A188:B188"/>
    <mergeCell ref="F191:H191"/>
    <mergeCell ref="I191:K191"/>
    <mergeCell ref="A191:B191"/>
    <mergeCell ref="A203:B203"/>
    <mergeCell ref="A204:B204"/>
    <mergeCell ref="A192:B192"/>
    <mergeCell ref="A198:B198"/>
    <mergeCell ref="A199:B199"/>
    <mergeCell ref="A200:B200"/>
    <mergeCell ref="C191:E191"/>
    <mergeCell ref="A215:B215"/>
    <mergeCell ref="AC213:AD213"/>
    <mergeCell ref="AA213:AB213"/>
    <mergeCell ref="A185:B185"/>
    <mergeCell ref="A186:B186"/>
    <mergeCell ref="A187:B187"/>
    <mergeCell ref="L698:O699"/>
    <mergeCell ref="P698:S699"/>
    <mergeCell ref="A216:B216"/>
    <mergeCell ref="A217:B217"/>
    <mergeCell ref="C213:D213"/>
    <mergeCell ref="E213:F213"/>
    <mergeCell ref="G213:H213"/>
    <mergeCell ref="P191:R191"/>
    <mergeCell ref="A180:B180"/>
    <mergeCell ref="A181:B181"/>
    <mergeCell ref="A182:B182"/>
    <mergeCell ref="A183:B183"/>
    <mergeCell ref="A184:B184"/>
    <mergeCell ref="A175:B175"/>
    <mergeCell ref="A176:B176"/>
    <mergeCell ref="A177:B177"/>
    <mergeCell ref="A178:B178"/>
    <mergeCell ref="A179:B179"/>
    <mergeCell ref="B135:C135"/>
    <mergeCell ref="A16:A17"/>
    <mergeCell ref="B130:C130"/>
    <mergeCell ref="B131:C131"/>
    <mergeCell ref="B134:C134"/>
    <mergeCell ref="B16:I16"/>
    <mergeCell ref="B88:D88"/>
    <mergeCell ref="F88:H88"/>
    <mergeCell ref="C151:C152"/>
    <mergeCell ref="A151: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209:B209"/>
    <mergeCell ref="A210:B210"/>
    <mergeCell ref="A211:B211"/>
    <mergeCell ref="A208:B208"/>
    <mergeCell ref="A205:B205"/>
    <mergeCell ref="A206:B206"/>
    <mergeCell ref="A201:B201"/>
    <mergeCell ref="A202:B202"/>
    <mergeCell ref="A193:B193"/>
    <mergeCell ref="A194:B194"/>
    <mergeCell ref="A195:B195"/>
    <mergeCell ref="A196:B196"/>
    <mergeCell ref="A197:B197"/>
    <mergeCell ref="A173:B173"/>
    <mergeCell ref="A174:B174"/>
    <mergeCell ref="AD88:AI88"/>
    <mergeCell ref="AJ88:AO88"/>
    <mergeCell ref="L191:N191"/>
    <mergeCell ref="Q213:R213"/>
    <mergeCell ref="S213:T213"/>
    <mergeCell ref="U213:V213"/>
    <mergeCell ref="W213:X213"/>
    <mergeCell ref="Y213:Z213"/>
    <mergeCell ref="J88:L88"/>
    <mergeCell ref="N88:P88"/>
    <mergeCell ref="I213:J213"/>
    <mergeCell ref="K213:L213"/>
    <mergeCell ref="M213:N213"/>
    <mergeCell ref="O213:P213"/>
    <mergeCell ref="R88:W88"/>
    <mergeCell ref="X88:AC88"/>
  </mergeCells>
  <dataValidations xWindow="43" yWindow="515" count="3">
    <dataValidation type="list" allowBlank="1" showInputMessage="1" showErrorMessage="1" sqref="D17 AB22 V17">
      <formula1>"English, Math, Science, Filipino, MAPEH, EPP/TLE, APP, EsP,Others"</formula1>
    </dataValidation>
    <dataValidation allowBlank="1" showInputMessage="1" showErrorMessage="1" promptTitle="Project Title" prompt="(ex. School Fencing)" sqref="A153:B166"/>
    <dataValidation type="list" allowBlank="1" showDropDown="1" showInputMessage="1" showErrorMessage="1" sqref="L1286:L1310 JJ1286:JJ1310 TF1286:TF1310 ADB1286:ADB1310 AMX1286:AMX1310 AWT1286:AWT1310 BGP1286:BGP1310 BQL1286:BQL1310 CAH1286:CAH1310 CKD1286:CKD1310 CTZ1286:CTZ1310 DDV1286:DDV1310 DNR1286:DNR1310 DXN1286:DXN1310 EHJ1286:EHJ1310 ERF1286:ERF1310 FBB1286:FBB1310 FKX1286:FKX1310 FUT1286:FUT1310 GEP1286:GEP1310 GOL1286:GOL1310 GYH1286:GYH1310 HID1286:HID1310 HRZ1286:HRZ1310 IBV1286:IBV1310 ILR1286:ILR1310 IVN1286:IVN1310 JFJ1286:JFJ1310 JPF1286:JPF1310 JZB1286:JZB1310 KIX1286:KIX1310 KST1286:KST1310 LCP1286:LCP1310 LML1286:LML1310 LWH1286:LWH1310 MGD1286:MGD1310 MPZ1286:MPZ1310 MZV1286:MZV1310 NJR1286:NJR1310 NTN1286:NTN1310 ODJ1286:ODJ1310 ONF1286:ONF1310 OXB1286:OXB1310 PGX1286:PGX1310 PQT1286:PQT1310 QAP1286:QAP1310 QKL1286:QKL1310 QUH1286:QUH1310 RED1286:RED1310 RNZ1286:RNZ1310 RXV1286:RXV1310 SHR1286:SHR1310 SRN1286:SRN1310 TBJ1286:TBJ1310 TLF1286:TLF1310 TVB1286:TVB1310 UEX1286:UEX1310 UOT1286:UOT1310 UYP1286:UYP1310 VIL1286:VIL1310 VSH1286:VSH1310 WCD1286:WCD1310 WLZ1286:WLZ1310 WVV1286:WVV1310">
      <formula1>$L$17:$L$47</formula1>
    </dataValidation>
  </dataValidations>
  <pageMargins left="0.7" right="0.7" top="0.75" bottom="0.75" header="0.3" footer="0.3"/>
  <pageSetup paperSize="10000" orientation="portrait" horizontalDpi="4294967293" verticalDpi="0" r:id="rId1"/>
  <ignoredErrors>
    <ignoredError sqref="U52:U54" formula="1"/>
    <ignoredError sqref="A153:A155 A157:A160"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14"/>
  <sheetViews>
    <sheetView showGridLines="0" zoomScaleNormal="100" workbookViewId="0">
      <pane xSplit="2" ySplit="3" topLeftCell="O364" activePane="bottomRight" state="frozen"/>
      <selection sqref="A1:E3"/>
      <selection pane="topRight" sqref="A1:E3"/>
      <selection pane="bottomLeft" sqref="A1:E3"/>
      <selection pane="bottomRight" activeCell="J370" sqref="J370"/>
    </sheetView>
  </sheetViews>
  <sheetFormatPr defaultColWidth="9.109375" defaultRowHeight="14.4"/>
  <cols>
    <col min="1" max="1" width="16.109375" style="1" customWidth="1"/>
    <col min="2" max="2" width="8" style="1" customWidth="1"/>
    <col min="3" max="4" width="6.44140625" style="1" customWidth="1"/>
    <col min="5" max="5" width="8.5546875" style="1" customWidth="1"/>
    <col min="6" max="9" width="9.5546875" style="1" customWidth="1"/>
    <col min="10" max="10" width="11.44140625" style="1" customWidth="1"/>
    <col min="11" max="11" width="14.6640625" style="1" customWidth="1"/>
    <col min="12" max="20" width="9.5546875" style="1" customWidth="1"/>
    <col min="21" max="21" width="8.33203125" style="1" customWidth="1"/>
    <col min="22" max="26" width="6.44140625" style="1" customWidth="1"/>
    <col min="27" max="27" width="8.88671875" style="1" customWidth="1"/>
    <col min="28" max="29" width="6.44140625" style="1" customWidth="1"/>
    <col min="30" max="30" width="4.5546875" style="1" bestFit="1" customWidth="1"/>
    <col min="31" max="32" width="5.88671875" style="1" customWidth="1"/>
    <col min="33" max="33" width="7.44140625" style="1" customWidth="1"/>
    <col min="34" max="34" width="5.88671875" style="1" customWidth="1"/>
    <col min="35" max="35" width="6.5546875" style="1" bestFit="1" customWidth="1"/>
    <col min="36" max="36" width="4.5546875" style="1" bestFit="1" customWidth="1"/>
    <col min="37" max="37" width="6.5546875" style="1" bestFit="1" customWidth="1"/>
    <col min="38" max="38" width="4.5546875" style="1" bestFit="1" customWidth="1"/>
    <col min="39" max="39" width="6.5546875" style="1" bestFit="1" customWidth="1"/>
    <col min="40" max="40" width="4.5546875" style="1" bestFit="1" customWidth="1"/>
    <col min="41" max="41" width="6.5546875" style="1" bestFit="1" customWidth="1"/>
    <col min="42" max="42" width="4.5546875" style="1" bestFit="1" customWidth="1"/>
    <col min="43" max="43" width="6.5546875" style="1" bestFit="1" customWidth="1"/>
    <col min="44" max="44" width="4.5546875" style="1" bestFit="1" customWidth="1"/>
    <col min="45" max="45" width="6.5546875" style="1" bestFit="1" customWidth="1"/>
    <col min="46" max="16384" width="9.109375" style="1"/>
  </cols>
  <sheetData>
    <row r="1" spans="1:49" s="41" customFormat="1" ht="34.5" customHeight="1" thickBot="1">
      <c r="A1" s="50"/>
      <c r="B1" s="719" t="s">
        <v>112</v>
      </c>
      <c r="C1" s="719"/>
      <c r="D1" s="715" t="s">
        <v>211</v>
      </c>
      <c r="E1" s="715"/>
      <c r="F1" s="715" t="s">
        <v>329</v>
      </c>
      <c r="G1" s="715"/>
      <c r="H1" s="715" t="s">
        <v>138</v>
      </c>
      <c r="I1" s="715"/>
      <c r="J1" s="715" t="s">
        <v>140</v>
      </c>
      <c r="K1" s="715"/>
      <c r="L1" s="715" t="s">
        <v>212</v>
      </c>
      <c r="M1" s="715"/>
      <c r="N1" s="721" t="s">
        <v>213</v>
      </c>
      <c r="O1" s="721"/>
      <c r="P1" s="721" t="s">
        <v>98</v>
      </c>
      <c r="Q1" s="721"/>
      <c r="R1" s="194"/>
      <c r="S1" s="195"/>
      <c r="T1" s="736"/>
      <c r="U1" s="736"/>
      <c r="V1" s="736"/>
      <c r="W1" s="736"/>
      <c r="X1" s="736"/>
      <c r="Y1" s="736"/>
      <c r="Z1" s="736"/>
      <c r="AA1" s="736"/>
      <c r="AB1" s="736"/>
      <c r="AC1" s="736"/>
      <c r="AD1" s="736"/>
      <c r="AE1" s="736"/>
      <c r="AF1" s="736"/>
      <c r="AG1" s="736"/>
      <c r="AH1" s="736"/>
      <c r="AI1" s="736"/>
      <c r="AJ1" s="736"/>
      <c r="AK1" s="736"/>
      <c r="AL1" s="736"/>
      <c r="AM1" s="736"/>
      <c r="AN1" s="736"/>
      <c r="AO1" s="736"/>
      <c r="AP1" s="736"/>
      <c r="AQ1" s="736"/>
      <c r="AR1" s="736"/>
      <c r="AS1" s="736"/>
      <c r="AT1" s="736"/>
      <c r="AU1" s="736"/>
      <c r="AV1" s="736"/>
      <c r="AW1" s="736"/>
    </row>
    <row r="2" spans="1:49" s="41" customFormat="1" ht="0.75" customHeight="1" thickBot="1">
      <c r="A2" s="51"/>
      <c r="B2" s="80"/>
      <c r="C2" s="80"/>
      <c r="D2" s="80"/>
      <c r="E2" s="80"/>
      <c r="F2" s="80"/>
      <c r="G2" s="80"/>
      <c r="H2" s="80"/>
      <c r="I2" s="80"/>
      <c r="J2" s="81"/>
      <c r="K2" s="81"/>
      <c r="L2" s="82"/>
      <c r="M2" s="82"/>
      <c r="N2" s="82"/>
      <c r="O2" s="82"/>
      <c r="P2" s="82"/>
      <c r="Q2" s="82"/>
      <c r="R2" s="194"/>
      <c r="S2" s="195"/>
      <c r="T2" s="736"/>
      <c r="U2" s="736"/>
      <c r="V2" s="736"/>
      <c r="W2" s="736"/>
      <c r="X2" s="736"/>
      <c r="Y2" s="736"/>
      <c r="Z2" s="736"/>
      <c r="AA2" s="736"/>
      <c r="AB2" s="736"/>
      <c r="AC2" s="736"/>
      <c r="AD2" s="736"/>
      <c r="AE2" s="736"/>
      <c r="AF2" s="736"/>
      <c r="AG2" s="736"/>
      <c r="AH2" s="736"/>
      <c r="AI2" s="736"/>
      <c r="AJ2" s="736"/>
      <c r="AK2" s="736"/>
      <c r="AL2" s="736"/>
      <c r="AM2" s="736"/>
      <c r="AN2" s="736"/>
      <c r="AO2" s="736"/>
      <c r="AP2" s="736"/>
      <c r="AQ2" s="736"/>
      <c r="AR2" s="736"/>
      <c r="AS2" s="736"/>
      <c r="AT2" s="736"/>
      <c r="AU2" s="736"/>
      <c r="AV2" s="736"/>
      <c r="AW2" s="736"/>
    </row>
    <row r="3" spans="1:49" s="41" customFormat="1" ht="36.75" customHeight="1" thickTop="1" thickBot="1">
      <c r="A3" s="79" t="s">
        <v>96</v>
      </c>
      <c r="B3" s="721" t="s">
        <v>216</v>
      </c>
      <c r="C3" s="721"/>
      <c r="D3" s="721" t="s">
        <v>292</v>
      </c>
      <c r="E3" s="721"/>
      <c r="F3" s="721" t="s">
        <v>214</v>
      </c>
      <c r="G3" s="721"/>
      <c r="H3" s="721" t="s">
        <v>215</v>
      </c>
      <c r="I3" s="721"/>
      <c r="J3" s="721" t="s">
        <v>117</v>
      </c>
      <c r="K3" s="721"/>
      <c r="L3" s="721" t="s">
        <v>169</v>
      </c>
      <c r="M3" s="721"/>
      <c r="N3" s="720" t="s">
        <v>814</v>
      </c>
      <c r="O3" s="720"/>
      <c r="P3" s="720" t="s">
        <v>164</v>
      </c>
      <c r="Q3" s="720"/>
      <c r="R3" s="194"/>
      <c r="S3" s="195"/>
      <c r="T3" s="736"/>
      <c r="U3" s="736"/>
      <c r="V3" s="736"/>
      <c r="W3" s="736"/>
      <c r="X3" s="736"/>
      <c r="Y3" s="736"/>
      <c r="Z3" s="736"/>
      <c r="AA3" s="736"/>
      <c r="AB3" s="736"/>
      <c r="AC3" s="736"/>
      <c r="AD3" s="736"/>
      <c r="AE3" s="736"/>
      <c r="AF3" s="736"/>
      <c r="AG3" s="736"/>
      <c r="AH3" s="736"/>
      <c r="AI3" s="736"/>
      <c r="AJ3" s="736"/>
      <c r="AK3" s="736"/>
      <c r="AL3" s="736"/>
      <c r="AM3" s="736"/>
      <c r="AN3" s="736"/>
      <c r="AO3" s="736"/>
      <c r="AP3" s="736"/>
      <c r="AQ3" s="736"/>
      <c r="AR3" s="736"/>
      <c r="AS3" s="736"/>
      <c r="AT3" s="736"/>
      <c r="AU3" s="736"/>
      <c r="AV3" s="736"/>
      <c r="AW3" s="736"/>
    </row>
    <row r="4" spans="1:49" s="41" customFormat="1" ht="2.25" customHeight="1" thickTop="1">
      <c r="A4" s="197"/>
      <c r="B4" s="198"/>
      <c r="C4" s="198"/>
      <c r="D4" s="198"/>
      <c r="E4" s="198"/>
      <c r="F4" s="198"/>
      <c r="G4" s="198"/>
      <c r="H4" s="198"/>
      <c r="I4" s="198"/>
      <c r="J4" s="199"/>
      <c r="K4" s="197"/>
      <c r="L4" s="197"/>
      <c r="M4" s="197"/>
      <c r="N4" s="197"/>
      <c r="O4" s="197"/>
      <c r="P4" s="197"/>
      <c r="Q4" s="197"/>
      <c r="R4" s="197"/>
      <c r="S4" s="197"/>
      <c r="T4" s="197"/>
      <c r="U4" s="200"/>
      <c r="V4" s="200"/>
      <c r="W4" s="200"/>
      <c r="X4" s="200"/>
      <c r="Y4" s="200"/>
      <c r="Z4" s="200"/>
      <c r="AA4" s="200"/>
      <c r="AB4" s="200"/>
      <c r="AC4" s="200"/>
      <c r="AD4" s="200"/>
      <c r="AE4" s="200"/>
      <c r="AF4" s="200"/>
      <c r="AG4" s="200"/>
      <c r="AH4" s="200"/>
      <c r="AI4" s="200"/>
      <c r="AJ4" s="200"/>
      <c r="AK4" s="200"/>
      <c r="AL4" s="200"/>
      <c r="AM4" s="200"/>
      <c r="AN4" s="200"/>
      <c r="AO4" s="200"/>
      <c r="AP4" s="200"/>
      <c r="AQ4" s="200"/>
      <c r="AR4" s="200"/>
      <c r="AS4" s="200"/>
      <c r="AT4" s="200"/>
      <c r="AU4" s="200"/>
      <c r="AV4" s="200"/>
      <c r="AW4" s="200"/>
    </row>
    <row r="5" spans="1:49" s="134" customFormat="1" ht="18">
      <c r="A5" s="737" t="s">
        <v>73</v>
      </c>
      <c r="B5" s="737"/>
      <c r="C5" s="738" t="s">
        <v>995</v>
      </c>
      <c r="D5" s="739"/>
      <c r="E5" s="739"/>
      <c r="F5" s="739"/>
      <c r="G5" s="739"/>
      <c r="H5" s="739"/>
      <c r="I5" s="739"/>
      <c r="J5" s="739"/>
      <c r="K5" s="740"/>
      <c r="L5" s="201"/>
      <c r="M5" s="724" t="s">
        <v>733</v>
      </c>
      <c r="N5" s="724"/>
      <c r="O5" s="724"/>
      <c r="P5" s="724"/>
      <c r="Q5" s="724"/>
      <c r="R5" s="724"/>
      <c r="S5" s="724"/>
      <c r="T5" s="724"/>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row>
    <row r="6" spans="1:49" s="134" customFormat="1" ht="23.25" customHeight="1">
      <c r="A6" s="741" t="s">
        <v>74</v>
      </c>
      <c r="B6" s="741"/>
      <c r="C6" s="716">
        <v>303408</v>
      </c>
      <c r="D6" s="717"/>
      <c r="E6" s="735" t="s">
        <v>250</v>
      </c>
      <c r="F6" s="735"/>
      <c r="G6" s="735"/>
      <c r="H6" s="722" t="s">
        <v>753</v>
      </c>
      <c r="I6" s="723"/>
      <c r="J6" s="189" t="s">
        <v>763</v>
      </c>
      <c r="K6" s="183"/>
      <c r="L6" s="201"/>
      <c r="M6" s="726" t="s">
        <v>732</v>
      </c>
      <c r="N6" s="726"/>
      <c r="O6" s="726"/>
      <c r="P6" s="725" t="s">
        <v>731</v>
      </c>
      <c r="Q6" s="725"/>
      <c r="R6" s="725"/>
      <c r="S6" s="725"/>
      <c r="T6" s="725"/>
      <c r="U6" s="196"/>
      <c r="V6" s="196"/>
      <c r="W6" s="196"/>
      <c r="X6" s="196"/>
      <c r="Y6" s="196"/>
      <c r="Z6" s="196"/>
      <c r="AA6" s="196"/>
      <c r="AB6" s="196"/>
      <c r="AC6" s="196"/>
      <c r="AD6" s="196"/>
      <c r="AE6" s="196"/>
      <c r="AF6" s="196"/>
      <c r="AG6" s="196"/>
      <c r="AH6" s="196"/>
      <c r="AI6" s="196"/>
      <c r="AJ6" s="196"/>
      <c r="AK6" s="196"/>
      <c r="AL6" s="196"/>
      <c r="AM6" s="196"/>
      <c r="AN6" s="196"/>
      <c r="AO6" s="196"/>
      <c r="AP6" s="196"/>
      <c r="AQ6" s="196"/>
      <c r="AR6" s="196"/>
      <c r="AS6" s="196"/>
      <c r="AT6" s="196"/>
      <c r="AU6" s="196"/>
      <c r="AV6" s="196"/>
      <c r="AW6" s="196"/>
    </row>
    <row r="7" spans="1:49" s="134" customFormat="1" ht="18">
      <c r="A7" s="741" t="s">
        <v>75</v>
      </c>
      <c r="B7" s="741"/>
      <c r="C7" s="716" t="s">
        <v>996</v>
      </c>
      <c r="D7" s="717"/>
      <c r="E7" s="717"/>
      <c r="F7" s="717"/>
      <c r="G7" s="717"/>
      <c r="H7" s="717"/>
      <c r="I7" s="717"/>
      <c r="J7" s="717"/>
      <c r="K7" s="718"/>
      <c r="L7" s="201"/>
      <c r="M7" s="727" t="s">
        <v>68</v>
      </c>
      <c r="N7" s="728"/>
      <c r="O7" s="728"/>
      <c r="P7" s="729" t="s">
        <v>999</v>
      </c>
      <c r="Q7" s="729"/>
      <c r="R7" s="729"/>
      <c r="S7" s="729"/>
      <c r="T7" s="730"/>
      <c r="U7" s="196"/>
      <c r="V7" s="196"/>
      <c r="W7" s="196"/>
      <c r="X7" s="196"/>
      <c r="Y7" s="196"/>
      <c r="Z7" s="196"/>
      <c r="AA7" s="196"/>
      <c r="AB7" s="196"/>
      <c r="AC7" s="196"/>
      <c r="AD7" s="196"/>
      <c r="AE7" s="196"/>
      <c r="AF7" s="196"/>
      <c r="AG7" s="196"/>
      <c r="AH7" s="196"/>
      <c r="AI7" s="196"/>
      <c r="AJ7" s="196"/>
      <c r="AK7" s="196"/>
      <c r="AL7" s="196"/>
      <c r="AM7" s="196"/>
      <c r="AN7" s="196"/>
      <c r="AO7" s="196"/>
      <c r="AP7" s="196"/>
      <c r="AQ7" s="196"/>
      <c r="AR7" s="196"/>
      <c r="AS7" s="196"/>
      <c r="AT7" s="196"/>
      <c r="AU7" s="196"/>
      <c r="AV7" s="196"/>
      <c r="AW7" s="196"/>
    </row>
    <row r="8" spans="1:49" s="134" customFormat="1" ht="18.75" customHeight="1">
      <c r="A8" s="741" t="s">
        <v>0</v>
      </c>
      <c r="B8" s="741"/>
      <c r="C8" s="716" t="s">
        <v>993</v>
      </c>
      <c r="D8" s="717"/>
      <c r="E8" s="717"/>
      <c r="F8" s="717"/>
      <c r="G8" s="717"/>
      <c r="H8" s="717"/>
      <c r="I8" s="717"/>
      <c r="J8" s="717"/>
      <c r="K8" s="718"/>
      <c r="L8" s="201"/>
      <c r="M8" s="731" t="s">
        <v>717</v>
      </c>
      <c r="N8" s="732"/>
      <c r="O8" s="732"/>
      <c r="P8" s="733" t="s">
        <v>1000</v>
      </c>
      <c r="Q8" s="733"/>
      <c r="R8" s="733"/>
      <c r="S8" s="733"/>
      <c r="T8" s="734"/>
      <c r="U8" s="196"/>
      <c r="V8" s="196"/>
      <c r="W8" s="196"/>
      <c r="X8" s="196"/>
      <c r="Y8" s="196"/>
      <c r="Z8" s="196"/>
      <c r="AA8" s="196"/>
      <c r="AB8" s="196"/>
      <c r="AC8" s="196"/>
      <c r="AD8" s="196"/>
      <c r="AE8" s="196"/>
      <c r="AF8" s="196"/>
      <c r="AG8" s="196"/>
      <c r="AH8" s="196"/>
      <c r="AI8" s="196"/>
      <c r="AJ8" s="196"/>
      <c r="AK8" s="196"/>
      <c r="AL8" s="196"/>
      <c r="AM8" s="196"/>
      <c r="AN8" s="196"/>
      <c r="AO8" s="196"/>
      <c r="AP8" s="196"/>
      <c r="AQ8" s="196"/>
      <c r="AR8" s="196"/>
      <c r="AS8" s="196"/>
      <c r="AT8" s="196"/>
      <c r="AU8" s="196"/>
      <c r="AV8" s="196"/>
      <c r="AW8" s="196"/>
    </row>
    <row r="9" spans="1:49" s="134" customFormat="1" ht="18.75" customHeight="1">
      <c r="A9" s="741" t="s">
        <v>1</v>
      </c>
      <c r="B9" s="741"/>
      <c r="C9" s="770" t="s">
        <v>994</v>
      </c>
      <c r="D9" s="771"/>
      <c r="E9" s="771"/>
      <c r="F9" s="771"/>
      <c r="G9" s="771"/>
      <c r="H9" s="771"/>
      <c r="I9" s="771"/>
      <c r="J9" s="771"/>
      <c r="K9" s="772"/>
      <c r="L9" s="201"/>
      <c r="M9" s="731" t="s">
        <v>716</v>
      </c>
      <c r="N9" s="732"/>
      <c r="O9" s="732"/>
      <c r="P9" s="733" t="s">
        <v>1001</v>
      </c>
      <c r="Q9" s="733"/>
      <c r="R9" s="733"/>
      <c r="S9" s="733"/>
      <c r="T9" s="734"/>
      <c r="U9" s="196"/>
      <c r="V9" s="196"/>
      <c r="W9" s="196"/>
      <c r="X9" s="196"/>
      <c r="Y9" s="196"/>
      <c r="Z9" s="196"/>
      <c r="AA9" s="196"/>
      <c r="AB9" s="196"/>
      <c r="AC9" s="196"/>
      <c r="AD9" s="196"/>
      <c r="AE9" s="196"/>
      <c r="AF9" s="196"/>
      <c r="AG9" s="196"/>
      <c r="AH9" s="196"/>
      <c r="AI9" s="196"/>
      <c r="AJ9" s="196"/>
      <c r="AK9" s="196"/>
      <c r="AL9" s="196"/>
      <c r="AM9" s="196"/>
      <c r="AN9" s="196"/>
      <c r="AO9" s="196"/>
      <c r="AP9" s="196"/>
      <c r="AQ9" s="196"/>
      <c r="AR9" s="196"/>
      <c r="AS9" s="196"/>
      <c r="AT9" s="196"/>
      <c r="AU9" s="196"/>
      <c r="AV9" s="196"/>
      <c r="AW9" s="196"/>
    </row>
    <row r="10" spans="1:49" s="134" customFormat="1" ht="18.75" customHeight="1">
      <c r="A10" s="741" t="s">
        <v>71</v>
      </c>
      <c r="B10" s="741"/>
      <c r="C10" s="773" t="s">
        <v>320</v>
      </c>
      <c r="D10" s="774"/>
      <c r="E10" s="774"/>
      <c r="F10" s="774"/>
      <c r="G10" s="774"/>
      <c r="H10" s="774"/>
      <c r="I10" s="774"/>
      <c r="J10" s="774"/>
      <c r="K10" s="775"/>
      <c r="L10" s="201"/>
      <c r="M10" s="731" t="s">
        <v>715</v>
      </c>
      <c r="N10" s="732"/>
      <c r="O10" s="732"/>
      <c r="P10" s="733" t="s">
        <v>997</v>
      </c>
      <c r="Q10" s="733"/>
      <c r="R10" s="733"/>
      <c r="S10" s="733"/>
      <c r="T10" s="734"/>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c r="AR10" s="196"/>
      <c r="AS10" s="196"/>
      <c r="AT10" s="196"/>
      <c r="AU10" s="196"/>
      <c r="AV10" s="196"/>
      <c r="AW10" s="196"/>
    </row>
    <row r="11" spans="1:49" s="134" customFormat="1" ht="13.8">
      <c r="A11" s="741" t="s">
        <v>76</v>
      </c>
      <c r="B11" s="741"/>
      <c r="C11" s="707" t="s">
        <v>679</v>
      </c>
      <c r="D11" s="705"/>
      <c r="E11" s="705" t="s">
        <v>680</v>
      </c>
      <c r="F11" s="705"/>
      <c r="G11" s="705" t="s">
        <v>681</v>
      </c>
      <c r="H11" s="706"/>
      <c r="I11" s="201"/>
      <c r="J11" s="201"/>
      <c r="K11" s="201"/>
      <c r="L11" s="201"/>
      <c r="M11" s="711" t="s">
        <v>714</v>
      </c>
      <c r="N11" s="712"/>
      <c r="O11" s="712"/>
      <c r="P11" s="713" t="s">
        <v>998</v>
      </c>
      <c r="Q11" s="713"/>
      <c r="R11" s="713"/>
      <c r="S11" s="713"/>
      <c r="T11" s="714"/>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c r="AT11" s="196"/>
      <c r="AU11" s="196"/>
      <c r="AV11" s="196"/>
      <c r="AW11" s="196"/>
    </row>
    <row r="12" spans="1:49" s="134" customFormat="1" ht="13.8">
      <c r="A12" s="787" t="s">
        <v>77</v>
      </c>
      <c r="B12" s="787"/>
      <c r="C12" s="710">
        <v>46</v>
      </c>
      <c r="D12" s="708"/>
      <c r="E12" s="708">
        <v>50</v>
      </c>
      <c r="F12" s="708"/>
      <c r="G12" s="708">
        <v>57</v>
      </c>
      <c r="H12" s="709"/>
      <c r="I12" s="201"/>
      <c r="J12" s="201"/>
      <c r="K12" s="201"/>
      <c r="L12" s="201"/>
      <c r="M12" s="201"/>
      <c r="N12" s="201"/>
      <c r="O12" s="201"/>
      <c r="P12" s="201"/>
      <c r="Q12" s="201"/>
      <c r="R12" s="201"/>
      <c r="S12" s="201"/>
      <c r="T12" s="201"/>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c r="AR12" s="196"/>
      <c r="AS12" s="196"/>
      <c r="AT12" s="196"/>
      <c r="AU12" s="196"/>
      <c r="AV12" s="196"/>
      <c r="AW12" s="196"/>
    </row>
    <row r="13" spans="1:49" s="134" customFormat="1" ht="13.5" customHeight="1">
      <c r="A13" s="776"/>
      <c r="B13" s="776"/>
      <c r="C13" s="777"/>
      <c r="D13" s="777"/>
      <c r="E13" s="777"/>
      <c r="F13" s="777"/>
      <c r="G13" s="777"/>
      <c r="H13" s="777"/>
      <c r="I13" s="201"/>
      <c r="J13" s="201"/>
      <c r="K13" s="201"/>
      <c r="L13" s="201"/>
      <c r="M13" s="201"/>
      <c r="N13" s="201"/>
      <c r="O13" s="201"/>
      <c r="P13" s="201"/>
      <c r="Q13" s="201"/>
      <c r="R13" s="201"/>
      <c r="S13" s="201"/>
      <c r="T13" s="201"/>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c r="AQ13" s="196"/>
      <c r="AR13" s="196"/>
      <c r="AS13" s="196"/>
      <c r="AT13" s="196"/>
      <c r="AU13" s="196"/>
      <c r="AV13" s="196"/>
      <c r="AW13" s="196"/>
    </row>
    <row r="14" spans="1:49" s="134" customFormat="1" ht="13.8">
      <c r="A14" s="201" t="s">
        <v>112</v>
      </c>
      <c r="B14" s="201"/>
      <c r="C14" s="201"/>
      <c r="D14" s="201"/>
      <c r="E14" s="201"/>
      <c r="F14" s="201"/>
      <c r="G14" s="201"/>
      <c r="H14" s="201"/>
      <c r="I14" s="201"/>
      <c r="J14" s="201"/>
      <c r="K14" s="201"/>
      <c r="L14" s="201"/>
      <c r="M14" s="201"/>
      <c r="N14" s="201"/>
      <c r="O14" s="201"/>
      <c r="P14" s="201"/>
      <c r="Q14" s="201"/>
      <c r="R14" s="201"/>
      <c r="S14" s="201"/>
      <c r="T14" s="201"/>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c r="AQ14" s="196"/>
      <c r="AR14" s="196"/>
      <c r="AS14" s="196"/>
      <c r="AT14" s="196"/>
      <c r="AU14" s="196"/>
      <c r="AV14" s="196"/>
      <c r="AW14" s="196"/>
    </row>
    <row r="15" spans="1:49" s="134" customFormat="1" ht="28.5" customHeight="1">
      <c r="A15" s="246" t="str">
        <f>IF(C11="","",C11)</f>
        <v>2016-2017</v>
      </c>
      <c r="B15" s="699" t="s">
        <v>5</v>
      </c>
      <c r="C15" s="699"/>
      <c r="D15" s="699" t="s">
        <v>6</v>
      </c>
      <c r="E15" s="699"/>
      <c r="F15" s="699" t="s">
        <v>7</v>
      </c>
      <c r="G15" s="699"/>
      <c r="H15" s="699" t="s">
        <v>8</v>
      </c>
      <c r="I15" s="699"/>
      <c r="J15" s="699" t="s">
        <v>9</v>
      </c>
      <c r="K15" s="699"/>
      <c r="L15" s="699" t="s">
        <v>10</v>
      </c>
      <c r="M15" s="699"/>
      <c r="N15" s="699" t="s">
        <v>11</v>
      </c>
      <c r="O15" s="699"/>
      <c r="P15" s="699" t="s">
        <v>951</v>
      </c>
      <c r="Q15" s="699"/>
      <c r="R15" s="699" t="s">
        <v>811</v>
      </c>
      <c r="S15" s="699"/>
      <c r="T15" s="699" t="s">
        <v>12</v>
      </c>
      <c r="U15" s="699"/>
      <c r="V15" s="697" t="s">
        <v>13</v>
      </c>
      <c r="W15" s="698"/>
      <c r="X15" s="697" t="s">
        <v>14</v>
      </c>
      <c r="Y15" s="698"/>
      <c r="Z15" s="697" t="s">
        <v>15</v>
      </c>
      <c r="AA15" s="698"/>
      <c r="AB15" s="699" t="s">
        <v>16</v>
      </c>
      <c r="AC15" s="699"/>
      <c r="AD15" s="699" t="s">
        <v>17</v>
      </c>
      <c r="AE15" s="699"/>
      <c r="AF15" s="201"/>
      <c r="AG15" s="201"/>
      <c r="AH15" s="201"/>
      <c r="AI15" s="201"/>
      <c r="AJ15" s="201"/>
      <c r="AK15" s="201"/>
      <c r="AL15" s="201"/>
      <c r="AM15" s="201"/>
      <c r="AN15" s="201"/>
      <c r="AO15" s="201"/>
      <c r="AP15" s="201"/>
      <c r="AQ15" s="201"/>
      <c r="AR15" s="201"/>
      <c r="AS15" s="201"/>
      <c r="AT15" s="201"/>
      <c r="AU15" s="201"/>
      <c r="AV15" s="201"/>
      <c r="AW15" s="201"/>
    </row>
    <row r="16" spans="1:49" s="83" customFormat="1" ht="16.5" customHeight="1">
      <c r="A16" s="84" t="s">
        <v>493</v>
      </c>
      <c r="B16" s="192" t="s">
        <v>23</v>
      </c>
      <c r="C16" s="192" t="s">
        <v>24</v>
      </c>
      <c r="D16" s="192" t="s">
        <v>23</v>
      </c>
      <c r="E16" s="192" t="s">
        <v>24</v>
      </c>
      <c r="F16" s="192" t="s">
        <v>23</v>
      </c>
      <c r="G16" s="192" t="s">
        <v>24</v>
      </c>
      <c r="H16" s="192" t="s">
        <v>23</v>
      </c>
      <c r="I16" s="192" t="s">
        <v>24</v>
      </c>
      <c r="J16" s="192" t="s">
        <v>23</v>
      </c>
      <c r="K16" s="192" t="s">
        <v>24</v>
      </c>
      <c r="L16" s="192" t="s">
        <v>23</v>
      </c>
      <c r="M16" s="192" t="s">
        <v>24</v>
      </c>
      <c r="N16" s="192" t="s">
        <v>23</v>
      </c>
      <c r="O16" s="192" t="s">
        <v>24</v>
      </c>
      <c r="P16" s="192" t="s">
        <v>23</v>
      </c>
      <c r="Q16" s="192" t="s">
        <v>24</v>
      </c>
      <c r="R16" s="192" t="s">
        <v>23</v>
      </c>
      <c r="S16" s="192" t="s">
        <v>24</v>
      </c>
      <c r="T16" s="192" t="s">
        <v>23</v>
      </c>
      <c r="U16" s="192" t="s">
        <v>24</v>
      </c>
      <c r="V16" s="192" t="s">
        <v>23</v>
      </c>
      <c r="W16" s="192" t="s">
        <v>24</v>
      </c>
      <c r="X16" s="192" t="s">
        <v>23</v>
      </c>
      <c r="Y16" s="192" t="s">
        <v>24</v>
      </c>
      <c r="Z16" s="192" t="s">
        <v>23</v>
      </c>
      <c r="AA16" s="192" t="s">
        <v>24</v>
      </c>
      <c r="AB16" s="192" t="s">
        <v>23</v>
      </c>
      <c r="AC16" s="192" t="s">
        <v>24</v>
      </c>
      <c r="AD16" s="283" t="s">
        <v>23</v>
      </c>
      <c r="AE16" s="283" t="s">
        <v>24</v>
      </c>
      <c r="AF16" s="201"/>
      <c r="AG16" s="201"/>
      <c r="AH16" s="201"/>
      <c r="AI16" s="201"/>
      <c r="AJ16" s="201"/>
      <c r="AK16" s="201"/>
      <c r="AL16" s="201"/>
      <c r="AM16" s="201"/>
      <c r="AN16" s="201"/>
      <c r="AO16" s="201"/>
      <c r="AP16" s="201"/>
      <c r="AQ16" s="201"/>
      <c r="AR16" s="201"/>
      <c r="AS16" s="201"/>
      <c r="AT16" s="201"/>
      <c r="AU16" s="201"/>
      <c r="AV16" s="201"/>
      <c r="AW16" s="201"/>
    </row>
    <row r="17" spans="1:49" s="134" customFormat="1" ht="19.5" customHeight="1">
      <c r="A17" s="410" t="s">
        <v>492</v>
      </c>
      <c r="B17" s="203"/>
      <c r="C17" s="203"/>
      <c r="D17" s="87"/>
      <c r="E17" s="87"/>
      <c r="F17" s="87"/>
      <c r="G17" s="87"/>
      <c r="H17" s="87"/>
      <c r="I17" s="87"/>
      <c r="J17" s="87"/>
      <c r="K17" s="87"/>
      <c r="L17" s="87"/>
      <c r="M17" s="87"/>
      <c r="N17" s="87"/>
      <c r="O17" s="87"/>
      <c r="P17" s="87"/>
      <c r="Q17" s="87"/>
      <c r="R17" s="87"/>
      <c r="S17" s="87"/>
      <c r="T17" s="87">
        <v>168</v>
      </c>
      <c r="U17" s="87">
        <v>132</v>
      </c>
      <c r="V17" s="87">
        <v>129</v>
      </c>
      <c r="W17" s="87">
        <v>138</v>
      </c>
      <c r="X17" s="87">
        <v>132</v>
      </c>
      <c r="Y17" s="87">
        <v>136</v>
      </c>
      <c r="Z17" s="87">
        <v>108</v>
      </c>
      <c r="AA17" s="87">
        <v>137</v>
      </c>
      <c r="AB17" s="87">
        <v>134</v>
      </c>
      <c r="AC17" s="87">
        <v>75</v>
      </c>
      <c r="AD17" s="87"/>
      <c r="AE17" s="87"/>
      <c r="AF17" s="201"/>
      <c r="AG17" s="201"/>
      <c r="AH17" s="201"/>
      <c r="AI17" s="201"/>
      <c r="AJ17" s="201"/>
      <c r="AK17" s="201"/>
      <c r="AL17" s="201"/>
      <c r="AM17" s="201"/>
      <c r="AN17" s="201"/>
      <c r="AO17" s="201"/>
      <c r="AP17" s="201"/>
      <c r="AQ17" s="201"/>
      <c r="AR17" s="201"/>
      <c r="AS17" s="201"/>
      <c r="AT17" s="201"/>
      <c r="AU17" s="201"/>
      <c r="AV17" s="201"/>
      <c r="AW17" s="201"/>
    </row>
    <row r="18" spans="1:49" s="134" customFormat="1" ht="19.5" customHeight="1">
      <c r="A18" s="413" t="s">
        <v>952</v>
      </c>
      <c r="B18" s="87"/>
      <c r="C18" s="87"/>
      <c r="D18" s="87"/>
      <c r="E18" s="87"/>
      <c r="F18" s="87"/>
      <c r="G18" s="87"/>
      <c r="H18" s="87"/>
      <c r="I18" s="87"/>
      <c r="J18" s="87"/>
      <c r="K18" s="87"/>
      <c r="L18" s="87"/>
      <c r="M18" s="87"/>
      <c r="N18" s="87"/>
      <c r="O18" s="87"/>
      <c r="P18" s="87"/>
      <c r="Q18" s="87"/>
      <c r="R18" s="87"/>
      <c r="S18" s="87"/>
      <c r="T18" s="87">
        <v>0</v>
      </c>
      <c r="U18" s="87">
        <v>0</v>
      </c>
      <c r="V18" s="87">
        <v>0</v>
      </c>
      <c r="W18" s="87">
        <v>0</v>
      </c>
      <c r="X18" s="87">
        <v>0</v>
      </c>
      <c r="Y18" s="87">
        <v>0</v>
      </c>
      <c r="Z18" s="87">
        <v>0</v>
      </c>
      <c r="AA18" s="87">
        <v>1</v>
      </c>
      <c r="AB18" s="87">
        <v>0</v>
      </c>
      <c r="AC18" s="87">
        <v>0</v>
      </c>
      <c r="AD18" s="87">
        <v>0</v>
      </c>
      <c r="AE18" s="87">
        <v>0</v>
      </c>
      <c r="AF18" s="201"/>
      <c r="AG18" s="201"/>
      <c r="AH18" s="201"/>
      <c r="AI18" s="201"/>
      <c r="AJ18" s="201"/>
      <c r="AK18" s="201"/>
      <c r="AL18" s="201"/>
      <c r="AM18" s="201"/>
      <c r="AN18" s="201"/>
      <c r="AO18" s="201"/>
      <c r="AP18" s="201"/>
      <c r="AQ18" s="201"/>
      <c r="AR18" s="201"/>
      <c r="AS18" s="201"/>
      <c r="AT18" s="201"/>
      <c r="AU18" s="201"/>
      <c r="AV18" s="201"/>
      <c r="AW18" s="201"/>
    </row>
    <row r="19" spans="1:49" s="134" customFormat="1" ht="19.5" customHeight="1">
      <c r="A19" s="410" t="s">
        <v>494</v>
      </c>
      <c r="B19" s="203"/>
      <c r="C19" s="203"/>
      <c r="D19" s="87"/>
      <c r="E19" s="87"/>
      <c r="F19" s="87"/>
      <c r="G19" s="87"/>
      <c r="H19" s="87"/>
      <c r="I19" s="87"/>
      <c r="J19" s="87"/>
      <c r="K19" s="87"/>
      <c r="L19" s="87"/>
      <c r="M19" s="87"/>
      <c r="N19" s="87"/>
      <c r="O19" s="87"/>
      <c r="P19" s="87"/>
      <c r="Q19" s="87"/>
      <c r="R19" s="87"/>
      <c r="S19" s="87"/>
      <c r="T19" s="87">
        <v>0</v>
      </c>
      <c r="U19" s="87">
        <v>0</v>
      </c>
      <c r="V19" s="87">
        <v>0</v>
      </c>
      <c r="W19" s="87">
        <v>0</v>
      </c>
      <c r="X19" s="87">
        <v>0</v>
      </c>
      <c r="Y19" s="87">
        <v>0</v>
      </c>
      <c r="Z19" s="87">
        <v>0</v>
      </c>
      <c r="AA19" s="87">
        <v>0</v>
      </c>
      <c r="AB19" s="87">
        <v>0</v>
      </c>
      <c r="AC19" s="87">
        <v>0</v>
      </c>
      <c r="AD19" s="87">
        <v>0</v>
      </c>
      <c r="AE19" s="87">
        <v>0</v>
      </c>
      <c r="AF19" s="201"/>
      <c r="AG19" s="201"/>
      <c r="AH19" s="201"/>
      <c r="AI19" s="201"/>
      <c r="AJ19" s="201"/>
      <c r="AK19" s="201"/>
      <c r="AL19" s="201"/>
      <c r="AM19" s="201"/>
      <c r="AN19" s="201"/>
      <c r="AO19" s="201"/>
      <c r="AP19" s="201"/>
      <c r="AQ19" s="201"/>
      <c r="AR19" s="201"/>
      <c r="AS19" s="201"/>
      <c r="AT19" s="201"/>
      <c r="AU19" s="201"/>
      <c r="AV19" s="201"/>
      <c r="AW19" s="201"/>
    </row>
    <row r="20" spans="1:49" s="134" customFormat="1" ht="8.25" customHeight="1">
      <c r="A20" s="204"/>
      <c r="B20" s="205"/>
      <c r="C20" s="205"/>
      <c r="D20" s="205"/>
      <c r="E20" s="205"/>
      <c r="F20" s="205"/>
      <c r="G20" s="205"/>
      <c r="H20" s="201"/>
      <c r="I20" s="201"/>
      <c r="J20" s="201"/>
      <c r="K20" s="201"/>
      <c r="L20" s="201"/>
      <c r="M20" s="201"/>
      <c r="N20" s="201"/>
      <c r="O20" s="201"/>
      <c r="P20" s="201"/>
      <c r="Q20" s="201"/>
      <c r="R20" s="201"/>
      <c r="S20" s="201"/>
      <c r="T20" s="201"/>
      <c r="U20" s="201"/>
      <c r="V20" s="201"/>
      <c r="W20" s="201"/>
      <c r="X20" s="201"/>
      <c r="Y20" s="201"/>
      <c r="Z20" s="201"/>
      <c r="AA20" s="201"/>
      <c r="AB20" s="201"/>
      <c r="AC20" s="201"/>
      <c r="AD20" s="201"/>
      <c r="AE20" s="201"/>
      <c r="AF20" s="201"/>
      <c r="AG20" s="201"/>
      <c r="AH20" s="201"/>
      <c r="AI20" s="201"/>
      <c r="AJ20" s="201"/>
      <c r="AK20" s="201"/>
      <c r="AL20" s="201"/>
      <c r="AM20" s="201"/>
      <c r="AN20" s="201"/>
      <c r="AO20" s="201"/>
      <c r="AP20" s="201"/>
      <c r="AQ20" s="201"/>
      <c r="AR20" s="201"/>
      <c r="AS20" s="201"/>
      <c r="AT20" s="201"/>
      <c r="AU20" s="201"/>
      <c r="AV20" s="201"/>
      <c r="AW20" s="201"/>
    </row>
    <row r="21" spans="1:49" s="134" customFormat="1" ht="28.5" customHeight="1">
      <c r="A21" s="246" t="str">
        <f>IF(E11="","",E11)</f>
        <v>2017-2018</v>
      </c>
      <c r="B21" s="699" t="s">
        <v>5</v>
      </c>
      <c r="C21" s="699"/>
      <c r="D21" s="699" t="s">
        <v>6</v>
      </c>
      <c r="E21" s="699"/>
      <c r="F21" s="699" t="s">
        <v>7</v>
      </c>
      <c r="G21" s="699"/>
      <c r="H21" s="699" t="s">
        <v>8</v>
      </c>
      <c r="I21" s="699"/>
      <c r="J21" s="699" t="s">
        <v>9</v>
      </c>
      <c r="K21" s="699"/>
      <c r="L21" s="699" t="s">
        <v>10</v>
      </c>
      <c r="M21" s="699"/>
      <c r="N21" s="699" t="s">
        <v>11</v>
      </c>
      <c r="O21" s="699"/>
      <c r="P21" s="699" t="s">
        <v>951</v>
      </c>
      <c r="Q21" s="699"/>
      <c r="R21" s="699" t="s">
        <v>811</v>
      </c>
      <c r="S21" s="699"/>
      <c r="T21" s="699" t="s">
        <v>12</v>
      </c>
      <c r="U21" s="699"/>
      <c r="V21" s="697" t="s">
        <v>13</v>
      </c>
      <c r="W21" s="698"/>
      <c r="X21" s="697" t="s">
        <v>14</v>
      </c>
      <c r="Y21" s="698"/>
      <c r="Z21" s="697" t="s">
        <v>15</v>
      </c>
      <c r="AA21" s="698"/>
      <c r="AB21" s="699" t="s">
        <v>16</v>
      </c>
      <c r="AC21" s="699"/>
      <c r="AD21" s="699" t="s">
        <v>17</v>
      </c>
      <c r="AE21" s="699"/>
      <c r="AF21" s="201"/>
      <c r="AG21" s="201"/>
      <c r="AH21" s="201"/>
      <c r="AI21" s="201"/>
      <c r="AJ21" s="201"/>
      <c r="AK21" s="201"/>
      <c r="AL21" s="201"/>
      <c r="AM21" s="201"/>
      <c r="AN21" s="201"/>
      <c r="AO21" s="201"/>
      <c r="AP21" s="201"/>
      <c r="AQ21" s="201"/>
      <c r="AR21" s="201"/>
      <c r="AS21" s="201"/>
      <c r="AT21" s="201"/>
      <c r="AU21" s="201"/>
      <c r="AV21" s="201"/>
      <c r="AW21" s="201"/>
    </row>
    <row r="22" spans="1:49" s="83" customFormat="1" ht="16.5" customHeight="1">
      <c r="A22" s="84" t="s">
        <v>493</v>
      </c>
      <c r="B22" s="192" t="s">
        <v>23</v>
      </c>
      <c r="C22" s="192" t="s">
        <v>24</v>
      </c>
      <c r="D22" s="192" t="s">
        <v>23</v>
      </c>
      <c r="E22" s="192" t="s">
        <v>24</v>
      </c>
      <c r="F22" s="192" t="s">
        <v>23</v>
      </c>
      <c r="G22" s="192" t="s">
        <v>24</v>
      </c>
      <c r="H22" s="192" t="s">
        <v>23</v>
      </c>
      <c r="I22" s="192" t="s">
        <v>24</v>
      </c>
      <c r="J22" s="192" t="s">
        <v>23</v>
      </c>
      <c r="K22" s="192" t="s">
        <v>24</v>
      </c>
      <c r="L22" s="192" t="s">
        <v>23</v>
      </c>
      <c r="M22" s="192" t="s">
        <v>24</v>
      </c>
      <c r="N22" s="192" t="s">
        <v>23</v>
      </c>
      <c r="O22" s="192" t="s">
        <v>24</v>
      </c>
      <c r="P22" s="192" t="s">
        <v>23</v>
      </c>
      <c r="Q22" s="192" t="s">
        <v>24</v>
      </c>
      <c r="R22" s="192" t="s">
        <v>23</v>
      </c>
      <c r="S22" s="192" t="s">
        <v>24</v>
      </c>
      <c r="T22" s="192" t="s">
        <v>23</v>
      </c>
      <c r="U22" s="192" t="s">
        <v>24</v>
      </c>
      <c r="V22" s="192" t="s">
        <v>23</v>
      </c>
      <c r="W22" s="192" t="s">
        <v>24</v>
      </c>
      <c r="X22" s="192" t="s">
        <v>23</v>
      </c>
      <c r="Y22" s="192" t="s">
        <v>24</v>
      </c>
      <c r="Z22" s="192" t="s">
        <v>23</v>
      </c>
      <c r="AA22" s="192" t="s">
        <v>24</v>
      </c>
      <c r="AB22" s="192" t="s">
        <v>23</v>
      </c>
      <c r="AC22" s="192" t="s">
        <v>24</v>
      </c>
      <c r="AD22" s="283" t="s">
        <v>23</v>
      </c>
      <c r="AE22" s="283" t="s">
        <v>24</v>
      </c>
      <c r="AF22" s="201"/>
      <c r="AG22" s="201"/>
      <c r="AH22" s="201"/>
      <c r="AI22" s="201"/>
      <c r="AJ22" s="201"/>
      <c r="AK22" s="201"/>
      <c r="AL22" s="201"/>
      <c r="AM22" s="201"/>
      <c r="AN22" s="201"/>
      <c r="AO22" s="201"/>
      <c r="AP22" s="201"/>
      <c r="AQ22" s="201"/>
      <c r="AR22" s="201"/>
      <c r="AS22" s="201"/>
      <c r="AT22" s="201"/>
      <c r="AU22" s="201"/>
      <c r="AV22" s="201"/>
      <c r="AW22" s="201"/>
    </row>
    <row r="23" spans="1:49" s="134" customFormat="1" ht="18.75" customHeight="1">
      <c r="A23" s="410" t="s">
        <v>492</v>
      </c>
      <c r="B23" s="203"/>
      <c r="C23" s="203"/>
      <c r="D23" s="87"/>
      <c r="E23" s="87"/>
      <c r="F23" s="87"/>
      <c r="G23" s="87"/>
      <c r="H23" s="87"/>
      <c r="I23" s="87"/>
      <c r="J23" s="87"/>
      <c r="K23" s="87"/>
      <c r="L23" s="87"/>
      <c r="M23" s="87"/>
      <c r="N23" s="87"/>
      <c r="O23" s="87"/>
      <c r="P23" s="87"/>
      <c r="Q23" s="87"/>
      <c r="R23" s="87"/>
      <c r="S23" s="87"/>
      <c r="T23" s="87">
        <v>144</v>
      </c>
      <c r="U23" s="87">
        <v>172</v>
      </c>
      <c r="V23" s="87">
        <v>140</v>
      </c>
      <c r="W23" s="87">
        <v>123</v>
      </c>
      <c r="X23" s="87">
        <v>118</v>
      </c>
      <c r="Y23" s="87">
        <v>129</v>
      </c>
      <c r="Z23" s="87">
        <v>109</v>
      </c>
      <c r="AA23" s="87">
        <v>123</v>
      </c>
      <c r="AB23" s="87">
        <v>113</v>
      </c>
      <c r="AC23" s="87">
        <v>69</v>
      </c>
      <c r="AD23" s="87">
        <v>117</v>
      </c>
      <c r="AE23" s="87">
        <v>60</v>
      </c>
      <c r="AF23" s="201"/>
      <c r="AG23" s="201"/>
      <c r="AH23" s="201"/>
      <c r="AI23" s="201"/>
      <c r="AJ23" s="201"/>
      <c r="AK23" s="201"/>
      <c r="AL23" s="201"/>
      <c r="AM23" s="201"/>
      <c r="AN23" s="201"/>
      <c r="AO23" s="201"/>
      <c r="AP23" s="201"/>
      <c r="AQ23" s="201"/>
      <c r="AR23" s="201"/>
      <c r="AS23" s="201"/>
      <c r="AT23" s="201"/>
      <c r="AU23" s="201"/>
      <c r="AV23" s="201"/>
      <c r="AW23" s="201"/>
    </row>
    <row r="24" spans="1:49" s="134" customFormat="1" ht="18.75" customHeight="1">
      <c r="A24" s="413" t="s">
        <v>952</v>
      </c>
      <c r="B24" s="87"/>
      <c r="C24" s="87"/>
      <c r="D24" s="87"/>
      <c r="E24" s="87"/>
      <c r="F24" s="87"/>
      <c r="G24" s="87"/>
      <c r="H24" s="87"/>
      <c r="I24" s="87"/>
      <c r="J24" s="87"/>
      <c r="K24" s="87"/>
      <c r="L24" s="87"/>
      <c r="M24" s="87"/>
      <c r="N24" s="87"/>
      <c r="O24" s="87"/>
      <c r="P24" s="87"/>
      <c r="Q24" s="87"/>
      <c r="R24" s="87"/>
      <c r="S24" s="87"/>
      <c r="T24" s="87">
        <v>0</v>
      </c>
      <c r="U24" s="87">
        <v>0</v>
      </c>
      <c r="V24" s="87">
        <v>0</v>
      </c>
      <c r="W24" s="87">
        <v>0</v>
      </c>
      <c r="X24" s="87">
        <v>0</v>
      </c>
      <c r="Y24" s="87">
        <v>0</v>
      </c>
      <c r="Z24" s="87">
        <v>0</v>
      </c>
      <c r="AA24" s="87">
        <v>0</v>
      </c>
      <c r="AB24" s="87">
        <v>0</v>
      </c>
      <c r="AC24" s="87">
        <v>1</v>
      </c>
      <c r="AD24" s="87">
        <v>0</v>
      </c>
      <c r="AE24" s="87">
        <v>0</v>
      </c>
      <c r="AF24" s="201"/>
      <c r="AG24" s="201"/>
      <c r="AH24" s="201"/>
      <c r="AI24" s="201"/>
      <c r="AJ24" s="201"/>
      <c r="AK24" s="201"/>
      <c r="AL24" s="201"/>
      <c r="AM24" s="201"/>
      <c r="AN24" s="201"/>
      <c r="AO24" s="201"/>
      <c r="AP24" s="201"/>
      <c r="AQ24" s="201"/>
      <c r="AR24" s="201"/>
      <c r="AS24" s="201"/>
      <c r="AT24" s="201"/>
      <c r="AU24" s="201"/>
      <c r="AV24" s="201"/>
      <c r="AW24" s="201"/>
    </row>
    <row r="25" spans="1:49" s="134" customFormat="1" ht="18.75" customHeight="1">
      <c r="A25" s="410" t="s">
        <v>494</v>
      </c>
      <c r="B25" s="203"/>
      <c r="C25" s="203"/>
      <c r="D25" s="87"/>
      <c r="E25" s="87"/>
      <c r="F25" s="87"/>
      <c r="G25" s="87"/>
      <c r="H25" s="87"/>
      <c r="I25" s="87"/>
      <c r="J25" s="87"/>
      <c r="K25" s="87"/>
      <c r="L25" s="87"/>
      <c r="M25" s="87"/>
      <c r="N25" s="87"/>
      <c r="O25" s="87"/>
      <c r="P25" s="87"/>
      <c r="Q25" s="87"/>
      <c r="R25" s="87"/>
      <c r="S25" s="87"/>
      <c r="T25" s="87">
        <v>0</v>
      </c>
      <c r="U25" s="87">
        <v>0</v>
      </c>
      <c r="V25" s="87">
        <v>0</v>
      </c>
      <c r="W25" s="87">
        <v>0</v>
      </c>
      <c r="X25" s="87">
        <v>0</v>
      </c>
      <c r="Y25" s="87">
        <v>0</v>
      </c>
      <c r="Z25" s="87">
        <v>0</v>
      </c>
      <c r="AA25" s="87">
        <v>0</v>
      </c>
      <c r="AB25" s="87">
        <v>0</v>
      </c>
      <c r="AC25" s="87">
        <v>0</v>
      </c>
      <c r="AD25" s="87">
        <v>0</v>
      </c>
      <c r="AE25" s="87">
        <v>0</v>
      </c>
      <c r="AF25" s="201"/>
      <c r="AG25" s="201"/>
      <c r="AH25" s="201"/>
      <c r="AI25" s="201"/>
      <c r="AJ25" s="201"/>
      <c r="AK25" s="201"/>
      <c r="AL25" s="201"/>
      <c r="AM25" s="201"/>
      <c r="AN25" s="201"/>
      <c r="AO25" s="201"/>
      <c r="AP25" s="201"/>
      <c r="AQ25" s="201"/>
      <c r="AR25" s="201"/>
      <c r="AS25" s="201"/>
      <c r="AT25" s="201"/>
      <c r="AU25" s="201"/>
      <c r="AV25" s="201"/>
      <c r="AW25" s="201"/>
    </row>
    <row r="26" spans="1:49" s="137" customFormat="1" ht="7.5" customHeight="1">
      <c r="A26" s="204"/>
      <c r="B26" s="205"/>
      <c r="C26" s="205"/>
      <c r="D26" s="205"/>
      <c r="E26" s="205"/>
      <c r="F26" s="205"/>
      <c r="G26" s="205"/>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c r="AE26" s="202"/>
      <c r="AF26" s="202"/>
      <c r="AG26" s="202"/>
      <c r="AH26" s="202"/>
      <c r="AI26" s="202"/>
      <c r="AJ26" s="202"/>
      <c r="AK26" s="202"/>
      <c r="AL26" s="202"/>
      <c r="AM26" s="202"/>
      <c r="AN26" s="202"/>
      <c r="AO26" s="202"/>
      <c r="AP26" s="202"/>
      <c r="AQ26" s="202"/>
      <c r="AR26" s="202"/>
      <c r="AS26" s="202"/>
      <c r="AT26" s="202"/>
      <c r="AU26" s="202"/>
      <c r="AV26" s="202"/>
      <c r="AW26" s="202"/>
    </row>
    <row r="27" spans="1:49" s="134" customFormat="1" ht="28.5" customHeight="1">
      <c r="A27" s="246" t="str">
        <f>IF(G11="","",G11)</f>
        <v>2018-2019</v>
      </c>
      <c r="B27" s="699" t="s">
        <v>5</v>
      </c>
      <c r="C27" s="699"/>
      <c r="D27" s="699" t="s">
        <v>6</v>
      </c>
      <c r="E27" s="699"/>
      <c r="F27" s="699" t="s">
        <v>7</v>
      </c>
      <c r="G27" s="699"/>
      <c r="H27" s="699" t="s">
        <v>8</v>
      </c>
      <c r="I27" s="699"/>
      <c r="J27" s="699" t="s">
        <v>9</v>
      </c>
      <c r="K27" s="699"/>
      <c r="L27" s="699" t="s">
        <v>10</v>
      </c>
      <c r="M27" s="699"/>
      <c r="N27" s="699" t="s">
        <v>11</v>
      </c>
      <c r="O27" s="699"/>
      <c r="P27" s="699" t="s">
        <v>951</v>
      </c>
      <c r="Q27" s="699"/>
      <c r="R27" s="699" t="s">
        <v>811</v>
      </c>
      <c r="S27" s="699"/>
      <c r="T27" s="699" t="s">
        <v>12</v>
      </c>
      <c r="U27" s="699"/>
      <c r="V27" s="697" t="s">
        <v>13</v>
      </c>
      <c r="W27" s="698"/>
      <c r="X27" s="697" t="s">
        <v>14</v>
      </c>
      <c r="Y27" s="698"/>
      <c r="Z27" s="697" t="s">
        <v>15</v>
      </c>
      <c r="AA27" s="698"/>
      <c r="AB27" s="699" t="s">
        <v>16</v>
      </c>
      <c r="AC27" s="699"/>
      <c r="AD27" s="699" t="s">
        <v>17</v>
      </c>
      <c r="AE27" s="699"/>
      <c r="AF27" s="201"/>
      <c r="AG27" s="201"/>
      <c r="AH27" s="201"/>
      <c r="AI27" s="201"/>
      <c r="AJ27" s="201"/>
      <c r="AK27" s="201"/>
      <c r="AL27" s="201"/>
      <c r="AM27" s="201"/>
      <c r="AN27" s="201"/>
      <c r="AO27" s="201"/>
      <c r="AP27" s="201"/>
      <c r="AQ27" s="201"/>
      <c r="AR27" s="201"/>
      <c r="AS27" s="201"/>
      <c r="AT27" s="201"/>
      <c r="AU27" s="201"/>
      <c r="AV27" s="201"/>
      <c r="AW27" s="201"/>
    </row>
    <row r="28" spans="1:49" s="83" customFormat="1" ht="16.5" customHeight="1">
      <c r="A28" s="84" t="s">
        <v>493</v>
      </c>
      <c r="B28" s="192" t="s">
        <v>23</v>
      </c>
      <c r="C28" s="192" t="s">
        <v>24</v>
      </c>
      <c r="D28" s="192" t="s">
        <v>23</v>
      </c>
      <c r="E28" s="192" t="s">
        <v>24</v>
      </c>
      <c r="F28" s="192" t="s">
        <v>23</v>
      </c>
      <c r="G28" s="192" t="s">
        <v>24</v>
      </c>
      <c r="H28" s="192" t="s">
        <v>23</v>
      </c>
      <c r="I28" s="192" t="s">
        <v>24</v>
      </c>
      <c r="J28" s="192" t="s">
        <v>23</v>
      </c>
      <c r="K28" s="192" t="s">
        <v>24</v>
      </c>
      <c r="L28" s="192" t="s">
        <v>23</v>
      </c>
      <c r="M28" s="192" t="s">
        <v>24</v>
      </c>
      <c r="N28" s="192" t="s">
        <v>23</v>
      </c>
      <c r="O28" s="192" t="s">
        <v>24</v>
      </c>
      <c r="P28" s="192" t="s">
        <v>23</v>
      </c>
      <c r="Q28" s="192" t="s">
        <v>24</v>
      </c>
      <c r="R28" s="192" t="s">
        <v>23</v>
      </c>
      <c r="S28" s="192" t="s">
        <v>24</v>
      </c>
      <c r="T28" s="192" t="s">
        <v>23</v>
      </c>
      <c r="U28" s="192" t="s">
        <v>24</v>
      </c>
      <c r="V28" s="192" t="s">
        <v>23</v>
      </c>
      <c r="W28" s="192" t="s">
        <v>24</v>
      </c>
      <c r="X28" s="192" t="s">
        <v>23</v>
      </c>
      <c r="Y28" s="192" t="s">
        <v>24</v>
      </c>
      <c r="Z28" s="192" t="s">
        <v>23</v>
      </c>
      <c r="AA28" s="192" t="s">
        <v>24</v>
      </c>
      <c r="AB28" s="192" t="s">
        <v>23</v>
      </c>
      <c r="AC28" s="192" t="s">
        <v>24</v>
      </c>
      <c r="AD28" s="283" t="s">
        <v>23</v>
      </c>
      <c r="AE28" s="283" t="s">
        <v>24</v>
      </c>
      <c r="AF28" s="201"/>
      <c r="AG28" s="201"/>
      <c r="AH28" s="201"/>
      <c r="AI28" s="201"/>
      <c r="AJ28" s="201"/>
      <c r="AK28" s="201"/>
      <c r="AL28" s="201"/>
      <c r="AM28" s="201"/>
      <c r="AN28" s="201"/>
      <c r="AO28" s="201"/>
      <c r="AP28" s="201"/>
      <c r="AQ28" s="201"/>
      <c r="AR28" s="201"/>
      <c r="AS28" s="201"/>
      <c r="AT28" s="201"/>
      <c r="AU28" s="201"/>
      <c r="AV28" s="201"/>
      <c r="AW28" s="201"/>
    </row>
    <row r="29" spans="1:49" s="134" customFormat="1" ht="20.25" customHeight="1">
      <c r="A29" s="410" t="s">
        <v>492</v>
      </c>
      <c r="B29" s="203"/>
      <c r="C29" s="203"/>
      <c r="D29" s="87"/>
      <c r="E29" s="87"/>
      <c r="F29" s="87"/>
      <c r="G29" s="87"/>
      <c r="H29" s="87"/>
      <c r="I29" s="87"/>
      <c r="J29" s="87"/>
      <c r="K29" s="87"/>
      <c r="L29" s="87"/>
      <c r="M29" s="87"/>
      <c r="N29" s="87"/>
      <c r="O29" s="87"/>
      <c r="P29" s="87"/>
      <c r="Q29" s="87"/>
      <c r="R29" s="87"/>
      <c r="S29" s="87"/>
      <c r="T29" s="87">
        <v>176</v>
      </c>
      <c r="U29" s="87">
        <v>188</v>
      </c>
      <c r="V29" s="87">
        <v>139</v>
      </c>
      <c r="W29" s="87">
        <v>166</v>
      </c>
      <c r="X29" s="87">
        <v>129</v>
      </c>
      <c r="Y29" s="87">
        <v>118</v>
      </c>
      <c r="Z29" s="87">
        <v>107</v>
      </c>
      <c r="AA29" s="87">
        <v>114</v>
      </c>
      <c r="AB29" s="87">
        <v>128</v>
      </c>
      <c r="AC29" s="87">
        <v>79</v>
      </c>
      <c r="AD29" s="87">
        <v>93</v>
      </c>
      <c r="AE29" s="87">
        <v>68</v>
      </c>
      <c r="AF29" s="201"/>
      <c r="AG29" s="201"/>
      <c r="AH29" s="201"/>
      <c r="AI29" s="201"/>
      <c r="AJ29" s="201"/>
      <c r="AK29" s="201"/>
      <c r="AL29" s="201"/>
      <c r="AM29" s="201"/>
      <c r="AN29" s="201"/>
      <c r="AO29" s="201"/>
      <c r="AP29" s="201"/>
      <c r="AQ29" s="201"/>
      <c r="AR29" s="201"/>
      <c r="AS29" s="201"/>
      <c r="AT29" s="201"/>
      <c r="AU29" s="201"/>
      <c r="AV29" s="201"/>
      <c r="AW29" s="201"/>
    </row>
    <row r="30" spans="1:49" s="134" customFormat="1" ht="20.25" customHeight="1">
      <c r="A30" s="413" t="s">
        <v>952</v>
      </c>
      <c r="B30" s="87"/>
      <c r="C30" s="87"/>
      <c r="D30" s="87"/>
      <c r="E30" s="87"/>
      <c r="F30" s="87"/>
      <c r="G30" s="87"/>
      <c r="H30" s="87"/>
      <c r="I30" s="87"/>
      <c r="J30" s="87"/>
      <c r="K30" s="87"/>
      <c r="L30" s="87"/>
      <c r="M30" s="87"/>
      <c r="N30" s="87"/>
      <c r="O30" s="87"/>
      <c r="P30" s="87"/>
      <c r="Q30" s="87"/>
      <c r="R30" s="87"/>
      <c r="S30" s="87"/>
      <c r="T30" s="87">
        <v>0</v>
      </c>
      <c r="U30" s="87">
        <v>0</v>
      </c>
      <c r="V30" s="87">
        <v>0</v>
      </c>
      <c r="W30" s="87">
        <v>0</v>
      </c>
      <c r="X30" s="87">
        <v>0</v>
      </c>
      <c r="Y30" s="87">
        <v>0</v>
      </c>
      <c r="Z30" s="87">
        <v>0</v>
      </c>
      <c r="AA30" s="87">
        <v>0</v>
      </c>
      <c r="AB30" s="87">
        <v>0</v>
      </c>
      <c r="AC30" s="87">
        <v>0</v>
      </c>
      <c r="AD30" s="87">
        <v>0</v>
      </c>
      <c r="AE30" s="87">
        <v>0</v>
      </c>
      <c r="AF30" s="201"/>
      <c r="AG30" s="201"/>
      <c r="AH30" s="201"/>
      <c r="AI30" s="201"/>
      <c r="AJ30" s="201"/>
      <c r="AK30" s="201"/>
      <c r="AL30" s="201"/>
      <c r="AM30" s="201"/>
      <c r="AN30" s="201"/>
      <c r="AO30" s="201"/>
      <c r="AP30" s="201"/>
      <c r="AQ30" s="201"/>
      <c r="AR30" s="201"/>
      <c r="AS30" s="201"/>
      <c r="AT30" s="201"/>
      <c r="AU30" s="201"/>
      <c r="AV30" s="201"/>
      <c r="AW30" s="201"/>
    </row>
    <row r="31" spans="1:49" s="134" customFormat="1" ht="20.25" customHeight="1">
      <c r="A31" s="410" t="s">
        <v>494</v>
      </c>
      <c r="B31" s="203"/>
      <c r="C31" s="203"/>
      <c r="D31" s="87"/>
      <c r="E31" s="87"/>
      <c r="F31" s="87"/>
      <c r="G31" s="87"/>
      <c r="H31" s="87"/>
      <c r="I31" s="87"/>
      <c r="J31" s="87"/>
      <c r="K31" s="87"/>
      <c r="L31" s="87"/>
      <c r="M31" s="87"/>
      <c r="N31" s="87"/>
      <c r="O31" s="87"/>
      <c r="P31" s="87"/>
      <c r="Q31" s="87"/>
      <c r="R31" s="87"/>
      <c r="S31" s="87"/>
      <c r="T31" s="87">
        <v>0</v>
      </c>
      <c r="U31" s="87">
        <v>0</v>
      </c>
      <c r="V31" s="87">
        <v>0</v>
      </c>
      <c r="W31" s="87">
        <v>0</v>
      </c>
      <c r="X31" s="87">
        <v>0</v>
      </c>
      <c r="Y31" s="87">
        <v>0</v>
      </c>
      <c r="Z31" s="87">
        <v>0</v>
      </c>
      <c r="AA31" s="87">
        <v>0</v>
      </c>
      <c r="AB31" s="87">
        <v>0</v>
      </c>
      <c r="AC31" s="87">
        <v>0</v>
      </c>
      <c r="AD31" s="87">
        <v>0</v>
      </c>
      <c r="AE31" s="87">
        <v>0</v>
      </c>
      <c r="AF31" s="201"/>
      <c r="AG31" s="201"/>
      <c r="AH31" s="201"/>
      <c r="AI31" s="201"/>
      <c r="AJ31" s="201"/>
      <c r="AK31" s="201"/>
      <c r="AL31" s="201"/>
      <c r="AM31" s="201"/>
      <c r="AN31" s="201"/>
      <c r="AO31" s="201"/>
      <c r="AP31" s="201"/>
      <c r="AQ31" s="201"/>
      <c r="AR31" s="201"/>
      <c r="AS31" s="201"/>
      <c r="AT31" s="201"/>
      <c r="AU31" s="201"/>
      <c r="AV31" s="201"/>
      <c r="AW31" s="201"/>
    </row>
    <row r="32" spans="1:49" s="134" customFormat="1" ht="18" customHeight="1">
      <c r="A32" s="844" t="s">
        <v>677</v>
      </c>
      <c r="B32" s="844"/>
      <c r="C32" s="844"/>
      <c r="D32" s="844"/>
      <c r="E32" s="844"/>
      <c r="F32" s="844"/>
      <c r="G32" s="844"/>
      <c r="H32" s="844"/>
      <c r="I32" s="844"/>
      <c r="J32" s="844"/>
      <c r="K32" s="844"/>
      <c r="L32" s="844"/>
      <c r="M32" s="843" t="s">
        <v>678</v>
      </c>
      <c r="N32" s="843"/>
      <c r="O32" s="843"/>
      <c r="P32" s="843"/>
      <c r="Q32" s="843"/>
      <c r="R32" s="843"/>
      <c r="S32" s="843"/>
      <c r="T32" s="843"/>
      <c r="U32" s="843"/>
      <c r="V32" s="843"/>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row>
    <row r="33" spans="1:49" s="134" customFormat="1" ht="14.25" customHeight="1">
      <c r="A33" s="742" t="s">
        <v>2</v>
      </c>
      <c r="B33" s="796" t="s">
        <v>29</v>
      </c>
      <c r="C33" s="796"/>
      <c r="D33" s="796" t="s">
        <v>28</v>
      </c>
      <c r="E33" s="796"/>
      <c r="F33" s="796" t="s">
        <v>95</v>
      </c>
      <c r="G33" s="796"/>
      <c r="H33" s="796" t="s">
        <v>94</v>
      </c>
      <c r="I33" s="796"/>
      <c r="J33" s="796" t="s">
        <v>93</v>
      </c>
      <c r="K33" s="796"/>
      <c r="L33" s="753" t="s">
        <v>18</v>
      </c>
      <c r="M33" s="742" t="s">
        <v>2</v>
      </c>
      <c r="N33" s="742"/>
      <c r="O33" s="796" t="s">
        <v>674</v>
      </c>
      <c r="P33" s="796"/>
      <c r="Q33" s="796" t="s">
        <v>675</v>
      </c>
      <c r="R33" s="796"/>
      <c r="S33" s="796" t="s">
        <v>95</v>
      </c>
      <c r="T33" s="796"/>
      <c r="U33" s="796" t="s">
        <v>676</v>
      </c>
      <c r="V33" s="796"/>
      <c r="W33" s="753" t="s">
        <v>18</v>
      </c>
      <c r="X33" s="201"/>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row>
    <row r="34" spans="1:49" s="134" customFormat="1" ht="14.25" customHeight="1">
      <c r="A34" s="742"/>
      <c r="B34" s="85" t="s">
        <v>23</v>
      </c>
      <c r="C34" s="85" t="s">
        <v>24</v>
      </c>
      <c r="D34" s="85" t="s">
        <v>23</v>
      </c>
      <c r="E34" s="85" t="s">
        <v>24</v>
      </c>
      <c r="F34" s="85" t="s">
        <v>23</v>
      </c>
      <c r="G34" s="85" t="s">
        <v>24</v>
      </c>
      <c r="H34" s="85" t="s">
        <v>23</v>
      </c>
      <c r="I34" s="85" t="s">
        <v>24</v>
      </c>
      <c r="J34" s="85" t="s">
        <v>23</v>
      </c>
      <c r="K34" s="86" t="s">
        <v>24</v>
      </c>
      <c r="L34" s="753"/>
      <c r="M34" s="742"/>
      <c r="N34" s="742"/>
      <c r="O34" s="85" t="s">
        <v>23</v>
      </c>
      <c r="P34" s="85" t="s">
        <v>24</v>
      </c>
      <c r="Q34" s="85" t="s">
        <v>23</v>
      </c>
      <c r="R34" s="85" t="s">
        <v>24</v>
      </c>
      <c r="S34" s="85" t="s">
        <v>23</v>
      </c>
      <c r="T34" s="85" t="s">
        <v>24</v>
      </c>
      <c r="U34" s="85" t="s">
        <v>23</v>
      </c>
      <c r="V34" s="85" t="s">
        <v>24</v>
      </c>
      <c r="W34" s="753"/>
      <c r="X34" s="201"/>
      <c r="Y34" s="201"/>
      <c r="Z34" s="201"/>
      <c r="AA34" s="201"/>
      <c r="AB34" s="201"/>
      <c r="AC34" s="201"/>
      <c r="AD34" s="201"/>
      <c r="AE34" s="201"/>
      <c r="AF34" s="201"/>
      <c r="AG34" s="201"/>
      <c r="AH34" s="201"/>
      <c r="AI34" s="201"/>
      <c r="AJ34" s="201"/>
      <c r="AK34" s="201"/>
      <c r="AL34" s="201"/>
      <c r="AM34" s="201"/>
      <c r="AN34" s="201"/>
      <c r="AO34" s="201"/>
      <c r="AP34" s="201"/>
      <c r="AQ34" s="201"/>
      <c r="AR34" s="201"/>
      <c r="AS34" s="201"/>
      <c r="AT34" s="201"/>
      <c r="AU34" s="201"/>
      <c r="AV34" s="201"/>
      <c r="AW34" s="201"/>
    </row>
    <row r="35" spans="1:49" s="134" customFormat="1" ht="15.6">
      <c r="A35" s="282" t="s">
        <v>5</v>
      </c>
      <c r="B35" s="239"/>
      <c r="C35" s="239"/>
      <c r="D35" s="239"/>
      <c r="E35" s="239"/>
      <c r="F35" s="239"/>
      <c r="G35" s="239"/>
      <c r="H35" s="239"/>
      <c r="I35" s="239"/>
      <c r="J35" s="239"/>
      <c r="K35" s="239"/>
      <c r="L35" s="418" t="str">
        <f>IF(SUM(B35:K35)&lt;1,"",SUM(B35:K35))</f>
        <v/>
      </c>
      <c r="M35" s="822" t="s">
        <v>5</v>
      </c>
      <c r="N35" s="823"/>
      <c r="O35" s="239"/>
      <c r="P35" s="239"/>
      <c r="Q35" s="239"/>
      <c r="R35" s="239"/>
      <c r="S35" s="239"/>
      <c r="T35" s="239"/>
      <c r="U35" s="239"/>
      <c r="V35" s="239"/>
      <c r="W35" s="418" t="str">
        <f>IF(SUM(O35:V35)&lt;1,"",SUM(O35:V35))</f>
        <v/>
      </c>
      <c r="X35" s="421"/>
      <c r="Y35" s="272" t="s">
        <v>667</v>
      </c>
      <c r="Z35" s="186"/>
      <c r="AA35" s="186"/>
      <c r="AB35" s="186"/>
      <c r="AC35" s="186"/>
      <c r="AD35" s="186"/>
      <c r="AE35" s="186"/>
      <c r="AF35" s="186"/>
      <c r="AG35" s="186"/>
      <c r="AH35" s="201"/>
      <c r="AI35" s="201"/>
      <c r="AJ35" s="201"/>
      <c r="AK35" s="201"/>
      <c r="AL35" s="201"/>
      <c r="AM35" s="201"/>
      <c r="AN35" s="201"/>
      <c r="AO35" s="201"/>
      <c r="AP35" s="201"/>
      <c r="AQ35" s="201"/>
      <c r="AR35" s="201"/>
      <c r="AS35" s="201"/>
      <c r="AT35" s="201"/>
      <c r="AU35" s="201"/>
      <c r="AV35" s="201"/>
      <c r="AW35" s="201"/>
    </row>
    <row r="36" spans="1:49" s="134" customFormat="1" ht="16.5" customHeight="1">
      <c r="A36" s="257" t="s">
        <v>6</v>
      </c>
      <c r="B36" s="239"/>
      <c r="C36" s="239"/>
      <c r="D36" s="239"/>
      <c r="E36" s="239"/>
      <c r="F36" s="239"/>
      <c r="G36" s="239"/>
      <c r="H36" s="239"/>
      <c r="I36" s="239"/>
      <c r="J36" s="239"/>
      <c r="K36" s="239"/>
      <c r="L36" s="418" t="str">
        <f t="shared" ref="L36:L50" si="0">IF(SUM(B36:K36)&lt;1,"",SUM(B36:K36))</f>
        <v/>
      </c>
      <c r="M36" s="822" t="s">
        <v>6</v>
      </c>
      <c r="N36" s="823"/>
      <c r="O36" s="239"/>
      <c r="P36" s="239"/>
      <c r="Q36" s="239"/>
      <c r="R36" s="239"/>
      <c r="S36" s="239"/>
      <c r="T36" s="239"/>
      <c r="U36" s="239"/>
      <c r="V36" s="239"/>
      <c r="W36" s="418" t="str">
        <f t="shared" ref="W36:W50" si="1">IF(SUM(M36:V36)&lt;1,"",SUM(M36:V36))</f>
        <v/>
      </c>
      <c r="X36" s="421"/>
      <c r="Y36" s="186" t="s">
        <v>668</v>
      </c>
      <c r="Z36" s="186"/>
      <c r="AA36" s="186"/>
      <c r="AB36" s="186"/>
      <c r="AC36" s="186"/>
      <c r="AD36" s="186"/>
      <c r="AE36" s="186"/>
      <c r="AF36" s="186"/>
      <c r="AG36" s="186"/>
      <c r="AH36" s="201"/>
      <c r="AI36" s="201"/>
      <c r="AJ36" s="201"/>
      <c r="AK36" s="201"/>
      <c r="AL36" s="201"/>
      <c r="AM36" s="201"/>
      <c r="AN36" s="201"/>
      <c r="AO36" s="201"/>
      <c r="AP36" s="201"/>
      <c r="AQ36" s="201"/>
      <c r="AR36" s="201"/>
      <c r="AS36" s="201"/>
      <c r="AT36" s="201"/>
      <c r="AU36" s="201"/>
      <c r="AV36" s="201"/>
      <c r="AW36" s="201"/>
    </row>
    <row r="37" spans="1:49" s="134" customFormat="1" ht="16.5" customHeight="1">
      <c r="A37" s="282" t="s">
        <v>7</v>
      </c>
      <c r="B37" s="239"/>
      <c r="C37" s="239"/>
      <c r="D37" s="239"/>
      <c r="E37" s="239"/>
      <c r="F37" s="239"/>
      <c r="G37" s="239"/>
      <c r="H37" s="239"/>
      <c r="I37" s="239"/>
      <c r="J37" s="239"/>
      <c r="K37" s="239"/>
      <c r="L37" s="418" t="str">
        <f t="shared" si="0"/>
        <v/>
      </c>
      <c r="M37" s="822" t="s">
        <v>7</v>
      </c>
      <c r="N37" s="823"/>
      <c r="O37" s="239"/>
      <c r="P37" s="239"/>
      <c r="Q37" s="239"/>
      <c r="R37" s="239"/>
      <c r="S37" s="239"/>
      <c r="T37" s="239"/>
      <c r="U37" s="239"/>
      <c r="V37" s="239"/>
      <c r="W37" s="418" t="str">
        <f t="shared" si="1"/>
        <v/>
      </c>
      <c r="X37" s="201"/>
      <c r="Y37" s="201"/>
      <c r="Z37" s="201"/>
      <c r="AA37" s="201"/>
      <c r="AB37" s="201"/>
      <c r="AC37" s="201"/>
      <c r="AD37" s="201"/>
      <c r="AE37" s="201"/>
      <c r="AF37" s="201"/>
      <c r="AG37" s="201"/>
      <c r="AH37" s="201"/>
      <c r="AI37" s="201"/>
      <c r="AJ37" s="201"/>
      <c r="AK37" s="201"/>
      <c r="AL37" s="201"/>
      <c r="AM37" s="201"/>
      <c r="AN37" s="201"/>
      <c r="AO37" s="201"/>
      <c r="AP37" s="201"/>
      <c r="AQ37" s="201"/>
      <c r="AR37" s="201"/>
      <c r="AS37" s="201"/>
      <c r="AT37" s="201"/>
      <c r="AU37" s="201"/>
      <c r="AV37" s="201"/>
      <c r="AW37" s="201"/>
    </row>
    <row r="38" spans="1:49" s="134" customFormat="1" ht="16.5" customHeight="1">
      <c r="A38" s="282" t="s">
        <v>8</v>
      </c>
      <c r="B38" s="239"/>
      <c r="C38" s="239"/>
      <c r="D38" s="239"/>
      <c r="E38" s="239"/>
      <c r="F38" s="239"/>
      <c r="G38" s="239"/>
      <c r="H38" s="239"/>
      <c r="I38" s="239"/>
      <c r="J38" s="239"/>
      <c r="K38" s="239"/>
      <c r="L38" s="418" t="str">
        <f t="shared" si="0"/>
        <v/>
      </c>
      <c r="M38" s="822" t="s">
        <v>8</v>
      </c>
      <c r="N38" s="823"/>
      <c r="O38" s="239"/>
      <c r="P38" s="239"/>
      <c r="Q38" s="239"/>
      <c r="R38" s="239"/>
      <c r="S38" s="239"/>
      <c r="T38" s="239"/>
      <c r="U38" s="239"/>
      <c r="V38" s="239"/>
      <c r="W38" s="418" t="str">
        <f t="shared" si="1"/>
        <v/>
      </c>
      <c r="X38" s="422"/>
      <c r="Y38" s="845" t="str">
        <f>IF(Helper!E14="","You have no input for the nutritional status of learners (BMI) for the current school year.",IF(Helper!E14=0,"Matched total number of learners in the Health and Nutrition (BMI) data and enrollment data.","Please check the current school year total number of learners in the Health and Nutrition (BMI) data against the current enrollment of learners."))</f>
        <v>Please check the current school year total number of learners in the Health and Nutrition (BMI) data against the current enrollment of learners.</v>
      </c>
      <c r="Z38" s="845"/>
      <c r="AA38" s="845"/>
      <c r="AB38" s="845"/>
      <c r="AC38" s="845"/>
      <c r="AD38" s="845"/>
      <c r="AE38" s="845"/>
      <c r="AF38" s="845"/>
      <c r="AG38" s="186"/>
      <c r="AH38" s="201"/>
      <c r="AI38" s="201"/>
      <c r="AJ38" s="201"/>
      <c r="AK38" s="201"/>
      <c r="AL38" s="201"/>
      <c r="AM38" s="201"/>
      <c r="AN38" s="201"/>
      <c r="AO38" s="201"/>
      <c r="AP38" s="201"/>
      <c r="AQ38" s="201"/>
      <c r="AR38" s="201"/>
      <c r="AS38" s="201"/>
      <c r="AT38" s="201"/>
      <c r="AU38" s="201"/>
      <c r="AV38" s="201"/>
      <c r="AW38" s="201"/>
    </row>
    <row r="39" spans="1:49" s="134" customFormat="1" ht="16.5" customHeight="1">
      <c r="A39" s="282" t="s">
        <v>9</v>
      </c>
      <c r="B39" s="239"/>
      <c r="C39" s="239"/>
      <c r="D39" s="239"/>
      <c r="E39" s="239"/>
      <c r="F39" s="239"/>
      <c r="G39" s="239"/>
      <c r="H39" s="239"/>
      <c r="I39" s="239"/>
      <c r="J39" s="239"/>
      <c r="K39" s="239"/>
      <c r="L39" s="418" t="str">
        <f t="shared" si="0"/>
        <v/>
      </c>
      <c r="M39" s="822" t="s">
        <v>9</v>
      </c>
      <c r="N39" s="823"/>
      <c r="O39" s="239"/>
      <c r="P39" s="239"/>
      <c r="Q39" s="239"/>
      <c r="R39" s="239"/>
      <c r="S39" s="239"/>
      <c r="T39" s="239"/>
      <c r="U39" s="239"/>
      <c r="V39" s="239"/>
      <c r="W39" s="418" t="str">
        <f t="shared" si="1"/>
        <v/>
      </c>
      <c r="X39" s="422"/>
      <c r="Y39" s="845"/>
      <c r="Z39" s="845"/>
      <c r="AA39" s="845"/>
      <c r="AB39" s="845"/>
      <c r="AC39" s="845"/>
      <c r="AD39" s="845"/>
      <c r="AE39" s="845"/>
      <c r="AF39" s="845"/>
      <c r="AG39" s="186"/>
      <c r="AH39" s="201"/>
      <c r="AI39" s="201"/>
      <c r="AJ39" s="201"/>
      <c r="AK39" s="201"/>
      <c r="AL39" s="201"/>
      <c r="AM39" s="201"/>
      <c r="AN39" s="201"/>
      <c r="AO39" s="201"/>
      <c r="AP39" s="201"/>
      <c r="AQ39" s="201"/>
      <c r="AR39" s="201"/>
      <c r="AS39" s="201"/>
      <c r="AT39" s="201"/>
      <c r="AU39" s="201"/>
      <c r="AV39" s="201"/>
      <c r="AW39" s="201"/>
    </row>
    <row r="40" spans="1:49" s="134" customFormat="1" ht="16.5" customHeight="1">
      <c r="A40" s="282" t="s">
        <v>10</v>
      </c>
      <c r="B40" s="239"/>
      <c r="C40" s="239"/>
      <c r="D40" s="239"/>
      <c r="E40" s="239"/>
      <c r="F40" s="239"/>
      <c r="G40" s="239"/>
      <c r="H40" s="239"/>
      <c r="I40" s="239"/>
      <c r="J40" s="239"/>
      <c r="K40" s="239"/>
      <c r="L40" s="418" t="str">
        <f t="shared" si="0"/>
        <v/>
      </c>
      <c r="M40" s="822" t="s">
        <v>10</v>
      </c>
      <c r="N40" s="823"/>
      <c r="O40" s="239"/>
      <c r="P40" s="239"/>
      <c r="Q40" s="239"/>
      <c r="R40" s="239"/>
      <c r="S40" s="239"/>
      <c r="T40" s="239"/>
      <c r="U40" s="239"/>
      <c r="V40" s="239"/>
      <c r="W40" s="418" t="str">
        <f t="shared" si="1"/>
        <v/>
      </c>
      <c r="X40" s="422"/>
      <c r="Y40" s="845"/>
      <c r="Z40" s="845"/>
      <c r="AA40" s="845"/>
      <c r="AB40" s="845"/>
      <c r="AC40" s="845"/>
      <c r="AD40" s="845"/>
      <c r="AE40" s="845"/>
      <c r="AF40" s="845"/>
      <c r="AG40" s="186"/>
      <c r="AH40" s="201"/>
      <c r="AI40" s="201"/>
      <c r="AJ40" s="201"/>
      <c r="AK40" s="201"/>
      <c r="AL40" s="201"/>
      <c r="AM40" s="201"/>
      <c r="AN40" s="201"/>
      <c r="AO40" s="201"/>
      <c r="AP40" s="201"/>
      <c r="AQ40" s="201"/>
      <c r="AR40" s="201"/>
      <c r="AS40" s="201"/>
      <c r="AT40" s="201"/>
      <c r="AU40" s="201"/>
      <c r="AV40" s="201"/>
      <c r="AW40" s="201"/>
    </row>
    <row r="41" spans="1:49" s="134" customFormat="1" ht="16.5" customHeight="1">
      <c r="A41" s="282" t="s">
        <v>11</v>
      </c>
      <c r="B41" s="239"/>
      <c r="C41" s="239"/>
      <c r="D41" s="239"/>
      <c r="E41" s="239"/>
      <c r="F41" s="239"/>
      <c r="G41" s="239"/>
      <c r="H41" s="239"/>
      <c r="I41" s="239"/>
      <c r="J41" s="239"/>
      <c r="K41" s="239"/>
      <c r="L41" s="418" t="str">
        <f t="shared" si="0"/>
        <v/>
      </c>
      <c r="M41" s="822" t="s">
        <v>11</v>
      </c>
      <c r="N41" s="823"/>
      <c r="O41" s="239"/>
      <c r="P41" s="239"/>
      <c r="Q41" s="239"/>
      <c r="R41" s="239"/>
      <c r="S41" s="239"/>
      <c r="T41" s="239"/>
      <c r="U41" s="239"/>
      <c r="V41" s="239"/>
      <c r="W41" s="418" t="str">
        <f t="shared" si="1"/>
        <v/>
      </c>
      <c r="X41" s="201"/>
      <c r="Y41" s="201"/>
      <c r="Z41" s="201"/>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row>
    <row r="42" spans="1:49" s="134" customFormat="1" ht="16.5" customHeight="1">
      <c r="A42" s="414" t="s">
        <v>953</v>
      </c>
      <c r="B42" s="239"/>
      <c r="C42" s="239"/>
      <c r="D42" s="239"/>
      <c r="E42" s="239"/>
      <c r="F42" s="87"/>
      <c r="G42" s="87"/>
      <c r="H42" s="239"/>
      <c r="I42" s="239"/>
      <c r="J42" s="239"/>
      <c r="K42" s="239"/>
      <c r="L42" s="418" t="str">
        <f t="shared" si="0"/>
        <v/>
      </c>
      <c r="M42" s="822" t="s">
        <v>953</v>
      </c>
      <c r="N42" s="823"/>
      <c r="O42" s="239"/>
      <c r="P42" s="239"/>
      <c r="Q42" s="239"/>
      <c r="R42" s="239"/>
      <c r="S42" s="87"/>
      <c r="T42" s="87"/>
      <c r="U42" s="239"/>
      <c r="V42" s="239"/>
      <c r="W42" s="418" t="str">
        <f t="shared" si="1"/>
        <v/>
      </c>
      <c r="X42" s="201"/>
      <c r="Y42" s="201"/>
      <c r="Z42" s="201"/>
      <c r="AA42" s="201"/>
      <c r="AB42" s="201"/>
      <c r="AC42" s="201"/>
      <c r="AD42" s="201"/>
      <c r="AE42" s="201"/>
      <c r="AF42" s="201"/>
      <c r="AG42" s="201"/>
      <c r="AH42" s="201"/>
      <c r="AI42" s="201"/>
      <c r="AJ42" s="201"/>
      <c r="AK42" s="201"/>
      <c r="AL42" s="201"/>
      <c r="AM42" s="201"/>
      <c r="AN42" s="201"/>
      <c r="AO42" s="201"/>
      <c r="AP42" s="201"/>
      <c r="AQ42" s="201"/>
      <c r="AR42" s="201"/>
      <c r="AS42" s="201"/>
      <c r="AT42" s="201"/>
      <c r="AU42" s="201"/>
      <c r="AV42" s="201"/>
      <c r="AW42" s="201"/>
    </row>
    <row r="43" spans="1:49" s="134" customFormat="1" ht="16.5" customHeight="1">
      <c r="A43" s="185" t="s">
        <v>811</v>
      </c>
      <c r="B43" s="239"/>
      <c r="C43" s="239"/>
      <c r="D43" s="239"/>
      <c r="E43" s="87"/>
      <c r="F43" s="87"/>
      <c r="G43" s="239"/>
      <c r="H43" s="239"/>
      <c r="I43" s="239"/>
      <c r="J43" s="239"/>
      <c r="K43" s="239"/>
      <c r="L43" s="418" t="str">
        <f t="shared" si="0"/>
        <v/>
      </c>
      <c r="M43" s="822" t="s">
        <v>811</v>
      </c>
      <c r="N43" s="823"/>
      <c r="O43" s="239"/>
      <c r="P43" s="239"/>
      <c r="Q43" s="239"/>
      <c r="R43" s="239"/>
      <c r="S43" s="87"/>
      <c r="T43" s="87"/>
      <c r="U43" s="239"/>
      <c r="V43" s="239"/>
      <c r="W43" s="418" t="str">
        <f t="shared" si="1"/>
        <v/>
      </c>
      <c r="X43" s="201"/>
      <c r="Y43" s="845" t="str">
        <f>IF(Helper!BE13="","You have no input for the nutritional status (HFA) of learners for the current school year.",IF(Helper!BE13=0,"Matched total number of learners in the Health and Nutrition (HFA) data and enrollment data.","Please check the current school year total number of learners in the Health and Nutrition (HFA) data against the current enrollment of learners."))</f>
        <v>Matched total number of learners in the Health and Nutrition (HFA) data and enrollment data.</v>
      </c>
      <c r="Z43" s="845"/>
      <c r="AA43" s="845"/>
      <c r="AB43" s="845"/>
      <c r="AC43" s="845"/>
      <c r="AD43" s="845"/>
      <c r="AE43" s="845"/>
      <c r="AF43" s="845"/>
      <c r="AG43" s="186"/>
      <c r="AH43" s="201"/>
      <c r="AI43" s="201"/>
      <c r="AJ43" s="201"/>
      <c r="AK43" s="201"/>
      <c r="AL43" s="201"/>
      <c r="AM43" s="201"/>
      <c r="AN43" s="201"/>
      <c r="AO43" s="201"/>
      <c r="AP43" s="201"/>
      <c r="AQ43" s="201"/>
      <c r="AR43" s="201"/>
      <c r="AS43" s="201"/>
      <c r="AT43" s="201"/>
      <c r="AU43" s="201"/>
      <c r="AV43" s="201"/>
      <c r="AW43" s="201"/>
    </row>
    <row r="44" spans="1:49" s="134" customFormat="1" ht="16.5" customHeight="1">
      <c r="A44" s="282" t="s">
        <v>12</v>
      </c>
      <c r="B44" s="239">
        <v>2</v>
      </c>
      <c r="C44" s="239">
        <v>0</v>
      </c>
      <c r="D44" s="239">
        <v>21</v>
      </c>
      <c r="E44" s="87">
        <v>16</v>
      </c>
      <c r="F44" s="87">
        <v>149</v>
      </c>
      <c r="G44" s="239">
        <v>166</v>
      </c>
      <c r="H44" s="239">
        <v>4</v>
      </c>
      <c r="I44" s="239">
        <v>6</v>
      </c>
      <c r="J44" s="239">
        <v>0</v>
      </c>
      <c r="K44" s="239">
        <v>0</v>
      </c>
      <c r="L44" s="418">
        <f t="shared" si="0"/>
        <v>364</v>
      </c>
      <c r="M44" s="822" t="s">
        <v>12</v>
      </c>
      <c r="N44" s="823"/>
      <c r="O44" s="239">
        <v>8</v>
      </c>
      <c r="P44" s="239">
        <v>7</v>
      </c>
      <c r="Q44" s="239">
        <v>42</v>
      </c>
      <c r="R44" s="239">
        <v>29</v>
      </c>
      <c r="S44" s="87">
        <v>125</v>
      </c>
      <c r="T44" s="87">
        <v>152</v>
      </c>
      <c r="U44" s="239">
        <v>1</v>
      </c>
      <c r="V44" s="239">
        <v>0</v>
      </c>
      <c r="W44" s="418">
        <f t="shared" si="1"/>
        <v>364</v>
      </c>
      <c r="X44" s="201"/>
      <c r="Y44" s="845"/>
      <c r="Z44" s="845"/>
      <c r="AA44" s="845"/>
      <c r="AB44" s="845"/>
      <c r="AC44" s="845"/>
      <c r="AD44" s="845"/>
      <c r="AE44" s="845"/>
      <c r="AF44" s="845"/>
      <c r="AG44" s="186"/>
      <c r="AH44" s="201"/>
      <c r="AI44" s="201"/>
      <c r="AJ44" s="201"/>
      <c r="AK44" s="201"/>
      <c r="AL44" s="201"/>
      <c r="AM44" s="201"/>
      <c r="AN44" s="201"/>
      <c r="AO44" s="201"/>
      <c r="AP44" s="201"/>
      <c r="AQ44" s="201"/>
      <c r="AR44" s="201"/>
      <c r="AS44" s="201"/>
      <c r="AT44" s="201"/>
      <c r="AU44" s="201"/>
      <c r="AV44" s="201"/>
      <c r="AW44" s="201"/>
    </row>
    <row r="45" spans="1:49" s="134" customFormat="1" ht="16.5" customHeight="1">
      <c r="A45" s="185" t="s">
        <v>13</v>
      </c>
      <c r="B45" s="239">
        <v>4</v>
      </c>
      <c r="C45" s="239">
        <v>0</v>
      </c>
      <c r="D45" s="239">
        <v>20</v>
      </c>
      <c r="E45" s="87">
        <v>10</v>
      </c>
      <c r="F45" s="87">
        <v>113</v>
      </c>
      <c r="G45" s="239">
        <v>156</v>
      </c>
      <c r="H45" s="239">
        <v>1</v>
      </c>
      <c r="I45" s="239">
        <v>0</v>
      </c>
      <c r="J45" s="239">
        <v>1</v>
      </c>
      <c r="K45" s="239">
        <v>0</v>
      </c>
      <c r="L45" s="418">
        <f t="shared" si="0"/>
        <v>305</v>
      </c>
      <c r="M45" s="822" t="s">
        <v>13</v>
      </c>
      <c r="N45" s="823"/>
      <c r="O45" s="239">
        <v>3</v>
      </c>
      <c r="P45" s="239">
        <v>3</v>
      </c>
      <c r="Q45" s="239">
        <v>24</v>
      </c>
      <c r="R45" s="239">
        <v>17</v>
      </c>
      <c r="S45" s="87">
        <v>112</v>
      </c>
      <c r="T45" s="87">
        <v>146</v>
      </c>
      <c r="U45" s="239">
        <v>0</v>
      </c>
      <c r="V45" s="239">
        <v>0</v>
      </c>
      <c r="W45" s="418">
        <f t="shared" si="1"/>
        <v>305</v>
      </c>
      <c r="X45" s="201"/>
      <c r="Y45" s="845"/>
      <c r="Z45" s="845"/>
      <c r="AA45" s="845"/>
      <c r="AB45" s="845"/>
      <c r="AC45" s="845"/>
      <c r="AD45" s="845"/>
      <c r="AE45" s="845"/>
      <c r="AF45" s="845"/>
      <c r="AG45" s="186"/>
      <c r="AH45" s="201"/>
      <c r="AI45" s="201"/>
      <c r="AJ45" s="201"/>
      <c r="AK45" s="201"/>
      <c r="AL45" s="201"/>
      <c r="AM45" s="201"/>
      <c r="AN45" s="201"/>
      <c r="AO45" s="201"/>
      <c r="AP45" s="201"/>
      <c r="AQ45" s="201"/>
      <c r="AR45" s="201"/>
      <c r="AS45" s="201"/>
      <c r="AT45" s="201"/>
      <c r="AU45" s="201"/>
      <c r="AV45" s="201"/>
      <c r="AW45" s="201"/>
    </row>
    <row r="46" spans="1:49" s="134" customFormat="1" ht="16.5" customHeight="1">
      <c r="A46" s="185" t="s">
        <v>14</v>
      </c>
      <c r="B46" s="239">
        <v>8</v>
      </c>
      <c r="C46" s="239">
        <v>1</v>
      </c>
      <c r="D46" s="239">
        <v>18</v>
      </c>
      <c r="E46" s="87">
        <v>8</v>
      </c>
      <c r="F46" s="87">
        <v>100</v>
      </c>
      <c r="G46" s="239">
        <v>107</v>
      </c>
      <c r="H46" s="239">
        <v>3</v>
      </c>
      <c r="I46" s="239">
        <v>1</v>
      </c>
      <c r="J46" s="239">
        <v>0</v>
      </c>
      <c r="K46" s="239">
        <v>1</v>
      </c>
      <c r="L46" s="418">
        <f t="shared" si="0"/>
        <v>247</v>
      </c>
      <c r="M46" s="822" t="s">
        <v>14</v>
      </c>
      <c r="N46" s="823"/>
      <c r="O46" s="239">
        <v>6</v>
      </c>
      <c r="P46" s="239">
        <v>5</v>
      </c>
      <c r="Q46" s="239">
        <v>14</v>
      </c>
      <c r="R46" s="239">
        <v>22</v>
      </c>
      <c r="S46" s="87">
        <v>109</v>
      </c>
      <c r="T46" s="87">
        <v>91</v>
      </c>
      <c r="U46" s="239">
        <v>0</v>
      </c>
      <c r="V46" s="239">
        <v>0</v>
      </c>
      <c r="W46" s="418">
        <f t="shared" si="1"/>
        <v>247</v>
      </c>
      <c r="X46" s="201"/>
      <c r="Y46" s="201"/>
      <c r="Z46" s="201"/>
      <c r="AA46" s="201"/>
      <c r="AB46" s="201"/>
      <c r="AC46" s="201"/>
      <c r="AD46" s="201"/>
      <c r="AE46" s="201"/>
      <c r="AF46" s="201"/>
      <c r="AG46" s="201"/>
      <c r="AH46" s="201"/>
      <c r="AI46" s="201"/>
      <c r="AJ46" s="201"/>
      <c r="AK46" s="201"/>
      <c r="AL46" s="201"/>
      <c r="AM46" s="201"/>
      <c r="AN46" s="201"/>
      <c r="AO46" s="201"/>
      <c r="AP46" s="201"/>
      <c r="AQ46" s="201"/>
      <c r="AR46" s="201"/>
      <c r="AS46" s="201"/>
      <c r="AT46" s="201"/>
      <c r="AU46" s="201"/>
      <c r="AV46" s="201"/>
      <c r="AW46" s="201"/>
    </row>
    <row r="47" spans="1:49" s="134" customFormat="1" ht="16.5" customHeight="1">
      <c r="A47" s="185" t="s">
        <v>15</v>
      </c>
      <c r="B47" s="239">
        <v>3</v>
      </c>
      <c r="C47" s="239">
        <v>1</v>
      </c>
      <c r="D47" s="239">
        <v>12</v>
      </c>
      <c r="E47" s="87">
        <v>4</v>
      </c>
      <c r="F47" s="87">
        <v>89</v>
      </c>
      <c r="G47" s="239">
        <v>109</v>
      </c>
      <c r="H47" s="239">
        <v>3</v>
      </c>
      <c r="I47" s="239">
        <v>0</v>
      </c>
      <c r="J47" s="239">
        <v>0</v>
      </c>
      <c r="K47" s="239">
        <v>0</v>
      </c>
      <c r="L47" s="418">
        <f t="shared" si="0"/>
        <v>221</v>
      </c>
      <c r="M47" s="822" t="s">
        <v>15</v>
      </c>
      <c r="N47" s="823"/>
      <c r="O47" s="239">
        <v>4</v>
      </c>
      <c r="P47" s="239">
        <v>4</v>
      </c>
      <c r="Q47" s="239">
        <v>22</v>
      </c>
      <c r="R47" s="239">
        <v>32</v>
      </c>
      <c r="S47" s="87">
        <v>81</v>
      </c>
      <c r="T47" s="87">
        <v>78</v>
      </c>
      <c r="U47" s="239">
        <v>0</v>
      </c>
      <c r="V47" s="239">
        <v>0</v>
      </c>
      <c r="W47" s="418">
        <f t="shared" si="1"/>
        <v>221</v>
      </c>
      <c r="X47" s="201"/>
      <c r="Y47" s="201"/>
      <c r="Z47" s="201"/>
      <c r="AA47" s="201"/>
      <c r="AB47" s="201"/>
      <c r="AC47" s="201"/>
      <c r="AD47" s="201"/>
      <c r="AE47" s="201"/>
      <c r="AF47" s="201"/>
      <c r="AG47" s="201"/>
      <c r="AH47" s="201"/>
      <c r="AI47" s="201"/>
      <c r="AJ47" s="201"/>
      <c r="AK47" s="201"/>
      <c r="AL47" s="201"/>
      <c r="AM47" s="201"/>
      <c r="AN47" s="201"/>
      <c r="AO47" s="201"/>
      <c r="AP47" s="201"/>
      <c r="AQ47" s="201"/>
      <c r="AR47" s="201"/>
      <c r="AS47" s="201"/>
      <c r="AT47" s="201"/>
      <c r="AU47" s="201"/>
      <c r="AV47" s="201"/>
      <c r="AW47" s="201"/>
    </row>
    <row r="48" spans="1:49" s="134" customFormat="1" ht="16.5" customHeight="1">
      <c r="A48" s="185" t="s">
        <v>16</v>
      </c>
      <c r="B48" s="239">
        <v>0</v>
      </c>
      <c r="C48" s="239">
        <v>0</v>
      </c>
      <c r="D48" s="239">
        <v>10</v>
      </c>
      <c r="E48" s="87">
        <v>2</v>
      </c>
      <c r="F48" s="87">
        <v>118</v>
      </c>
      <c r="G48" s="239">
        <v>75</v>
      </c>
      <c r="H48" s="239">
        <v>0</v>
      </c>
      <c r="I48" s="239">
        <v>2</v>
      </c>
      <c r="J48" s="239">
        <v>0</v>
      </c>
      <c r="K48" s="239">
        <v>0</v>
      </c>
      <c r="L48" s="418">
        <f t="shared" si="0"/>
        <v>207</v>
      </c>
      <c r="M48" s="822" t="s">
        <v>16</v>
      </c>
      <c r="N48" s="823"/>
      <c r="O48" s="239">
        <v>5</v>
      </c>
      <c r="P48" s="239">
        <v>0</v>
      </c>
      <c r="Q48" s="239">
        <v>9</v>
      </c>
      <c r="R48" s="239">
        <v>38</v>
      </c>
      <c r="S48" s="87">
        <v>114</v>
      </c>
      <c r="T48" s="87">
        <v>41</v>
      </c>
      <c r="U48" s="239">
        <v>0</v>
      </c>
      <c r="V48" s="239">
        <v>0</v>
      </c>
      <c r="W48" s="418">
        <f t="shared" si="1"/>
        <v>207</v>
      </c>
      <c r="X48" s="201"/>
      <c r="Y48" s="201"/>
      <c r="Z48" s="201"/>
      <c r="AA48" s="201"/>
      <c r="AB48" s="201"/>
      <c r="AC48" s="201"/>
      <c r="AD48" s="201"/>
      <c r="AE48" s="201"/>
      <c r="AF48" s="201"/>
      <c r="AG48" s="201"/>
      <c r="AH48" s="201"/>
      <c r="AI48" s="201"/>
      <c r="AJ48" s="201"/>
      <c r="AK48" s="201"/>
      <c r="AL48" s="201"/>
      <c r="AM48" s="201"/>
      <c r="AN48" s="201"/>
      <c r="AO48" s="201"/>
      <c r="AP48" s="201"/>
      <c r="AQ48" s="201"/>
      <c r="AR48" s="201"/>
      <c r="AS48" s="201"/>
      <c r="AT48" s="201"/>
      <c r="AU48" s="201"/>
      <c r="AV48" s="201"/>
      <c r="AW48" s="201"/>
    </row>
    <row r="49" spans="1:49" s="134" customFormat="1" ht="16.5" customHeight="1">
      <c r="A49" s="185" t="s">
        <v>17</v>
      </c>
      <c r="B49" s="245">
        <v>0</v>
      </c>
      <c r="C49" s="245">
        <v>0</v>
      </c>
      <c r="D49" s="245">
        <v>2</v>
      </c>
      <c r="E49" s="87">
        <v>3</v>
      </c>
      <c r="F49" s="87">
        <v>89</v>
      </c>
      <c r="G49" s="245">
        <v>62</v>
      </c>
      <c r="H49" s="245">
        <v>2</v>
      </c>
      <c r="I49" s="245">
        <v>3</v>
      </c>
      <c r="J49" s="245">
        <v>0</v>
      </c>
      <c r="K49" s="245">
        <v>0</v>
      </c>
      <c r="L49" s="418">
        <f t="shared" si="0"/>
        <v>161</v>
      </c>
      <c r="M49" s="822" t="s">
        <v>17</v>
      </c>
      <c r="N49" s="823"/>
      <c r="O49" s="245">
        <v>1</v>
      </c>
      <c r="P49" s="245">
        <v>2</v>
      </c>
      <c r="Q49" s="245">
        <v>16</v>
      </c>
      <c r="R49" s="245">
        <v>49</v>
      </c>
      <c r="S49" s="87">
        <v>75</v>
      </c>
      <c r="T49" s="87">
        <v>17</v>
      </c>
      <c r="U49" s="245">
        <v>0</v>
      </c>
      <c r="V49" s="245">
        <v>1</v>
      </c>
      <c r="W49" s="418">
        <f t="shared" si="1"/>
        <v>161</v>
      </c>
      <c r="X49" s="201"/>
      <c r="Y49" s="201"/>
      <c r="Z49" s="201"/>
      <c r="AA49" s="201"/>
      <c r="AB49" s="201"/>
      <c r="AC49" s="201"/>
      <c r="AD49" s="201"/>
      <c r="AE49" s="201"/>
      <c r="AF49" s="201"/>
      <c r="AG49" s="201"/>
      <c r="AH49" s="201"/>
      <c r="AI49" s="201"/>
      <c r="AJ49" s="201"/>
      <c r="AK49" s="201"/>
      <c r="AL49" s="201"/>
      <c r="AM49" s="201"/>
      <c r="AN49" s="201"/>
      <c r="AO49" s="201"/>
      <c r="AP49" s="201"/>
      <c r="AQ49" s="201"/>
      <c r="AR49" s="201"/>
      <c r="AS49" s="201"/>
      <c r="AT49" s="201"/>
      <c r="AU49" s="201"/>
      <c r="AV49" s="201"/>
      <c r="AW49" s="201"/>
    </row>
    <row r="50" spans="1:49" s="134" customFormat="1" ht="21" customHeight="1">
      <c r="A50" s="247" t="s">
        <v>18</v>
      </c>
      <c r="B50" s="244">
        <f>IF(COUNT(B35:B49)&gt;0, SUM(B35:B49), "")</f>
        <v>17</v>
      </c>
      <c r="C50" s="244">
        <f t="shared" ref="C50:K50" si="2">IF(COUNT(C35:C49)&gt;0, SUM(C35:C49), "")</f>
        <v>2</v>
      </c>
      <c r="D50" s="244">
        <f t="shared" si="2"/>
        <v>83</v>
      </c>
      <c r="E50" s="244">
        <f t="shared" si="2"/>
        <v>43</v>
      </c>
      <c r="F50" s="244">
        <f t="shared" si="2"/>
        <v>658</v>
      </c>
      <c r="G50" s="244">
        <f t="shared" si="2"/>
        <v>675</v>
      </c>
      <c r="H50" s="244">
        <f t="shared" si="2"/>
        <v>13</v>
      </c>
      <c r="I50" s="244">
        <f t="shared" si="2"/>
        <v>12</v>
      </c>
      <c r="J50" s="244">
        <f t="shared" si="2"/>
        <v>1</v>
      </c>
      <c r="K50" s="244">
        <f t="shared" si="2"/>
        <v>1</v>
      </c>
      <c r="L50" s="420">
        <f t="shared" si="0"/>
        <v>1505</v>
      </c>
      <c r="M50" s="826" t="s">
        <v>18</v>
      </c>
      <c r="N50" s="826"/>
      <c r="O50" s="244">
        <f>IF(COUNT(O35:O49)&gt;0, SUM(O35:O49), "")</f>
        <v>27</v>
      </c>
      <c r="P50" s="244">
        <f t="shared" ref="P50:V50" si="3">IF(COUNT(P35:P49)&gt;0, SUM(P35:P49), "")</f>
        <v>21</v>
      </c>
      <c r="Q50" s="244">
        <f t="shared" si="3"/>
        <v>127</v>
      </c>
      <c r="R50" s="244">
        <f t="shared" si="3"/>
        <v>187</v>
      </c>
      <c r="S50" s="244">
        <f t="shared" si="3"/>
        <v>616</v>
      </c>
      <c r="T50" s="244">
        <f t="shared" si="3"/>
        <v>525</v>
      </c>
      <c r="U50" s="244">
        <f t="shared" si="3"/>
        <v>1</v>
      </c>
      <c r="V50" s="244">
        <f t="shared" si="3"/>
        <v>1</v>
      </c>
      <c r="W50" s="420">
        <f t="shared" si="1"/>
        <v>1505</v>
      </c>
      <c r="X50" s="201"/>
      <c r="Y50" s="201"/>
      <c r="Z50" s="201"/>
      <c r="AA50" s="201"/>
      <c r="AB50" s="201"/>
      <c r="AC50" s="201"/>
      <c r="AD50" s="201"/>
      <c r="AE50" s="201"/>
      <c r="AF50" s="201"/>
      <c r="AG50" s="201"/>
      <c r="AH50" s="201"/>
      <c r="AI50" s="201"/>
      <c r="AJ50" s="201"/>
      <c r="AK50" s="201"/>
      <c r="AL50" s="201"/>
      <c r="AM50" s="201"/>
      <c r="AN50" s="201"/>
      <c r="AO50" s="201"/>
      <c r="AP50" s="201"/>
      <c r="AQ50" s="201"/>
      <c r="AR50" s="201"/>
      <c r="AS50" s="201"/>
      <c r="AT50" s="201"/>
      <c r="AU50" s="201"/>
      <c r="AV50" s="201"/>
      <c r="AW50" s="201"/>
    </row>
    <row r="51" spans="1:49" s="134" customFormat="1" ht="21" customHeight="1">
      <c r="A51" s="201" t="s">
        <v>210</v>
      </c>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c r="AD51" s="201"/>
      <c r="AE51" s="201"/>
      <c r="AF51" s="201"/>
      <c r="AG51" s="201"/>
      <c r="AH51" s="201"/>
      <c r="AI51" s="201"/>
      <c r="AJ51" s="201"/>
      <c r="AK51" s="201"/>
      <c r="AL51" s="201"/>
      <c r="AM51" s="201"/>
      <c r="AN51" s="201"/>
      <c r="AO51" s="201"/>
      <c r="AP51" s="201"/>
      <c r="AQ51" s="201"/>
      <c r="AR51" s="201"/>
      <c r="AS51" s="201"/>
      <c r="AT51" s="201"/>
      <c r="AU51" s="201"/>
      <c r="AV51" s="201"/>
      <c r="AW51" s="201"/>
    </row>
    <row r="52" spans="1:49" s="134" customFormat="1" ht="13.8">
      <c r="A52" s="688" t="s">
        <v>2</v>
      </c>
      <c r="B52" s="688" t="str">
        <f>CONCATENATE("Number of Books per Subject for"," ","S.Y."," ",G11)</f>
        <v>Number of Books per Subject for S.Y. 2018-2019</v>
      </c>
      <c r="C52" s="688"/>
      <c r="D52" s="688"/>
      <c r="E52" s="688"/>
      <c r="F52" s="688"/>
      <c r="G52" s="688"/>
      <c r="H52" s="688"/>
      <c r="I52" s="688"/>
      <c r="J52" s="688"/>
      <c r="K52" s="688"/>
      <c r="L52" s="201"/>
      <c r="M52" s="201"/>
      <c r="N52" s="201"/>
      <c r="O52" s="201"/>
      <c r="P52" s="201"/>
      <c r="Q52" s="201"/>
      <c r="R52" s="201"/>
      <c r="S52" s="201"/>
      <c r="T52" s="201"/>
      <c r="U52" s="201"/>
      <c r="V52" s="201"/>
      <c r="W52" s="201"/>
      <c r="X52" s="201"/>
      <c r="Y52" s="201"/>
      <c r="Z52" s="201"/>
      <c r="AA52" s="201"/>
      <c r="AB52" s="201"/>
      <c r="AC52" s="201"/>
      <c r="AD52" s="201"/>
      <c r="AE52" s="201"/>
      <c r="AF52" s="201"/>
      <c r="AG52" s="201"/>
      <c r="AH52" s="201"/>
      <c r="AI52" s="201"/>
      <c r="AJ52" s="201"/>
      <c r="AK52" s="201"/>
      <c r="AL52" s="201"/>
      <c r="AM52" s="201"/>
      <c r="AN52" s="201"/>
      <c r="AO52" s="201"/>
      <c r="AP52" s="201"/>
      <c r="AQ52" s="201"/>
      <c r="AR52" s="201"/>
      <c r="AS52" s="201"/>
      <c r="AT52" s="201"/>
      <c r="AU52" s="201"/>
      <c r="AV52" s="201"/>
      <c r="AW52" s="201"/>
    </row>
    <row r="53" spans="1:49" s="134" customFormat="1">
      <c r="A53" s="688"/>
      <c r="B53" s="244" t="s">
        <v>52</v>
      </c>
      <c r="C53" s="244" t="s">
        <v>54</v>
      </c>
      <c r="D53" s="244" t="s">
        <v>81</v>
      </c>
      <c r="E53" s="244" t="s">
        <v>53</v>
      </c>
      <c r="F53" s="244" t="s">
        <v>82</v>
      </c>
      <c r="G53" s="244" t="s">
        <v>83</v>
      </c>
      <c r="H53" s="244" t="s">
        <v>84</v>
      </c>
      <c r="I53" s="244" t="s">
        <v>85</v>
      </c>
      <c r="J53" s="244" t="s">
        <v>960</v>
      </c>
      <c r="K53" s="274" t="s">
        <v>490</v>
      </c>
      <c r="L53" s="201"/>
      <c r="M53" s="201"/>
      <c r="N53" s="201"/>
      <c r="O53" s="201"/>
      <c r="P53" s="201"/>
      <c r="Q53" s="201"/>
      <c r="R53" s="201"/>
      <c r="S53" s="201"/>
      <c r="T53" s="201"/>
      <c r="U53" s="201"/>
      <c r="V53" s="201"/>
      <c r="W53" s="201"/>
      <c r="X53" s="201"/>
      <c r="Y53" s="201"/>
      <c r="Z53" s="201"/>
      <c r="AA53" s="201"/>
      <c r="AB53" s="201"/>
      <c r="AC53" s="201"/>
      <c r="AD53" s="201"/>
      <c r="AE53" s="201"/>
      <c r="AF53" s="201"/>
      <c r="AG53" s="201"/>
      <c r="AH53" s="201"/>
      <c r="AI53" s="201"/>
      <c r="AJ53" s="201"/>
      <c r="AK53" s="201"/>
      <c r="AL53" s="201"/>
      <c r="AM53" s="201"/>
      <c r="AN53" s="201"/>
      <c r="AO53" s="201"/>
      <c r="AP53" s="201"/>
      <c r="AQ53" s="201"/>
      <c r="AR53" s="201"/>
      <c r="AS53" s="201"/>
      <c r="AT53" s="201"/>
      <c r="AU53" s="201"/>
      <c r="AV53" s="201"/>
      <c r="AW53" s="201"/>
    </row>
    <row r="54" spans="1:49" s="134" customFormat="1" ht="13.8">
      <c r="A54" s="282" t="s">
        <v>5</v>
      </c>
      <c r="B54" s="242"/>
      <c r="C54" s="242"/>
      <c r="D54" s="424"/>
      <c r="E54" s="242"/>
      <c r="F54" s="424"/>
      <c r="G54" s="242"/>
      <c r="H54" s="242"/>
      <c r="I54" s="242"/>
      <c r="J54" s="242"/>
      <c r="K54" s="242"/>
      <c r="L54" s="201"/>
      <c r="M54" s="201"/>
      <c r="N54" s="201"/>
      <c r="O54" s="201"/>
      <c r="P54" s="201"/>
      <c r="Q54" s="201"/>
      <c r="R54" s="201"/>
      <c r="S54" s="201"/>
      <c r="T54" s="201"/>
      <c r="U54" s="201"/>
      <c r="V54" s="201"/>
      <c r="W54" s="201"/>
      <c r="X54" s="201"/>
      <c r="Y54" s="201"/>
      <c r="Z54" s="201"/>
      <c r="AA54" s="201"/>
      <c r="AB54" s="201"/>
      <c r="AC54" s="201"/>
      <c r="AD54" s="201"/>
      <c r="AE54" s="201"/>
      <c r="AF54" s="201"/>
      <c r="AG54" s="201"/>
      <c r="AH54" s="201"/>
      <c r="AI54" s="201"/>
      <c r="AJ54" s="201"/>
      <c r="AK54" s="201"/>
      <c r="AL54" s="201"/>
      <c r="AM54" s="201"/>
      <c r="AN54" s="201"/>
      <c r="AO54" s="201"/>
      <c r="AP54" s="201"/>
      <c r="AQ54" s="201"/>
      <c r="AR54" s="201"/>
      <c r="AS54" s="201"/>
      <c r="AT54" s="201"/>
      <c r="AU54" s="201"/>
      <c r="AV54" s="201"/>
      <c r="AW54" s="201"/>
    </row>
    <row r="55" spans="1:49" s="134" customFormat="1" ht="13.8">
      <c r="A55" s="282" t="s">
        <v>6</v>
      </c>
      <c r="B55" s="87"/>
      <c r="C55" s="87"/>
      <c r="D55" s="423"/>
      <c r="E55" s="87"/>
      <c r="F55" s="423"/>
      <c r="G55" s="87"/>
      <c r="H55" s="87"/>
      <c r="I55" s="87"/>
      <c r="J55" s="87"/>
      <c r="K55" s="87"/>
      <c r="L55" s="201"/>
      <c r="M55" s="201"/>
      <c r="N55" s="201"/>
      <c r="O55" s="201"/>
      <c r="P55" s="201"/>
      <c r="Q55" s="201"/>
      <c r="R55" s="201"/>
      <c r="S55" s="201"/>
      <c r="T55" s="201"/>
      <c r="U55" s="201"/>
      <c r="V55" s="201"/>
      <c r="W55" s="201"/>
      <c r="X55" s="201"/>
      <c r="Y55" s="201"/>
      <c r="Z55" s="201"/>
      <c r="AA55" s="201"/>
      <c r="AB55" s="201"/>
      <c r="AC55" s="201"/>
      <c r="AD55" s="201"/>
      <c r="AE55" s="201"/>
      <c r="AF55" s="201"/>
      <c r="AG55" s="201"/>
      <c r="AH55" s="201"/>
      <c r="AI55" s="201"/>
      <c r="AJ55" s="201"/>
      <c r="AK55" s="201"/>
      <c r="AL55" s="201"/>
      <c r="AM55" s="201"/>
      <c r="AN55" s="201"/>
      <c r="AO55" s="201"/>
      <c r="AP55" s="201"/>
      <c r="AQ55" s="201"/>
      <c r="AR55" s="201"/>
      <c r="AS55" s="201"/>
      <c r="AT55" s="201"/>
      <c r="AU55" s="201"/>
      <c r="AV55" s="201"/>
      <c r="AW55" s="201"/>
    </row>
    <row r="56" spans="1:49" s="134" customFormat="1" ht="13.8">
      <c r="A56" s="282" t="s">
        <v>7</v>
      </c>
      <c r="B56" s="87"/>
      <c r="C56" s="87"/>
      <c r="D56" s="423"/>
      <c r="E56" s="87"/>
      <c r="F56" s="423"/>
      <c r="G56" s="87"/>
      <c r="H56" s="87"/>
      <c r="I56" s="87"/>
      <c r="J56" s="87"/>
      <c r="K56" s="87"/>
      <c r="L56" s="201"/>
      <c r="M56" s="201"/>
      <c r="N56" s="201"/>
      <c r="O56" s="201"/>
      <c r="P56" s="201"/>
      <c r="Q56" s="201"/>
      <c r="R56" s="201"/>
      <c r="S56" s="201"/>
      <c r="T56" s="201"/>
      <c r="U56" s="201"/>
      <c r="V56" s="201"/>
      <c r="W56" s="201"/>
      <c r="X56" s="201"/>
      <c r="Y56" s="201"/>
      <c r="Z56" s="201"/>
      <c r="AA56" s="201"/>
      <c r="AB56" s="201"/>
      <c r="AC56" s="201"/>
      <c r="AD56" s="201"/>
      <c r="AE56" s="201"/>
      <c r="AF56" s="201"/>
      <c r="AG56" s="201"/>
      <c r="AH56" s="201"/>
      <c r="AI56" s="201"/>
      <c r="AJ56" s="201"/>
      <c r="AK56" s="201"/>
      <c r="AL56" s="201"/>
      <c r="AM56" s="201"/>
      <c r="AN56" s="201"/>
      <c r="AO56" s="201"/>
      <c r="AP56" s="201"/>
      <c r="AQ56" s="201"/>
      <c r="AR56" s="201"/>
      <c r="AS56" s="201"/>
      <c r="AT56" s="201"/>
      <c r="AU56" s="201"/>
      <c r="AV56" s="201"/>
      <c r="AW56" s="201"/>
    </row>
    <row r="57" spans="1:49" s="134" customFormat="1" ht="13.8">
      <c r="A57" s="282" t="s">
        <v>8</v>
      </c>
      <c r="B57" s="87"/>
      <c r="C57" s="87"/>
      <c r="D57" s="87"/>
      <c r="E57" s="87"/>
      <c r="F57" s="423"/>
      <c r="G57" s="87"/>
      <c r="H57" s="87"/>
      <c r="I57" s="87"/>
      <c r="J57" s="87"/>
      <c r="K57" s="87"/>
      <c r="L57" s="201"/>
      <c r="M57" s="201"/>
      <c r="N57" s="201"/>
      <c r="O57" s="201"/>
      <c r="P57" s="201"/>
      <c r="Q57" s="201"/>
      <c r="R57" s="201"/>
      <c r="S57" s="201"/>
      <c r="T57" s="201"/>
      <c r="U57" s="201"/>
      <c r="V57" s="201"/>
      <c r="W57" s="201"/>
      <c r="X57" s="201"/>
      <c r="Y57" s="201"/>
      <c r="Z57" s="201"/>
      <c r="AA57" s="201"/>
      <c r="AB57" s="201"/>
      <c r="AC57" s="201"/>
      <c r="AD57" s="201"/>
      <c r="AE57" s="201"/>
      <c r="AF57" s="201"/>
      <c r="AG57" s="201"/>
      <c r="AH57" s="201"/>
      <c r="AI57" s="201"/>
      <c r="AJ57" s="201"/>
      <c r="AK57" s="201"/>
      <c r="AL57" s="201"/>
      <c r="AM57" s="201"/>
      <c r="AN57" s="201"/>
      <c r="AO57" s="201"/>
      <c r="AP57" s="201"/>
      <c r="AQ57" s="201"/>
      <c r="AR57" s="201"/>
      <c r="AS57" s="201"/>
      <c r="AT57" s="201"/>
      <c r="AU57" s="201"/>
      <c r="AV57" s="201"/>
      <c r="AW57" s="201"/>
    </row>
    <row r="58" spans="1:49" s="134" customFormat="1" ht="13.8">
      <c r="A58" s="282" t="s">
        <v>9</v>
      </c>
      <c r="B58" s="87"/>
      <c r="C58" s="87"/>
      <c r="D58" s="87"/>
      <c r="E58" s="87"/>
      <c r="F58" s="87"/>
      <c r="G58" s="87"/>
      <c r="H58" s="87"/>
      <c r="I58" s="87"/>
      <c r="J58" s="423"/>
      <c r="K58" s="87"/>
      <c r="L58" s="201"/>
      <c r="M58" s="201"/>
      <c r="N58" s="201"/>
      <c r="O58" s="201"/>
      <c r="P58" s="201"/>
      <c r="Q58" s="201"/>
      <c r="R58" s="201"/>
      <c r="S58" s="201"/>
      <c r="T58" s="201"/>
      <c r="U58" s="201"/>
      <c r="V58" s="201"/>
      <c r="W58" s="201"/>
      <c r="X58" s="201"/>
      <c r="Y58" s="201"/>
      <c r="Z58" s="201"/>
      <c r="AA58" s="201"/>
      <c r="AB58" s="201"/>
      <c r="AC58" s="201"/>
      <c r="AD58" s="201"/>
      <c r="AE58" s="201"/>
      <c r="AF58" s="201"/>
      <c r="AG58" s="201"/>
      <c r="AH58" s="201"/>
      <c r="AI58" s="201"/>
      <c r="AJ58" s="201"/>
      <c r="AK58" s="201"/>
      <c r="AL58" s="201"/>
      <c r="AM58" s="201"/>
      <c r="AN58" s="201"/>
      <c r="AO58" s="201"/>
      <c r="AP58" s="201"/>
      <c r="AQ58" s="201"/>
      <c r="AR58" s="201"/>
      <c r="AS58" s="201"/>
      <c r="AT58" s="201"/>
      <c r="AU58" s="201"/>
      <c r="AV58" s="201"/>
      <c r="AW58" s="201"/>
    </row>
    <row r="59" spans="1:49" s="134" customFormat="1" ht="13.8">
      <c r="A59" s="282" t="s">
        <v>10</v>
      </c>
      <c r="B59" s="87"/>
      <c r="C59" s="87"/>
      <c r="D59" s="87"/>
      <c r="E59" s="87"/>
      <c r="F59" s="87"/>
      <c r="G59" s="87"/>
      <c r="H59" s="87"/>
      <c r="I59" s="87"/>
      <c r="J59" s="423"/>
      <c r="K59" s="87"/>
      <c r="L59" s="201"/>
      <c r="M59" s="201"/>
      <c r="N59" s="201"/>
      <c r="O59" s="201"/>
      <c r="P59" s="201"/>
      <c r="Q59" s="201"/>
      <c r="R59" s="201"/>
      <c r="S59" s="201"/>
      <c r="T59" s="201"/>
      <c r="U59" s="201"/>
      <c r="V59" s="201"/>
      <c r="W59" s="201"/>
      <c r="X59" s="201"/>
      <c r="Y59" s="201"/>
      <c r="Z59" s="201"/>
      <c r="AA59" s="201"/>
      <c r="AB59" s="201"/>
      <c r="AC59" s="201"/>
      <c r="AD59" s="201"/>
      <c r="AE59" s="201"/>
      <c r="AF59" s="201"/>
      <c r="AG59" s="201"/>
      <c r="AH59" s="201"/>
      <c r="AI59" s="201"/>
      <c r="AJ59" s="201"/>
      <c r="AK59" s="201"/>
      <c r="AL59" s="201"/>
      <c r="AM59" s="201"/>
      <c r="AN59" s="201"/>
      <c r="AO59" s="201"/>
      <c r="AP59" s="201"/>
      <c r="AQ59" s="201"/>
      <c r="AR59" s="201"/>
      <c r="AS59" s="201"/>
      <c r="AT59" s="201"/>
      <c r="AU59" s="201"/>
      <c r="AV59" s="201"/>
      <c r="AW59" s="201"/>
    </row>
    <row r="60" spans="1:49" s="134" customFormat="1" ht="13.8">
      <c r="A60" s="282" t="s">
        <v>11</v>
      </c>
      <c r="B60" s="87"/>
      <c r="C60" s="87"/>
      <c r="D60" s="87"/>
      <c r="E60" s="87"/>
      <c r="F60" s="87"/>
      <c r="G60" s="87"/>
      <c r="H60" s="87"/>
      <c r="I60" s="87"/>
      <c r="J60" s="423"/>
      <c r="K60" s="87"/>
      <c r="L60" s="201"/>
      <c r="M60" s="201"/>
      <c r="N60" s="201"/>
      <c r="O60" s="201"/>
      <c r="P60" s="201"/>
      <c r="Q60" s="201"/>
      <c r="R60" s="201"/>
      <c r="S60" s="201"/>
      <c r="T60" s="201"/>
      <c r="U60" s="201"/>
      <c r="V60" s="201"/>
      <c r="W60" s="201"/>
      <c r="X60" s="201"/>
      <c r="Y60" s="201"/>
      <c r="Z60" s="201"/>
      <c r="AA60" s="201"/>
      <c r="AB60" s="201"/>
      <c r="AC60" s="201"/>
      <c r="AD60" s="201"/>
      <c r="AE60" s="201"/>
      <c r="AF60" s="201"/>
      <c r="AG60" s="201"/>
      <c r="AH60" s="201"/>
      <c r="AI60" s="201"/>
      <c r="AJ60" s="201"/>
      <c r="AK60" s="201"/>
      <c r="AL60" s="201"/>
      <c r="AM60" s="201"/>
      <c r="AN60" s="201"/>
      <c r="AO60" s="201"/>
      <c r="AP60" s="201"/>
      <c r="AQ60" s="201"/>
      <c r="AR60" s="201"/>
      <c r="AS60" s="201"/>
      <c r="AT60" s="201"/>
      <c r="AU60" s="201"/>
      <c r="AV60" s="201"/>
      <c r="AW60" s="201"/>
    </row>
    <row r="61" spans="1:49" s="134" customFormat="1">
      <c r="A61" s="414" t="s">
        <v>953</v>
      </c>
      <c r="B61" s="242"/>
      <c r="C61" s="242"/>
      <c r="D61" s="242"/>
      <c r="E61" s="242"/>
      <c r="F61" s="242"/>
      <c r="G61" s="242"/>
      <c r="H61" s="242"/>
      <c r="I61" s="242"/>
      <c r="J61" s="424"/>
      <c r="K61" s="242"/>
      <c r="L61" s="201"/>
      <c r="M61" s="201"/>
      <c r="N61" s="201"/>
      <c r="O61" s="201"/>
      <c r="P61" s="201"/>
      <c r="Q61" s="201"/>
      <c r="R61" s="201"/>
      <c r="S61" s="201"/>
      <c r="T61" s="201"/>
      <c r="U61" s="201"/>
      <c r="V61" s="201"/>
      <c r="W61" s="201"/>
      <c r="X61" s="201"/>
      <c r="Y61" s="201"/>
      <c r="Z61" s="201"/>
      <c r="AA61" s="201"/>
      <c r="AB61" s="201"/>
      <c r="AC61" s="201"/>
      <c r="AD61" s="201"/>
      <c r="AE61" s="201"/>
      <c r="AF61" s="201"/>
      <c r="AG61" s="201"/>
      <c r="AH61" s="201"/>
      <c r="AI61" s="201"/>
      <c r="AJ61" s="201"/>
      <c r="AK61" s="201"/>
      <c r="AL61" s="201"/>
      <c r="AM61" s="201"/>
      <c r="AN61" s="201"/>
      <c r="AO61" s="201"/>
      <c r="AP61" s="201"/>
      <c r="AQ61" s="201"/>
      <c r="AR61" s="201"/>
      <c r="AS61" s="201"/>
      <c r="AT61" s="201"/>
      <c r="AU61" s="201"/>
      <c r="AV61" s="201"/>
      <c r="AW61" s="201"/>
    </row>
    <row r="62" spans="1:49" s="134" customFormat="1" ht="13.8">
      <c r="A62" s="185" t="s">
        <v>811</v>
      </c>
      <c r="B62" s="87"/>
      <c r="C62" s="87"/>
      <c r="D62" s="87"/>
      <c r="E62" s="87"/>
      <c r="F62" s="87"/>
      <c r="G62" s="87"/>
      <c r="H62" s="87"/>
      <c r="I62" s="87"/>
      <c r="J62" s="423"/>
      <c r="K62" s="87"/>
      <c r="L62" s="201"/>
      <c r="M62" s="201"/>
      <c r="N62" s="201"/>
      <c r="O62" s="201"/>
      <c r="P62" s="201"/>
      <c r="Q62" s="201"/>
      <c r="R62" s="201"/>
      <c r="S62" s="201"/>
      <c r="T62" s="201"/>
      <c r="U62" s="201"/>
      <c r="V62" s="201"/>
      <c r="W62" s="201"/>
      <c r="X62" s="201"/>
      <c r="Y62" s="201"/>
      <c r="Z62" s="201"/>
      <c r="AA62" s="201"/>
      <c r="AB62" s="201"/>
      <c r="AC62" s="201"/>
      <c r="AD62" s="201"/>
      <c r="AE62" s="201"/>
      <c r="AF62" s="201"/>
      <c r="AG62" s="201"/>
      <c r="AH62" s="201"/>
      <c r="AI62" s="201"/>
      <c r="AJ62" s="201"/>
      <c r="AK62" s="201"/>
      <c r="AL62" s="201"/>
      <c r="AM62" s="201"/>
      <c r="AN62" s="201"/>
      <c r="AO62" s="201"/>
      <c r="AP62" s="201"/>
      <c r="AQ62" s="201"/>
      <c r="AR62" s="201"/>
      <c r="AS62" s="201"/>
      <c r="AT62" s="201"/>
      <c r="AU62" s="201"/>
      <c r="AV62" s="201"/>
      <c r="AW62" s="201"/>
    </row>
    <row r="63" spans="1:49" s="134" customFormat="1" ht="13.8">
      <c r="A63" s="282" t="s">
        <v>12</v>
      </c>
      <c r="B63" s="87">
        <v>380</v>
      </c>
      <c r="C63" s="87">
        <v>269</v>
      </c>
      <c r="D63" s="87">
        <v>489</v>
      </c>
      <c r="E63" s="87">
        <v>289</v>
      </c>
      <c r="F63" s="87">
        <v>0</v>
      </c>
      <c r="G63" s="87">
        <v>144</v>
      </c>
      <c r="H63" s="87">
        <v>185</v>
      </c>
      <c r="I63" s="87">
        <v>793</v>
      </c>
      <c r="J63" s="423"/>
      <c r="K63" s="87">
        <v>25</v>
      </c>
      <c r="L63" s="201"/>
      <c r="M63" s="201"/>
      <c r="N63" s="201"/>
      <c r="O63" s="201"/>
      <c r="P63" s="201"/>
      <c r="Q63" s="201"/>
      <c r="R63" s="201"/>
      <c r="S63" s="201"/>
      <c r="T63" s="201"/>
      <c r="U63" s="201"/>
      <c r="V63" s="201"/>
      <c r="W63" s="201"/>
      <c r="X63" s="201"/>
      <c r="Y63" s="201"/>
      <c r="Z63" s="201"/>
      <c r="AA63" s="201"/>
      <c r="AB63" s="201"/>
      <c r="AC63" s="201"/>
      <c r="AD63" s="201"/>
      <c r="AE63" s="201"/>
      <c r="AF63" s="201"/>
      <c r="AG63" s="201"/>
      <c r="AH63" s="201"/>
      <c r="AI63" s="201"/>
      <c r="AJ63" s="201"/>
      <c r="AK63" s="201"/>
      <c r="AL63" s="201"/>
      <c r="AM63" s="201"/>
      <c r="AN63" s="201"/>
      <c r="AO63" s="201"/>
      <c r="AP63" s="201"/>
      <c r="AQ63" s="201"/>
      <c r="AR63" s="201"/>
      <c r="AS63" s="201"/>
      <c r="AT63" s="201"/>
      <c r="AU63" s="201"/>
      <c r="AV63" s="201"/>
      <c r="AW63" s="201"/>
    </row>
    <row r="64" spans="1:49" s="134" customFormat="1" ht="13.8">
      <c r="A64" s="185" t="s">
        <v>13</v>
      </c>
      <c r="B64" s="87">
        <v>0</v>
      </c>
      <c r="C64" s="87">
        <v>218</v>
      </c>
      <c r="D64" s="87">
        <v>42</v>
      </c>
      <c r="E64" s="87">
        <v>219</v>
      </c>
      <c r="F64" s="87">
        <v>0</v>
      </c>
      <c r="G64" s="87">
        <v>65</v>
      </c>
      <c r="H64" s="87">
        <v>168</v>
      </c>
      <c r="I64" s="87">
        <v>618</v>
      </c>
      <c r="J64" s="423"/>
      <c r="K64" s="87">
        <v>0</v>
      </c>
      <c r="L64" s="201"/>
      <c r="M64" s="201"/>
      <c r="N64" s="201"/>
      <c r="O64" s="201"/>
      <c r="P64" s="201"/>
      <c r="Q64" s="201"/>
      <c r="R64" s="201"/>
      <c r="S64" s="201"/>
      <c r="T64" s="201"/>
      <c r="U64" s="201"/>
      <c r="V64" s="201"/>
      <c r="W64" s="201"/>
      <c r="X64" s="201"/>
      <c r="Y64" s="201"/>
      <c r="Z64" s="201"/>
      <c r="AA64" s="201"/>
      <c r="AB64" s="201"/>
      <c r="AC64" s="201"/>
      <c r="AD64" s="201"/>
      <c r="AE64" s="201"/>
      <c r="AF64" s="201"/>
      <c r="AG64" s="201"/>
      <c r="AH64" s="201"/>
      <c r="AI64" s="201"/>
      <c r="AJ64" s="201"/>
      <c r="AK64" s="201"/>
      <c r="AL64" s="201"/>
      <c r="AM64" s="201"/>
      <c r="AN64" s="201"/>
      <c r="AO64" s="201"/>
      <c r="AP64" s="201"/>
      <c r="AQ64" s="201"/>
      <c r="AR64" s="201"/>
      <c r="AS64" s="201"/>
      <c r="AT64" s="201"/>
      <c r="AU64" s="201"/>
      <c r="AV64" s="201"/>
      <c r="AW64" s="201"/>
    </row>
    <row r="65" spans="1:49" s="134" customFormat="1" ht="13.8">
      <c r="A65" s="185" t="s">
        <v>14</v>
      </c>
      <c r="B65" s="87">
        <v>108</v>
      </c>
      <c r="C65" s="87">
        <v>135</v>
      </c>
      <c r="D65" s="87">
        <v>412</v>
      </c>
      <c r="E65" s="87">
        <v>232</v>
      </c>
      <c r="F65" s="87">
        <v>0</v>
      </c>
      <c r="G65" s="87">
        <v>246</v>
      </c>
      <c r="H65" s="87">
        <v>246</v>
      </c>
      <c r="I65" s="87">
        <v>593</v>
      </c>
      <c r="J65" s="423"/>
      <c r="K65" s="87">
        <v>0</v>
      </c>
      <c r="L65" s="201"/>
      <c r="M65" s="201"/>
      <c r="N65" s="201"/>
      <c r="O65" s="201"/>
      <c r="P65" s="201"/>
      <c r="Q65" s="201"/>
      <c r="R65" s="201"/>
      <c r="S65" s="201"/>
      <c r="T65" s="201"/>
      <c r="U65" s="201"/>
      <c r="V65" s="201"/>
      <c r="W65" s="201"/>
      <c r="X65" s="201"/>
      <c r="Y65" s="201"/>
      <c r="Z65" s="201"/>
      <c r="AA65" s="201"/>
      <c r="AB65" s="201"/>
      <c r="AC65" s="201"/>
      <c r="AD65" s="201"/>
      <c r="AE65" s="201"/>
      <c r="AF65" s="201"/>
      <c r="AG65" s="201"/>
      <c r="AH65" s="201"/>
      <c r="AI65" s="201"/>
      <c r="AJ65" s="201"/>
      <c r="AK65" s="201"/>
      <c r="AL65" s="201"/>
      <c r="AM65" s="201"/>
      <c r="AN65" s="201"/>
      <c r="AO65" s="201"/>
      <c r="AP65" s="201"/>
      <c r="AQ65" s="201"/>
      <c r="AR65" s="201"/>
      <c r="AS65" s="201"/>
      <c r="AT65" s="201"/>
      <c r="AU65" s="201"/>
      <c r="AV65" s="201"/>
      <c r="AW65" s="201"/>
    </row>
    <row r="66" spans="1:49" s="134" customFormat="1" ht="13.8">
      <c r="A66" s="185" t="s">
        <v>15</v>
      </c>
      <c r="B66" s="87">
        <v>172</v>
      </c>
      <c r="C66" s="87">
        <v>207</v>
      </c>
      <c r="D66" s="87">
        <v>165</v>
      </c>
      <c r="E66" s="87">
        <v>129</v>
      </c>
      <c r="F66" s="87">
        <v>0</v>
      </c>
      <c r="G66" s="87">
        <v>134</v>
      </c>
      <c r="H66" s="87">
        <v>50</v>
      </c>
      <c r="I66" s="87">
        <v>337</v>
      </c>
      <c r="J66" s="423"/>
      <c r="K66" s="87">
        <v>0</v>
      </c>
      <c r="L66" s="201"/>
      <c r="M66" s="201"/>
      <c r="N66" s="201"/>
      <c r="O66" s="201"/>
      <c r="P66" s="201"/>
      <c r="Q66" s="201"/>
      <c r="R66" s="201"/>
      <c r="S66" s="201"/>
      <c r="T66" s="201"/>
      <c r="U66" s="201"/>
      <c r="V66" s="201"/>
      <c r="W66" s="201"/>
      <c r="X66" s="201"/>
      <c r="Y66" s="201"/>
      <c r="Z66" s="201"/>
      <c r="AA66" s="201"/>
      <c r="AB66" s="201"/>
      <c r="AC66" s="201"/>
      <c r="AD66" s="201"/>
      <c r="AE66" s="201"/>
      <c r="AF66" s="201"/>
      <c r="AG66" s="201"/>
      <c r="AH66" s="201"/>
      <c r="AI66" s="201"/>
      <c r="AJ66" s="201"/>
      <c r="AK66" s="201"/>
      <c r="AL66" s="201"/>
      <c r="AM66" s="201"/>
      <c r="AN66" s="201"/>
      <c r="AO66" s="201"/>
      <c r="AP66" s="201"/>
      <c r="AQ66" s="201"/>
      <c r="AR66" s="201"/>
      <c r="AS66" s="201"/>
      <c r="AT66" s="201"/>
      <c r="AU66" s="201"/>
      <c r="AV66" s="201"/>
      <c r="AW66" s="201"/>
    </row>
    <row r="67" spans="1:49" s="134" customFormat="1" ht="13.8">
      <c r="A67" s="185" t="s">
        <v>16</v>
      </c>
      <c r="B67" s="87">
        <v>1</v>
      </c>
      <c r="C67" s="87">
        <v>165</v>
      </c>
      <c r="D67" s="87">
        <v>0</v>
      </c>
      <c r="E67" s="87">
        <v>200</v>
      </c>
      <c r="F67" s="87">
        <v>0</v>
      </c>
      <c r="G67" s="87">
        <v>0</v>
      </c>
      <c r="H67" s="87">
        <v>0</v>
      </c>
      <c r="I67" s="87">
        <v>0</v>
      </c>
      <c r="J67" s="423"/>
      <c r="K67" s="87">
        <v>0</v>
      </c>
      <c r="L67" s="201"/>
      <c r="M67" s="201"/>
      <c r="N67" s="201"/>
      <c r="O67" s="201"/>
      <c r="P67" s="201"/>
      <c r="Q67" s="201"/>
      <c r="R67" s="201"/>
      <c r="S67" s="201"/>
      <c r="T67" s="201"/>
      <c r="U67" s="201"/>
      <c r="V67" s="201"/>
      <c r="W67" s="201"/>
      <c r="X67" s="201"/>
      <c r="Y67" s="201"/>
      <c r="Z67" s="201"/>
      <c r="AA67" s="201"/>
      <c r="AB67" s="201"/>
      <c r="AC67" s="201"/>
      <c r="AD67" s="201"/>
      <c r="AE67" s="201"/>
      <c r="AF67" s="201"/>
      <c r="AG67" s="201"/>
      <c r="AH67" s="201"/>
      <c r="AI67" s="201"/>
      <c r="AJ67" s="201"/>
      <c r="AK67" s="201"/>
      <c r="AL67" s="201"/>
      <c r="AM67" s="201"/>
      <c r="AN67" s="201"/>
      <c r="AO67" s="201"/>
      <c r="AP67" s="201"/>
      <c r="AQ67" s="201"/>
      <c r="AR67" s="201"/>
      <c r="AS67" s="201"/>
      <c r="AT67" s="201"/>
      <c r="AU67" s="201"/>
      <c r="AV67" s="201"/>
      <c r="AW67" s="201"/>
    </row>
    <row r="68" spans="1:49" s="134" customFormat="1" ht="18" customHeight="1">
      <c r="A68" s="185" t="s">
        <v>17</v>
      </c>
      <c r="B68" s="87">
        <v>0</v>
      </c>
      <c r="C68" s="87">
        <v>0</v>
      </c>
      <c r="D68" s="87">
        <v>0</v>
      </c>
      <c r="E68" s="87">
        <v>190</v>
      </c>
      <c r="F68" s="87">
        <v>0</v>
      </c>
      <c r="G68" s="87">
        <v>0</v>
      </c>
      <c r="H68" s="87">
        <v>0</v>
      </c>
      <c r="I68" s="87">
        <v>0</v>
      </c>
      <c r="J68" s="423"/>
      <c r="K68" s="87">
        <v>0</v>
      </c>
      <c r="L68" s="201"/>
      <c r="M68" s="201"/>
      <c r="N68" s="201"/>
      <c r="O68" s="201"/>
      <c r="P68" s="201"/>
      <c r="Q68" s="201"/>
      <c r="R68" s="201"/>
      <c r="S68" s="201"/>
      <c r="T68" s="201"/>
      <c r="U68" s="201"/>
      <c r="V68" s="201"/>
      <c r="W68" s="201"/>
      <c r="X68" s="201"/>
      <c r="Y68" s="201"/>
      <c r="Z68" s="201"/>
      <c r="AA68" s="201"/>
      <c r="AB68" s="201"/>
      <c r="AC68" s="201"/>
      <c r="AD68" s="201"/>
      <c r="AE68" s="201"/>
      <c r="AF68" s="201"/>
      <c r="AG68" s="201"/>
      <c r="AH68" s="201"/>
      <c r="AI68" s="201"/>
      <c r="AJ68" s="201"/>
      <c r="AK68" s="201"/>
      <c r="AL68" s="201"/>
      <c r="AM68" s="201"/>
      <c r="AN68" s="201"/>
      <c r="AO68" s="201"/>
      <c r="AP68" s="201"/>
      <c r="AQ68" s="201"/>
      <c r="AR68" s="201"/>
      <c r="AS68" s="201"/>
      <c r="AT68" s="201"/>
      <c r="AU68" s="201"/>
      <c r="AV68" s="201"/>
      <c r="AW68" s="201"/>
    </row>
    <row r="69" spans="1:49" s="134" customFormat="1" ht="18" customHeight="1">
      <c r="A69" s="243" t="s">
        <v>18</v>
      </c>
      <c r="B69" s="244">
        <f t="shared" ref="B69:K69" si="4">IF(COUNT(B55:B68)&gt;0, SUM(B55:B68), "")</f>
        <v>661</v>
      </c>
      <c r="C69" s="244">
        <f t="shared" si="4"/>
        <v>994</v>
      </c>
      <c r="D69" s="244">
        <f t="shared" si="4"/>
        <v>1108</v>
      </c>
      <c r="E69" s="244">
        <f t="shared" si="4"/>
        <v>1259</v>
      </c>
      <c r="F69" s="244">
        <f t="shared" si="4"/>
        <v>0</v>
      </c>
      <c r="G69" s="244">
        <f t="shared" si="4"/>
        <v>589</v>
      </c>
      <c r="H69" s="244">
        <f t="shared" si="4"/>
        <v>649</v>
      </c>
      <c r="I69" s="244">
        <f t="shared" si="4"/>
        <v>2341</v>
      </c>
      <c r="J69" s="244" t="str">
        <f t="shared" si="4"/>
        <v/>
      </c>
      <c r="K69" s="244">
        <f t="shared" si="4"/>
        <v>25</v>
      </c>
      <c r="L69" s="201"/>
      <c r="M69" s="201"/>
      <c r="N69" s="201"/>
      <c r="O69" s="201"/>
      <c r="P69" s="201"/>
      <c r="Q69" s="201"/>
      <c r="R69" s="201"/>
      <c r="S69" s="201"/>
      <c r="T69" s="201"/>
      <c r="U69" s="201"/>
      <c r="V69" s="201"/>
      <c r="W69" s="201"/>
      <c r="X69" s="201"/>
      <c r="Y69" s="201"/>
      <c r="Z69" s="201"/>
      <c r="AA69" s="201"/>
      <c r="AB69" s="201"/>
      <c r="AC69" s="201"/>
      <c r="AD69" s="201"/>
      <c r="AE69" s="201"/>
      <c r="AF69" s="201"/>
      <c r="AG69" s="201"/>
      <c r="AH69" s="201"/>
      <c r="AI69" s="201"/>
      <c r="AJ69" s="201"/>
      <c r="AK69" s="201"/>
      <c r="AL69" s="201"/>
      <c r="AM69" s="201"/>
      <c r="AN69" s="201"/>
      <c r="AO69" s="201"/>
      <c r="AP69" s="201"/>
      <c r="AQ69" s="201"/>
      <c r="AR69" s="201"/>
      <c r="AS69" s="201"/>
      <c r="AT69" s="201"/>
      <c r="AU69" s="201"/>
      <c r="AV69" s="201"/>
      <c r="AW69" s="201"/>
    </row>
    <row r="70" spans="1:49" s="162" customFormat="1" ht="18" customHeight="1">
      <c r="A70" s="202"/>
      <c r="B70" s="209"/>
      <c r="C70" s="202"/>
      <c r="D70" s="202"/>
      <c r="E70" s="202"/>
      <c r="F70" s="202"/>
      <c r="G70" s="202"/>
      <c r="H70" s="202"/>
      <c r="I70" s="202"/>
      <c r="J70" s="202"/>
      <c r="K70" s="202"/>
      <c r="L70" s="202"/>
      <c r="M70" s="202"/>
      <c r="N70" s="202"/>
      <c r="O70" s="202"/>
      <c r="P70" s="202"/>
      <c r="Q70" s="202"/>
      <c r="R70" s="202"/>
      <c r="S70" s="202"/>
      <c r="T70" s="202"/>
      <c r="U70" s="202"/>
      <c r="V70" s="202"/>
      <c r="W70" s="202"/>
      <c r="X70" s="202"/>
      <c r="Y70" s="202"/>
      <c r="Z70" s="202"/>
      <c r="AA70" s="202"/>
      <c r="AB70" s="202"/>
      <c r="AC70" s="202"/>
      <c r="AD70" s="202"/>
      <c r="AE70" s="202"/>
      <c r="AF70" s="202"/>
      <c r="AG70" s="202"/>
      <c r="AH70" s="202"/>
      <c r="AI70" s="202"/>
      <c r="AJ70" s="202"/>
      <c r="AK70" s="202"/>
      <c r="AL70" s="202"/>
      <c r="AM70" s="202"/>
      <c r="AN70" s="202"/>
      <c r="AO70" s="202"/>
      <c r="AP70" s="202"/>
      <c r="AQ70" s="202"/>
      <c r="AR70" s="202"/>
      <c r="AS70" s="202"/>
      <c r="AT70" s="202"/>
      <c r="AU70" s="202"/>
      <c r="AV70" s="202"/>
      <c r="AW70" s="202"/>
    </row>
    <row r="71" spans="1:49" s="162" customFormat="1" ht="18" hidden="1" customHeight="1">
      <c r="A71" s="784"/>
      <c r="B71" s="202"/>
      <c r="C71" s="202"/>
      <c r="D71" s="202"/>
      <c r="E71" s="202"/>
      <c r="F71" s="202"/>
      <c r="G71" s="202"/>
      <c r="H71" s="202"/>
      <c r="I71" s="202"/>
      <c r="J71" s="202"/>
      <c r="K71" s="202"/>
      <c r="L71" s="202"/>
      <c r="M71" s="202"/>
      <c r="N71" s="202"/>
      <c r="O71" s="202"/>
      <c r="P71" s="202"/>
      <c r="Q71" s="202"/>
      <c r="R71" s="202"/>
      <c r="S71" s="202"/>
      <c r="T71" s="202"/>
      <c r="U71" s="202"/>
      <c r="V71" s="202"/>
      <c r="W71" s="202"/>
      <c r="X71" s="202"/>
      <c r="Y71" s="202"/>
      <c r="Z71" s="202"/>
      <c r="AA71" s="202"/>
      <c r="AB71" s="202"/>
      <c r="AC71" s="202"/>
      <c r="AD71" s="202"/>
      <c r="AE71" s="202"/>
      <c r="AF71" s="202"/>
      <c r="AG71" s="202"/>
      <c r="AH71" s="202"/>
      <c r="AI71" s="202"/>
      <c r="AJ71" s="202"/>
      <c r="AK71" s="202"/>
      <c r="AL71" s="202"/>
      <c r="AM71" s="202"/>
      <c r="AN71" s="202"/>
      <c r="AO71" s="202"/>
      <c r="AP71" s="202"/>
      <c r="AQ71" s="202"/>
      <c r="AR71" s="202"/>
      <c r="AS71" s="202"/>
      <c r="AT71" s="202"/>
      <c r="AU71" s="202"/>
      <c r="AV71" s="202"/>
      <c r="AW71" s="202"/>
    </row>
    <row r="72" spans="1:49" s="162" customFormat="1" ht="18" hidden="1" customHeight="1">
      <c r="A72" s="784"/>
      <c r="B72" s="202"/>
      <c r="C72" s="202"/>
      <c r="D72" s="202"/>
      <c r="E72" s="202"/>
      <c r="F72" s="202"/>
      <c r="G72" s="202"/>
      <c r="H72" s="202"/>
      <c r="I72" s="202"/>
      <c r="J72" s="202"/>
      <c r="K72" s="202"/>
      <c r="L72" s="202"/>
      <c r="M72" s="202"/>
      <c r="N72" s="202"/>
      <c r="O72" s="202"/>
      <c r="P72" s="202"/>
      <c r="Q72" s="202"/>
      <c r="R72" s="202"/>
      <c r="S72" s="202"/>
      <c r="T72" s="202"/>
      <c r="U72" s="202"/>
      <c r="V72" s="202"/>
      <c r="W72" s="202"/>
      <c r="X72" s="202"/>
      <c r="Y72" s="202"/>
      <c r="Z72" s="202"/>
      <c r="AA72" s="202"/>
      <c r="AB72" s="202"/>
      <c r="AC72" s="202"/>
      <c r="AD72" s="202"/>
      <c r="AE72" s="202"/>
      <c r="AF72" s="202"/>
      <c r="AG72" s="202"/>
      <c r="AH72" s="202"/>
      <c r="AI72" s="202"/>
      <c r="AJ72" s="202"/>
      <c r="AK72" s="202"/>
      <c r="AL72" s="202"/>
      <c r="AM72" s="202"/>
      <c r="AN72" s="202"/>
      <c r="AO72" s="202"/>
      <c r="AP72" s="202"/>
      <c r="AQ72" s="202"/>
      <c r="AR72" s="202"/>
      <c r="AS72" s="202"/>
      <c r="AT72" s="202"/>
      <c r="AU72" s="202"/>
      <c r="AV72" s="202"/>
      <c r="AW72" s="202"/>
    </row>
    <row r="73" spans="1:49" s="162" customFormat="1" ht="18" hidden="1" customHeight="1">
      <c r="A73" s="784"/>
      <c r="B73" s="202"/>
      <c r="C73" s="202"/>
      <c r="D73" s="202"/>
      <c r="E73" s="202"/>
      <c r="F73" s="202"/>
      <c r="G73" s="202"/>
      <c r="H73" s="202"/>
      <c r="I73" s="202"/>
      <c r="J73" s="202"/>
      <c r="K73" s="202"/>
      <c r="L73" s="202"/>
      <c r="M73" s="202"/>
      <c r="N73" s="202"/>
      <c r="O73" s="202"/>
      <c r="P73" s="202"/>
      <c r="Q73" s="202"/>
      <c r="R73" s="202"/>
      <c r="S73" s="202"/>
      <c r="T73" s="202"/>
      <c r="U73" s="202"/>
      <c r="V73" s="202"/>
      <c r="W73" s="202"/>
      <c r="X73" s="202"/>
      <c r="Y73" s="202"/>
      <c r="Z73" s="202"/>
      <c r="AA73" s="202"/>
      <c r="AB73" s="202"/>
      <c r="AC73" s="202"/>
      <c r="AD73" s="202"/>
      <c r="AE73" s="202"/>
      <c r="AF73" s="202"/>
      <c r="AG73" s="202"/>
      <c r="AH73" s="202"/>
      <c r="AI73" s="202"/>
      <c r="AJ73" s="202"/>
      <c r="AK73" s="202"/>
      <c r="AL73" s="202"/>
      <c r="AM73" s="202"/>
      <c r="AN73" s="202"/>
      <c r="AO73" s="202"/>
      <c r="AP73" s="202"/>
      <c r="AQ73" s="202"/>
      <c r="AR73" s="202"/>
      <c r="AS73" s="202"/>
      <c r="AT73" s="202"/>
      <c r="AU73" s="202"/>
      <c r="AV73" s="202"/>
      <c r="AW73" s="202"/>
    </row>
    <row r="74" spans="1:49" s="162" customFormat="1" ht="18" hidden="1" customHeight="1">
      <c r="A74" s="784"/>
      <c r="B74" s="202"/>
      <c r="C74" s="202"/>
      <c r="D74" s="202"/>
      <c r="E74" s="202"/>
      <c r="F74" s="202"/>
      <c r="G74" s="202"/>
      <c r="H74" s="202"/>
      <c r="I74" s="202"/>
      <c r="J74" s="202"/>
      <c r="K74" s="202"/>
      <c r="L74" s="202"/>
      <c r="M74" s="202"/>
      <c r="N74" s="202"/>
      <c r="O74" s="202"/>
      <c r="P74" s="202"/>
      <c r="Q74" s="202"/>
      <c r="R74" s="202"/>
      <c r="S74" s="202"/>
      <c r="T74" s="202"/>
      <c r="U74" s="202"/>
      <c r="V74" s="202"/>
      <c r="W74" s="202"/>
      <c r="X74" s="202"/>
      <c r="Y74" s="202"/>
      <c r="Z74" s="202"/>
      <c r="AA74" s="202"/>
      <c r="AB74" s="202"/>
      <c r="AC74" s="202"/>
      <c r="AD74" s="202"/>
      <c r="AE74" s="202"/>
      <c r="AF74" s="202"/>
      <c r="AG74" s="202"/>
      <c r="AH74" s="202"/>
      <c r="AI74" s="202"/>
      <c r="AJ74" s="202"/>
      <c r="AK74" s="202"/>
      <c r="AL74" s="202"/>
      <c r="AM74" s="202"/>
      <c r="AN74" s="202"/>
      <c r="AO74" s="202"/>
      <c r="AP74" s="202"/>
      <c r="AQ74" s="202"/>
      <c r="AR74" s="202"/>
      <c r="AS74" s="202"/>
      <c r="AT74" s="202"/>
      <c r="AU74" s="202"/>
      <c r="AV74" s="202"/>
      <c r="AW74" s="202"/>
    </row>
    <row r="75" spans="1:49" s="162" customFormat="1" ht="4.5" hidden="1" customHeight="1">
      <c r="A75" s="784"/>
      <c r="B75" s="202"/>
      <c r="C75" s="202"/>
      <c r="D75" s="202"/>
      <c r="E75" s="202"/>
      <c r="F75" s="202"/>
      <c r="G75" s="202"/>
      <c r="H75" s="202"/>
      <c r="I75" s="202"/>
      <c r="J75" s="202"/>
      <c r="K75" s="202"/>
      <c r="L75" s="202"/>
      <c r="M75" s="202"/>
      <c r="N75" s="202"/>
      <c r="O75" s="202"/>
      <c r="P75" s="202"/>
      <c r="Q75" s="202"/>
      <c r="R75" s="202"/>
      <c r="S75" s="202"/>
      <c r="T75" s="202"/>
      <c r="U75" s="202"/>
      <c r="V75" s="202"/>
      <c r="W75" s="202"/>
      <c r="X75" s="202"/>
      <c r="Y75" s="202"/>
      <c r="Z75" s="202"/>
      <c r="AA75" s="202"/>
      <c r="AB75" s="202"/>
      <c r="AC75" s="202"/>
      <c r="AD75" s="202"/>
      <c r="AE75" s="202"/>
      <c r="AF75" s="202"/>
      <c r="AG75" s="202"/>
      <c r="AH75" s="202"/>
      <c r="AI75" s="202"/>
      <c r="AJ75" s="202"/>
      <c r="AK75" s="202"/>
      <c r="AL75" s="202"/>
      <c r="AM75" s="202"/>
      <c r="AN75" s="202"/>
      <c r="AO75" s="202"/>
      <c r="AP75" s="202"/>
      <c r="AQ75" s="202"/>
      <c r="AR75" s="202"/>
      <c r="AS75" s="202"/>
      <c r="AT75" s="202"/>
      <c r="AU75" s="202"/>
      <c r="AV75" s="202"/>
      <c r="AW75" s="202"/>
    </row>
    <row r="76" spans="1:49" s="162" customFormat="1" ht="4.5" hidden="1" customHeight="1">
      <c r="A76" s="202"/>
      <c r="B76" s="202"/>
      <c r="C76" s="202"/>
      <c r="D76" s="202"/>
      <c r="E76" s="202"/>
      <c r="F76" s="202"/>
      <c r="G76" s="202"/>
      <c r="H76" s="202"/>
      <c r="I76" s="202"/>
      <c r="J76" s="202"/>
      <c r="K76" s="202"/>
      <c r="L76" s="202"/>
      <c r="M76" s="202"/>
      <c r="N76" s="202"/>
      <c r="O76" s="202"/>
      <c r="P76" s="202"/>
      <c r="Q76" s="202"/>
      <c r="R76" s="202"/>
      <c r="S76" s="202"/>
      <c r="T76" s="202"/>
      <c r="U76" s="202"/>
      <c r="V76" s="202"/>
      <c r="W76" s="202"/>
      <c r="X76" s="202"/>
      <c r="Y76" s="202"/>
      <c r="Z76" s="202"/>
      <c r="AA76" s="202"/>
      <c r="AB76" s="202"/>
      <c r="AC76" s="202"/>
      <c r="AD76" s="202"/>
      <c r="AE76" s="202"/>
      <c r="AF76" s="202"/>
      <c r="AG76" s="202"/>
      <c r="AH76" s="202"/>
      <c r="AI76" s="202"/>
      <c r="AJ76" s="202"/>
      <c r="AK76" s="202"/>
      <c r="AL76" s="202"/>
      <c r="AM76" s="202"/>
      <c r="AN76" s="202"/>
      <c r="AO76" s="202"/>
      <c r="AP76" s="202"/>
      <c r="AQ76" s="202"/>
      <c r="AR76" s="202"/>
      <c r="AS76" s="202"/>
      <c r="AT76" s="202"/>
      <c r="AU76" s="202"/>
      <c r="AV76" s="202"/>
      <c r="AW76" s="202"/>
    </row>
    <row r="77" spans="1:49" s="162" customFormat="1" ht="4.5" hidden="1" customHeight="1">
      <c r="A77" s="785"/>
      <c r="B77" s="785"/>
      <c r="C77" s="785"/>
      <c r="D77" s="785"/>
      <c r="E77" s="785"/>
      <c r="F77" s="785"/>
      <c r="G77" s="785"/>
      <c r="H77" s="785"/>
      <c r="I77" s="785"/>
      <c r="J77" s="785"/>
      <c r="K77" s="785"/>
      <c r="L77" s="202"/>
      <c r="M77" s="202"/>
      <c r="N77" s="202"/>
      <c r="O77" s="202"/>
      <c r="P77" s="202"/>
      <c r="Q77" s="202"/>
      <c r="R77" s="202"/>
      <c r="S77" s="202"/>
      <c r="T77" s="202"/>
      <c r="U77" s="202"/>
      <c r="V77" s="202"/>
      <c r="W77" s="202"/>
      <c r="X77" s="202"/>
      <c r="Y77" s="202"/>
      <c r="Z77" s="202"/>
      <c r="AA77" s="202"/>
      <c r="AB77" s="202"/>
      <c r="AC77" s="202"/>
      <c r="AD77" s="202"/>
      <c r="AE77" s="202"/>
      <c r="AF77" s="202"/>
      <c r="AG77" s="202"/>
      <c r="AH77" s="202"/>
      <c r="AI77" s="202"/>
      <c r="AJ77" s="202"/>
      <c r="AK77" s="202"/>
      <c r="AL77" s="202"/>
      <c r="AM77" s="202"/>
      <c r="AN77" s="202"/>
      <c r="AO77" s="202"/>
      <c r="AP77" s="202"/>
      <c r="AQ77" s="202"/>
      <c r="AR77" s="202"/>
      <c r="AS77" s="202"/>
      <c r="AT77" s="202"/>
      <c r="AU77" s="202"/>
      <c r="AV77" s="202"/>
      <c r="AW77" s="202"/>
    </row>
    <row r="78" spans="1:49" s="162" customFormat="1" ht="4.5" hidden="1" customHeight="1">
      <c r="A78" s="786"/>
      <c r="B78" s="786"/>
      <c r="C78" s="210"/>
      <c r="D78" s="749"/>
      <c r="E78" s="749"/>
      <c r="F78" s="749"/>
      <c r="G78" s="202"/>
      <c r="H78" s="202"/>
      <c r="I78" s="202"/>
      <c r="J78" s="202"/>
      <c r="K78" s="202"/>
      <c r="L78" s="202"/>
      <c r="M78" s="202"/>
      <c r="N78" s="202"/>
      <c r="O78" s="202"/>
      <c r="P78" s="202"/>
      <c r="Q78" s="202"/>
      <c r="R78" s="202"/>
      <c r="S78" s="202"/>
      <c r="T78" s="202"/>
      <c r="U78" s="202"/>
      <c r="V78" s="202"/>
      <c r="W78" s="202"/>
      <c r="X78" s="202"/>
      <c r="Y78" s="202"/>
      <c r="Z78" s="202"/>
      <c r="AA78" s="202"/>
      <c r="AB78" s="202"/>
      <c r="AC78" s="202"/>
      <c r="AD78" s="202"/>
      <c r="AE78" s="202"/>
      <c r="AF78" s="202"/>
      <c r="AG78" s="202"/>
      <c r="AH78" s="202"/>
      <c r="AI78" s="202"/>
      <c r="AJ78" s="202"/>
      <c r="AK78" s="202"/>
      <c r="AL78" s="202"/>
      <c r="AM78" s="202"/>
      <c r="AN78" s="202"/>
      <c r="AO78" s="202"/>
      <c r="AP78" s="202"/>
      <c r="AQ78" s="202"/>
      <c r="AR78" s="202"/>
      <c r="AS78" s="202"/>
      <c r="AT78" s="202"/>
      <c r="AU78" s="202"/>
      <c r="AV78" s="202"/>
      <c r="AW78" s="202"/>
    </row>
    <row r="79" spans="1:49" s="162" customFormat="1" ht="4.5" hidden="1" customHeight="1">
      <c r="A79" s="749"/>
      <c r="B79" s="749"/>
      <c r="C79" s="202"/>
      <c r="D79" s="749"/>
      <c r="E79" s="749"/>
      <c r="F79" s="749"/>
      <c r="G79" s="202"/>
      <c r="H79" s="202"/>
      <c r="I79" s="202"/>
      <c r="J79" s="202"/>
      <c r="K79" s="202"/>
      <c r="L79" s="202"/>
      <c r="M79" s="202"/>
      <c r="N79" s="202"/>
      <c r="O79" s="202"/>
      <c r="P79" s="202"/>
      <c r="Q79" s="202"/>
      <c r="R79" s="202"/>
      <c r="S79" s="202"/>
      <c r="T79" s="202"/>
      <c r="U79" s="202"/>
      <c r="V79" s="202"/>
      <c r="W79" s="202"/>
      <c r="X79" s="202"/>
      <c r="Y79" s="202"/>
      <c r="Z79" s="202"/>
      <c r="AA79" s="202"/>
      <c r="AB79" s="202"/>
      <c r="AC79" s="202"/>
      <c r="AD79" s="202"/>
      <c r="AE79" s="202"/>
      <c r="AF79" s="202"/>
      <c r="AG79" s="202"/>
      <c r="AH79" s="202"/>
      <c r="AI79" s="202"/>
      <c r="AJ79" s="202"/>
      <c r="AK79" s="202"/>
      <c r="AL79" s="202"/>
      <c r="AM79" s="202"/>
      <c r="AN79" s="202"/>
      <c r="AO79" s="202"/>
      <c r="AP79" s="202"/>
      <c r="AQ79" s="202"/>
      <c r="AR79" s="202"/>
      <c r="AS79" s="202"/>
      <c r="AT79" s="202"/>
      <c r="AU79" s="202"/>
      <c r="AV79" s="202"/>
      <c r="AW79" s="202"/>
    </row>
    <row r="80" spans="1:49" s="162" customFormat="1" ht="4.5" hidden="1" customHeight="1">
      <c r="A80" s="749"/>
      <c r="B80" s="749"/>
      <c r="C80" s="202"/>
      <c r="D80" s="749"/>
      <c r="E80" s="749"/>
      <c r="F80" s="749"/>
      <c r="G80" s="202"/>
      <c r="H80" s="202"/>
      <c r="I80" s="202"/>
      <c r="J80" s="202"/>
      <c r="K80" s="202"/>
      <c r="L80" s="202"/>
      <c r="M80" s="202"/>
      <c r="N80" s="202"/>
      <c r="O80" s="202"/>
      <c r="P80" s="202"/>
      <c r="Q80" s="202"/>
      <c r="R80" s="202"/>
      <c r="S80" s="202"/>
      <c r="T80" s="202"/>
      <c r="U80" s="202"/>
      <c r="V80" s="202"/>
      <c r="W80" s="202"/>
      <c r="X80" s="202"/>
      <c r="Y80" s="202"/>
      <c r="Z80" s="202"/>
      <c r="AA80" s="202"/>
      <c r="AB80" s="202"/>
      <c r="AC80" s="202"/>
      <c r="AD80" s="202"/>
      <c r="AE80" s="202"/>
      <c r="AF80" s="202"/>
      <c r="AG80" s="202"/>
      <c r="AH80" s="202"/>
      <c r="AI80" s="202"/>
      <c r="AJ80" s="202"/>
      <c r="AK80" s="202"/>
      <c r="AL80" s="202"/>
      <c r="AM80" s="202"/>
      <c r="AN80" s="202"/>
      <c r="AO80" s="202"/>
      <c r="AP80" s="202"/>
      <c r="AQ80" s="202"/>
      <c r="AR80" s="202"/>
      <c r="AS80" s="202"/>
      <c r="AT80" s="202"/>
      <c r="AU80" s="202"/>
      <c r="AV80" s="202"/>
      <c r="AW80" s="202"/>
    </row>
    <row r="81" spans="1:49" s="162" customFormat="1" ht="4.5" hidden="1" customHeight="1">
      <c r="A81" s="749"/>
      <c r="B81" s="749"/>
      <c r="C81" s="202"/>
      <c r="D81" s="749"/>
      <c r="E81" s="749"/>
      <c r="F81" s="749"/>
      <c r="G81" s="202"/>
      <c r="H81" s="202"/>
      <c r="I81" s="202"/>
      <c r="J81" s="202"/>
      <c r="K81" s="202"/>
      <c r="L81" s="202"/>
      <c r="M81" s="202"/>
      <c r="N81" s="202"/>
      <c r="O81" s="202"/>
      <c r="P81" s="202"/>
      <c r="Q81" s="202"/>
      <c r="R81" s="202"/>
      <c r="S81" s="202"/>
      <c r="T81" s="202"/>
      <c r="U81" s="202"/>
      <c r="V81" s="202"/>
      <c r="W81" s="202"/>
      <c r="X81" s="202"/>
      <c r="Y81" s="202"/>
      <c r="Z81" s="202"/>
      <c r="AA81" s="202"/>
      <c r="AB81" s="202"/>
      <c r="AC81" s="202"/>
      <c r="AD81" s="202"/>
      <c r="AE81" s="202"/>
      <c r="AF81" s="202"/>
      <c r="AG81" s="202"/>
      <c r="AH81" s="202"/>
      <c r="AI81" s="202"/>
      <c r="AJ81" s="202"/>
      <c r="AK81" s="202"/>
      <c r="AL81" s="202"/>
      <c r="AM81" s="202"/>
      <c r="AN81" s="202"/>
      <c r="AO81" s="202"/>
      <c r="AP81" s="202"/>
      <c r="AQ81" s="202"/>
      <c r="AR81" s="202"/>
      <c r="AS81" s="202"/>
      <c r="AT81" s="202"/>
      <c r="AU81" s="202"/>
      <c r="AV81" s="202"/>
      <c r="AW81" s="202"/>
    </row>
    <row r="82" spans="1:49" s="162" customFormat="1" ht="4.5" hidden="1" customHeight="1">
      <c r="A82" s="749"/>
      <c r="B82" s="749"/>
      <c r="C82" s="202"/>
      <c r="D82" s="749"/>
      <c r="E82" s="749"/>
      <c r="F82" s="749"/>
      <c r="G82" s="202"/>
      <c r="H82" s="202"/>
      <c r="I82" s="202"/>
      <c r="J82" s="202"/>
      <c r="K82" s="202"/>
      <c r="L82" s="202"/>
      <c r="M82" s="202"/>
      <c r="N82" s="202"/>
      <c r="O82" s="202"/>
      <c r="P82" s="202"/>
      <c r="Q82" s="202"/>
      <c r="R82" s="202"/>
      <c r="S82" s="202"/>
      <c r="T82" s="202"/>
      <c r="U82" s="202"/>
      <c r="V82" s="202"/>
      <c r="W82" s="202"/>
      <c r="X82" s="202"/>
      <c r="Y82" s="202"/>
      <c r="Z82" s="202"/>
      <c r="AA82" s="202"/>
      <c r="AB82" s="202"/>
      <c r="AC82" s="202"/>
      <c r="AD82" s="202"/>
      <c r="AE82" s="202"/>
      <c r="AF82" s="202"/>
      <c r="AG82" s="202"/>
      <c r="AH82" s="202"/>
      <c r="AI82" s="202"/>
      <c r="AJ82" s="202"/>
      <c r="AK82" s="202"/>
      <c r="AL82" s="202"/>
      <c r="AM82" s="202"/>
      <c r="AN82" s="202"/>
      <c r="AO82" s="202"/>
      <c r="AP82" s="202"/>
      <c r="AQ82" s="202"/>
      <c r="AR82" s="202"/>
      <c r="AS82" s="202"/>
      <c r="AT82" s="202"/>
      <c r="AU82" s="202"/>
      <c r="AV82" s="202"/>
      <c r="AW82" s="202"/>
    </row>
    <row r="83" spans="1:49" s="162" customFormat="1" ht="4.5" hidden="1" customHeight="1">
      <c r="A83" s="749"/>
      <c r="B83" s="749"/>
      <c r="C83" s="202"/>
      <c r="D83" s="749"/>
      <c r="E83" s="749"/>
      <c r="F83" s="749"/>
      <c r="G83" s="202"/>
      <c r="H83" s="202"/>
      <c r="I83" s="202"/>
      <c r="J83" s="202"/>
      <c r="K83" s="202"/>
      <c r="L83" s="202"/>
      <c r="M83" s="202"/>
      <c r="N83" s="202"/>
      <c r="O83" s="202"/>
      <c r="P83" s="202"/>
      <c r="Q83" s="202"/>
      <c r="R83" s="202"/>
      <c r="S83" s="202"/>
      <c r="T83" s="202"/>
      <c r="U83" s="202"/>
      <c r="V83" s="202"/>
      <c r="W83" s="202"/>
      <c r="X83" s="202"/>
      <c r="Y83" s="202"/>
      <c r="Z83" s="202"/>
      <c r="AA83" s="202"/>
      <c r="AB83" s="202"/>
      <c r="AC83" s="202"/>
      <c r="AD83" s="202"/>
      <c r="AE83" s="202"/>
      <c r="AF83" s="202"/>
      <c r="AG83" s="202"/>
      <c r="AH83" s="202"/>
      <c r="AI83" s="202"/>
      <c r="AJ83" s="202"/>
      <c r="AK83" s="202"/>
      <c r="AL83" s="202"/>
      <c r="AM83" s="202"/>
      <c r="AN83" s="202"/>
      <c r="AO83" s="202"/>
      <c r="AP83" s="202"/>
      <c r="AQ83" s="202"/>
      <c r="AR83" s="202"/>
      <c r="AS83" s="202"/>
      <c r="AT83" s="202"/>
      <c r="AU83" s="202"/>
      <c r="AV83" s="202"/>
      <c r="AW83" s="202"/>
    </row>
    <row r="84" spans="1:49" s="162" customFormat="1" ht="4.5" hidden="1" customHeight="1">
      <c r="A84" s="749"/>
      <c r="B84" s="749"/>
      <c r="C84" s="202"/>
      <c r="D84" s="749"/>
      <c r="E84" s="749"/>
      <c r="F84" s="749"/>
      <c r="G84" s="202"/>
      <c r="H84" s="202"/>
      <c r="I84" s="202"/>
      <c r="J84" s="202"/>
      <c r="K84" s="202"/>
      <c r="L84" s="202"/>
      <c r="M84" s="202"/>
      <c r="N84" s="202"/>
      <c r="O84" s="202"/>
      <c r="P84" s="202"/>
      <c r="Q84" s="202"/>
      <c r="R84" s="202"/>
      <c r="S84" s="202"/>
      <c r="T84" s="202"/>
      <c r="U84" s="202"/>
      <c r="V84" s="202"/>
      <c r="W84" s="202"/>
      <c r="X84" s="202"/>
      <c r="Y84" s="202"/>
      <c r="Z84" s="202"/>
      <c r="AA84" s="202"/>
      <c r="AB84" s="202"/>
      <c r="AC84" s="202"/>
      <c r="AD84" s="202"/>
      <c r="AE84" s="202"/>
      <c r="AF84" s="202"/>
      <c r="AG84" s="202"/>
      <c r="AH84" s="202"/>
      <c r="AI84" s="202"/>
      <c r="AJ84" s="202"/>
      <c r="AK84" s="202"/>
      <c r="AL84" s="202"/>
      <c r="AM84" s="202"/>
      <c r="AN84" s="202"/>
      <c r="AO84" s="202"/>
      <c r="AP84" s="202"/>
      <c r="AQ84" s="202"/>
      <c r="AR84" s="202"/>
      <c r="AS84" s="202"/>
      <c r="AT84" s="202"/>
      <c r="AU84" s="202"/>
      <c r="AV84" s="202"/>
      <c r="AW84" s="202"/>
    </row>
    <row r="85" spans="1:49" s="162" customFormat="1" ht="4.5" hidden="1" customHeight="1">
      <c r="A85" s="749"/>
      <c r="B85" s="749"/>
      <c r="C85" s="202"/>
      <c r="D85" s="749"/>
      <c r="E85" s="749"/>
      <c r="F85" s="749"/>
      <c r="G85" s="202"/>
      <c r="H85" s="202"/>
      <c r="I85" s="202"/>
      <c r="J85" s="202"/>
      <c r="K85" s="202"/>
      <c r="L85" s="202"/>
      <c r="M85" s="202"/>
      <c r="N85" s="202"/>
      <c r="O85" s="202"/>
      <c r="P85" s="202"/>
      <c r="Q85" s="202"/>
      <c r="R85" s="202"/>
      <c r="S85" s="202"/>
      <c r="T85" s="202"/>
      <c r="U85" s="202"/>
      <c r="V85" s="202"/>
      <c r="W85" s="202"/>
      <c r="X85" s="202"/>
      <c r="Y85" s="202"/>
      <c r="Z85" s="202"/>
      <c r="AA85" s="202"/>
      <c r="AB85" s="202"/>
      <c r="AC85" s="202"/>
      <c r="AD85" s="202"/>
      <c r="AE85" s="202"/>
      <c r="AF85" s="202"/>
      <c r="AG85" s="202"/>
      <c r="AH85" s="202"/>
      <c r="AI85" s="202"/>
      <c r="AJ85" s="202"/>
      <c r="AK85" s="202"/>
      <c r="AL85" s="202"/>
      <c r="AM85" s="202"/>
      <c r="AN85" s="202"/>
      <c r="AO85" s="202"/>
      <c r="AP85" s="202"/>
      <c r="AQ85" s="202"/>
      <c r="AR85" s="202"/>
      <c r="AS85" s="202"/>
      <c r="AT85" s="202"/>
      <c r="AU85" s="202"/>
      <c r="AV85" s="202"/>
      <c r="AW85" s="202"/>
    </row>
    <row r="86" spans="1:49" s="134" customFormat="1" ht="5.25" hidden="1" customHeight="1">
      <c r="A86" s="201"/>
      <c r="B86" s="201"/>
      <c r="C86" s="201"/>
      <c r="D86" s="201"/>
      <c r="E86" s="201"/>
      <c r="F86" s="201"/>
      <c r="G86" s="201"/>
      <c r="H86" s="201"/>
      <c r="I86" s="201"/>
      <c r="J86" s="201"/>
      <c r="K86" s="201"/>
      <c r="L86" s="201"/>
      <c r="M86" s="201"/>
      <c r="N86" s="201"/>
      <c r="O86" s="201"/>
      <c r="P86" s="201"/>
      <c r="Q86" s="201"/>
      <c r="R86" s="201"/>
      <c r="S86" s="201"/>
      <c r="T86" s="201"/>
      <c r="U86" s="201"/>
      <c r="V86" s="201"/>
      <c r="W86" s="201"/>
      <c r="X86" s="201"/>
      <c r="Y86" s="201"/>
      <c r="Z86" s="201"/>
      <c r="AA86" s="201"/>
      <c r="AB86" s="201"/>
      <c r="AC86" s="201"/>
      <c r="AD86" s="201"/>
      <c r="AE86" s="201"/>
      <c r="AF86" s="201"/>
      <c r="AG86" s="201"/>
      <c r="AH86" s="201"/>
      <c r="AI86" s="201"/>
      <c r="AJ86" s="201"/>
      <c r="AK86" s="201"/>
      <c r="AL86" s="201"/>
      <c r="AM86" s="201"/>
      <c r="AN86" s="201"/>
      <c r="AO86" s="201"/>
      <c r="AP86" s="201"/>
      <c r="AQ86" s="201"/>
      <c r="AR86" s="201"/>
      <c r="AS86" s="201"/>
      <c r="AT86" s="201"/>
      <c r="AU86" s="201"/>
      <c r="AV86" s="201"/>
      <c r="AW86" s="201"/>
    </row>
    <row r="87" spans="1:49" s="134" customFormat="1" ht="13.8">
      <c r="A87" s="201" t="s">
        <v>138</v>
      </c>
      <c r="B87" s="201"/>
      <c r="C87" s="201"/>
      <c r="D87" s="201"/>
      <c r="E87" s="201"/>
      <c r="F87" s="201"/>
      <c r="G87" s="201"/>
      <c r="H87" s="201"/>
      <c r="I87" s="201"/>
      <c r="J87" s="201"/>
      <c r="K87" s="201"/>
      <c r="L87" s="201"/>
      <c r="M87" s="201"/>
      <c r="N87" s="201"/>
      <c r="O87" s="201"/>
      <c r="P87" s="201"/>
      <c r="Q87" s="201"/>
      <c r="R87" s="201"/>
      <c r="S87" s="201"/>
      <c r="T87" s="201"/>
      <c r="U87" s="201"/>
      <c r="V87" s="201"/>
      <c r="W87" s="201"/>
      <c r="X87" s="201"/>
      <c r="Y87" s="201"/>
      <c r="Z87" s="201"/>
      <c r="AA87" s="201"/>
      <c r="AB87" s="201"/>
      <c r="AC87" s="201"/>
      <c r="AD87" s="201"/>
      <c r="AE87" s="201"/>
      <c r="AF87" s="201"/>
      <c r="AG87" s="201"/>
      <c r="AH87" s="201"/>
      <c r="AI87" s="201"/>
      <c r="AJ87" s="201"/>
      <c r="AK87" s="201"/>
      <c r="AL87" s="201"/>
      <c r="AM87" s="201"/>
      <c r="AN87" s="201"/>
      <c r="AO87" s="201"/>
      <c r="AP87" s="201"/>
      <c r="AQ87" s="201"/>
      <c r="AR87" s="201"/>
      <c r="AS87" s="201"/>
      <c r="AT87" s="201"/>
      <c r="AU87" s="201"/>
      <c r="AV87" s="201"/>
      <c r="AW87" s="201"/>
    </row>
    <row r="88" spans="1:49" s="134" customFormat="1" ht="21.75" customHeight="1">
      <c r="A88" s="689" t="s">
        <v>347</v>
      </c>
      <c r="B88" s="689"/>
      <c r="C88" s="689"/>
      <c r="D88" s="689"/>
      <c r="E88" s="689"/>
      <c r="F88" s="779" t="str">
        <f>"Number of Teachers for SY"&amp;" "&amp;G11</f>
        <v>Number of Teachers for SY 2018-2019</v>
      </c>
      <c r="G88" s="201"/>
      <c r="H88" s="201"/>
      <c r="I88" s="201"/>
      <c r="J88" s="201"/>
      <c r="K88" s="201"/>
      <c r="L88" s="201"/>
      <c r="M88" s="201"/>
      <c r="N88" s="201"/>
      <c r="O88" s="201"/>
      <c r="P88" s="201"/>
      <c r="Q88" s="201"/>
      <c r="R88" s="201"/>
      <c r="S88" s="201"/>
      <c r="T88" s="201"/>
      <c r="U88" s="201"/>
      <c r="V88" s="201"/>
      <c r="W88" s="201"/>
      <c r="X88" s="201"/>
      <c r="Y88" s="201"/>
      <c r="Z88" s="201"/>
      <c r="AA88" s="201"/>
      <c r="AB88" s="201"/>
      <c r="AC88" s="201"/>
      <c r="AD88" s="201"/>
      <c r="AE88" s="201"/>
      <c r="AF88" s="201"/>
      <c r="AG88" s="201"/>
      <c r="AH88" s="201"/>
      <c r="AI88" s="201"/>
      <c r="AJ88" s="201"/>
      <c r="AK88" s="201"/>
      <c r="AL88" s="201"/>
      <c r="AM88" s="201"/>
      <c r="AN88" s="201"/>
      <c r="AO88" s="201"/>
      <c r="AP88" s="201"/>
      <c r="AQ88" s="201"/>
      <c r="AR88" s="201"/>
      <c r="AS88" s="201"/>
      <c r="AT88" s="201"/>
      <c r="AU88" s="201"/>
      <c r="AV88" s="201"/>
      <c r="AW88" s="201"/>
    </row>
    <row r="89" spans="1:49" s="134" customFormat="1" ht="13.8">
      <c r="A89" s="689"/>
      <c r="B89" s="689"/>
      <c r="C89" s="689"/>
      <c r="D89" s="689"/>
      <c r="E89" s="689"/>
      <c r="F89" s="779"/>
      <c r="G89" s="201"/>
      <c r="H89" s="425" t="s">
        <v>614</v>
      </c>
      <c r="I89" s="273"/>
      <c r="J89" s="273"/>
      <c r="K89" s="273"/>
      <c r="L89" s="273"/>
      <c r="M89" s="273"/>
      <c r="N89" s="273"/>
      <c r="O89" s="273"/>
      <c r="P89" s="201"/>
      <c r="Q89" s="201"/>
      <c r="R89" s="201"/>
      <c r="S89" s="201"/>
      <c r="T89" s="201"/>
      <c r="U89" s="201"/>
      <c r="V89" s="201"/>
      <c r="W89" s="201"/>
      <c r="X89" s="201"/>
      <c r="Y89" s="201"/>
      <c r="Z89" s="201"/>
      <c r="AA89" s="201"/>
      <c r="AB89" s="201"/>
      <c r="AC89" s="201"/>
      <c r="AD89" s="201"/>
      <c r="AE89" s="201"/>
      <c r="AF89" s="201"/>
      <c r="AG89" s="201"/>
      <c r="AH89" s="201"/>
      <c r="AI89" s="201"/>
      <c r="AJ89" s="201"/>
      <c r="AK89" s="201"/>
      <c r="AL89" s="201"/>
      <c r="AM89" s="201"/>
      <c r="AN89" s="201"/>
      <c r="AO89" s="201"/>
      <c r="AP89" s="201"/>
      <c r="AQ89" s="201"/>
      <c r="AR89" s="201"/>
      <c r="AS89" s="201"/>
      <c r="AT89" s="201"/>
      <c r="AU89" s="201"/>
      <c r="AV89" s="201"/>
      <c r="AW89" s="201"/>
    </row>
    <row r="90" spans="1:49" s="134" customFormat="1" ht="13.8">
      <c r="A90" s="778" t="s">
        <v>340</v>
      </c>
      <c r="B90" s="778"/>
      <c r="C90" s="778"/>
      <c r="D90" s="778"/>
      <c r="E90" s="778"/>
      <c r="F90" s="87">
        <v>20</v>
      </c>
      <c r="G90" s="201"/>
      <c r="H90" s="425" t="s">
        <v>346</v>
      </c>
      <c r="I90" s="273"/>
      <c r="J90" s="273"/>
      <c r="K90" s="273"/>
      <c r="L90" s="273"/>
      <c r="M90" s="273"/>
      <c r="N90" s="273"/>
      <c r="O90" s="273"/>
      <c r="P90" s="201"/>
      <c r="Q90" s="201"/>
      <c r="R90" s="201"/>
      <c r="S90" s="201"/>
      <c r="T90" s="201"/>
      <c r="U90" s="201"/>
      <c r="V90" s="201"/>
      <c r="W90" s="201"/>
      <c r="X90" s="201"/>
      <c r="Y90" s="201"/>
      <c r="Z90" s="201"/>
      <c r="AA90" s="201"/>
      <c r="AB90" s="201"/>
      <c r="AC90" s="201"/>
      <c r="AD90" s="201"/>
      <c r="AE90" s="201"/>
      <c r="AF90" s="201"/>
      <c r="AG90" s="201"/>
      <c r="AH90" s="201"/>
      <c r="AI90" s="201"/>
      <c r="AJ90" s="201"/>
      <c r="AK90" s="201"/>
      <c r="AL90" s="201"/>
      <c r="AM90" s="201"/>
      <c r="AN90" s="201"/>
      <c r="AO90" s="201"/>
      <c r="AP90" s="201"/>
      <c r="AQ90" s="201"/>
      <c r="AR90" s="201"/>
      <c r="AS90" s="201"/>
      <c r="AT90" s="201"/>
      <c r="AU90" s="201"/>
      <c r="AV90" s="201"/>
      <c r="AW90" s="201"/>
    </row>
    <row r="91" spans="1:49" s="134" customFormat="1" ht="13.8">
      <c r="A91" s="778" t="s">
        <v>342</v>
      </c>
      <c r="B91" s="778"/>
      <c r="C91" s="778"/>
      <c r="D91" s="778"/>
      <c r="E91" s="778"/>
      <c r="F91" s="87">
        <v>34</v>
      </c>
      <c r="G91" s="201"/>
      <c r="H91" s="201"/>
      <c r="I91" s="201"/>
      <c r="J91" s="201"/>
      <c r="K91" s="201"/>
      <c r="L91" s="201"/>
      <c r="M91" s="201"/>
      <c r="N91" s="201"/>
      <c r="O91" s="201"/>
      <c r="P91" s="201"/>
      <c r="Q91" s="201"/>
      <c r="R91" s="201"/>
      <c r="S91" s="201"/>
      <c r="T91" s="201"/>
      <c r="U91" s="201"/>
      <c r="V91" s="201"/>
      <c r="W91" s="201"/>
      <c r="X91" s="201"/>
      <c r="Y91" s="201"/>
      <c r="Z91" s="201"/>
      <c r="AA91" s="201"/>
      <c r="AB91" s="201"/>
      <c r="AC91" s="201"/>
      <c r="AD91" s="201"/>
      <c r="AE91" s="201"/>
      <c r="AF91" s="201"/>
      <c r="AG91" s="201"/>
      <c r="AH91" s="201"/>
      <c r="AI91" s="201"/>
      <c r="AJ91" s="201"/>
      <c r="AK91" s="201"/>
      <c r="AL91" s="201"/>
      <c r="AM91" s="201"/>
      <c r="AN91" s="201"/>
      <c r="AO91" s="201"/>
      <c r="AP91" s="201"/>
      <c r="AQ91" s="201"/>
      <c r="AR91" s="201"/>
      <c r="AS91" s="201"/>
      <c r="AT91" s="201"/>
      <c r="AU91" s="201"/>
      <c r="AV91" s="201"/>
      <c r="AW91" s="201"/>
    </row>
    <row r="92" spans="1:49" s="134" customFormat="1" ht="15" customHeight="1">
      <c r="A92" s="778" t="s">
        <v>341</v>
      </c>
      <c r="B92" s="778"/>
      <c r="C92" s="778"/>
      <c r="D92" s="778"/>
      <c r="E92" s="778"/>
      <c r="F92" s="87">
        <v>1</v>
      </c>
      <c r="G92" s="201"/>
      <c r="H92" s="783" t="str">
        <f>IF(G12="","You have no input for the total number of teachers for the current school year under the School Profile.",IF(F95=G12,"Matched total number of teachers against their degrees.","Please check the current school year total number of teachers under School Profile. It does not matched with the total number of teachers based on their highest educational attainment."))</f>
        <v>Matched total number of teachers against their degrees.</v>
      </c>
      <c r="I92" s="783"/>
      <c r="J92" s="783"/>
      <c r="K92" s="783"/>
      <c r="L92" s="783"/>
      <c r="M92" s="783"/>
      <c r="N92" s="783"/>
      <c r="O92" s="783"/>
      <c r="P92" s="201"/>
      <c r="Q92" s="201"/>
      <c r="R92" s="201"/>
      <c r="S92" s="201"/>
      <c r="T92" s="201"/>
      <c r="U92" s="201"/>
      <c r="V92" s="201"/>
      <c r="W92" s="201"/>
      <c r="X92" s="201"/>
      <c r="Y92" s="201"/>
      <c r="Z92" s="201"/>
      <c r="AA92" s="201"/>
      <c r="AB92" s="201"/>
      <c r="AC92" s="201"/>
      <c r="AD92" s="201"/>
      <c r="AE92" s="201"/>
      <c r="AF92" s="201"/>
      <c r="AG92" s="201"/>
      <c r="AH92" s="201"/>
      <c r="AI92" s="201"/>
      <c r="AJ92" s="201"/>
      <c r="AK92" s="201"/>
      <c r="AL92" s="201"/>
      <c r="AM92" s="201"/>
      <c r="AN92" s="201"/>
      <c r="AO92" s="201"/>
      <c r="AP92" s="201"/>
      <c r="AQ92" s="201"/>
      <c r="AR92" s="201"/>
      <c r="AS92" s="201"/>
      <c r="AT92" s="201"/>
      <c r="AU92" s="201"/>
      <c r="AV92" s="201"/>
      <c r="AW92" s="201"/>
    </row>
    <row r="93" spans="1:49" s="134" customFormat="1" ht="13.8">
      <c r="A93" s="778" t="s">
        <v>343</v>
      </c>
      <c r="B93" s="778"/>
      <c r="C93" s="778"/>
      <c r="D93" s="778"/>
      <c r="E93" s="778"/>
      <c r="F93" s="87">
        <v>2</v>
      </c>
      <c r="G93" s="201"/>
      <c r="H93" s="783"/>
      <c r="I93" s="783"/>
      <c r="J93" s="783"/>
      <c r="K93" s="783"/>
      <c r="L93" s="783"/>
      <c r="M93" s="783"/>
      <c r="N93" s="783"/>
      <c r="O93" s="783"/>
      <c r="P93" s="201"/>
      <c r="Q93" s="201"/>
      <c r="R93" s="201"/>
      <c r="S93" s="201"/>
      <c r="T93" s="201"/>
      <c r="U93" s="201"/>
      <c r="V93" s="201"/>
      <c r="W93" s="201"/>
      <c r="X93" s="201"/>
      <c r="Y93" s="201"/>
      <c r="Z93" s="201"/>
      <c r="AA93" s="201"/>
      <c r="AB93" s="201"/>
      <c r="AC93" s="201"/>
      <c r="AD93" s="201"/>
      <c r="AE93" s="201"/>
      <c r="AF93" s="201"/>
      <c r="AG93" s="201"/>
      <c r="AH93" s="201"/>
      <c r="AI93" s="201"/>
      <c r="AJ93" s="201"/>
      <c r="AK93" s="201"/>
      <c r="AL93" s="201"/>
      <c r="AM93" s="201"/>
      <c r="AN93" s="201"/>
      <c r="AO93" s="201"/>
      <c r="AP93" s="201"/>
      <c r="AQ93" s="201"/>
      <c r="AR93" s="201"/>
      <c r="AS93" s="201"/>
      <c r="AT93" s="201"/>
      <c r="AU93" s="201"/>
      <c r="AV93" s="201"/>
      <c r="AW93" s="201"/>
    </row>
    <row r="94" spans="1:49" s="134" customFormat="1" ht="13.8">
      <c r="A94" s="778" t="s">
        <v>344</v>
      </c>
      <c r="B94" s="778"/>
      <c r="C94" s="778"/>
      <c r="D94" s="778"/>
      <c r="E94" s="778"/>
      <c r="F94" s="87">
        <v>0</v>
      </c>
      <c r="G94" s="201"/>
      <c r="H94" s="783"/>
      <c r="I94" s="783"/>
      <c r="J94" s="783"/>
      <c r="K94" s="783"/>
      <c r="L94" s="783"/>
      <c r="M94" s="783"/>
      <c r="N94" s="783"/>
      <c r="O94" s="783"/>
      <c r="P94" s="201"/>
      <c r="Q94" s="201"/>
      <c r="R94" s="201"/>
      <c r="S94" s="201"/>
      <c r="T94" s="201"/>
      <c r="U94" s="201"/>
      <c r="V94" s="201"/>
      <c r="W94" s="201"/>
      <c r="X94" s="201"/>
      <c r="Y94" s="201"/>
      <c r="Z94" s="201"/>
      <c r="AA94" s="201"/>
      <c r="AB94" s="201"/>
      <c r="AC94" s="201"/>
      <c r="AD94" s="201"/>
      <c r="AE94" s="201"/>
      <c r="AF94" s="201"/>
      <c r="AG94" s="201"/>
      <c r="AH94" s="201"/>
      <c r="AI94" s="201"/>
      <c r="AJ94" s="201"/>
      <c r="AK94" s="201"/>
      <c r="AL94" s="201"/>
      <c r="AM94" s="201"/>
      <c r="AN94" s="201"/>
      <c r="AO94" s="201"/>
      <c r="AP94" s="201"/>
      <c r="AQ94" s="201"/>
      <c r="AR94" s="201"/>
      <c r="AS94" s="201"/>
      <c r="AT94" s="201"/>
      <c r="AU94" s="201"/>
      <c r="AV94" s="201"/>
      <c r="AW94" s="201"/>
    </row>
    <row r="95" spans="1:49" s="134" customFormat="1" ht="13.8">
      <c r="A95" s="782" t="s">
        <v>345</v>
      </c>
      <c r="B95" s="782"/>
      <c r="C95" s="782"/>
      <c r="D95" s="782"/>
      <c r="E95" s="782"/>
      <c r="F95" s="411">
        <f>IF(SUM(F90:F94)&lt;1,"",SUM(F90:F94))</f>
        <v>57</v>
      </c>
      <c r="G95" s="201"/>
      <c r="H95" s="201"/>
      <c r="I95" s="201"/>
      <c r="J95" s="201"/>
      <c r="K95" s="201"/>
      <c r="L95" s="201"/>
      <c r="M95" s="201"/>
      <c r="N95" s="201"/>
      <c r="O95" s="201"/>
      <c r="P95" s="201"/>
      <c r="Q95" s="201"/>
      <c r="R95" s="201"/>
      <c r="S95" s="201"/>
      <c r="T95" s="201"/>
      <c r="U95" s="201"/>
      <c r="V95" s="201"/>
      <c r="W95" s="201"/>
      <c r="X95" s="201"/>
      <c r="Y95" s="201"/>
      <c r="Z95" s="201"/>
      <c r="AA95" s="201"/>
      <c r="AB95" s="201"/>
      <c r="AC95" s="201"/>
      <c r="AD95" s="201"/>
      <c r="AE95" s="201"/>
      <c r="AF95" s="201"/>
      <c r="AG95" s="201"/>
      <c r="AH95" s="201"/>
      <c r="AI95" s="201"/>
      <c r="AJ95" s="201"/>
      <c r="AK95" s="201"/>
      <c r="AL95" s="201"/>
      <c r="AM95" s="201"/>
      <c r="AN95" s="201"/>
      <c r="AO95" s="201"/>
      <c r="AP95" s="201"/>
      <c r="AQ95" s="201"/>
      <c r="AR95" s="201"/>
      <c r="AS95" s="201"/>
      <c r="AT95" s="201"/>
      <c r="AU95" s="201"/>
      <c r="AV95" s="201"/>
      <c r="AW95" s="201"/>
    </row>
    <row r="96" spans="1:49" s="134" customFormat="1" ht="0.75" customHeight="1">
      <c r="A96" s="749"/>
      <c r="B96" s="749"/>
      <c r="C96" s="749"/>
      <c r="D96" s="749"/>
      <c r="E96" s="749"/>
      <c r="F96" s="205"/>
      <c r="G96" s="201"/>
      <c r="H96" s="201"/>
      <c r="I96" s="201"/>
      <c r="J96" s="201"/>
      <c r="K96" s="201"/>
      <c r="L96" s="201"/>
      <c r="M96" s="201"/>
      <c r="N96" s="201"/>
      <c r="O96" s="201"/>
      <c r="P96" s="201"/>
      <c r="Q96" s="201"/>
      <c r="R96" s="201"/>
      <c r="S96" s="201"/>
      <c r="T96" s="201"/>
      <c r="U96" s="201"/>
      <c r="V96" s="201"/>
      <c r="W96" s="201"/>
      <c r="X96" s="201"/>
      <c r="Y96" s="201"/>
      <c r="Z96" s="201"/>
      <c r="AA96" s="201"/>
      <c r="AB96" s="201"/>
      <c r="AC96" s="201"/>
      <c r="AD96" s="201"/>
      <c r="AE96" s="201"/>
      <c r="AF96" s="201"/>
      <c r="AG96" s="201"/>
      <c r="AH96" s="201"/>
      <c r="AI96" s="201"/>
      <c r="AJ96" s="201"/>
      <c r="AK96" s="201"/>
      <c r="AL96" s="201"/>
      <c r="AM96" s="201"/>
      <c r="AN96" s="201"/>
      <c r="AO96" s="201"/>
      <c r="AP96" s="201"/>
      <c r="AQ96" s="201"/>
      <c r="AR96" s="201"/>
      <c r="AS96" s="201"/>
      <c r="AT96" s="201"/>
      <c r="AU96" s="201"/>
      <c r="AV96" s="201"/>
      <c r="AW96" s="201"/>
    </row>
    <row r="97" spans="1:49" s="134" customFormat="1" ht="0.75" customHeight="1">
      <c r="A97" s="749"/>
      <c r="B97" s="749"/>
      <c r="C97" s="749"/>
      <c r="D97" s="749"/>
      <c r="E97" s="749"/>
      <c r="F97" s="205"/>
      <c r="G97" s="201"/>
      <c r="H97" s="201"/>
      <c r="I97" s="201"/>
      <c r="J97" s="201"/>
      <c r="K97" s="201"/>
      <c r="L97" s="201"/>
      <c r="M97" s="201"/>
      <c r="N97" s="201"/>
      <c r="O97" s="201"/>
      <c r="P97" s="201"/>
      <c r="Q97" s="201"/>
      <c r="R97" s="201"/>
      <c r="S97" s="201"/>
      <c r="T97" s="201"/>
      <c r="U97" s="201"/>
      <c r="V97" s="201"/>
      <c r="W97" s="201"/>
      <c r="X97" s="201"/>
      <c r="Y97" s="201"/>
      <c r="Z97" s="201"/>
      <c r="AA97" s="201"/>
      <c r="AB97" s="201"/>
      <c r="AC97" s="201"/>
      <c r="AD97" s="201"/>
      <c r="AE97" s="201"/>
      <c r="AF97" s="201"/>
      <c r="AG97" s="201"/>
      <c r="AH97" s="201"/>
      <c r="AI97" s="201"/>
      <c r="AJ97" s="201"/>
      <c r="AK97" s="201"/>
      <c r="AL97" s="201"/>
      <c r="AM97" s="201"/>
      <c r="AN97" s="201"/>
      <c r="AO97" s="201"/>
      <c r="AP97" s="201"/>
      <c r="AQ97" s="201"/>
      <c r="AR97" s="201"/>
      <c r="AS97" s="201"/>
      <c r="AT97" s="201"/>
      <c r="AU97" s="201"/>
      <c r="AV97" s="201"/>
      <c r="AW97" s="201"/>
    </row>
    <row r="98" spans="1:49" s="134" customFormat="1" ht="0.75" customHeight="1">
      <c r="A98" s="201"/>
      <c r="B98" s="201"/>
      <c r="C98" s="201"/>
      <c r="D98" s="201"/>
      <c r="E98" s="201"/>
      <c r="F98" s="201"/>
      <c r="G98" s="201"/>
      <c r="H98" s="201"/>
      <c r="I98" s="201"/>
      <c r="J98" s="201"/>
      <c r="K98" s="201"/>
      <c r="L98" s="201"/>
      <c r="M98" s="201"/>
      <c r="N98" s="201"/>
      <c r="O98" s="201"/>
      <c r="P98" s="201"/>
      <c r="Q98" s="201"/>
      <c r="R98" s="201"/>
      <c r="S98" s="201"/>
      <c r="T98" s="201"/>
      <c r="U98" s="201"/>
      <c r="V98" s="201"/>
      <c r="W98" s="201"/>
      <c r="X98" s="201"/>
      <c r="Y98" s="201"/>
      <c r="Z98" s="201"/>
      <c r="AA98" s="201"/>
      <c r="AB98" s="201"/>
      <c r="AC98" s="201"/>
      <c r="AD98" s="201"/>
      <c r="AE98" s="201"/>
      <c r="AF98" s="201"/>
      <c r="AG98" s="201"/>
      <c r="AH98" s="201"/>
      <c r="AI98" s="201"/>
      <c r="AJ98" s="201"/>
      <c r="AK98" s="201"/>
      <c r="AL98" s="201"/>
      <c r="AM98" s="201"/>
      <c r="AN98" s="201"/>
      <c r="AO98" s="201"/>
      <c r="AP98" s="201"/>
      <c r="AQ98" s="201"/>
      <c r="AR98" s="201"/>
      <c r="AS98" s="201"/>
      <c r="AT98" s="201"/>
      <c r="AU98" s="201"/>
      <c r="AV98" s="201"/>
      <c r="AW98" s="201"/>
    </row>
    <row r="99" spans="1:49" s="134" customFormat="1" ht="17.25" customHeight="1">
      <c r="A99" s="201" t="s">
        <v>140</v>
      </c>
      <c r="B99" s="201"/>
      <c r="C99" s="201"/>
      <c r="D99" s="201"/>
      <c r="E99" s="201"/>
      <c r="F99" s="201"/>
      <c r="G99" s="201"/>
      <c r="H99" s="201"/>
      <c r="I99" s="201"/>
      <c r="J99" s="201"/>
      <c r="K99" s="201"/>
      <c r="L99" s="201"/>
      <c r="M99" s="201"/>
      <c r="N99" s="201"/>
      <c r="O99" s="201"/>
      <c r="P99" s="201"/>
      <c r="Q99" s="201"/>
      <c r="R99" s="201"/>
      <c r="S99" s="201"/>
      <c r="T99" s="201"/>
      <c r="U99" s="201"/>
      <c r="V99" s="201"/>
      <c r="W99" s="201"/>
      <c r="X99" s="201"/>
      <c r="Y99" s="201"/>
      <c r="Z99" s="201"/>
      <c r="AA99" s="201"/>
      <c r="AB99" s="201"/>
      <c r="AC99" s="201"/>
      <c r="AD99" s="201"/>
      <c r="AE99" s="201"/>
      <c r="AF99" s="201"/>
      <c r="AG99" s="201"/>
      <c r="AH99" s="201"/>
      <c r="AI99" s="201"/>
      <c r="AJ99" s="201"/>
      <c r="AK99" s="201"/>
      <c r="AL99" s="201"/>
      <c r="AM99" s="201"/>
      <c r="AN99" s="201"/>
      <c r="AO99" s="201"/>
      <c r="AP99" s="201"/>
      <c r="AQ99" s="201"/>
      <c r="AR99" s="201"/>
      <c r="AS99" s="201"/>
      <c r="AT99" s="201"/>
      <c r="AU99" s="201"/>
      <c r="AV99" s="201"/>
      <c r="AW99" s="201"/>
    </row>
    <row r="100" spans="1:49" s="134" customFormat="1" ht="13.8">
      <c r="A100" s="688" t="str">
        <f>"Fund Source for SY"&amp;" "&amp;G11</f>
        <v>Fund Source for SY 2018-2019</v>
      </c>
      <c r="B100" s="688"/>
      <c r="C100" s="688"/>
      <c r="D100" s="688"/>
      <c r="E100" s="688"/>
      <c r="F100" s="688"/>
      <c r="G100" s="688" t="s">
        <v>41</v>
      </c>
      <c r="H100" s="688"/>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201"/>
      <c r="AN100" s="201"/>
      <c r="AO100" s="201"/>
      <c r="AP100" s="201"/>
      <c r="AQ100" s="201"/>
      <c r="AR100" s="201"/>
      <c r="AS100" s="201"/>
      <c r="AT100" s="201"/>
      <c r="AU100" s="201"/>
      <c r="AV100" s="201"/>
      <c r="AW100" s="201"/>
    </row>
    <row r="101" spans="1:49" s="134" customFormat="1" ht="13.8">
      <c r="A101" s="780" t="s">
        <v>42</v>
      </c>
      <c r="B101" s="780"/>
      <c r="C101" s="780"/>
      <c r="D101" s="780"/>
      <c r="E101" s="780"/>
      <c r="F101" s="780"/>
      <c r="G101" s="781">
        <v>104000</v>
      </c>
      <c r="H101" s="781"/>
      <c r="I101" s="201"/>
      <c r="J101" s="201"/>
      <c r="K101" s="201"/>
      <c r="L101" s="201"/>
      <c r="M101" s="201"/>
      <c r="N101" s="201"/>
      <c r="O101" s="201"/>
      <c r="P101" s="201"/>
      <c r="Q101" s="201"/>
      <c r="R101" s="201"/>
      <c r="S101" s="201"/>
      <c r="T101" s="201"/>
      <c r="U101" s="201"/>
      <c r="V101" s="201"/>
      <c r="W101" s="201"/>
      <c r="X101" s="201"/>
      <c r="Y101" s="201"/>
      <c r="Z101" s="201"/>
      <c r="AA101" s="201"/>
      <c r="AB101" s="201"/>
      <c r="AC101" s="201"/>
      <c r="AD101" s="201"/>
      <c r="AE101" s="201"/>
      <c r="AF101" s="201"/>
      <c r="AG101" s="201"/>
      <c r="AH101" s="201"/>
      <c r="AI101" s="201"/>
      <c r="AJ101" s="201"/>
      <c r="AK101" s="201"/>
      <c r="AL101" s="201"/>
      <c r="AM101" s="201"/>
      <c r="AN101" s="201"/>
      <c r="AO101" s="201"/>
      <c r="AP101" s="201"/>
      <c r="AQ101" s="201"/>
      <c r="AR101" s="201"/>
      <c r="AS101" s="201"/>
      <c r="AT101" s="201"/>
      <c r="AU101" s="201"/>
      <c r="AV101" s="201"/>
      <c r="AW101" s="201"/>
    </row>
    <row r="102" spans="1:49" s="134" customFormat="1" ht="13.8">
      <c r="A102" s="780" t="s">
        <v>43</v>
      </c>
      <c r="B102" s="780"/>
      <c r="C102" s="780"/>
      <c r="D102" s="780"/>
      <c r="E102" s="780"/>
      <c r="F102" s="780"/>
      <c r="G102" s="781">
        <v>0</v>
      </c>
      <c r="H102" s="781"/>
      <c r="I102" s="201"/>
      <c r="J102" s="201"/>
      <c r="K102" s="201"/>
      <c r="L102" s="201"/>
      <c r="M102" s="201"/>
      <c r="N102" s="201"/>
      <c r="O102" s="201"/>
      <c r="P102" s="201"/>
      <c r="Q102" s="201"/>
      <c r="R102" s="201"/>
      <c r="S102" s="201"/>
      <c r="T102" s="201"/>
      <c r="U102" s="201"/>
      <c r="V102" s="201"/>
      <c r="W102" s="201"/>
      <c r="X102" s="201"/>
      <c r="Y102" s="201"/>
      <c r="Z102" s="201"/>
      <c r="AA102" s="201"/>
      <c r="AB102" s="201"/>
      <c r="AC102" s="201"/>
      <c r="AD102" s="201"/>
      <c r="AE102" s="201"/>
      <c r="AF102" s="201"/>
      <c r="AG102" s="201"/>
      <c r="AH102" s="201"/>
      <c r="AI102" s="201"/>
      <c r="AJ102" s="201"/>
      <c r="AK102" s="201"/>
      <c r="AL102" s="201"/>
      <c r="AM102" s="201"/>
      <c r="AN102" s="201"/>
      <c r="AO102" s="201"/>
      <c r="AP102" s="201"/>
      <c r="AQ102" s="201"/>
      <c r="AR102" s="201"/>
      <c r="AS102" s="201"/>
      <c r="AT102" s="201"/>
      <c r="AU102" s="201"/>
      <c r="AV102" s="201"/>
      <c r="AW102" s="201"/>
    </row>
    <row r="103" spans="1:49" s="134" customFormat="1" ht="13.8">
      <c r="A103" s="780" t="s">
        <v>44</v>
      </c>
      <c r="B103" s="780"/>
      <c r="C103" s="780"/>
      <c r="D103" s="780"/>
      <c r="E103" s="780"/>
      <c r="F103" s="780"/>
      <c r="G103" s="781">
        <v>147000</v>
      </c>
      <c r="H103" s="781"/>
      <c r="I103" s="201"/>
      <c r="J103" s="201"/>
      <c r="K103" s="201"/>
      <c r="L103" s="201"/>
      <c r="M103" s="201"/>
      <c r="N103" s="201"/>
      <c r="O103" s="201"/>
      <c r="P103" s="201"/>
      <c r="Q103" s="201"/>
      <c r="R103" s="201"/>
      <c r="S103" s="201"/>
      <c r="T103" s="201"/>
      <c r="U103" s="201"/>
      <c r="V103" s="201"/>
      <c r="W103" s="201"/>
      <c r="X103" s="201"/>
      <c r="Y103" s="201"/>
      <c r="Z103" s="201"/>
      <c r="AA103" s="201"/>
      <c r="AB103" s="201"/>
      <c r="AC103" s="201"/>
      <c r="AD103" s="201"/>
      <c r="AE103" s="201"/>
      <c r="AF103" s="201"/>
      <c r="AG103" s="201"/>
      <c r="AH103" s="201"/>
      <c r="AI103" s="201"/>
      <c r="AJ103" s="201"/>
      <c r="AK103" s="201"/>
      <c r="AL103" s="201"/>
      <c r="AM103" s="201"/>
      <c r="AN103" s="201"/>
      <c r="AO103" s="201"/>
      <c r="AP103" s="201"/>
      <c r="AQ103" s="201"/>
      <c r="AR103" s="201"/>
      <c r="AS103" s="201"/>
      <c r="AT103" s="201"/>
      <c r="AU103" s="201"/>
      <c r="AV103" s="201"/>
      <c r="AW103" s="201"/>
    </row>
    <row r="104" spans="1:49" s="134" customFormat="1" ht="13.8">
      <c r="A104" s="780" t="s">
        <v>45</v>
      </c>
      <c r="B104" s="780"/>
      <c r="C104" s="780"/>
      <c r="D104" s="780"/>
      <c r="E104" s="780"/>
      <c r="F104" s="780"/>
      <c r="G104" s="781">
        <v>10000</v>
      </c>
      <c r="H104" s="781"/>
      <c r="I104" s="201"/>
      <c r="J104" s="201"/>
      <c r="K104" s="201"/>
      <c r="L104" s="201"/>
      <c r="M104" s="201"/>
      <c r="N104" s="201"/>
      <c r="O104" s="201"/>
      <c r="P104" s="201"/>
      <c r="Q104" s="201"/>
      <c r="R104" s="201"/>
      <c r="S104" s="201"/>
      <c r="T104" s="201"/>
      <c r="U104" s="201"/>
      <c r="V104" s="201"/>
      <c r="W104" s="201"/>
      <c r="X104" s="201"/>
      <c r="Y104" s="201"/>
      <c r="Z104" s="201"/>
      <c r="AA104" s="201"/>
      <c r="AB104" s="201"/>
      <c r="AC104" s="201"/>
      <c r="AD104" s="201"/>
      <c r="AE104" s="201"/>
      <c r="AF104" s="201"/>
      <c r="AG104" s="201"/>
      <c r="AH104" s="201"/>
      <c r="AI104" s="201"/>
      <c r="AJ104" s="201"/>
      <c r="AK104" s="201"/>
      <c r="AL104" s="201"/>
      <c r="AM104" s="201"/>
      <c r="AN104" s="201"/>
      <c r="AO104" s="201"/>
      <c r="AP104" s="201"/>
      <c r="AQ104" s="201"/>
      <c r="AR104" s="201"/>
      <c r="AS104" s="201"/>
      <c r="AT104" s="201"/>
      <c r="AU104" s="201"/>
      <c r="AV104" s="201"/>
      <c r="AW104" s="201"/>
    </row>
    <row r="105" spans="1:49" s="134" customFormat="1" ht="13.8">
      <c r="A105" s="780" t="s">
        <v>46</v>
      </c>
      <c r="B105" s="780"/>
      <c r="C105" s="780"/>
      <c r="D105" s="780"/>
      <c r="E105" s="780"/>
      <c r="F105" s="780"/>
      <c r="G105" s="781">
        <v>278713</v>
      </c>
      <c r="H105" s="781"/>
      <c r="I105" s="201"/>
      <c r="J105" s="201"/>
      <c r="K105" s="201"/>
      <c r="L105" s="201"/>
      <c r="M105" s="201"/>
      <c r="N105" s="201"/>
      <c r="O105" s="201"/>
      <c r="P105" s="201"/>
      <c r="Q105" s="201"/>
      <c r="R105" s="201"/>
      <c r="S105" s="201"/>
      <c r="T105" s="201"/>
      <c r="U105" s="201"/>
      <c r="V105" s="201"/>
      <c r="W105" s="201"/>
      <c r="X105" s="201"/>
      <c r="Y105" s="201"/>
      <c r="Z105" s="201"/>
      <c r="AA105" s="201"/>
      <c r="AB105" s="201"/>
      <c r="AC105" s="201"/>
      <c r="AD105" s="201"/>
      <c r="AE105" s="201"/>
      <c r="AF105" s="201"/>
      <c r="AG105" s="201"/>
      <c r="AH105" s="201"/>
      <c r="AI105" s="201"/>
      <c r="AJ105" s="201"/>
      <c r="AK105" s="201"/>
      <c r="AL105" s="201"/>
      <c r="AM105" s="201"/>
      <c r="AN105" s="201"/>
      <c r="AO105" s="201"/>
      <c r="AP105" s="201"/>
      <c r="AQ105" s="201"/>
      <c r="AR105" s="201"/>
      <c r="AS105" s="201"/>
      <c r="AT105" s="201"/>
      <c r="AU105" s="201"/>
      <c r="AV105" s="201"/>
      <c r="AW105" s="201"/>
    </row>
    <row r="106" spans="1:49" s="134" customFormat="1" ht="13.8">
      <c r="A106" s="780" t="s">
        <v>47</v>
      </c>
      <c r="B106" s="780"/>
      <c r="C106" s="780"/>
      <c r="D106" s="780"/>
      <c r="E106" s="780"/>
      <c r="F106" s="780"/>
      <c r="G106" s="781">
        <v>106131</v>
      </c>
      <c r="H106" s="781"/>
      <c r="I106" s="201"/>
      <c r="J106" s="201"/>
      <c r="K106" s="201"/>
      <c r="L106" s="201"/>
      <c r="M106" s="201"/>
      <c r="N106" s="201"/>
      <c r="O106" s="201"/>
      <c r="P106" s="201"/>
      <c r="Q106" s="201"/>
      <c r="R106" s="201"/>
      <c r="S106" s="201"/>
      <c r="T106" s="201"/>
      <c r="U106" s="201"/>
      <c r="V106" s="201"/>
      <c r="W106" s="201"/>
      <c r="X106" s="201"/>
      <c r="Y106" s="201"/>
      <c r="Z106" s="201"/>
      <c r="AA106" s="201"/>
      <c r="AB106" s="201"/>
      <c r="AC106" s="201"/>
      <c r="AD106" s="201"/>
      <c r="AE106" s="201"/>
      <c r="AF106" s="201"/>
      <c r="AG106" s="201"/>
      <c r="AH106" s="201"/>
      <c r="AI106" s="201"/>
      <c r="AJ106" s="201"/>
      <c r="AK106" s="201"/>
      <c r="AL106" s="201"/>
      <c r="AM106" s="201"/>
      <c r="AN106" s="201"/>
      <c r="AO106" s="201"/>
      <c r="AP106" s="201"/>
      <c r="AQ106" s="201"/>
      <c r="AR106" s="201"/>
      <c r="AS106" s="201"/>
      <c r="AT106" s="201"/>
      <c r="AU106" s="201"/>
      <c r="AV106" s="201"/>
      <c r="AW106" s="201"/>
    </row>
    <row r="107" spans="1:49" s="134" customFormat="1" ht="20.25" customHeight="1">
      <c r="A107" s="846" t="s">
        <v>18</v>
      </c>
      <c r="B107" s="846"/>
      <c r="C107" s="846"/>
      <c r="D107" s="846"/>
      <c r="E107" s="846"/>
      <c r="F107" s="846"/>
      <c r="G107" s="847">
        <f>IF(SUM(G101:H106)&lt;1,"",SUM(G101:H106))</f>
        <v>645844</v>
      </c>
      <c r="H107" s="847"/>
      <c r="I107" s="201"/>
      <c r="J107" s="201"/>
      <c r="K107" s="201"/>
      <c r="L107" s="201"/>
      <c r="M107" s="201"/>
      <c r="N107" s="201"/>
      <c r="O107" s="201"/>
      <c r="P107" s="201"/>
      <c r="Q107" s="201"/>
      <c r="R107" s="201"/>
      <c r="S107" s="201"/>
      <c r="T107" s="201"/>
      <c r="U107" s="201"/>
      <c r="V107" s="201"/>
      <c r="W107" s="201"/>
      <c r="X107" s="201"/>
      <c r="Y107" s="201"/>
      <c r="Z107" s="201"/>
      <c r="AA107" s="201"/>
      <c r="AB107" s="201"/>
      <c r="AC107" s="201"/>
      <c r="AD107" s="201"/>
      <c r="AE107" s="201"/>
      <c r="AF107" s="201"/>
      <c r="AG107" s="201"/>
      <c r="AH107" s="201"/>
      <c r="AI107" s="201"/>
      <c r="AJ107" s="201"/>
      <c r="AK107" s="201"/>
      <c r="AL107" s="201"/>
      <c r="AM107" s="201"/>
      <c r="AN107" s="201"/>
      <c r="AO107" s="201"/>
      <c r="AP107" s="201"/>
      <c r="AQ107" s="201"/>
      <c r="AR107" s="201"/>
      <c r="AS107" s="201"/>
      <c r="AT107" s="201"/>
      <c r="AU107" s="201"/>
      <c r="AV107" s="201"/>
      <c r="AW107" s="201"/>
    </row>
    <row r="108" spans="1:49" s="134" customFormat="1" ht="17.25" customHeight="1">
      <c r="A108" s="201" t="s">
        <v>145</v>
      </c>
      <c r="B108" s="201"/>
      <c r="C108" s="201"/>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c r="AA108" s="201"/>
      <c r="AB108" s="201"/>
      <c r="AC108" s="201"/>
      <c r="AD108" s="201"/>
      <c r="AE108" s="201"/>
      <c r="AF108" s="201"/>
      <c r="AG108" s="201"/>
      <c r="AH108" s="201"/>
      <c r="AI108" s="201"/>
      <c r="AJ108" s="201"/>
      <c r="AK108" s="201"/>
      <c r="AL108" s="201"/>
      <c r="AM108" s="201"/>
      <c r="AN108" s="201"/>
      <c r="AO108" s="201"/>
      <c r="AP108" s="201"/>
      <c r="AQ108" s="201"/>
      <c r="AR108" s="201"/>
      <c r="AS108" s="201"/>
      <c r="AT108" s="201"/>
      <c r="AU108" s="201"/>
      <c r="AV108" s="201"/>
      <c r="AW108" s="201"/>
    </row>
    <row r="109" spans="1:49" s="134" customFormat="1" ht="27.75" customHeight="1">
      <c r="A109" s="491" t="s">
        <v>60</v>
      </c>
      <c r="B109" s="492"/>
      <c r="C109" s="492"/>
      <c r="D109" s="493"/>
      <c r="E109" s="406" t="s">
        <v>961</v>
      </c>
      <c r="F109" s="91" t="s">
        <v>968</v>
      </c>
      <c r="G109" s="91" t="s">
        <v>59</v>
      </c>
      <c r="H109" s="190" t="s">
        <v>2</v>
      </c>
      <c r="I109" s="489" t="s">
        <v>62</v>
      </c>
      <c r="J109" s="489"/>
      <c r="K109" s="489"/>
      <c r="L109" s="201"/>
      <c r="M109" s="201"/>
      <c r="N109" s="201"/>
      <c r="O109" s="201"/>
      <c r="P109" s="201"/>
      <c r="Q109" s="201"/>
      <c r="R109" s="201"/>
      <c r="S109" s="201"/>
      <c r="T109" s="201"/>
      <c r="U109" s="201"/>
      <c r="V109" s="201"/>
      <c r="W109" s="201"/>
      <c r="X109" s="201"/>
      <c r="Y109" s="201"/>
      <c r="Z109" s="201"/>
      <c r="AA109" s="201"/>
      <c r="AB109" s="201"/>
      <c r="AC109" s="201"/>
      <c r="AD109" s="201"/>
      <c r="AE109" s="201"/>
      <c r="AF109" s="201"/>
      <c r="AG109" s="201"/>
      <c r="AH109" s="201"/>
      <c r="AI109" s="201"/>
      <c r="AJ109" s="201"/>
      <c r="AK109" s="201"/>
      <c r="AL109" s="201"/>
      <c r="AM109" s="201"/>
      <c r="AN109" s="201"/>
      <c r="AO109" s="201"/>
      <c r="AP109" s="201"/>
      <c r="AQ109" s="201"/>
      <c r="AR109" s="201"/>
      <c r="AS109" s="201"/>
      <c r="AT109" s="201"/>
      <c r="AU109" s="201"/>
      <c r="AV109" s="201"/>
      <c r="AW109" s="201"/>
    </row>
    <row r="110" spans="1:49" s="134" customFormat="1" ht="16.5" customHeight="1">
      <c r="A110" s="767" t="s">
        <v>1005</v>
      </c>
      <c r="B110" s="768"/>
      <c r="C110" s="768"/>
      <c r="D110" s="769"/>
      <c r="E110" s="430">
        <v>5</v>
      </c>
      <c r="F110" s="431">
        <v>43546</v>
      </c>
      <c r="G110" s="240" t="s">
        <v>1003</v>
      </c>
      <c r="H110" s="241" t="s">
        <v>64</v>
      </c>
      <c r="I110" s="766" t="s">
        <v>1002</v>
      </c>
      <c r="J110" s="766"/>
      <c r="K110" s="766"/>
      <c r="L110" s="206"/>
      <c r="M110" s="206"/>
      <c r="N110" s="201"/>
      <c r="O110" s="201"/>
      <c r="P110" s="201"/>
      <c r="Q110" s="201"/>
      <c r="R110" s="201"/>
      <c r="S110" s="201"/>
      <c r="T110" s="201"/>
      <c r="U110" s="201"/>
      <c r="V110" s="201"/>
      <c r="W110" s="201"/>
      <c r="X110" s="201"/>
      <c r="Y110" s="201"/>
      <c r="Z110" s="201"/>
      <c r="AA110" s="201"/>
      <c r="AB110" s="201"/>
      <c r="AC110" s="201"/>
      <c r="AD110" s="201"/>
      <c r="AE110" s="201"/>
      <c r="AF110" s="201"/>
      <c r="AG110" s="201"/>
      <c r="AH110" s="201"/>
      <c r="AI110" s="201"/>
      <c r="AJ110" s="201"/>
      <c r="AK110" s="201"/>
      <c r="AL110" s="201"/>
      <c r="AM110" s="201"/>
      <c r="AN110" s="201"/>
      <c r="AO110" s="201"/>
      <c r="AP110" s="201"/>
      <c r="AQ110" s="201"/>
      <c r="AR110" s="201"/>
      <c r="AS110" s="201"/>
      <c r="AT110" s="201"/>
      <c r="AU110" s="201"/>
      <c r="AV110" s="201"/>
      <c r="AW110" s="201"/>
    </row>
    <row r="111" spans="1:49" s="134" customFormat="1" ht="13.8">
      <c r="A111" s="767" t="s">
        <v>1006</v>
      </c>
      <c r="B111" s="768"/>
      <c r="C111" s="768"/>
      <c r="D111" s="769"/>
      <c r="E111" s="430" t="s">
        <v>962</v>
      </c>
      <c r="F111" s="431">
        <v>43547</v>
      </c>
      <c r="G111" s="240" t="s">
        <v>67</v>
      </c>
      <c r="H111" s="241" t="s">
        <v>64</v>
      </c>
      <c r="I111" s="766" t="s">
        <v>1004</v>
      </c>
      <c r="J111" s="766"/>
      <c r="K111" s="766"/>
      <c r="L111" s="201"/>
      <c r="M111" s="201"/>
      <c r="N111" s="201"/>
      <c r="O111" s="201"/>
      <c r="P111" s="201"/>
      <c r="Q111" s="201"/>
      <c r="R111" s="201"/>
      <c r="S111" s="201"/>
      <c r="T111" s="201"/>
      <c r="U111" s="201"/>
      <c r="V111" s="201"/>
      <c r="W111" s="201"/>
      <c r="X111" s="201"/>
      <c r="Y111" s="201"/>
      <c r="Z111" s="201"/>
      <c r="AA111" s="201"/>
      <c r="AB111" s="201"/>
      <c r="AC111" s="201"/>
      <c r="AD111" s="201"/>
      <c r="AE111" s="201"/>
      <c r="AF111" s="201"/>
      <c r="AG111" s="201"/>
      <c r="AH111" s="201"/>
      <c r="AI111" s="201"/>
      <c r="AJ111" s="201"/>
      <c r="AK111" s="201"/>
      <c r="AL111" s="201"/>
      <c r="AM111" s="201"/>
      <c r="AN111" s="201"/>
      <c r="AO111" s="201"/>
      <c r="AP111" s="201"/>
      <c r="AQ111" s="201"/>
      <c r="AR111" s="201"/>
      <c r="AS111" s="201"/>
      <c r="AT111" s="201"/>
      <c r="AU111" s="201"/>
      <c r="AV111" s="201"/>
      <c r="AW111" s="201"/>
    </row>
    <row r="112" spans="1:49" s="134" customFormat="1" ht="13.8">
      <c r="A112" s="767" t="s">
        <v>1007</v>
      </c>
      <c r="B112" s="768"/>
      <c r="C112" s="768"/>
      <c r="D112" s="769"/>
      <c r="E112" s="430" t="s">
        <v>962</v>
      </c>
      <c r="F112" s="431">
        <v>43424</v>
      </c>
      <c r="G112" s="240" t="s">
        <v>1003</v>
      </c>
      <c r="H112" s="241" t="s">
        <v>63</v>
      </c>
      <c r="I112" s="766" t="s">
        <v>1004</v>
      </c>
      <c r="J112" s="766"/>
      <c r="K112" s="766"/>
      <c r="L112" s="201"/>
      <c r="M112" s="201"/>
      <c r="N112" s="201"/>
      <c r="O112" s="201"/>
      <c r="P112" s="201"/>
      <c r="Q112" s="201"/>
      <c r="R112" s="201"/>
      <c r="S112" s="201"/>
      <c r="T112" s="201"/>
      <c r="U112" s="201"/>
      <c r="V112" s="201"/>
      <c r="W112" s="201"/>
      <c r="X112" s="201"/>
      <c r="Y112" s="201"/>
      <c r="Z112" s="201"/>
      <c r="AA112" s="201"/>
      <c r="AB112" s="201"/>
      <c r="AC112" s="201"/>
      <c r="AD112" s="201"/>
      <c r="AE112" s="201"/>
      <c r="AF112" s="201"/>
      <c r="AG112" s="201"/>
      <c r="AH112" s="201"/>
      <c r="AI112" s="201"/>
      <c r="AJ112" s="201"/>
      <c r="AK112" s="201"/>
      <c r="AL112" s="201"/>
      <c r="AM112" s="201"/>
      <c r="AN112" s="201"/>
      <c r="AO112" s="201"/>
      <c r="AP112" s="201"/>
      <c r="AQ112" s="201"/>
      <c r="AR112" s="201"/>
      <c r="AS112" s="201"/>
      <c r="AT112" s="201"/>
      <c r="AU112" s="201"/>
      <c r="AV112" s="201"/>
      <c r="AW112" s="201"/>
    </row>
    <row r="113" spans="1:49" s="134" customFormat="1" ht="13.8">
      <c r="A113" s="767" t="s">
        <v>1008</v>
      </c>
      <c r="B113" s="768"/>
      <c r="C113" s="768"/>
      <c r="D113" s="769"/>
      <c r="E113" s="430" t="s">
        <v>964</v>
      </c>
      <c r="F113" s="431"/>
      <c r="G113" s="240" t="s">
        <v>1003</v>
      </c>
      <c r="H113" s="241" t="s">
        <v>63</v>
      </c>
      <c r="I113" s="766" t="s">
        <v>1004</v>
      </c>
      <c r="J113" s="766"/>
      <c r="K113" s="766"/>
      <c r="L113" s="201"/>
      <c r="M113" s="201"/>
      <c r="N113" s="201"/>
      <c r="O113" s="201"/>
      <c r="P113" s="201"/>
      <c r="Q113" s="201"/>
      <c r="R113" s="201"/>
      <c r="S113" s="201"/>
      <c r="T113" s="201"/>
      <c r="U113" s="201"/>
      <c r="V113" s="201"/>
      <c r="W113" s="201"/>
      <c r="X113" s="201"/>
      <c r="Y113" s="201"/>
      <c r="Z113" s="201"/>
      <c r="AA113" s="201"/>
      <c r="AB113" s="201"/>
      <c r="AC113" s="201"/>
      <c r="AD113" s="201"/>
      <c r="AE113" s="201"/>
      <c r="AF113" s="201"/>
      <c r="AG113" s="201"/>
      <c r="AH113" s="201"/>
      <c r="AI113" s="201"/>
      <c r="AJ113" s="201"/>
      <c r="AK113" s="201"/>
      <c r="AL113" s="201"/>
      <c r="AM113" s="201"/>
      <c r="AN113" s="201"/>
      <c r="AO113" s="201"/>
      <c r="AP113" s="201"/>
      <c r="AQ113" s="201"/>
      <c r="AR113" s="201"/>
      <c r="AS113" s="201"/>
      <c r="AT113" s="201"/>
      <c r="AU113" s="201"/>
      <c r="AV113" s="201"/>
      <c r="AW113" s="201"/>
    </row>
    <row r="114" spans="1:49" s="134" customFormat="1" ht="13.8">
      <c r="A114" s="767" t="s">
        <v>1009</v>
      </c>
      <c r="B114" s="768"/>
      <c r="C114" s="768"/>
      <c r="D114" s="769"/>
      <c r="E114" s="430" t="s">
        <v>963</v>
      </c>
      <c r="F114" s="431">
        <v>43405</v>
      </c>
      <c r="G114" s="240" t="s">
        <v>1003</v>
      </c>
      <c r="H114" s="241" t="s">
        <v>64</v>
      </c>
      <c r="I114" s="766" t="s">
        <v>1004</v>
      </c>
      <c r="J114" s="766"/>
      <c r="K114" s="766"/>
      <c r="L114" s="201"/>
      <c r="M114" s="201"/>
      <c r="N114" s="201"/>
      <c r="O114" s="201"/>
      <c r="P114" s="201"/>
      <c r="Q114" s="201"/>
      <c r="R114" s="201"/>
      <c r="S114" s="201"/>
      <c r="T114" s="201"/>
      <c r="U114" s="201"/>
      <c r="V114" s="201"/>
      <c r="W114" s="201"/>
      <c r="X114" s="201"/>
      <c r="Y114" s="201"/>
      <c r="Z114" s="201"/>
      <c r="AA114" s="201"/>
      <c r="AB114" s="201"/>
      <c r="AC114" s="201"/>
      <c r="AD114" s="201"/>
      <c r="AE114" s="201"/>
      <c r="AF114" s="201"/>
      <c r="AG114" s="201"/>
      <c r="AH114" s="201"/>
      <c r="AI114" s="201"/>
      <c r="AJ114" s="201"/>
      <c r="AK114" s="201"/>
      <c r="AL114" s="201"/>
      <c r="AM114" s="201"/>
      <c r="AN114" s="201"/>
      <c r="AO114" s="201"/>
      <c r="AP114" s="201"/>
      <c r="AQ114" s="201"/>
      <c r="AR114" s="201"/>
      <c r="AS114" s="201"/>
      <c r="AT114" s="201"/>
      <c r="AU114" s="201"/>
      <c r="AV114" s="201"/>
      <c r="AW114" s="201"/>
    </row>
    <row r="115" spans="1:49" s="134" customFormat="1" ht="13.8">
      <c r="A115" s="767" t="s">
        <v>1010</v>
      </c>
      <c r="B115" s="768"/>
      <c r="C115" s="768"/>
      <c r="D115" s="769"/>
      <c r="E115" s="430" t="s">
        <v>962</v>
      </c>
      <c r="F115" s="431"/>
      <c r="G115" s="240" t="s">
        <v>1003</v>
      </c>
      <c r="H115" s="241" t="s">
        <v>97</v>
      </c>
      <c r="I115" s="766"/>
      <c r="J115" s="766"/>
      <c r="K115" s="766"/>
      <c r="L115" s="201"/>
      <c r="M115" s="201"/>
      <c r="N115" s="201"/>
      <c r="O115" s="201"/>
      <c r="P115" s="201"/>
      <c r="Q115" s="201"/>
      <c r="R115" s="201"/>
      <c r="S115" s="201"/>
      <c r="T115" s="201"/>
      <c r="U115" s="201"/>
      <c r="V115" s="201"/>
      <c r="W115" s="201"/>
      <c r="X115" s="201"/>
      <c r="Y115" s="201"/>
      <c r="Z115" s="201"/>
      <c r="AA115" s="201"/>
      <c r="AB115" s="201"/>
      <c r="AC115" s="201"/>
      <c r="AD115" s="201"/>
      <c r="AE115" s="201"/>
      <c r="AF115" s="201"/>
      <c r="AG115" s="201"/>
      <c r="AH115" s="201"/>
      <c r="AI115" s="201"/>
      <c r="AJ115" s="201"/>
      <c r="AK115" s="201"/>
      <c r="AL115" s="201"/>
      <c r="AM115" s="201"/>
      <c r="AN115" s="201"/>
      <c r="AO115" s="201"/>
      <c r="AP115" s="201"/>
      <c r="AQ115" s="201"/>
      <c r="AR115" s="201"/>
      <c r="AS115" s="201"/>
      <c r="AT115" s="201"/>
      <c r="AU115" s="201"/>
      <c r="AV115" s="201"/>
      <c r="AW115" s="201"/>
    </row>
    <row r="116" spans="1:49" s="134" customFormat="1" ht="13.8">
      <c r="A116" s="767" t="s">
        <v>1011</v>
      </c>
      <c r="B116" s="768"/>
      <c r="C116" s="768"/>
      <c r="D116" s="769"/>
      <c r="E116" s="430" t="s">
        <v>962</v>
      </c>
      <c r="F116" s="431"/>
      <c r="G116" s="240" t="s">
        <v>1003</v>
      </c>
      <c r="H116" s="241" t="s">
        <v>97</v>
      </c>
      <c r="I116" s="766"/>
      <c r="J116" s="766"/>
      <c r="K116" s="766"/>
      <c r="L116" s="201"/>
      <c r="M116" s="201"/>
      <c r="N116" s="201"/>
      <c r="O116" s="201"/>
      <c r="P116" s="201"/>
      <c r="Q116" s="201"/>
      <c r="R116" s="201"/>
      <c r="S116" s="201"/>
      <c r="T116" s="201"/>
      <c r="U116" s="201"/>
      <c r="V116" s="201"/>
      <c r="W116" s="201"/>
      <c r="X116" s="201"/>
      <c r="Y116" s="201"/>
      <c r="Z116" s="201"/>
      <c r="AA116" s="201"/>
      <c r="AB116" s="201"/>
      <c r="AC116" s="201"/>
      <c r="AD116" s="201"/>
      <c r="AE116" s="201"/>
      <c r="AF116" s="201"/>
      <c r="AG116" s="201"/>
      <c r="AH116" s="201"/>
      <c r="AI116" s="201"/>
      <c r="AJ116" s="201"/>
      <c r="AK116" s="201"/>
      <c r="AL116" s="201"/>
      <c r="AM116" s="201"/>
      <c r="AN116" s="201"/>
      <c r="AO116" s="201"/>
      <c r="AP116" s="201"/>
      <c r="AQ116" s="201"/>
      <c r="AR116" s="201"/>
      <c r="AS116" s="201"/>
      <c r="AT116" s="201"/>
      <c r="AU116" s="201"/>
      <c r="AV116" s="201"/>
      <c r="AW116" s="201"/>
    </row>
    <row r="117" spans="1:49" s="134" customFormat="1" ht="13.8">
      <c r="A117" s="767" t="s">
        <v>1014</v>
      </c>
      <c r="B117" s="768"/>
      <c r="C117" s="768"/>
      <c r="D117" s="769"/>
      <c r="E117" s="430" t="s">
        <v>962</v>
      </c>
      <c r="F117" s="431"/>
      <c r="G117" s="240" t="s">
        <v>1003</v>
      </c>
      <c r="H117" s="241" t="s">
        <v>64</v>
      </c>
      <c r="I117" s="766" t="s">
        <v>1004</v>
      </c>
      <c r="J117" s="766"/>
      <c r="K117" s="766"/>
      <c r="L117" s="201"/>
      <c r="M117" s="201"/>
      <c r="N117" s="201"/>
      <c r="O117" s="201"/>
      <c r="P117" s="201"/>
      <c r="Q117" s="201"/>
      <c r="R117" s="201"/>
      <c r="S117" s="201"/>
      <c r="T117" s="201"/>
      <c r="U117" s="201"/>
      <c r="V117" s="201"/>
      <c r="W117" s="201"/>
      <c r="X117" s="201"/>
      <c r="Y117" s="201"/>
      <c r="Z117" s="201"/>
      <c r="AA117" s="201"/>
      <c r="AB117" s="201"/>
      <c r="AC117" s="201"/>
      <c r="AD117" s="201"/>
      <c r="AE117" s="201"/>
      <c r="AF117" s="201"/>
      <c r="AG117" s="201"/>
      <c r="AH117" s="201"/>
      <c r="AI117" s="201"/>
      <c r="AJ117" s="201"/>
      <c r="AK117" s="201"/>
      <c r="AL117" s="201"/>
      <c r="AM117" s="201"/>
      <c r="AN117" s="201"/>
      <c r="AO117" s="201"/>
      <c r="AP117" s="201"/>
      <c r="AQ117" s="201"/>
      <c r="AR117" s="201"/>
      <c r="AS117" s="201"/>
      <c r="AT117" s="201"/>
      <c r="AU117" s="201"/>
      <c r="AV117" s="201"/>
      <c r="AW117" s="201"/>
    </row>
    <row r="118" spans="1:49" s="134" customFormat="1" ht="13.8">
      <c r="A118" s="767" t="s">
        <v>1015</v>
      </c>
      <c r="B118" s="768"/>
      <c r="C118" s="768"/>
      <c r="D118" s="769"/>
      <c r="E118" s="430" t="s">
        <v>962</v>
      </c>
      <c r="F118" s="431"/>
      <c r="G118" s="240" t="s">
        <v>1003</v>
      </c>
      <c r="H118" s="241" t="s">
        <v>64</v>
      </c>
      <c r="I118" s="766" t="s">
        <v>1004</v>
      </c>
      <c r="J118" s="766"/>
      <c r="K118" s="766"/>
      <c r="L118" s="201"/>
      <c r="M118" s="201"/>
      <c r="N118" s="201"/>
      <c r="O118" s="201"/>
      <c r="P118" s="201"/>
      <c r="Q118" s="201"/>
      <c r="R118" s="201"/>
      <c r="S118" s="201"/>
      <c r="T118" s="201"/>
      <c r="U118" s="201"/>
      <c r="V118" s="201"/>
      <c r="W118" s="201"/>
      <c r="X118" s="201"/>
      <c r="Y118" s="201"/>
      <c r="Z118" s="201"/>
      <c r="AA118" s="201"/>
      <c r="AB118" s="201"/>
      <c r="AC118" s="201"/>
      <c r="AD118" s="201"/>
      <c r="AE118" s="201"/>
      <c r="AF118" s="201"/>
      <c r="AG118" s="201"/>
      <c r="AH118" s="201"/>
      <c r="AI118" s="201"/>
      <c r="AJ118" s="201"/>
      <c r="AK118" s="201"/>
      <c r="AL118" s="201"/>
      <c r="AM118" s="201"/>
      <c r="AN118" s="201"/>
      <c r="AO118" s="201"/>
      <c r="AP118" s="201"/>
      <c r="AQ118" s="201"/>
      <c r="AR118" s="201"/>
      <c r="AS118" s="201"/>
      <c r="AT118" s="201"/>
      <c r="AU118" s="201"/>
      <c r="AV118" s="201"/>
      <c r="AW118" s="201"/>
    </row>
    <row r="119" spans="1:49" s="134" customFormat="1" ht="13.8">
      <c r="A119" s="767" t="s">
        <v>1016</v>
      </c>
      <c r="B119" s="768"/>
      <c r="C119" s="768"/>
      <c r="D119" s="769"/>
      <c r="E119" s="430" t="s">
        <v>962</v>
      </c>
      <c r="F119" s="431"/>
      <c r="G119" s="240" t="s">
        <v>1003</v>
      </c>
      <c r="H119" s="241" t="s">
        <v>64</v>
      </c>
      <c r="I119" s="766" t="s">
        <v>1004</v>
      </c>
      <c r="J119" s="766"/>
      <c r="K119" s="766"/>
      <c r="L119" s="201"/>
      <c r="M119" s="201"/>
      <c r="N119" s="201"/>
      <c r="O119" s="201"/>
      <c r="P119" s="201"/>
      <c r="Q119" s="201"/>
      <c r="R119" s="201"/>
      <c r="S119" s="201"/>
      <c r="T119" s="201"/>
      <c r="U119" s="201"/>
      <c r="V119" s="201"/>
      <c r="W119" s="201"/>
      <c r="X119" s="201"/>
      <c r="Y119" s="201"/>
      <c r="Z119" s="201"/>
      <c r="AA119" s="201"/>
      <c r="AB119" s="201"/>
      <c r="AC119" s="201"/>
      <c r="AD119" s="201"/>
      <c r="AE119" s="201"/>
      <c r="AF119" s="201"/>
      <c r="AG119" s="201"/>
      <c r="AH119" s="201"/>
      <c r="AI119" s="201"/>
      <c r="AJ119" s="201"/>
      <c r="AK119" s="201"/>
      <c r="AL119" s="201"/>
      <c r="AM119" s="201"/>
      <c r="AN119" s="201"/>
      <c r="AO119" s="201"/>
      <c r="AP119" s="201"/>
      <c r="AQ119" s="201"/>
      <c r="AR119" s="201"/>
      <c r="AS119" s="201"/>
      <c r="AT119" s="201"/>
      <c r="AU119" s="201"/>
      <c r="AV119" s="201"/>
      <c r="AW119" s="201"/>
    </row>
    <row r="120" spans="1:49" s="134" customFormat="1" ht="13.8">
      <c r="A120" s="767" t="s">
        <v>1017</v>
      </c>
      <c r="B120" s="768"/>
      <c r="C120" s="768"/>
      <c r="D120" s="769"/>
      <c r="E120" s="430" t="s">
        <v>965</v>
      </c>
      <c r="F120" s="431"/>
      <c r="G120" s="240" t="s">
        <v>1003</v>
      </c>
      <c r="H120" s="241" t="s">
        <v>64</v>
      </c>
      <c r="I120" s="766" t="s">
        <v>1004</v>
      </c>
      <c r="J120" s="766"/>
      <c r="K120" s="766"/>
      <c r="L120" s="201"/>
      <c r="M120" s="201"/>
      <c r="N120" s="201"/>
      <c r="O120" s="201"/>
      <c r="P120" s="201"/>
      <c r="Q120" s="201"/>
      <c r="R120" s="201"/>
      <c r="S120" s="201"/>
      <c r="T120" s="201"/>
      <c r="U120" s="201"/>
      <c r="V120" s="201"/>
      <c r="W120" s="201"/>
      <c r="X120" s="201"/>
      <c r="Y120" s="201"/>
      <c r="Z120" s="201"/>
      <c r="AA120" s="201"/>
      <c r="AB120" s="201"/>
      <c r="AC120" s="201"/>
      <c r="AD120" s="201"/>
      <c r="AE120" s="201"/>
      <c r="AF120" s="201"/>
      <c r="AG120" s="201"/>
      <c r="AH120" s="201"/>
      <c r="AI120" s="201"/>
      <c r="AJ120" s="201"/>
      <c r="AK120" s="201"/>
      <c r="AL120" s="201"/>
      <c r="AM120" s="201"/>
      <c r="AN120" s="201"/>
      <c r="AO120" s="201"/>
      <c r="AP120" s="201"/>
      <c r="AQ120" s="201"/>
      <c r="AR120" s="201"/>
      <c r="AS120" s="201"/>
      <c r="AT120" s="201"/>
      <c r="AU120" s="201"/>
      <c r="AV120" s="201"/>
      <c r="AW120" s="201"/>
    </row>
    <row r="121" spans="1:49" s="134" customFormat="1" ht="13.8">
      <c r="A121" s="767" t="s">
        <v>1012</v>
      </c>
      <c r="B121" s="768"/>
      <c r="C121" s="768"/>
      <c r="D121" s="769"/>
      <c r="E121" s="430" t="s">
        <v>964</v>
      </c>
      <c r="F121" s="431"/>
      <c r="G121" s="441" t="s">
        <v>1003</v>
      </c>
      <c r="H121" s="241" t="s">
        <v>64</v>
      </c>
      <c r="I121" s="766" t="s">
        <v>1004</v>
      </c>
      <c r="J121" s="766"/>
      <c r="K121" s="766"/>
      <c r="L121" s="201"/>
      <c r="M121" s="201"/>
      <c r="N121" s="201"/>
      <c r="O121" s="201"/>
      <c r="P121" s="201"/>
      <c r="Q121" s="201"/>
      <c r="R121" s="201"/>
      <c r="S121" s="201"/>
      <c r="T121" s="201"/>
      <c r="U121" s="201"/>
      <c r="V121" s="201"/>
      <c r="W121" s="201"/>
      <c r="X121" s="201"/>
      <c r="Y121" s="201"/>
      <c r="Z121" s="201"/>
      <c r="AA121" s="201"/>
      <c r="AB121" s="201"/>
      <c r="AC121" s="201"/>
      <c r="AD121" s="201"/>
      <c r="AE121" s="201"/>
      <c r="AF121" s="201"/>
      <c r="AG121" s="201"/>
      <c r="AH121" s="201"/>
      <c r="AI121" s="201"/>
      <c r="AJ121" s="201"/>
      <c r="AK121" s="201"/>
      <c r="AL121" s="201"/>
      <c r="AM121" s="201"/>
      <c r="AN121" s="201"/>
      <c r="AO121" s="201"/>
      <c r="AP121" s="201"/>
      <c r="AQ121" s="201"/>
      <c r="AR121" s="201"/>
      <c r="AS121" s="201"/>
      <c r="AT121" s="201"/>
      <c r="AU121" s="201"/>
      <c r="AV121" s="201"/>
      <c r="AW121" s="201"/>
    </row>
    <row r="122" spans="1:49" s="134" customFormat="1" ht="13.8">
      <c r="A122" s="767" t="s">
        <v>1013</v>
      </c>
      <c r="B122" s="768"/>
      <c r="C122" s="768"/>
      <c r="D122" s="769"/>
      <c r="E122" s="430" t="s">
        <v>966</v>
      </c>
      <c r="F122" s="431"/>
      <c r="G122" s="441" t="s">
        <v>1003</v>
      </c>
      <c r="H122" s="241" t="s">
        <v>64</v>
      </c>
      <c r="I122" s="766" t="s">
        <v>1004</v>
      </c>
      <c r="J122" s="766"/>
      <c r="K122" s="766"/>
      <c r="L122" s="201"/>
      <c r="M122" s="201"/>
      <c r="N122" s="201"/>
      <c r="O122" s="201"/>
      <c r="P122" s="201"/>
      <c r="Q122" s="201"/>
      <c r="R122" s="201"/>
      <c r="S122" s="201"/>
      <c r="T122" s="201"/>
      <c r="U122" s="201"/>
      <c r="V122" s="201"/>
      <c r="W122" s="201"/>
      <c r="X122" s="201"/>
      <c r="Y122" s="201"/>
      <c r="Z122" s="201"/>
      <c r="AA122" s="201"/>
      <c r="AB122" s="201"/>
      <c r="AC122" s="201"/>
      <c r="AD122" s="201"/>
      <c r="AE122" s="201"/>
      <c r="AF122" s="201"/>
      <c r="AG122" s="201"/>
      <c r="AH122" s="201"/>
      <c r="AI122" s="201"/>
      <c r="AJ122" s="201"/>
      <c r="AK122" s="201"/>
      <c r="AL122" s="201"/>
      <c r="AM122" s="201"/>
      <c r="AN122" s="201"/>
      <c r="AO122" s="201"/>
      <c r="AP122" s="201"/>
      <c r="AQ122" s="201"/>
      <c r="AR122" s="201"/>
      <c r="AS122" s="201"/>
      <c r="AT122" s="201"/>
      <c r="AU122" s="201"/>
      <c r="AV122" s="201"/>
      <c r="AW122" s="201"/>
    </row>
    <row r="123" spans="1:49" s="134" customFormat="1" ht="13.8">
      <c r="A123" s="767"/>
      <c r="B123" s="768"/>
      <c r="C123" s="768"/>
      <c r="D123" s="769"/>
      <c r="E123" s="430"/>
      <c r="F123" s="431"/>
      <c r="G123" s="240"/>
      <c r="H123" s="241"/>
      <c r="I123" s="766"/>
      <c r="J123" s="766"/>
      <c r="K123" s="766"/>
      <c r="L123" s="201"/>
      <c r="M123" s="201"/>
      <c r="N123" s="201"/>
      <c r="O123" s="201"/>
      <c r="P123" s="201"/>
      <c r="Q123" s="201"/>
      <c r="R123" s="201"/>
      <c r="S123" s="201"/>
      <c r="T123" s="201"/>
      <c r="U123" s="201"/>
      <c r="V123" s="201"/>
      <c r="W123" s="201"/>
      <c r="X123" s="201"/>
      <c r="Y123" s="201"/>
      <c r="Z123" s="201"/>
      <c r="AA123" s="201"/>
      <c r="AB123" s="201"/>
      <c r="AC123" s="201"/>
      <c r="AD123" s="201"/>
      <c r="AE123" s="201"/>
      <c r="AF123" s="201"/>
      <c r="AG123" s="201"/>
      <c r="AH123" s="201"/>
      <c r="AI123" s="201"/>
      <c r="AJ123" s="201"/>
      <c r="AK123" s="201"/>
      <c r="AL123" s="201"/>
      <c r="AM123" s="201"/>
      <c r="AN123" s="201"/>
      <c r="AO123" s="201"/>
      <c r="AP123" s="201"/>
      <c r="AQ123" s="201"/>
      <c r="AR123" s="201"/>
      <c r="AS123" s="201"/>
      <c r="AT123" s="201"/>
      <c r="AU123" s="201"/>
      <c r="AV123" s="201"/>
      <c r="AW123" s="201"/>
    </row>
    <row r="124" spans="1:49" s="134" customFormat="1" ht="13.8">
      <c r="A124" s="767"/>
      <c r="B124" s="768"/>
      <c r="C124" s="768"/>
      <c r="D124" s="769"/>
      <c r="E124" s="430"/>
      <c r="F124" s="431"/>
      <c r="G124" s="240"/>
      <c r="H124" s="241"/>
      <c r="I124" s="766"/>
      <c r="J124" s="766"/>
      <c r="K124" s="766"/>
      <c r="L124" s="201"/>
      <c r="M124" s="201"/>
      <c r="N124" s="201"/>
      <c r="O124" s="201"/>
      <c r="P124" s="201"/>
      <c r="Q124" s="201"/>
      <c r="R124" s="201"/>
      <c r="S124" s="201"/>
      <c r="T124" s="201"/>
      <c r="U124" s="201"/>
      <c r="V124" s="201"/>
      <c r="W124" s="201"/>
      <c r="X124" s="201"/>
      <c r="Y124" s="201"/>
      <c r="Z124" s="201"/>
      <c r="AA124" s="201"/>
      <c r="AB124" s="201"/>
      <c r="AC124" s="201"/>
      <c r="AD124" s="201"/>
      <c r="AE124" s="201"/>
      <c r="AF124" s="201"/>
      <c r="AG124" s="201"/>
      <c r="AH124" s="201"/>
      <c r="AI124" s="201"/>
      <c r="AJ124" s="201"/>
      <c r="AK124" s="201"/>
      <c r="AL124" s="201"/>
      <c r="AM124" s="201"/>
      <c r="AN124" s="201"/>
      <c r="AO124" s="201"/>
      <c r="AP124" s="201"/>
      <c r="AQ124" s="201"/>
      <c r="AR124" s="201"/>
      <c r="AS124" s="201"/>
      <c r="AT124" s="201"/>
      <c r="AU124" s="201"/>
      <c r="AV124" s="201"/>
      <c r="AW124" s="201"/>
    </row>
    <row r="125" spans="1:49" s="134" customFormat="1" ht="13.8">
      <c r="A125" s="767"/>
      <c r="B125" s="768"/>
      <c r="C125" s="768"/>
      <c r="D125" s="769"/>
      <c r="E125" s="430"/>
      <c r="F125" s="431"/>
      <c r="G125" s="240"/>
      <c r="H125" s="241"/>
      <c r="I125" s="766"/>
      <c r="J125" s="766"/>
      <c r="K125" s="766"/>
      <c r="L125" s="201"/>
      <c r="M125" s="201"/>
      <c r="N125" s="201"/>
      <c r="O125" s="201"/>
      <c r="P125" s="201"/>
      <c r="Q125" s="201"/>
      <c r="R125" s="201"/>
      <c r="S125" s="201"/>
      <c r="T125" s="201"/>
      <c r="U125" s="201"/>
      <c r="V125" s="201"/>
      <c r="W125" s="201"/>
      <c r="X125" s="201"/>
      <c r="Y125" s="201"/>
      <c r="Z125" s="201"/>
      <c r="AA125" s="201"/>
      <c r="AB125" s="201"/>
      <c r="AC125" s="201"/>
      <c r="AD125" s="201"/>
      <c r="AE125" s="201"/>
      <c r="AF125" s="201"/>
      <c r="AG125" s="201"/>
      <c r="AH125" s="201"/>
      <c r="AI125" s="201"/>
      <c r="AJ125" s="201"/>
      <c r="AK125" s="201"/>
      <c r="AL125" s="201"/>
      <c r="AM125" s="201"/>
      <c r="AN125" s="201"/>
      <c r="AO125" s="201"/>
      <c r="AP125" s="201"/>
      <c r="AQ125" s="201"/>
      <c r="AR125" s="201"/>
      <c r="AS125" s="201"/>
      <c r="AT125" s="201"/>
      <c r="AU125" s="201"/>
      <c r="AV125" s="201"/>
      <c r="AW125" s="201"/>
    </row>
    <row r="126" spans="1:49" s="134" customFormat="1" ht="13.8">
      <c r="A126" s="767"/>
      <c r="B126" s="768"/>
      <c r="C126" s="768"/>
      <c r="D126" s="769"/>
      <c r="E126" s="430"/>
      <c r="F126" s="431"/>
      <c r="G126" s="240"/>
      <c r="H126" s="241"/>
      <c r="I126" s="766"/>
      <c r="J126" s="766"/>
      <c r="K126" s="766"/>
      <c r="L126" s="201"/>
      <c r="M126" s="201"/>
      <c r="N126" s="201"/>
      <c r="O126" s="201"/>
      <c r="P126" s="201"/>
      <c r="Q126" s="201"/>
      <c r="R126" s="201"/>
      <c r="S126" s="201"/>
      <c r="T126" s="201"/>
      <c r="U126" s="201"/>
      <c r="V126" s="201"/>
      <c r="W126" s="201"/>
      <c r="X126" s="201"/>
      <c r="Y126" s="201"/>
      <c r="Z126" s="201"/>
      <c r="AA126" s="201"/>
      <c r="AB126" s="201"/>
      <c r="AC126" s="201"/>
      <c r="AD126" s="201"/>
      <c r="AE126" s="201"/>
      <c r="AF126" s="201"/>
      <c r="AG126" s="201"/>
      <c r="AH126" s="201"/>
      <c r="AI126" s="201"/>
      <c r="AJ126" s="201"/>
      <c r="AK126" s="201"/>
      <c r="AL126" s="201"/>
      <c r="AM126" s="201"/>
      <c r="AN126" s="201"/>
      <c r="AO126" s="201"/>
      <c r="AP126" s="201"/>
      <c r="AQ126" s="201"/>
      <c r="AR126" s="201"/>
      <c r="AS126" s="201"/>
      <c r="AT126" s="201"/>
      <c r="AU126" s="201"/>
      <c r="AV126" s="201"/>
      <c r="AW126" s="201"/>
    </row>
    <row r="127" spans="1:49" s="134" customFormat="1" ht="13.8">
      <c r="A127" s="767"/>
      <c r="B127" s="768"/>
      <c r="C127" s="768"/>
      <c r="D127" s="769"/>
      <c r="E127" s="430"/>
      <c r="F127" s="431"/>
      <c r="G127" s="240"/>
      <c r="H127" s="241"/>
      <c r="I127" s="766"/>
      <c r="J127" s="766"/>
      <c r="K127" s="766"/>
      <c r="L127" s="201"/>
      <c r="M127" s="201"/>
      <c r="N127" s="201"/>
      <c r="O127" s="201"/>
      <c r="P127" s="201"/>
      <c r="Q127" s="201"/>
      <c r="R127" s="201"/>
      <c r="S127" s="201"/>
      <c r="T127" s="201"/>
      <c r="U127" s="201"/>
      <c r="V127" s="201"/>
      <c r="W127" s="201"/>
      <c r="X127" s="201"/>
      <c r="Y127" s="201"/>
      <c r="Z127" s="201"/>
      <c r="AA127" s="201"/>
      <c r="AB127" s="201"/>
      <c r="AC127" s="201"/>
      <c r="AD127" s="201"/>
      <c r="AE127" s="201"/>
      <c r="AF127" s="201"/>
      <c r="AG127" s="201"/>
      <c r="AH127" s="201"/>
      <c r="AI127" s="201"/>
      <c r="AJ127" s="201"/>
      <c r="AK127" s="201"/>
      <c r="AL127" s="201"/>
      <c r="AM127" s="201"/>
      <c r="AN127" s="201"/>
      <c r="AO127" s="201"/>
      <c r="AP127" s="201"/>
      <c r="AQ127" s="201"/>
      <c r="AR127" s="201"/>
      <c r="AS127" s="201"/>
      <c r="AT127" s="201"/>
      <c r="AU127" s="201"/>
      <c r="AV127" s="201"/>
      <c r="AW127" s="201"/>
    </row>
    <row r="128" spans="1:49" s="134" customFormat="1" ht="13.8">
      <c r="A128" s="767"/>
      <c r="B128" s="768"/>
      <c r="C128" s="768"/>
      <c r="D128" s="769"/>
      <c r="E128" s="430"/>
      <c r="F128" s="431"/>
      <c r="G128" s="240"/>
      <c r="H128" s="241"/>
      <c r="I128" s="766"/>
      <c r="J128" s="766"/>
      <c r="K128" s="766"/>
      <c r="L128" s="201"/>
      <c r="M128" s="201"/>
      <c r="N128" s="201"/>
      <c r="O128" s="201"/>
      <c r="P128" s="201"/>
      <c r="Q128" s="201"/>
      <c r="R128" s="201"/>
      <c r="S128" s="201"/>
      <c r="T128" s="201"/>
      <c r="U128" s="201"/>
      <c r="V128" s="201"/>
      <c r="W128" s="201"/>
      <c r="X128" s="201"/>
      <c r="Y128" s="201"/>
      <c r="Z128" s="201"/>
      <c r="AA128" s="201"/>
      <c r="AB128" s="201"/>
      <c r="AC128" s="201"/>
      <c r="AD128" s="201"/>
      <c r="AE128" s="201"/>
      <c r="AF128" s="201"/>
      <c r="AG128" s="201"/>
      <c r="AH128" s="201"/>
      <c r="AI128" s="201"/>
      <c r="AJ128" s="201"/>
      <c r="AK128" s="201"/>
      <c r="AL128" s="201"/>
      <c r="AM128" s="201"/>
      <c r="AN128" s="201"/>
      <c r="AO128" s="201"/>
      <c r="AP128" s="201"/>
      <c r="AQ128" s="201"/>
      <c r="AR128" s="201"/>
      <c r="AS128" s="201"/>
      <c r="AT128" s="201"/>
      <c r="AU128" s="201"/>
      <c r="AV128" s="201"/>
      <c r="AW128" s="201"/>
    </row>
    <row r="129" spans="1:49" s="134" customFormat="1" ht="13.8">
      <c r="A129" s="767"/>
      <c r="B129" s="768"/>
      <c r="C129" s="768"/>
      <c r="D129" s="769"/>
      <c r="E129" s="430"/>
      <c r="F129" s="431"/>
      <c r="G129" s="240"/>
      <c r="H129" s="241"/>
      <c r="I129" s="766"/>
      <c r="J129" s="766"/>
      <c r="K129" s="766"/>
      <c r="L129" s="201"/>
      <c r="M129" s="201"/>
      <c r="N129" s="201"/>
      <c r="O129" s="201"/>
      <c r="P129" s="201"/>
      <c r="Q129" s="201"/>
      <c r="R129" s="201"/>
      <c r="S129" s="201"/>
      <c r="T129" s="201"/>
      <c r="U129" s="201"/>
      <c r="V129" s="201"/>
      <c r="W129" s="201"/>
      <c r="X129" s="201"/>
      <c r="Y129" s="201"/>
      <c r="Z129" s="201"/>
      <c r="AA129" s="201"/>
      <c r="AB129" s="201"/>
      <c r="AC129" s="201"/>
      <c r="AD129" s="201"/>
      <c r="AE129" s="201"/>
      <c r="AF129" s="201"/>
      <c r="AG129" s="201"/>
      <c r="AH129" s="201"/>
      <c r="AI129" s="201"/>
      <c r="AJ129" s="201"/>
      <c r="AK129" s="201"/>
      <c r="AL129" s="201"/>
      <c r="AM129" s="201"/>
      <c r="AN129" s="201"/>
      <c r="AO129" s="201"/>
      <c r="AP129" s="201"/>
      <c r="AQ129" s="201"/>
      <c r="AR129" s="201"/>
      <c r="AS129" s="201"/>
      <c r="AT129" s="201"/>
      <c r="AU129" s="201"/>
      <c r="AV129" s="201"/>
      <c r="AW129" s="201"/>
    </row>
    <row r="130" spans="1:49" s="134" customFormat="1" ht="13.8">
      <c r="A130" s="767"/>
      <c r="B130" s="768"/>
      <c r="C130" s="768"/>
      <c r="D130" s="769"/>
      <c r="E130" s="430"/>
      <c r="F130" s="431"/>
      <c r="G130" s="240"/>
      <c r="H130" s="241"/>
      <c r="I130" s="766"/>
      <c r="J130" s="766"/>
      <c r="K130" s="766"/>
      <c r="L130" s="201"/>
      <c r="M130" s="201"/>
      <c r="N130" s="201"/>
      <c r="O130" s="201"/>
      <c r="P130" s="201"/>
      <c r="Q130" s="201"/>
      <c r="R130" s="201"/>
      <c r="S130" s="201"/>
      <c r="T130" s="201"/>
      <c r="U130" s="201"/>
      <c r="V130" s="201"/>
      <c r="W130" s="201"/>
      <c r="X130" s="201"/>
      <c r="Y130" s="201"/>
      <c r="Z130" s="201"/>
      <c r="AA130" s="201"/>
      <c r="AB130" s="201"/>
      <c r="AC130" s="201"/>
      <c r="AD130" s="201"/>
      <c r="AE130" s="201"/>
      <c r="AF130" s="201"/>
      <c r="AG130" s="201"/>
      <c r="AH130" s="201"/>
      <c r="AI130" s="201"/>
      <c r="AJ130" s="201"/>
      <c r="AK130" s="201"/>
      <c r="AL130" s="201"/>
      <c r="AM130" s="201"/>
      <c r="AN130" s="201"/>
      <c r="AO130" s="201"/>
      <c r="AP130" s="201"/>
      <c r="AQ130" s="201"/>
      <c r="AR130" s="201"/>
      <c r="AS130" s="201"/>
      <c r="AT130" s="201"/>
      <c r="AU130" s="201"/>
      <c r="AV130" s="201"/>
      <c r="AW130" s="201"/>
    </row>
    <row r="131" spans="1:49" s="134" customFormat="1" ht="13.8">
      <c r="A131" s="767"/>
      <c r="B131" s="768"/>
      <c r="C131" s="768"/>
      <c r="D131" s="769"/>
      <c r="E131" s="430"/>
      <c r="F131" s="431"/>
      <c r="G131" s="240"/>
      <c r="H131" s="241"/>
      <c r="I131" s="766"/>
      <c r="J131" s="766"/>
      <c r="K131" s="766"/>
      <c r="L131" s="201"/>
      <c r="M131" s="201"/>
      <c r="N131" s="201"/>
      <c r="O131" s="201"/>
      <c r="P131" s="201"/>
      <c r="Q131" s="201"/>
      <c r="R131" s="201"/>
      <c r="S131" s="201"/>
      <c r="T131" s="201"/>
      <c r="U131" s="201"/>
      <c r="V131" s="201"/>
      <c r="W131" s="201"/>
      <c r="X131" s="201"/>
      <c r="Y131" s="201"/>
      <c r="Z131" s="201"/>
      <c r="AA131" s="201"/>
      <c r="AB131" s="201"/>
      <c r="AC131" s="201"/>
      <c r="AD131" s="201"/>
      <c r="AE131" s="201"/>
      <c r="AF131" s="201"/>
      <c r="AG131" s="201"/>
      <c r="AH131" s="201"/>
      <c r="AI131" s="201"/>
      <c r="AJ131" s="201"/>
      <c r="AK131" s="201"/>
      <c r="AL131" s="201"/>
      <c r="AM131" s="201"/>
      <c r="AN131" s="201"/>
      <c r="AO131" s="201"/>
      <c r="AP131" s="201"/>
      <c r="AQ131" s="201"/>
      <c r="AR131" s="201"/>
      <c r="AS131" s="201"/>
      <c r="AT131" s="201"/>
      <c r="AU131" s="201"/>
      <c r="AV131" s="201"/>
      <c r="AW131" s="201"/>
    </row>
    <row r="132" spans="1:49" s="134" customFormat="1" ht="13.8">
      <c r="A132" s="767"/>
      <c r="B132" s="768"/>
      <c r="C132" s="768"/>
      <c r="D132" s="769"/>
      <c r="E132" s="430"/>
      <c r="F132" s="431"/>
      <c r="G132" s="240"/>
      <c r="H132" s="241"/>
      <c r="I132" s="766"/>
      <c r="J132" s="766"/>
      <c r="K132" s="766"/>
      <c r="L132" s="201"/>
      <c r="M132" s="201"/>
      <c r="N132" s="201"/>
      <c r="O132" s="201"/>
      <c r="P132" s="201"/>
      <c r="Q132" s="201"/>
      <c r="R132" s="201"/>
      <c r="S132" s="201"/>
      <c r="T132" s="201"/>
      <c r="U132" s="201"/>
      <c r="V132" s="201"/>
      <c r="W132" s="201"/>
      <c r="X132" s="201"/>
      <c r="Y132" s="201"/>
      <c r="Z132" s="201"/>
      <c r="AA132" s="201"/>
      <c r="AB132" s="201"/>
      <c r="AC132" s="201"/>
      <c r="AD132" s="201"/>
      <c r="AE132" s="201"/>
      <c r="AF132" s="201"/>
      <c r="AG132" s="201"/>
      <c r="AH132" s="201"/>
      <c r="AI132" s="201"/>
      <c r="AJ132" s="201"/>
      <c r="AK132" s="201"/>
      <c r="AL132" s="201"/>
      <c r="AM132" s="201"/>
      <c r="AN132" s="201"/>
      <c r="AO132" s="201"/>
      <c r="AP132" s="201"/>
      <c r="AQ132" s="201"/>
      <c r="AR132" s="201"/>
      <c r="AS132" s="201"/>
      <c r="AT132" s="201"/>
      <c r="AU132" s="201"/>
      <c r="AV132" s="201"/>
      <c r="AW132" s="201"/>
    </row>
    <row r="133" spans="1:49" s="134" customFormat="1" ht="13.8">
      <c r="A133" s="767"/>
      <c r="B133" s="768"/>
      <c r="C133" s="768"/>
      <c r="D133" s="769"/>
      <c r="E133" s="430"/>
      <c r="F133" s="431"/>
      <c r="G133" s="240"/>
      <c r="H133" s="241"/>
      <c r="I133" s="766"/>
      <c r="J133" s="766"/>
      <c r="K133" s="766"/>
      <c r="L133" s="201"/>
      <c r="M133" s="201"/>
      <c r="N133" s="201"/>
      <c r="O133" s="201"/>
      <c r="P133" s="201"/>
      <c r="Q133" s="201"/>
      <c r="R133" s="201"/>
      <c r="S133" s="201"/>
      <c r="T133" s="201"/>
      <c r="U133" s="201"/>
      <c r="V133" s="201"/>
      <c r="W133" s="201"/>
      <c r="X133" s="201"/>
      <c r="Y133" s="201"/>
      <c r="Z133" s="201"/>
      <c r="AA133" s="201"/>
      <c r="AB133" s="201"/>
      <c r="AC133" s="201"/>
      <c r="AD133" s="201"/>
      <c r="AE133" s="201"/>
      <c r="AF133" s="201"/>
      <c r="AG133" s="201"/>
      <c r="AH133" s="201"/>
      <c r="AI133" s="201"/>
      <c r="AJ133" s="201"/>
      <c r="AK133" s="201"/>
      <c r="AL133" s="201"/>
      <c r="AM133" s="201"/>
      <c r="AN133" s="201"/>
      <c r="AO133" s="201"/>
      <c r="AP133" s="201"/>
      <c r="AQ133" s="201"/>
      <c r="AR133" s="201"/>
      <c r="AS133" s="201"/>
      <c r="AT133" s="201"/>
      <c r="AU133" s="201"/>
      <c r="AV133" s="201"/>
      <c r="AW133" s="201"/>
    </row>
    <row r="134" spans="1:49" s="134" customFormat="1" ht="13.8">
      <c r="A134" s="767"/>
      <c r="B134" s="768"/>
      <c r="C134" s="768"/>
      <c r="D134" s="769"/>
      <c r="E134" s="430"/>
      <c r="F134" s="431"/>
      <c r="G134" s="240"/>
      <c r="H134" s="241"/>
      <c r="I134" s="766"/>
      <c r="J134" s="766"/>
      <c r="K134" s="766"/>
      <c r="L134" s="201"/>
      <c r="M134" s="201"/>
      <c r="N134" s="201"/>
      <c r="O134" s="201"/>
      <c r="P134" s="201"/>
      <c r="Q134" s="201"/>
      <c r="R134" s="201"/>
      <c r="S134" s="201"/>
      <c r="T134" s="201"/>
      <c r="U134" s="201"/>
      <c r="V134" s="201"/>
      <c r="W134" s="201"/>
      <c r="X134" s="201"/>
      <c r="Y134" s="201"/>
      <c r="Z134" s="201"/>
      <c r="AA134" s="201"/>
      <c r="AB134" s="201"/>
      <c r="AC134" s="201"/>
      <c r="AD134" s="201"/>
      <c r="AE134" s="201"/>
      <c r="AF134" s="201"/>
      <c r="AG134" s="201"/>
      <c r="AH134" s="201"/>
      <c r="AI134" s="201"/>
      <c r="AJ134" s="201"/>
      <c r="AK134" s="201"/>
      <c r="AL134" s="201"/>
      <c r="AM134" s="201"/>
      <c r="AN134" s="201"/>
      <c r="AO134" s="201"/>
      <c r="AP134" s="201"/>
      <c r="AQ134" s="201"/>
      <c r="AR134" s="201"/>
      <c r="AS134" s="201"/>
      <c r="AT134" s="201"/>
      <c r="AU134" s="201"/>
      <c r="AV134" s="201"/>
      <c r="AW134" s="201"/>
    </row>
    <row r="135" spans="1:49" s="134" customFormat="1" ht="13.8">
      <c r="A135" s="767"/>
      <c r="B135" s="768"/>
      <c r="C135" s="768"/>
      <c r="D135" s="769"/>
      <c r="E135" s="430"/>
      <c r="F135" s="431"/>
      <c r="G135" s="240"/>
      <c r="H135" s="241"/>
      <c r="I135" s="766"/>
      <c r="J135" s="766"/>
      <c r="K135" s="766"/>
      <c r="L135" s="201"/>
      <c r="M135" s="201"/>
      <c r="N135" s="201"/>
      <c r="O135" s="201"/>
      <c r="P135" s="201"/>
      <c r="Q135" s="201"/>
      <c r="R135" s="201"/>
      <c r="S135" s="201"/>
      <c r="T135" s="201"/>
      <c r="U135" s="201"/>
      <c r="V135" s="201"/>
      <c r="W135" s="201"/>
      <c r="X135" s="201"/>
      <c r="Y135" s="201"/>
      <c r="Z135" s="201"/>
      <c r="AA135" s="201"/>
      <c r="AB135" s="201"/>
      <c r="AC135" s="201"/>
      <c r="AD135" s="201"/>
      <c r="AE135" s="201"/>
      <c r="AF135" s="201"/>
      <c r="AG135" s="201"/>
      <c r="AH135" s="201"/>
      <c r="AI135" s="201"/>
      <c r="AJ135" s="201"/>
      <c r="AK135" s="201"/>
      <c r="AL135" s="201"/>
      <c r="AM135" s="201"/>
      <c r="AN135" s="201"/>
      <c r="AO135" s="201"/>
      <c r="AP135" s="201"/>
      <c r="AQ135" s="201"/>
      <c r="AR135" s="201"/>
      <c r="AS135" s="201"/>
      <c r="AT135" s="201"/>
      <c r="AU135" s="201"/>
      <c r="AV135" s="201"/>
      <c r="AW135" s="201"/>
    </row>
    <row r="136" spans="1:49" s="134" customFormat="1" ht="13.8">
      <c r="A136" s="767"/>
      <c r="B136" s="768"/>
      <c r="C136" s="768"/>
      <c r="D136" s="769"/>
      <c r="E136" s="430"/>
      <c r="F136" s="431"/>
      <c r="G136" s="240"/>
      <c r="H136" s="241"/>
      <c r="I136" s="766"/>
      <c r="J136" s="766"/>
      <c r="K136" s="766"/>
      <c r="L136" s="201"/>
      <c r="M136" s="201"/>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201"/>
      <c r="AN136" s="201"/>
      <c r="AO136" s="201"/>
      <c r="AP136" s="201"/>
      <c r="AQ136" s="201"/>
      <c r="AR136" s="201"/>
      <c r="AS136" s="201"/>
      <c r="AT136" s="201"/>
      <c r="AU136" s="201"/>
      <c r="AV136" s="201"/>
      <c r="AW136" s="201"/>
    </row>
    <row r="137" spans="1:49" s="134" customFormat="1" ht="13.8" hidden="1">
      <c r="A137" s="676"/>
      <c r="B137" s="676"/>
      <c r="C137" s="163"/>
      <c r="D137" s="470"/>
      <c r="E137" s="470"/>
      <c r="F137" s="129"/>
      <c r="G137" s="470"/>
      <c r="H137" s="470"/>
      <c r="I137" s="470"/>
      <c r="J137" s="470"/>
      <c r="K137" s="470"/>
      <c r="L137" s="201"/>
      <c r="M137" s="201"/>
      <c r="N137" s="201"/>
      <c r="O137" s="201"/>
      <c r="P137" s="201"/>
      <c r="Q137" s="201"/>
      <c r="R137" s="201"/>
      <c r="S137" s="201"/>
      <c r="T137" s="201"/>
      <c r="U137" s="201"/>
      <c r="V137" s="201"/>
      <c r="W137" s="201"/>
      <c r="X137" s="201"/>
      <c r="Y137" s="201"/>
      <c r="Z137" s="201"/>
      <c r="AA137" s="201"/>
      <c r="AB137" s="201"/>
      <c r="AC137" s="201"/>
      <c r="AD137" s="201"/>
      <c r="AE137" s="201"/>
      <c r="AF137" s="201"/>
      <c r="AG137" s="201"/>
      <c r="AH137" s="201"/>
      <c r="AI137" s="201"/>
      <c r="AJ137" s="201"/>
      <c r="AK137" s="201"/>
      <c r="AL137" s="201"/>
      <c r="AM137" s="201"/>
      <c r="AN137" s="201"/>
      <c r="AO137" s="201"/>
      <c r="AP137" s="201"/>
      <c r="AQ137" s="201"/>
      <c r="AR137" s="201"/>
      <c r="AS137" s="201"/>
      <c r="AT137" s="201"/>
      <c r="AU137" s="201"/>
      <c r="AV137" s="201"/>
      <c r="AW137" s="201"/>
    </row>
    <row r="138" spans="1:49" s="134" customFormat="1" ht="13.8" hidden="1">
      <c r="A138" s="676"/>
      <c r="B138" s="676"/>
      <c r="C138" s="163"/>
      <c r="D138" s="470"/>
      <c r="E138" s="470"/>
      <c r="F138" s="129"/>
      <c r="G138" s="470"/>
      <c r="H138" s="470"/>
      <c r="I138" s="470"/>
      <c r="J138" s="470"/>
      <c r="K138" s="470"/>
      <c r="L138" s="201"/>
      <c r="M138" s="201"/>
      <c r="N138" s="201"/>
      <c r="O138" s="201"/>
      <c r="P138" s="201"/>
      <c r="Q138" s="201"/>
      <c r="R138" s="201"/>
      <c r="S138" s="201"/>
      <c r="T138" s="201"/>
      <c r="U138" s="201"/>
      <c r="V138" s="201"/>
      <c r="W138" s="201"/>
      <c r="X138" s="201"/>
      <c r="Y138" s="201"/>
      <c r="Z138" s="201"/>
      <c r="AA138" s="201"/>
      <c r="AB138" s="201"/>
      <c r="AC138" s="201"/>
      <c r="AD138" s="201"/>
      <c r="AE138" s="201"/>
      <c r="AF138" s="201"/>
      <c r="AG138" s="201"/>
      <c r="AH138" s="201"/>
      <c r="AI138" s="201"/>
      <c r="AJ138" s="201"/>
      <c r="AK138" s="201"/>
      <c r="AL138" s="201"/>
      <c r="AM138" s="201"/>
      <c r="AN138" s="201"/>
      <c r="AO138" s="201"/>
      <c r="AP138" s="201"/>
      <c r="AQ138" s="201"/>
      <c r="AR138" s="201"/>
      <c r="AS138" s="201"/>
      <c r="AT138" s="201"/>
      <c r="AU138" s="201"/>
      <c r="AV138" s="201"/>
      <c r="AW138" s="201"/>
    </row>
    <row r="139" spans="1:49" s="134" customFormat="1" ht="13.8" hidden="1">
      <c r="A139" s="676"/>
      <c r="B139" s="676"/>
      <c r="C139" s="163"/>
      <c r="D139" s="470"/>
      <c r="E139" s="470"/>
      <c r="F139" s="129"/>
      <c r="G139" s="470"/>
      <c r="H139" s="470"/>
      <c r="I139" s="470"/>
      <c r="J139" s="470"/>
      <c r="K139" s="470"/>
      <c r="L139" s="201"/>
      <c r="M139" s="201"/>
      <c r="N139" s="201"/>
      <c r="O139" s="201"/>
      <c r="P139" s="201"/>
      <c r="Q139" s="201"/>
      <c r="R139" s="201"/>
      <c r="S139" s="201"/>
      <c r="T139" s="201"/>
      <c r="U139" s="201"/>
      <c r="V139" s="201"/>
      <c r="W139" s="201"/>
      <c r="X139" s="201"/>
      <c r="Y139" s="201"/>
      <c r="Z139" s="201"/>
      <c r="AA139" s="201"/>
      <c r="AB139" s="201"/>
      <c r="AC139" s="201"/>
      <c r="AD139" s="201"/>
      <c r="AE139" s="201"/>
      <c r="AF139" s="201"/>
      <c r="AG139" s="201"/>
      <c r="AH139" s="201"/>
      <c r="AI139" s="201"/>
      <c r="AJ139" s="201"/>
      <c r="AK139" s="201"/>
      <c r="AL139" s="201"/>
      <c r="AM139" s="201"/>
      <c r="AN139" s="201"/>
      <c r="AO139" s="201"/>
      <c r="AP139" s="201"/>
      <c r="AQ139" s="201"/>
      <c r="AR139" s="201"/>
      <c r="AS139" s="201"/>
      <c r="AT139" s="201"/>
      <c r="AU139" s="201"/>
      <c r="AV139" s="201"/>
      <c r="AW139" s="201"/>
    </row>
    <row r="140" spans="1:49" s="134" customFormat="1" ht="13.8" hidden="1">
      <c r="A140" s="676"/>
      <c r="B140" s="676"/>
      <c r="C140" s="163"/>
      <c r="D140" s="470"/>
      <c r="E140" s="470"/>
      <c r="F140" s="129"/>
      <c r="G140" s="470"/>
      <c r="H140" s="470"/>
      <c r="I140" s="470"/>
      <c r="J140" s="470"/>
      <c r="K140" s="470"/>
      <c r="L140" s="201"/>
      <c r="M140" s="201"/>
      <c r="N140" s="201"/>
      <c r="O140" s="201"/>
      <c r="P140" s="201"/>
      <c r="Q140" s="201"/>
      <c r="R140" s="201"/>
      <c r="S140" s="201"/>
      <c r="T140" s="201"/>
      <c r="U140" s="201"/>
      <c r="V140" s="201"/>
      <c r="W140" s="201"/>
      <c r="X140" s="201"/>
      <c r="Y140" s="201"/>
      <c r="Z140" s="201"/>
      <c r="AA140" s="201"/>
      <c r="AB140" s="201"/>
      <c r="AC140" s="201"/>
      <c r="AD140" s="201"/>
      <c r="AE140" s="201"/>
      <c r="AF140" s="201"/>
      <c r="AG140" s="201"/>
      <c r="AH140" s="201"/>
      <c r="AI140" s="201"/>
      <c r="AJ140" s="201"/>
      <c r="AK140" s="201"/>
      <c r="AL140" s="201"/>
      <c r="AM140" s="201"/>
      <c r="AN140" s="201"/>
      <c r="AO140" s="201"/>
      <c r="AP140" s="201"/>
      <c r="AQ140" s="201"/>
      <c r="AR140" s="201"/>
      <c r="AS140" s="201"/>
      <c r="AT140" s="201"/>
      <c r="AU140" s="201"/>
      <c r="AV140" s="201"/>
      <c r="AW140" s="201"/>
    </row>
    <row r="141" spans="1:49" s="134" customFormat="1" ht="13.8" hidden="1">
      <c r="A141" s="676"/>
      <c r="B141" s="676"/>
      <c r="C141" s="163"/>
      <c r="D141" s="470"/>
      <c r="E141" s="470"/>
      <c r="F141" s="129"/>
      <c r="G141" s="470"/>
      <c r="H141" s="470"/>
      <c r="I141" s="470"/>
      <c r="J141" s="470"/>
      <c r="K141" s="470"/>
      <c r="L141" s="201"/>
      <c r="M141" s="201"/>
      <c r="N141" s="201"/>
      <c r="O141" s="201"/>
      <c r="P141" s="201"/>
      <c r="Q141" s="201"/>
      <c r="R141" s="201"/>
      <c r="S141" s="201"/>
      <c r="T141" s="201"/>
      <c r="U141" s="201"/>
      <c r="V141" s="201"/>
      <c r="W141" s="201"/>
      <c r="X141" s="201"/>
      <c r="Y141" s="201"/>
      <c r="Z141" s="201"/>
      <c r="AA141" s="201"/>
      <c r="AB141" s="201"/>
      <c r="AC141" s="201"/>
      <c r="AD141" s="201"/>
      <c r="AE141" s="201"/>
      <c r="AF141" s="201"/>
      <c r="AG141" s="201"/>
      <c r="AH141" s="201"/>
      <c r="AI141" s="201"/>
      <c r="AJ141" s="201"/>
      <c r="AK141" s="201"/>
      <c r="AL141" s="201"/>
      <c r="AM141" s="201"/>
      <c r="AN141" s="201"/>
      <c r="AO141" s="201"/>
      <c r="AP141" s="201"/>
      <c r="AQ141" s="201"/>
      <c r="AR141" s="201"/>
      <c r="AS141" s="201"/>
      <c r="AT141" s="201"/>
      <c r="AU141" s="201"/>
      <c r="AV141" s="201"/>
      <c r="AW141" s="201"/>
    </row>
    <row r="142" spans="1:49" s="134" customFormat="1" ht="13.8" hidden="1">
      <c r="A142" s="676"/>
      <c r="B142" s="676"/>
      <c r="C142" s="163"/>
      <c r="D142" s="470"/>
      <c r="E142" s="470"/>
      <c r="F142" s="129"/>
      <c r="G142" s="470"/>
      <c r="H142" s="470"/>
      <c r="I142" s="470"/>
      <c r="J142" s="470"/>
      <c r="K142" s="470"/>
      <c r="L142" s="201"/>
      <c r="M142" s="201"/>
      <c r="N142" s="201"/>
      <c r="O142" s="201"/>
      <c r="P142" s="201"/>
      <c r="Q142" s="201"/>
      <c r="R142" s="201"/>
      <c r="S142" s="201"/>
      <c r="T142" s="201"/>
      <c r="U142" s="201"/>
      <c r="V142" s="201"/>
      <c r="W142" s="201"/>
      <c r="X142" s="201"/>
      <c r="Y142" s="201"/>
      <c r="Z142" s="201"/>
      <c r="AA142" s="201"/>
      <c r="AB142" s="201"/>
      <c r="AC142" s="201"/>
      <c r="AD142" s="201"/>
      <c r="AE142" s="201"/>
      <c r="AF142" s="201"/>
      <c r="AG142" s="201"/>
      <c r="AH142" s="201"/>
      <c r="AI142" s="201"/>
      <c r="AJ142" s="201"/>
      <c r="AK142" s="201"/>
      <c r="AL142" s="201"/>
      <c r="AM142" s="201"/>
      <c r="AN142" s="201"/>
      <c r="AO142" s="201"/>
      <c r="AP142" s="201"/>
      <c r="AQ142" s="201"/>
      <c r="AR142" s="201"/>
      <c r="AS142" s="201"/>
      <c r="AT142" s="201"/>
      <c r="AU142" s="201"/>
      <c r="AV142" s="201"/>
      <c r="AW142" s="201"/>
    </row>
    <row r="143" spans="1:49" s="134" customFormat="1" ht="13.8" hidden="1">
      <c r="A143" s="676"/>
      <c r="B143" s="676"/>
      <c r="C143" s="163"/>
      <c r="D143" s="470"/>
      <c r="E143" s="470"/>
      <c r="F143" s="129"/>
      <c r="G143" s="470"/>
      <c r="H143" s="470"/>
      <c r="I143" s="470"/>
      <c r="J143" s="470"/>
      <c r="K143" s="470"/>
      <c r="L143" s="201"/>
      <c r="M143" s="201"/>
      <c r="N143" s="201"/>
      <c r="O143" s="201"/>
      <c r="P143" s="201"/>
      <c r="Q143" s="201"/>
      <c r="R143" s="201"/>
      <c r="S143" s="201"/>
      <c r="T143" s="201"/>
      <c r="U143" s="201"/>
      <c r="V143" s="201"/>
      <c r="W143" s="201"/>
      <c r="X143" s="201"/>
      <c r="Y143" s="201"/>
      <c r="Z143" s="201"/>
      <c r="AA143" s="201"/>
      <c r="AB143" s="201"/>
      <c r="AC143" s="201"/>
      <c r="AD143" s="201"/>
      <c r="AE143" s="201"/>
      <c r="AF143" s="201"/>
      <c r="AG143" s="201"/>
      <c r="AH143" s="201"/>
      <c r="AI143" s="201"/>
      <c r="AJ143" s="201"/>
      <c r="AK143" s="201"/>
      <c r="AL143" s="201"/>
      <c r="AM143" s="201"/>
      <c r="AN143" s="201"/>
      <c r="AO143" s="201"/>
      <c r="AP143" s="201"/>
      <c r="AQ143" s="201"/>
      <c r="AR143" s="201"/>
      <c r="AS143" s="201"/>
      <c r="AT143" s="201"/>
      <c r="AU143" s="201"/>
      <c r="AV143" s="201"/>
      <c r="AW143" s="201"/>
    </row>
    <row r="144" spans="1:49" s="134" customFormat="1" ht="13.8" hidden="1">
      <c r="A144" s="676"/>
      <c r="B144" s="676"/>
      <c r="C144" s="163"/>
      <c r="D144" s="470"/>
      <c r="E144" s="470"/>
      <c r="F144" s="129"/>
      <c r="G144" s="470"/>
      <c r="H144" s="470"/>
      <c r="I144" s="470"/>
      <c r="J144" s="470"/>
      <c r="K144" s="470"/>
      <c r="L144" s="201"/>
      <c r="M144" s="201"/>
      <c r="N144" s="201"/>
      <c r="O144" s="201"/>
      <c r="P144" s="201"/>
      <c r="Q144" s="201"/>
      <c r="R144" s="201"/>
      <c r="S144" s="201"/>
      <c r="T144" s="201"/>
      <c r="U144" s="201"/>
      <c r="V144" s="201"/>
      <c r="W144" s="201"/>
      <c r="X144" s="201"/>
      <c r="Y144" s="201"/>
      <c r="Z144" s="201"/>
      <c r="AA144" s="201"/>
      <c r="AB144" s="201"/>
      <c r="AC144" s="201"/>
      <c r="AD144" s="201"/>
      <c r="AE144" s="201"/>
      <c r="AF144" s="201"/>
      <c r="AG144" s="201"/>
      <c r="AH144" s="201"/>
      <c r="AI144" s="201"/>
      <c r="AJ144" s="201"/>
      <c r="AK144" s="201"/>
      <c r="AL144" s="201"/>
      <c r="AM144" s="201"/>
      <c r="AN144" s="201"/>
      <c r="AO144" s="201"/>
      <c r="AP144" s="201"/>
      <c r="AQ144" s="201"/>
      <c r="AR144" s="201"/>
      <c r="AS144" s="201"/>
      <c r="AT144" s="201"/>
      <c r="AU144" s="201"/>
      <c r="AV144" s="201"/>
      <c r="AW144" s="201"/>
    </row>
    <row r="145" spans="1:49" s="134" customFormat="1" ht="13.8" hidden="1">
      <c r="A145" s="676"/>
      <c r="B145" s="676"/>
      <c r="C145" s="163"/>
      <c r="D145" s="470"/>
      <c r="E145" s="470"/>
      <c r="F145" s="129"/>
      <c r="G145" s="470"/>
      <c r="H145" s="470"/>
      <c r="I145" s="470"/>
      <c r="J145" s="470"/>
      <c r="K145" s="470"/>
      <c r="L145" s="201"/>
      <c r="M145" s="201"/>
      <c r="N145" s="201"/>
      <c r="O145" s="201"/>
      <c r="P145" s="201"/>
      <c r="Q145" s="201"/>
      <c r="R145" s="201"/>
      <c r="S145" s="201"/>
      <c r="T145" s="201"/>
      <c r="U145" s="201"/>
      <c r="V145" s="201"/>
      <c r="W145" s="201"/>
      <c r="X145" s="201"/>
      <c r="Y145" s="201"/>
      <c r="Z145" s="201"/>
      <c r="AA145" s="201"/>
      <c r="AB145" s="201"/>
      <c r="AC145" s="201"/>
      <c r="AD145" s="201"/>
      <c r="AE145" s="201"/>
      <c r="AF145" s="201"/>
      <c r="AG145" s="201"/>
      <c r="AH145" s="201"/>
      <c r="AI145" s="201"/>
      <c r="AJ145" s="201"/>
      <c r="AK145" s="201"/>
      <c r="AL145" s="201"/>
      <c r="AM145" s="201"/>
      <c r="AN145" s="201"/>
      <c r="AO145" s="201"/>
      <c r="AP145" s="201"/>
      <c r="AQ145" s="201"/>
      <c r="AR145" s="201"/>
      <c r="AS145" s="201"/>
      <c r="AT145" s="201"/>
      <c r="AU145" s="201"/>
      <c r="AV145" s="201"/>
      <c r="AW145" s="201"/>
    </row>
    <row r="146" spans="1:49" s="134" customFormat="1" ht="13.8" hidden="1">
      <c r="A146" s="676"/>
      <c r="B146" s="676"/>
      <c r="C146" s="163"/>
      <c r="D146" s="470"/>
      <c r="E146" s="470"/>
      <c r="F146" s="129"/>
      <c r="G146" s="470"/>
      <c r="H146" s="470"/>
      <c r="I146" s="470"/>
      <c r="J146" s="470"/>
      <c r="K146" s="470"/>
      <c r="L146" s="201"/>
      <c r="M146" s="201"/>
      <c r="N146" s="201"/>
      <c r="O146" s="201"/>
      <c r="P146" s="201"/>
      <c r="Q146" s="201"/>
      <c r="R146" s="201"/>
      <c r="S146" s="201"/>
      <c r="T146" s="201"/>
      <c r="U146" s="201"/>
      <c r="V146" s="201"/>
      <c r="W146" s="201"/>
      <c r="X146" s="201"/>
      <c r="Y146" s="201"/>
      <c r="Z146" s="201"/>
      <c r="AA146" s="201"/>
      <c r="AB146" s="201"/>
      <c r="AC146" s="201"/>
      <c r="AD146" s="201"/>
      <c r="AE146" s="201"/>
      <c r="AF146" s="201"/>
      <c r="AG146" s="201"/>
      <c r="AH146" s="201"/>
      <c r="AI146" s="201"/>
      <c r="AJ146" s="201"/>
      <c r="AK146" s="201"/>
      <c r="AL146" s="201"/>
      <c r="AM146" s="201"/>
      <c r="AN146" s="201"/>
      <c r="AO146" s="201"/>
      <c r="AP146" s="201"/>
      <c r="AQ146" s="201"/>
      <c r="AR146" s="201"/>
      <c r="AS146" s="201"/>
      <c r="AT146" s="201"/>
      <c r="AU146" s="201"/>
      <c r="AV146" s="201"/>
      <c r="AW146" s="201"/>
    </row>
    <row r="147" spans="1:49" s="134" customFormat="1" ht="13.8" hidden="1">
      <c r="A147" s="676"/>
      <c r="B147" s="676"/>
      <c r="C147" s="163"/>
      <c r="D147" s="470"/>
      <c r="E147" s="470"/>
      <c r="F147" s="129"/>
      <c r="G147" s="470"/>
      <c r="H147" s="470"/>
      <c r="I147" s="470"/>
      <c r="J147" s="470"/>
      <c r="K147" s="470"/>
      <c r="L147" s="201"/>
      <c r="M147" s="201"/>
      <c r="N147" s="201"/>
      <c r="O147" s="201"/>
      <c r="P147" s="201"/>
      <c r="Q147" s="201"/>
      <c r="R147" s="201"/>
      <c r="S147" s="201"/>
      <c r="T147" s="201"/>
      <c r="U147" s="201"/>
      <c r="V147" s="201"/>
      <c r="W147" s="201"/>
      <c r="X147" s="201"/>
      <c r="Y147" s="201"/>
      <c r="Z147" s="201"/>
      <c r="AA147" s="201"/>
      <c r="AB147" s="201"/>
      <c r="AC147" s="201"/>
      <c r="AD147" s="201"/>
      <c r="AE147" s="201"/>
      <c r="AF147" s="201"/>
      <c r="AG147" s="201"/>
      <c r="AH147" s="201"/>
      <c r="AI147" s="201"/>
      <c r="AJ147" s="201"/>
      <c r="AK147" s="201"/>
      <c r="AL147" s="201"/>
      <c r="AM147" s="201"/>
      <c r="AN147" s="201"/>
      <c r="AO147" s="201"/>
      <c r="AP147" s="201"/>
      <c r="AQ147" s="201"/>
      <c r="AR147" s="201"/>
      <c r="AS147" s="201"/>
      <c r="AT147" s="201"/>
      <c r="AU147" s="201"/>
      <c r="AV147" s="201"/>
      <c r="AW147" s="201"/>
    </row>
    <row r="148" spans="1:49" s="134" customFormat="1" ht="13.8" hidden="1">
      <c r="A148" s="676"/>
      <c r="B148" s="676"/>
      <c r="C148" s="163"/>
      <c r="D148" s="470"/>
      <c r="E148" s="470"/>
      <c r="F148" s="129"/>
      <c r="G148" s="470"/>
      <c r="H148" s="470"/>
      <c r="I148" s="470"/>
      <c r="J148" s="470"/>
      <c r="K148" s="470"/>
      <c r="L148" s="201"/>
      <c r="M148" s="201"/>
      <c r="N148" s="201"/>
      <c r="O148" s="201"/>
      <c r="P148" s="201"/>
      <c r="Q148" s="201"/>
      <c r="R148" s="201"/>
      <c r="S148" s="201"/>
      <c r="T148" s="201"/>
      <c r="U148" s="201"/>
      <c r="V148" s="201"/>
      <c r="W148" s="201"/>
      <c r="X148" s="201"/>
      <c r="Y148" s="201"/>
      <c r="Z148" s="201"/>
      <c r="AA148" s="201"/>
      <c r="AB148" s="201"/>
      <c r="AC148" s="201"/>
      <c r="AD148" s="201"/>
      <c r="AE148" s="201"/>
      <c r="AF148" s="201"/>
      <c r="AG148" s="201"/>
      <c r="AH148" s="201"/>
      <c r="AI148" s="201"/>
      <c r="AJ148" s="201"/>
      <c r="AK148" s="201"/>
      <c r="AL148" s="201"/>
      <c r="AM148" s="201"/>
      <c r="AN148" s="201"/>
      <c r="AO148" s="201"/>
      <c r="AP148" s="201"/>
      <c r="AQ148" s="201"/>
      <c r="AR148" s="201"/>
      <c r="AS148" s="201"/>
      <c r="AT148" s="201"/>
      <c r="AU148" s="201"/>
      <c r="AV148" s="201"/>
      <c r="AW148" s="201"/>
    </row>
    <row r="149" spans="1:49" s="134" customFormat="1" ht="13.8" hidden="1">
      <c r="A149" s="676"/>
      <c r="B149" s="676"/>
      <c r="C149" s="163"/>
      <c r="D149" s="470"/>
      <c r="E149" s="470"/>
      <c r="F149" s="129"/>
      <c r="G149" s="470"/>
      <c r="H149" s="470"/>
      <c r="I149" s="470"/>
      <c r="J149" s="470"/>
      <c r="K149" s="470"/>
      <c r="L149" s="201"/>
      <c r="M149" s="201"/>
      <c r="N149" s="201"/>
      <c r="O149" s="201"/>
      <c r="P149" s="201"/>
      <c r="Q149" s="201"/>
      <c r="R149" s="201"/>
      <c r="S149" s="201"/>
      <c r="T149" s="201"/>
      <c r="U149" s="201"/>
      <c r="V149" s="201"/>
      <c r="W149" s="201"/>
      <c r="X149" s="201"/>
      <c r="Y149" s="201"/>
      <c r="Z149" s="201"/>
      <c r="AA149" s="201"/>
      <c r="AB149" s="201"/>
      <c r="AC149" s="201"/>
      <c r="AD149" s="201"/>
      <c r="AE149" s="201"/>
      <c r="AF149" s="201"/>
      <c r="AG149" s="201"/>
      <c r="AH149" s="201"/>
      <c r="AI149" s="201"/>
      <c r="AJ149" s="201"/>
      <c r="AK149" s="201"/>
      <c r="AL149" s="201"/>
      <c r="AM149" s="201"/>
      <c r="AN149" s="201"/>
      <c r="AO149" s="201"/>
      <c r="AP149" s="201"/>
      <c r="AQ149" s="201"/>
      <c r="AR149" s="201"/>
      <c r="AS149" s="201"/>
      <c r="AT149" s="201"/>
      <c r="AU149" s="201"/>
      <c r="AV149" s="201"/>
      <c r="AW149" s="201"/>
    </row>
    <row r="150" spans="1:49" s="134" customFormat="1" ht="13.8" hidden="1">
      <c r="A150" s="676"/>
      <c r="B150" s="676"/>
      <c r="C150" s="163"/>
      <c r="D150" s="470"/>
      <c r="E150" s="470"/>
      <c r="F150" s="129"/>
      <c r="G150" s="470"/>
      <c r="H150" s="470"/>
      <c r="I150" s="470"/>
      <c r="J150" s="470"/>
      <c r="K150" s="470"/>
      <c r="L150" s="201"/>
      <c r="M150" s="201"/>
      <c r="N150" s="201"/>
      <c r="O150" s="201"/>
      <c r="P150" s="201"/>
      <c r="Q150" s="201"/>
      <c r="R150" s="201"/>
      <c r="S150" s="201"/>
      <c r="T150" s="201"/>
      <c r="U150" s="201"/>
      <c r="V150" s="201"/>
      <c r="W150" s="201"/>
      <c r="X150" s="201"/>
      <c r="Y150" s="201"/>
      <c r="Z150" s="201"/>
      <c r="AA150" s="201"/>
      <c r="AB150" s="201"/>
      <c r="AC150" s="201"/>
      <c r="AD150" s="201"/>
      <c r="AE150" s="201"/>
      <c r="AF150" s="201"/>
      <c r="AG150" s="201"/>
      <c r="AH150" s="201"/>
      <c r="AI150" s="201"/>
      <c r="AJ150" s="201"/>
      <c r="AK150" s="201"/>
      <c r="AL150" s="201"/>
      <c r="AM150" s="201"/>
      <c r="AN150" s="201"/>
      <c r="AO150" s="201"/>
      <c r="AP150" s="201"/>
      <c r="AQ150" s="201"/>
      <c r="AR150" s="201"/>
      <c r="AS150" s="201"/>
      <c r="AT150" s="201"/>
      <c r="AU150" s="201"/>
      <c r="AV150" s="201"/>
      <c r="AW150" s="201"/>
    </row>
    <row r="151" spans="1:49" s="134" customFormat="1" ht="2.25" customHeight="1">
      <c r="A151" s="211"/>
      <c r="B151" s="211"/>
      <c r="C151" s="211"/>
      <c r="D151" s="211"/>
      <c r="E151" s="211"/>
      <c r="F151" s="211"/>
      <c r="G151" s="211"/>
      <c r="H151" s="211"/>
      <c r="I151" s="211"/>
      <c r="J151" s="211"/>
      <c r="K151" s="211"/>
      <c r="L151" s="201"/>
      <c r="M151" s="201"/>
      <c r="N151" s="201"/>
      <c r="O151" s="201"/>
      <c r="P151" s="201"/>
      <c r="Q151" s="201"/>
      <c r="R151" s="201"/>
      <c r="S151" s="201"/>
      <c r="T151" s="201"/>
      <c r="U151" s="201"/>
      <c r="V151" s="201"/>
      <c r="W151" s="201"/>
      <c r="X151" s="201"/>
      <c r="Y151" s="201"/>
      <c r="Z151" s="201"/>
      <c r="AA151" s="201"/>
      <c r="AB151" s="201"/>
      <c r="AC151" s="201"/>
      <c r="AD151" s="201"/>
      <c r="AE151" s="201"/>
      <c r="AF151" s="201"/>
      <c r="AG151" s="201"/>
      <c r="AH151" s="201"/>
      <c r="AI151" s="201"/>
      <c r="AJ151" s="201"/>
      <c r="AK151" s="201"/>
      <c r="AL151" s="201"/>
      <c r="AM151" s="201"/>
      <c r="AN151" s="201"/>
      <c r="AO151" s="201"/>
      <c r="AP151" s="201"/>
      <c r="AQ151" s="201"/>
      <c r="AR151" s="201"/>
      <c r="AS151" s="201"/>
      <c r="AT151" s="201"/>
      <c r="AU151" s="201"/>
      <c r="AV151" s="201"/>
      <c r="AW151" s="201"/>
    </row>
    <row r="152" spans="1:49" s="134" customFormat="1" ht="18" customHeight="1">
      <c r="A152" s="201" t="s">
        <v>975</v>
      </c>
      <c r="B152" s="201"/>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201"/>
      <c r="Y152" s="201"/>
      <c r="Z152" s="201"/>
      <c r="AA152" s="201"/>
      <c r="AB152" s="201"/>
      <c r="AC152" s="201"/>
      <c r="AD152" s="201"/>
      <c r="AE152" s="201"/>
      <c r="AF152" s="201"/>
      <c r="AG152" s="201"/>
      <c r="AH152" s="201"/>
      <c r="AI152" s="201"/>
      <c r="AJ152" s="201"/>
      <c r="AK152" s="201"/>
      <c r="AL152" s="201"/>
      <c r="AM152" s="201"/>
      <c r="AN152" s="201"/>
      <c r="AO152" s="201"/>
      <c r="AP152" s="201"/>
      <c r="AQ152" s="201"/>
      <c r="AR152" s="201"/>
      <c r="AS152" s="201"/>
      <c r="AT152" s="201"/>
      <c r="AU152" s="201"/>
      <c r="AV152" s="201"/>
      <c r="AW152" s="201"/>
    </row>
    <row r="153" spans="1:49" s="134" customFormat="1" ht="13.8">
      <c r="A153" s="702" t="s">
        <v>89</v>
      </c>
      <c r="B153" s="164" t="s">
        <v>762</v>
      </c>
      <c r="C153" s="165"/>
      <c r="D153" s="165"/>
      <c r="E153" s="165"/>
      <c r="F153" s="165"/>
      <c r="G153" s="165"/>
      <c r="H153" s="165"/>
      <c r="I153" s="165"/>
      <c r="J153" s="264"/>
      <c r="K153" s="264"/>
      <c r="L153" s="264"/>
      <c r="M153" s="264"/>
      <c r="N153" s="264"/>
      <c r="O153" s="264"/>
      <c r="P153" s="264"/>
      <c r="Q153" s="264"/>
      <c r="R153" s="264"/>
      <c r="S153" s="264"/>
      <c r="T153" s="264"/>
      <c r="U153" s="264"/>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6"/>
      <c r="AT153" s="206"/>
      <c r="AU153" s="206"/>
      <c r="AV153" s="206"/>
      <c r="AW153" s="201"/>
    </row>
    <row r="154" spans="1:49" s="134" customFormat="1" ht="13.8">
      <c r="A154" s="703"/>
      <c r="B154" s="814" t="s">
        <v>286</v>
      </c>
      <c r="C154" s="814"/>
      <c r="D154" s="814"/>
      <c r="E154" s="814"/>
      <c r="F154" s="814"/>
      <c r="G154" s="814"/>
      <c r="H154" s="814"/>
      <c r="I154" s="815"/>
      <c r="J154" s="265"/>
      <c r="K154" s="266"/>
      <c r="L154" s="266"/>
      <c r="M154" s="266"/>
      <c r="N154" s="266" t="s">
        <v>285</v>
      </c>
      <c r="O154" s="266"/>
      <c r="P154" s="266"/>
      <c r="Q154" s="266"/>
      <c r="R154" s="266"/>
      <c r="S154" s="266"/>
      <c r="T154" s="266"/>
      <c r="U154" s="267"/>
      <c r="V154" s="816" t="s">
        <v>279</v>
      </c>
      <c r="W154" s="814"/>
      <c r="X154" s="814"/>
      <c r="Y154" s="814"/>
      <c r="Z154" s="814"/>
      <c r="AA154" s="814"/>
      <c r="AB154" s="814" t="s">
        <v>294</v>
      </c>
      <c r="AC154" s="814"/>
      <c r="AD154" s="814"/>
      <c r="AE154" s="814"/>
      <c r="AF154" s="814"/>
      <c r="AG154" s="814"/>
      <c r="AH154" s="814" t="s">
        <v>295</v>
      </c>
      <c r="AI154" s="814"/>
      <c r="AJ154" s="814"/>
      <c r="AK154" s="814"/>
      <c r="AL154" s="814" t="s">
        <v>288</v>
      </c>
      <c r="AM154" s="814"/>
      <c r="AN154" s="814"/>
      <c r="AO154" s="814"/>
      <c r="AP154" s="814"/>
      <c r="AQ154" s="814"/>
      <c r="AR154" s="814"/>
      <c r="AS154" s="814"/>
      <c r="AT154" s="206"/>
      <c r="AU154" s="206"/>
      <c r="AV154" s="206"/>
      <c r="AW154" s="201"/>
    </row>
    <row r="155" spans="1:49" s="134" customFormat="1" ht="45" customHeight="1">
      <c r="A155" s="703"/>
      <c r="B155" s="704" t="s">
        <v>271</v>
      </c>
      <c r="C155" s="704"/>
      <c r="D155" s="704" t="s">
        <v>272</v>
      </c>
      <c r="E155" s="704"/>
      <c r="F155" s="704" t="s">
        <v>273</v>
      </c>
      <c r="G155" s="704"/>
      <c r="H155" s="704" t="s">
        <v>274</v>
      </c>
      <c r="I155" s="704"/>
      <c r="J155" s="820" t="s">
        <v>275</v>
      </c>
      <c r="K155" s="820"/>
      <c r="L155" s="820" t="s">
        <v>276</v>
      </c>
      <c r="M155" s="820"/>
      <c r="N155" s="820" t="s">
        <v>277</v>
      </c>
      <c r="O155" s="820"/>
      <c r="P155" s="820" t="s">
        <v>278</v>
      </c>
      <c r="Q155" s="820"/>
      <c r="R155" s="820" t="s">
        <v>302</v>
      </c>
      <c r="S155" s="820"/>
      <c r="T155" s="820" t="s">
        <v>301</v>
      </c>
      <c r="U155" s="820"/>
      <c r="V155" s="704" t="s">
        <v>280</v>
      </c>
      <c r="W155" s="704"/>
      <c r="X155" s="821" t="s">
        <v>281</v>
      </c>
      <c r="Y155" s="821"/>
      <c r="Z155" s="704" t="s">
        <v>282</v>
      </c>
      <c r="AA155" s="704"/>
      <c r="AB155" s="819" t="s">
        <v>283</v>
      </c>
      <c r="AC155" s="819"/>
      <c r="AD155" s="819" t="s">
        <v>284</v>
      </c>
      <c r="AE155" s="819"/>
      <c r="AF155" s="704" t="s">
        <v>303</v>
      </c>
      <c r="AG155" s="704"/>
      <c r="AH155" s="704" t="s">
        <v>287</v>
      </c>
      <c r="AI155" s="704"/>
      <c r="AJ155" s="704" t="s">
        <v>47</v>
      </c>
      <c r="AK155" s="704"/>
      <c r="AL155" s="704" t="s">
        <v>289</v>
      </c>
      <c r="AM155" s="704"/>
      <c r="AN155" s="704" t="s">
        <v>293</v>
      </c>
      <c r="AO155" s="704"/>
      <c r="AP155" s="819" t="s">
        <v>290</v>
      </c>
      <c r="AQ155" s="819"/>
      <c r="AR155" s="704" t="s">
        <v>291</v>
      </c>
      <c r="AS155" s="704"/>
      <c r="AT155" s="214"/>
      <c r="AU155" s="214"/>
      <c r="AV155" s="214"/>
      <c r="AW155" s="201"/>
    </row>
    <row r="156" spans="1:49" s="134" customFormat="1" ht="13.8">
      <c r="A156" s="703"/>
      <c r="B156" s="75" t="s">
        <v>23</v>
      </c>
      <c r="C156" s="75" t="s">
        <v>24</v>
      </c>
      <c r="D156" s="75" t="s">
        <v>23</v>
      </c>
      <c r="E156" s="75" t="s">
        <v>24</v>
      </c>
      <c r="F156" s="75" t="s">
        <v>23</v>
      </c>
      <c r="G156" s="75" t="s">
        <v>24</v>
      </c>
      <c r="H156" s="75" t="s">
        <v>23</v>
      </c>
      <c r="I156" s="75" t="s">
        <v>24</v>
      </c>
      <c r="J156" s="75" t="s">
        <v>23</v>
      </c>
      <c r="K156" s="76" t="s">
        <v>24</v>
      </c>
      <c r="L156" s="75" t="s">
        <v>23</v>
      </c>
      <c r="M156" s="75" t="s">
        <v>24</v>
      </c>
      <c r="N156" s="75" t="s">
        <v>23</v>
      </c>
      <c r="O156" s="76" t="s">
        <v>24</v>
      </c>
      <c r="P156" s="75" t="s">
        <v>23</v>
      </c>
      <c r="Q156" s="75" t="s">
        <v>24</v>
      </c>
      <c r="R156" s="75" t="s">
        <v>23</v>
      </c>
      <c r="S156" s="75" t="s">
        <v>24</v>
      </c>
      <c r="T156" s="75" t="s">
        <v>23</v>
      </c>
      <c r="U156" s="75" t="s">
        <v>24</v>
      </c>
      <c r="V156" s="75" t="s">
        <v>23</v>
      </c>
      <c r="W156" s="75" t="s">
        <v>24</v>
      </c>
      <c r="X156" s="75" t="s">
        <v>23</v>
      </c>
      <c r="Y156" s="75" t="s">
        <v>24</v>
      </c>
      <c r="Z156" s="75" t="s">
        <v>23</v>
      </c>
      <c r="AA156" s="75" t="s">
        <v>24</v>
      </c>
      <c r="AB156" s="75" t="s">
        <v>23</v>
      </c>
      <c r="AC156" s="75" t="s">
        <v>24</v>
      </c>
      <c r="AD156" s="75" t="s">
        <v>23</v>
      </c>
      <c r="AE156" s="75" t="s">
        <v>24</v>
      </c>
      <c r="AF156" s="75" t="s">
        <v>23</v>
      </c>
      <c r="AG156" s="75" t="s">
        <v>24</v>
      </c>
      <c r="AH156" s="75" t="s">
        <v>23</v>
      </c>
      <c r="AI156" s="75" t="s">
        <v>24</v>
      </c>
      <c r="AJ156" s="75" t="s">
        <v>23</v>
      </c>
      <c r="AK156" s="75" t="s">
        <v>24</v>
      </c>
      <c r="AL156" s="75" t="s">
        <v>23</v>
      </c>
      <c r="AM156" s="75" t="s">
        <v>24</v>
      </c>
      <c r="AN156" s="75" t="s">
        <v>23</v>
      </c>
      <c r="AO156" s="75" t="s">
        <v>24</v>
      </c>
      <c r="AP156" s="75" t="s">
        <v>23</v>
      </c>
      <c r="AQ156" s="75" t="s">
        <v>24</v>
      </c>
      <c r="AR156" s="75" t="s">
        <v>23</v>
      </c>
      <c r="AS156" s="75" t="s">
        <v>24</v>
      </c>
      <c r="AT156" s="205"/>
      <c r="AU156" s="205"/>
      <c r="AV156" s="205"/>
      <c r="AW156" s="201"/>
    </row>
    <row r="157" spans="1:49" s="134" customFormat="1">
      <c r="A157" s="269" t="s">
        <v>679</v>
      </c>
      <c r="B157" s="402">
        <v>0</v>
      </c>
      <c r="C157" s="402">
        <v>0</v>
      </c>
      <c r="D157" s="402">
        <v>0</v>
      </c>
      <c r="E157" s="402">
        <v>0</v>
      </c>
      <c r="F157" s="402">
        <v>0</v>
      </c>
      <c r="G157" s="402">
        <v>0</v>
      </c>
      <c r="H157" s="402">
        <v>0</v>
      </c>
      <c r="I157" s="402">
        <v>0</v>
      </c>
      <c r="J157" s="402">
        <v>0</v>
      </c>
      <c r="K157" s="402">
        <v>0</v>
      </c>
      <c r="L157" s="402">
        <v>0</v>
      </c>
      <c r="M157" s="402">
        <v>0</v>
      </c>
      <c r="N157" s="402">
        <v>0</v>
      </c>
      <c r="O157" s="402">
        <v>0</v>
      </c>
      <c r="P157" s="402">
        <v>0</v>
      </c>
      <c r="Q157" s="402">
        <v>0</v>
      </c>
      <c r="R157" s="402">
        <v>0</v>
      </c>
      <c r="S157" s="402">
        <v>0</v>
      </c>
      <c r="T157" s="402">
        <v>0</v>
      </c>
      <c r="U157" s="402">
        <v>0</v>
      </c>
      <c r="V157" s="402">
        <v>0</v>
      </c>
      <c r="W157" s="402">
        <v>0</v>
      </c>
      <c r="X157" s="402">
        <v>0</v>
      </c>
      <c r="Y157" s="402">
        <v>0</v>
      </c>
      <c r="Z157" s="402">
        <v>0</v>
      </c>
      <c r="AA157" s="402">
        <v>0</v>
      </c>
      <c r="AB157" s="402">
        <v>0</v>
      </c>
      <c r="AC157" s="402">
        <v>0</v>
      </c>
      <c r="AD157" s="402">
        <v>0</v>
      </c>
      <c r="AE157" s="402">
        <v>0</v>
      </c>
      <c r="AF157" s="402">
        <v>0</v>
      </c>
      <c r="AG157" s="402">
        <v>0</v>
      </c>
      <c r="AH157" s="402">
        <v>0</v>
      </c>
      <c r="AI157" s="402">
        <v>0</v>
      </c>
      <c r="AJ157" s="402">
        <v>0</v>
      </c>
      <c r="AK157" s="402">
        <v>0</v>
      </c>
      <c r="AL157" s="402">
        <v>0</v>
      </c>
      <c r="AM157" s="402">
        <v>0</v>
      </c>
      <c r="AN157" s="402">
        <v>0</v>
      </c>
      <c r="AO157" s="402">
        <v>0</v>
      </c>
      <c r="AP157" s="402">
        <v>0</v>
      </c>
      <c r="AQ157" s="402">
        <v>0</v>
      </c>
      <c r="AR157" s="402">
        <v>0</v>
      </c>
      <c r="AS157" s="402">
        <v>0</v>
      </c>
      <c r="AT157" s="202"/>
      <c r="AU157" s="202"/>
      <c r="AV157" s="202"/>
      <c r="AW157" s="201"/>
    </row>
    <row r="158" spans="1:49" s="134" customFormat="1">
      <c r="A158" s="270" t="s">
        <v>680</v>
      </c>
      <c r="B158" s="403">
        <v>0</v>
      </c>
      <c r="C158" s="403">
        <v>0</v>
      </c>
      <c r="D158" s="403">
        <v>0</v>
      </c>
      <c r="E158" s="403">
        <v>0</v>
      </c>
      <c r="F158" s="403">
        <v>0</v>
      </c>
      <c r="G158" s="403">
        <v>0</v>
      </c>
      <c r="H158" s="403">
        <v>0</v>
      </c>
      <c r="I158" s="403">
        <v>0</v>
      </c>
      <c r="J158" s="403">
        <v>0</v>
      </c>
      <c r="K158" s="403">
        <v>0</v>
      </c>
      <c r="L158" s="403">
        <v>0</v>
      </c>
      <c r="M158" s="403">
        <v>0</v>
      </c>
      <c r="N158" s="403">
        <v>0</v>
      </c>
      <c r="O158" s="403">
        <v>0</v>
      </c>
      <c r="P158" s="403">
        <v>0</v>
      </c>
      <c r="Q158" s="403">
        <v>0</v>
      </c>
      <c r="R158" s="403">
        <v>0</v>
      </c>
      <c r="S158" s="403">
        <v>0</v>
      </c>
      <c r="T158" s="403">
        <v>0</v>
      </c>
      <c r="U158" s="403">
        <v>0</v>
      </c>
      <c r="V158" s="403">
        <v>0</v>
      </c>
      <c r="W158" s="403">
        <v>0</v>
      </c>
      <c r="X158" s="403">
        <v>0</v>
      </c>
      <c r="Y158" s="403">
        <v>0</v>
      </c>
      <c r="Z158" s="403">
        <v>0</v>
      </c>
      <c r="AA158" s="403">
        <v>0</v>
      </c>
      <c r="AB158" s="403">
        <v>0</v>
      </c>
      <c r="AC158" s="403">
        <v>0</v>
      </c>
      <c r="AD158" s="403">
        <v>0</v>
      </c>
      <c r="AE158" s="403">
        <v>0</v>
      </c>
      <c r="AF158" s="403">
        <v>0</v>
      </c>
      <c r="AG158" s="403">
        <v>0</v>
      </c>
      <c r="AH158" s="403">
        <v>0</v>
      </c>
      <c r="AI158" s="403">
        <v>0</v>
      </c>
      <c r="AJ158" s="403">
        <v>0</v>
      </c>
      <c r="AK158" s="403">
        <v>0</v>
      </c>
      <c r="AL158" s="403">
        <v>0</v>
      </c>
      <c r="AM158" s="403">
        <v>0</v>
      </c>
      <c r="AN158" s="403">
        <v>0</v>
      </c>
      <c r="AO158" s="403">
        <v>0</v>
      </c>
      <c r="AP158" s="403">
        <v>0</v>
      </c>
      <c r="AQ158" s="403">
        <v>0</v>
      </c>
      <c r="AR158" s="403">
        <v>0</v>
      </c>
      <c r="AS158" s="403">
        <v>0</v>
      </c>
      <c r="AT158" s="202"/>
      <c r="AU158" s="202"/>
      <c r="AV158" s="202"/>
      <c r="AW158" s="201"/>
    </row>
    <row r="159" spans="1:49" s="134" customFormat="1">
      <c r="A159" s="271" t="s">
        <v>681</v>
      </c>
      <c r="B159" s="404">
        <v>0</v>
      </c>
      <c r="C159" s="404">
        <v>0</v>
      </c>
      <c r="D159" s="404">
        <v>0</v>
      </c>
      <c r="E159" s="404">
        <v>0</v>
      </c>
      <c r="F159" s="404">
        <v>0</v>
      </c>
      <c r="G159" s="404">
        <v>0</v>
      </c>
      <c r="H159" s="404">
        <v>0</v>
      </c>
      <c r="I159" s="404">
        <v>0</v>
      </c>
      <c r="J159" s="404">
        <v>0</v>
      </c>
      <c r="K159" s="404">
        <v>0</v>
      </c>
      <c r="L159" s="404">
        <v>0</v>
      </c>
      <c r="M159" s="404">
        <v>0</v>
      </c>
      <c r="N159" s="404">
        <v>0</v>
      </c>
      <c r="O159" s="404">
        <v>0</v>
      </c>
      <c r="P159" s="404">
        <v>0</v>
      </c>
      <c r="Q159" s="404">
        <v>0</v>
      </c>
      <c r="R159" s="404">
        <v>1</v>
      </c>
      <c r="S159" s="404">
        <v>0</v>
      </c>
      <c r="T159" s="404">
        <v>0</v>
      </c>
      <c r="U159" s="404">
        <v>0</v>
      </c>
      <c r="V159" s="404">
        <v>0</v>
      </c>
      <c r="W159" s="404">
        <v>0</v>
      </c>
      <c r="X159" s="404">
        <v>0</v>
      </c>
      <c r="Y159" s="404">
        <v>0</v>
      </c>
      <c r="Z159" s="404">
        <v>0</v>
      </c>
      <c r="AA159" s="404">
        <v>0</v>
      </c>
      <c r="AB159" s="404">
        <v>0</v>
      </c>
      <c r="AC159" s="404">
        <v>0</v>
      </c>
      <c r="AD159" s="404">
        <v>0</v>
      </c>
      <c r="AE159" s="404">
        <v>0</v>
      </c>
      <c r="AF159" s="404">
        <v>0</v>
      </c>
      <c r="AG159" s="404">
        <v>0</v>
      </c>
      <c r="AH159" s="404">
        <v>0</v>
      </c>
      <c r="AI159" s="404">
        <v>0</v>
      </c>
      <c r="AJ159" s="404">
        <v>0</v>
      </c>
      <c r="AK159" s="404">
        <v>0</v>
      </c>
      <c r="AL159" s="404">
        <v>0</v>
      </c>
      <c r="AM159" s="404">
        <v>0</v>
      </c>
      <c r="AN159" s="404">
        <v>0</v>
      </c>
      <c r="AO159" s="404">
        <v>0</v>
      </c>
      <c r="AP159" s="404">
        <v>0</v>
      </c>
      <c r="AQ159" s="404">
        <v>0</v>
      </c>
      <c r="AR159" s="404">
        <v>0</v>
      </c>
      <c r="AS159" s="404">
        <v>0</v>
      </c>
      <c r="AT159" s="202"/>
      <c r="AU159" s="202"/>
      <c r="AV159" s="202"/>
      <c r="AW159" s="201"/>
    </row>
    <row r="160" spans="1:49" s="159" customFormat="1" ht="1.5" customHeight="1">
      <c r="A160" s="210"/>
      <c r="B160" s="210"/>
      <c r="C160" s="210"/>
      <c r="D160" s="210"/>
      <c r="E160" s="210"/>
      <c r="F160" s="210"/>
      <c r="G160" s="210"/>
      <c r="H160" s="210"/>
      <c r="I160" s="210"/>
      <c r="J160" s="210"/>
      <c r="K160" s="210"/>
      <c r="L160" s="210"/>
      <c r="M160" s="210"/>
      <c r="N160" s="187"/>
      <c r="O160" s="187"/>
      <c r="P160" s="187"/>
      <c r="Q160" s="187"/>
      <c r="R160" s="187"/>
      <c r="S160" s="187"/>
      <c r="T160" s="187"/>
      <c r="U160" s="187"/>
      <c r="V160" s="187"/>
      <c r="W160" s="187"/>
      <c r="X160" s="187"/>
      <c r="Y160" s="187"/>
      <c r="Z160" s="187"/>
      <c r="AA160" s="187"/>
      <c r="AB160" s="187"/>
      <c r="AC160" s="187"/>
      <c r="AD160" s="187"/>
      <c r="AE160" s="187"/>
      <c r="AF160" s="187"/>
      <c r="AG160" s="187"/>
      <c r="AH160" s="187"/>
      <c r="AI160" s="187"/>
      <c r="AJ160" s="187"/>
      <c r="AK160" s="187"/>
      <c r="AL160" s="187"/>
      <c r="AM160" s="187"/>
      <c r="AN160" s="187"/>
      <c r="AO160" s="187"/>
      <c r="AP160" s="187"/>
      <c r="AQ160" s="187"/>
      <c r="AR160" s="187"/>
      <c r="AS160" s="187"/>
      <c r="AT160" s="210"/>
      <c r="AU160" s="210"/>
      <c r="AV160" s="210"/>
      <c r="AW160" s="259"/>
    </row>
    <row r="161" spans="1:49" s="134" customFormat="1" ht="1.5" customHeight="1">
      <c r="A161" s="201"/>
      <c r="B161" s="201"/>
      <c r="C161" s="201"/>
      <c r="D161" s="201"/>
      <c r="E161" s="201"/>
      <c r="F161" s="201"/>
      <c r="G161" s="201"/>
      <c r="H161" s="201"/>
      <c r="I161" s="201"/>
      <c r="J161" s="201"/>
      <c r="K161" s="201"/>
      <c r="L161" s="201"/>
      <c r="M161" s="201"/>
      <c r="N161" s="201"/>
      <c r="O161" s="201"/>
      <c r="P161" s="201"/>
      <c r="Q161" s="201"/>
      <c r="R161" s="201"/>
      <c r="S161" s="201"/>
      <c r="T161" s="201"/>
      <c r="U161" s="201"/>
      <c r="V161" s="201"/>
      <c r="W161" s="201"/>
      <c r="X161" s="201"/>
      <c r="Y161" s="201"/>
      <c r="Z161" s="201"/>
      <c r="AA161" s="201"/>
      <c r="AB161" s="201"/>
      <c r="AC161" s="201"/>
      <c r="AD161" s="201"/>
      <c r="AE161" s="201"/>
      <c r="AF161" s="201"/>
      <c r="AG161" s="201"/>
      <c r="AH161" s="201"/>
      <c r="AI161" s="201"/>
      <c r="AJ161" s="201"/>
      <c r="AK161" s="201"/>
      <c r="AL161" s="201"/>
      <c r="AM161" s="201"/>
      <c r="AN161" s="201"/>
      <c r="AO161" s="201"/>
      <c r="AP161" s="201"/>
      <c r="AQ161" s="201"/>
      <c r="AR161" s="201"/>
      <c r="AS161" s="201"/>
      <c r="AT161" s="201"/>
      <c r="AU161" s="201"/>
      <c r="AV161" s="201"/>
      <c r="AW161" s="201"/>
    </row>
    <row r="162" spans="1:49" s="134" customFormat="1" ht="17.25" customHeight="1">
      <c r="A162" s="201" t="s">
        <v>98</v>
      </c>
      <c r="B162" s="201"/>
      <c r="C162" s="201"/>
      <c r="D162" s="201"/>
      <c r="E162" s="201"/>
      <c r="F162" s="201"/>
      <c r="G162" s="201"/>
      <c r="H162" s="201"/>
      <c r="I162" s="201"/>
      <c r="J162" s="201"/>
      <c r="K162" s="201"/>
      <c r="L162" s="201"/>
      <c r="M162" s="201"/>
      <c r="N162" s="201"/>
      <c r="O162" s="201"/>
      <c r="P162" s="201"/>
      <c r="Q162" s="201"/>
      <c r="R162" s="201"/>
      <c r="S162" s="201"/>
      <c r="T162" s="201"/>
      <c r="U162" s="201"/>
      <c r="V162" s="201"/>
      <c r="W162" s="201"/>
      <c r="X162" s="201"/>
      <c r="Y162" s="201"/>
      <c r="Z162" s="201"/>
      <c r="AA162" s="201"/>
      <c r="AB162" s="201"/>
      <c r="AC162" s="201"/>
      <c r="AD162" s="201"/>
      <c r="AE162" s="201"/>
      <c r="AF162" s="201"/>
      <c r="AG162" s="201"/>
      <c r="AH162" s="201"/>
      <c r="AI162" s="201"/>
      <c r="AJ162" s="201"/>
      <c r="AK162" s="201"/>
      <c r="AL162" s="201"/>
      <c r="AM162" s="201"/>
      <c r="AN162" s="201"/>
      <c r="AO162" s="201"/>
      <c r="AP162" s="201"/>
      <c r="AQ162" s="201"/>
      <c r="AR162" s="201"/>
      <c r="AS162" s="201"/>
      <c r="AT162" s="201"/>
      <c r="AU162" s="201"/>
      <c r="AV162" s="201"/>
      <c r="AW162" s="201"/>
    </row>
    <row r="163" spans="1:49" s="134" customFormat="1" ht="13.8">
      <c r="A163" s="753" t="s">
        <v>2</v>
      </c>
      <c r="B163" s="754" t="s">
        <v>98</v>
      </c>
      <c r="C163" s="754"/>
      <c r="D163" s="754"/>
      <c r="E163" s="754"/>
      <c r="F163" s="754"/>
      <c r="G163" s="754"/>
      <c r="H163" s="201"/>
      <c r="I163" s="201"/>
      <c r="J163" s="201"/>
      <c r="K163" s="201"/>
      <c r="L163" s="201"/>
      <c r="M163" s="201"/>
      <c r="N163" s="201"/>
      <c r="O163" s="201"/>
      <c r="P163" s="201"/>
      <c r="Q163" s="201"/>
      <c r="R163" s="201"/>
      <c r="S163" s="201"/>
      <c r="T163" s="201"/>
      <c r="U163" s="201"/>
      <c r="V163" s="201"/>
      <c r="W163" s="201"/>
      <c r="X163" s="201"/>
      <c r="Y163" s="201"/>
      <c r="Z163" s="201"/>
      <c r="AA163" s="201"/>
      <c r="AB163" s="201"/>
      <c r="AC163" s="201"/>
      <c r="AD163" s="201"/>
      <c r="AE163" s="201"/>
      <c r="AF163" s="201"/>
      <c r="AG163" s="201"/>
      <c r="AH163" s="201"/>
      <c r="AI163" s="201"/>
      <c r="AJ163" s="201"/>
      <c r="AK163" s="201"/>
      <c r="AL163" s="201"/>
      <c r="AM163" s="201"/>
      <c r="AN163" s="201"/>
      <c r="AO163" s="201"/>
      <c r="AP163" s="201"/>
      <c r="AQ163" s="201"/>
      <c r="AR163" s="201"/>
      <c r="AS163" s="201"/>
      <c r="AT163" s="201"/>
      <c r="AU163" s="201"/>
      <c r="AV163" s="201"/>
      <c r="AW163" s="201"/>
    </row>
    <row r="164" spans="1:49" s="134" customFormat="1" ht="13.8">
      <c r="A164" s="753"/>
      <c r="B164" s="755" t="str">
        <f>IF(C11="","",C11)</f>
        <v>2016-2017</v>
      </c>
      <c r="C164" s="755"/>
      <c r="D164" s="755" t="str">
        <f>IF(E11="","",E11)</f>
        <v>2017-2018</v>
      </c>
      <c r="E164" s="755"/>
      <c r="F164" s="755" t="str">
        <f>IF(G11="","",G11)</f>
        <v>2018-2019</v>
      </c>
      <c r="G164" s="755"/>
      <c r="H164" s="201"/>
      <c r="I164" s="201"/>
      <c r="J164" s="201"/>
      <c r="K164" s="201"/>
      <c r="L164" s="201"/>
      <c r="M164" s="201"/>
      <c r="N164" s="201"/>
      <c r="O164" s="201"/>
      <c r="P164" s="201"/>
      <c r="Q164" s="201"/>
      <c r="R164" s="201"/>
      <c r="S164" s="201"/>
      <c r="T164" s="201"/>
      <c r="U164" s="201"/>
      <c r="V164" s="201"/>
      <c r="W164" s="201"/>
      <c r="X164" s="201"/>
      <c r="Y164" s="201"/>
      <c r="Z164" s="201"/>
      <c r="AA164" s="201"/>
      <c r="AB164" s="201"/>
      <c r="AC164" s="201"/>
      <c r="AD164" s="201"/>
      <c r="AE164" s="201"/>
      <c r="AF164" s="201"/>
      <c r="AG164" s="201"/>
      <c r="AH164" s="201"/>
      <c r="AI164" s="201"/>
      <c r="AJ164" s="201"/>
      <c r="AK164" s="201"/>
      <c r="AL164" s="201"/>
      <c r="AM164" s="201"/>
      <c r="AN164" s="201"/>
      <c r="AO164" s="201"/>
      <c r="AP164" s="201"/>
      <c r="AQ164" s="201"/>
      <c r="AR164" s="201"/>
      <c r="AS164" s="201"/>
      <c r="AT164" s="201"/>
      <c r="AU164" s="201"/>
      <c r="AV164" s="201"/>
      <c r="AW164" s="201"/>
    </row>
    <row r="165" spans="1:49" s="134" customFormat="1" ht="13.8">
      <c r="A165" s="753"/>
      <c r="B165" s="275" t="s">
        <v>23</v>
      </c>
      <c r="C165" s="275" t="s">
        <v>24</v>
      </c>
      <c r="D165" s="275" t="s">
        <v>23</v>
      </c>
      <c r="E165" s="275" t="s">
        <v>24</v>
      </c>
      <c r="F165" s="275" t="s">
        <v>23</v>
      </c>
      <c r="G165" s="275" t="s">
        <v>24</v>
      </c>
      <c r="H165" s="201"/>
      <c r="I165" s="201"/>
      <c r="J165" s="201"/>
      <c r="K165" s="201"/>
      <c r="L165" s="201"/>
      <c r="M165" s="201"/>
      <c r="N165" s="201"/>
      <c r="O165" s="201"/>
      <c r="P165" s="201"/>
      <c r="Q165" s="201"/>
      <c r="R165" s="201"/>
      <c r="S165" s="201"/>
      <c r="T165" s="201"/>
      <c r="U165" s="201"/>
      <c r="V165" s="201"/>
      <c r="W165" s="201"/>
      <c r="X165" s="201"/>
      <c r="Y165" s="201"/>
      <c r="Z165" s="201"/>
      <c r="AA165" s="201"/>
      <c r="AB165" s="201"/>
      <c r="AC165" s="201"/>
      <c r="AD165" s="201"/>
      <c r="AE165" s="201"/>
      <c r="AF165" s="201"/>
      <c r="AG165" s="201"/>
      <c r="AH165" s="201"/>
      <c r="AI165" s="201"/>
      <c r="AJ165" s="201"/>
      <c r="AK165" s="201"/>
      <c r="AL165" s="201"/>
      <c r="AM165" s="201"/>
      <c r="AN165" s="201"/>
      <c r="AO165" s="201"/>
      <c r="AP165" s="201"/>
      <c r="AQ165" s="201"/>
      <c r="AR165" s="201"/>
      <c r="AS165" s="201"/>
      <c r="AT165" s="201"/>
      <c r="AU165" s="201"/>
      <c r="AV165" s="201"/>
      <c r="AW165" s="201"/>
    </row>
    <row r="166" spans="1:49" s="134" customFormat="1" ht="13.8">
      <c r="A166" s="185" t="s">
        <v>5</v>
      </c>
      <c r="B166" s="87"/>
      <c r="C166" s="87"/>
      <c r="D166" s="87"/>
      <c r="E166" s="87"/>
      <c r="F166" s="87"/>
      <c r="G166" s="87"/>
      <c r="H166" s="201"/>
      <c r="I166" s="201"/>
      <c r="J166" s="201"/>
      <c r="K166" s="201"/>
      <c r="L166" s="201"/>
      <c r="M166" s="201"/>
      <c r="N166" s="201"/>
      <c r="O166" s="201"/>
      <c r="P166" s="201"/>
      <c r="Q166" s="201"/>
      <c r="R166" s="201"/>
      <c r="S166" s="201"/>
      <c r="T166" s="201"/>
      <c r="U166" s="201"/>
      <c r="V166" s="201"/>
      <c r="W166" s="201"/>
      <c r="X166" s="201"/>
      <c r="Y166" s="201"/>
      <c r="Z166" s="201"/>
      <c r="AA166" s="201"/>
      <c r="AB166" s="201"/>
      <c r="AC166" s="201"/>
      <c r="AD166" s="201"/>
      <c r="AE166" s="201"/>
      <c r="AF166" s="201"/>
      <c r="AG166" s="201"/>
      <c r="AH166" s="201"/>
      <c r="AI166" s="201"/>
      <c r="AJ166" s="201"/>
      <c r="AK166" s="201"/>
      <c r="AL166" s="201"/>
      <c r="AM166" s="201"/>
      <c r="AN166" s="201"/>
      <c r="AO166" s="201"/>
      <c r="AP166" s="201"/>
      <c r="AQ166" s="201"/>
      <c r="AR166" s="201"/>
      <c r="AS166" s="201"/>
      <c r="AT166" s="201"/>
      <c r="AU166" s="201"/>
      <c r="AV166" s="201"/>
      <c r="AW166" s="201"/>
    </row>
    <row r="167" spans="1:49" s="134" customFormat="1" ht="13.8">
      <c r="A167" s="185" t="s">
        <v>6</v>
      </c>
      <c r="B167" s="87"/>
      <c r="C167" s="87"/>
      <c r="D167" s="87"/>
      <c r="E167" s="87"/>
      <c r="F167" s="87"/>
      <c r="G167" s="87"/>
      <c r="H167" s="201"/>
      <c r="I167" s="201"/>
      <c r="J167" s="201"/>
      <c r="K167" s="201"/>
      <c r="L167" s="201"/>
      <c r="M167" s="201"/>
      <c r="N167" s="201"/>
      <c r="O167" s="201"/>
      <c r="P167" s="201"/>
      <c r="Q167" s="201"/>
      <c r="R167" s="201"/>
      <c r="S167" s="201"/>
      <c r="T167" s="201"/>
      <c r="U167" s="201"/>
      <c r="V167" s="201"/>
      <c r="W167" s="201"/>
      <c r="X167" s="201"/>
      <c r="Y167" s="201"/>
      <c r="Z167" s="201"/>
      <c r="AA167" s="201"/>
      <c r="AB167" s="201"/>
      <c r="AC167" s="201"/>
      <c r="AD167" s="201"/>
      <c r="AE167" s="201"/>
      <c r="AF167" s="201"/>
      <c r="AG167" s="201"/>
      <c r="AH167" s="201"/>
      <c r="AI167" s="201"/>
      <c r="AJ167" s="201"/>
      <c r="AK167" s="201"/>
      <c r="AL167" s="201"/>
      <c r="AM167" s="201"/>
      <c r="AN167" s="201"/>
      <c r="AO167" s="201"/>
      <c r="AP167" s="201"/>
      <c r="AQ167" s="201"/>
      <c r="AR167" s="201"/>
      <c r="AS167" s="201"/>
      <c r="AT167" s="201"/>
      <c r="AU167" s="201"/>
      <c r="AV167" s="201"/>
      <c r="AW167" s="201"/>
    </row>
    <row r="168" spans="1:49" s="134" customFormat="1" ht="13.8">
      <c r="A168" s="185" t="s">
        <v>7</v>
      </c>
      <c r="B168" s="87"/>
      <c r="C168" s="87"/>
      <c r="D168" s="87"/>
      <c r="E168" s="87"/>
      <c r="F168" s="87"/>
      <c r="G168" s="87"/>
      <c r="H168" s="201"/>
      <c r="I168" s="201"/>
      <c r="J168" s="201"/>
      <c r="K168" s="201"/>
      <c r="L168" s="201"/>
      <c r="M168" s="201"/>
      <c r="N168" s="201"/>
      <c r="O168" s="201"/>
      <c r="P168" s="201"/>
      <c r="Q168" s="201"/>
      <c r="R168" s="201"/>
      <c r="S168" s="201"/>
      <c r="T168" s="201"/>
      <c r="U168" s="201"/>
      <c r="V168" s="201"/>
      <c r="W168" s="201"/>
      <c r="X168" s="201"/>
      <c r="Y168" s="201"/>
      <c r="Z168" s="201"/>
      <c r="AA168" s="201"/>
      <c r="AB168" s="201"/>
      <c r="AC168" s="201"/>
      <c r="AD168" s="201"/>
      <c r="AE168" s="201"/>
      <c r="AF168" s="201"/>
      <c r="AG168" s="201"/>
      <c r="AH168" s="201"/>
      <c r="AI168" s="201"/>
      <c r="AJ168" s="201"/>
      <c r="AK168" s="201"/>
      <c r="AL168" s="201"/>
      <c r="AM168" s="201"/>
      <c r="AN168" s="201"/>
      <c r="AO168" s="201"/>
      <c r="AP168" s="201"/>
      <c r="AQ168" s="201"/>
      <c r="AR168" s="201"/>
      <c r="AS168" s="201"/>
      <c r="AT168" s="201"/>
      <c r="AU168" s="201"/>
      <c r="AV168" s="201"/>
      <c r="AW168" s="201"/>
    </row>
    <row r="169" spans="1:49" s="134" customFormat="1" ht="13.8">
      <c r="A169" s="185" t="s">
        <v>8</v>
      </c>
      <c r="B169" s="87"/>
      <c r="C169" s="87"/>
      <c r="D169" s="87"/>
      <c r="E169" s="87"/>
      <c r="F169" s="87"/>
      <c r="G169" s="87"/>
      <c r="H169" s="201"/>
      <c r="I169" s="201"/>
      <c r="J169" s="201"/>
      <c r="K169" s="201"/>
      <c r="L169" s="201"/>
      <c r="M169" s="201"/>
      <c r="N169" s="201"/>
      <c r="O169" s="201"/>
      <c r="P169" s="201"/>
      <c r="Q169" s="201"/>
      <c r="R169" s="201"/>
      <c r="S169" s="201"/>
      <c r="T169" s="201"/>
      <c r="U169" s="201"/>
      <c r="V169" s="201"/>
      <c r="W169" s="201"/>
      <c r="X169" s="201"/>
      <c r="Y169" s="201"/>
      <c r="Z169" s="201"/>
      <c r="AA169" s="201"/>
      <c r="AB169" s="201"/>
      <c r="AC169" s="201"/>
      <c r="AD169" s="201"/>
      <c r="AE169" s="201"/>
      <c r="AF169" s="201"/>
      <c r="AG169" s="201"/>
      <c r="AH169" s="201"/>
      <c r="AI169" s="201"/>
      <c r="AJ169" s="201"/>
      <c r="AK169" s="201"/>
      <c r="AL169" s="201"/>
      <c r="AM169" s="201"/>
      <c r="AN169" s="201"/>
      <c r="AO169" s="201"/>
      <c r="AP169" s="201"/>
      <c r="AQ169" s="201"/>
      <c r="AR169" s="201"/>
      <c r="AS169" s="201"/>
      <c r="AT169" s="201"/>
      <c r="AU169" s="201"/>
      <c r="AV169" s="201"/>
      <c r="AW169" s="201"/>
    </row>
    <row r="170" spans="1:49" s="134" customFormat="1" ht="13.8">
      <c r="A170" s="185" t="s">
        <v>9</v>
      </c>
      <c r="B170" s="87"/>
      <c r="C170" s="87"/>
      <c r="D170" s="87"/>
      <c r="E170" s="87"/>
      <c r="F170" s="87"/>
      <c r="G170" s="87"/>
      <c r="H170" s="201"/>
      <c r="I170" s="201"/>
      <c r="J170" s="201"/>
      <c r="K170" s="201"/>
      <c r="L170" s="201"/>
      <c r="M170" s="201"/>
      <c r="N170" s="201"/>
      <c r="O170" s="201"/>
      <c r="P170" s="201"/>
      <c r="Q170" s="201"/>
      <c r="R170" s="201"/>
      <c r="S170" s="201"/>
      <c r="T170" s="201"/>
      <c r="U170" s="201"/>
      <c r="V170" s="201"/>
      <c r="W170" s="201"/>
      <c r="X170" s="201"/>
      <c r="Y170" s="201"/>
      <c r="Z170" s="201"/>
      <c r="AA170" s="201"/>
      <c r="AB170" s="201"/>
      <c r="AC170" s="201"/>
      <c r="AD170" s="201"/>
      <c r="AE170" s="201"/>
      <c r="AF170" s="201"/>
      <c r="AG170" s="201"/>
      <c r="AH170" s="201"/>
      <c r="AI170" s="201"/>
      <c r="AJ170" s="201"/>
      <c r="AK170" s="201"/>
      <c r="AL170" s="201"/>
      <c r="AM170" s="201"/>
      <c r="AN170" s="201"/>
      <c r="AO170" s="201"/>
      <c r="AP170" s="201"/>
      <c r="AQ170" s="201"/>
      <c r="AR170" s="201"/>
      <c r="AS170" s="201"/>
      <c r="AT170" s="201"/>
      <c r="AU170" s="201"/>
      <c r="AV170" s="201"/>
      <c r="AW170" s="201"/>
    </row>
    <row r="171" spans="1:49" s="134" customFormat="1" ht="13.8">
      <c r="A171" s="185" t="s">
        <v>10</v>
      </c>
      <c r="B171" s="87"/>
      <c r="C171" s="87"/>
      <c r="D171" s="87"/>
      <c r="E171" s="87"/>
      <c r="F171" s="87"/>
      <c r="G171" s="87"/>
      <c r="H171" s="201"/>
      <c r="I171" s="201"/>
      <c r="J171" s="201"/>
      <c r="K171" s="201"/>
      <c r="L171" s="201"/>
      <c r="M171" s="201"/>
      <c r="N171" s="201"/>
      <c r="O171" s="201"/>
      <c r="P171" s="201"/>
      <c r="Q171" s="201"/>
      <c r="R171" s="201"/>
      <c r="S171" s="201"/>
      <c r="T171" s="201"/>
      <c r="U171" s="201"/>
      <c r="V171" s="201"/>
      <c r="W171" s="201"/>
      <c r="X171" s="201"/>
      <c r="Y171" s="201"/>
      <c r="Z171" s="201"/>
      <c r="AA171" s="201"/>
      <c r="AB171" s="201"/>
      <c r="AC171" s="201"/>
      <c r="AD171" s="201"/>
      <c r="AE171" s="201"/>
      <c r="AF171" s="201"/>
      <c r="AG171" s="201"/>
      <c r="AH171" s="201"/>
      <c r="AI171" s="201"/>
      <c r="AJ171" s="201"/>
      <c r="AK171" s="201"/>
      <c r="AL171" s="201"/>
      <c r="AM171" s="201"/>
      <c r="AN171" s="201"/>
      <c r="AO171" s="201"/>
      <c r="AP171" s="201"/>
      <c r="AQ171" s="201"/>
      <c r="AR171" s="201"/>
      <c r="AS171" s="201"/>
      <c r="AT171" s="201"/>
      <c r="AU171" s="201"/>
      <c r="AV171" s="201"/>
      <c r="AW171" s="201"/>
    </row>
    <row r="172" spans="1:49" s="134" customFormat="1" ht="13.8">
      <c r="A172" s="185" t="s">
        <v>11</v>
      </c>
      <c r="B172" s="87"/>
      <c r="C172" s="87"/>
      <c r="D172" s="87"/>
      <c r="E172" s="87"/>
      <c r="F172" s="87"/>
      <c r="G172" s="87"/>
      <c r="H172" s="201"/>
      <c r="I172" s="201"/>
      <c r="J172" s="201"/>
      <c r="K172" s="201"/>
      <c r="L172" s="201"/>
      <c r="M172" s="201"/>
      <c r="N172" s="201"/>
      <c r="O172" s="201"/>
      <c r="P172" s="201"/>
      <c r="Q172" s="201"/>
      <c r="R172" s="201"/>
      <c r="S172" s="201"/>
      <c r="T172" s="201"/>
      <c r="U172" s="201"/>
      <c r="V172" s="201"/>
      <c r="W172" s="201"/>
      <c r="X172" s="201"/>
      <c r="Y172" s="201"/>
      <c r="Z172" s="201"/>
      <c r="AA172" s="201"/>
      <c r="AB172" s="201"/>
      <c r="AC172" s="201"/>
      <c r="AD172" s="201"/>
      <c r="AE172" s="201"/>
      <c r="AF172" s="201"/>
      <c r="AG172" s="201"/>
      <c r="AH172" s="201"/>
      <c r="AI172" s="201"/>
      <c r="AJ172" s="201"/>
      <c r="AK172" s="201"/>
      <c r="AL172" s="201"/>
      <c r="AM172" s="201"/>
      <c r="AN172" s="201"/>
      <c r="AO172" s="201"/>
      <c r="AP172" s="201"/>
      <c r="AQ172" s="201"/>
      <c r="AR172" s="201"/>
      <c r="AS172" s="201"/>
      <c r="AT172" s="201"/>
      <c r="AU172" s="201"/>
      <c r="AV172" s="201"/>
      <c r="AW172" s="201"/>
    </row>
    <row r="173" spans="1:49" s="134" customFormat="1">
      <c r="A173" s="414" t="s">
        <v>953</v>
      </c>
      <c r="B173" s="87"/>
      <c r="C173" s="87"/>
      <c r="D173" s="87"/>
      <c r="E173" s="87"/>
      <c r="F173" s="87"/>
      <c r="G173" s="87"/>
      <c r="H173" s="201"/>
      <c r="I173" s="201"/>
      <c r="J173" s="201"/>
      <c r="K173" s="201"/>
      <c r="L173" s="201"/>
      <c r="M173" s="201"/>
      <c r="N173" s="201"/>
      <c r="O173" s="201"/>
      <c r="P173" s="201"/>
      <c r="Q173" s="201"/>
      <c r="R173" s="201"/>
      <c r="S173" s="201"/>
      <c r="T173" s="201"/>
      <c r="U173" s="201"/>
      <c r="V173" s="201"/>
      <c r="W173" s="201"/>
      <c r="X173" s="201"/>
      <c r="Y173" s="201"/>
      <c r="Z173" s="201"/>
      <c r="AA173" s="201"/>
      <c r="AB173" s="201"/>
      <c r="AC173" s="201"/>
      <c r="AD173" s="201"/>
      <c r="AE173" s="201"/>
      <c r="AF173" s="201"/>
      <c r="AG173" s="201"/>
      <c r="AH173" s="201"/>
      <c r="AI173" s="201"/>
      <c r="AJ173" s="201"/>
      <c r="AK173" s="201"/>
      <c r="AL173" s="201"/>
      <c r="AM173" s="201"/>
      <c r="AN173" s="201"/>
      <c r="AO173" s="201"/>
      <c r="AP173" s="201"/>
      <c r="AQ173" s="201"/>
      <c r="AR173" s="201"/>
      <c r="AS173" s="201"/>
      <c r="AT173" s="201"/>
      <c r="AU173" s="201"/>
      <c r="AV173" s="201"/>
      <c r="AW173" s="201"/>
    </row>
    <row r="174" spans="1:49" s="134" customFormat="1" ht="13.8">
      <c r="A174" s="185" t="s">
        <v>811</v>
      </c>
      <c r="B174" s="87"/>
      <c r="C174" s="87"/>
      <c r="D174" s="87"/>
      <c r="E174" s="87"/>
      <c r="F174" s="87"/>
      <c r="G174" s="87"/>
      <c r="H174" s="201"/>
      <c r="I174" s="201"/>
      <c r="J174" s="201"/>
      <c r="K174" s="201"/>
      <c r="L174" s="201"/>
      <c r="M174" s="201"/>
      <c r="N174" s="201"/>
      <c r="O174" s="201"/>
      <c r="P174" s="201"/>
      <c r="Q174" s="201"/>
      <c r="R174" s="201"/>
      <c r="S174" s="201"/>
      <c r="T174" s="201"/>
      <c r="U174" s="201"/>
      <c r="V174" s="201"/>
      <c r="W174" s="201"/>
      <c r="X174" s="201"/>
      <c r="Y174" s="201"/>
      <c r="Z174" s="201"/>
      <c r="AA174" s="201"/>
      <c r="AB174" s="201"/>
      <c r="AC174" s="201"/>
      <c r="AD174" s="201"/>
      <c r="AE174" s="201"/>
      <c r="AF174" s="201"/>
      <c r="AG174" s="201"/>
      <c r="AH174" s="201"/>
      <c r="AI174" s="201"/>
      <c r="AJ174" s="201"/>
      <c r="AK174" s="201"/>
      <c r="AL174" s="201"/>
      <c r="AM174" s="201"/>
      <c r="AN174" s="201"/>
      <c r="AO174" s="201"/>
      <c r="AP174" s="201"/>
      <c r="AQ174" s="201"/>
      <c r="AR174" s="201"/>
      <c r="AS174" s="201"/>
      <c r="AT174" s="201"/>
      <c r="AU174" s="201"/>
      <c r="AV174" s="201"/>
      <c r="AW174" s="201"/>
    </row>
    <row r="175" spans="1:49" s="134" customFormat="1" ht="13.8">
      <c r="A175" s="282" t="s">
        <v>12</v>
      </c>
      <c r="B175" s="87">
        <v>98.21</v>
      </c>
      <c r="C175" s="87">
        <v>99.24</v>
      </c>
      <c r="D175" s="87">
        <v>100</v>
      </c>
      <c r="E175" s="87">
        <v>100</v>
      </c>
      <c r="F175" s="87">
        <v>83.42</v>
      </c>
      <c r="G175" s="87">
        <v>97.87</v>
      </c>
      <c r="H175" s="201"/>
      <c r="I175" s="201"/>
      <c r="J175" s="201"/>
      <c r="K175" s="201"/>
      <c r="L175" s="201"/>
      <c r="M175" s="201"/>
      <c r="N175" s="201"/>
      <c r="O175" s="201"/>
      <c r="P175" s="201"/>
      <c r="Q175" s="201"/>
      <c r="R175" s="201"/>
      <c r="S175" s="201"/>
      <c r="T175" s="201"/>
      <c r="U175" s="201"/>
      <c r="V175" s="201"/>
      <c r="W175" s="201"/>
      <c r="X175" s="201"/>
      <c r="Y175" s="201"/>
      <c r="Z175" s="201"/>
      <c r="AA175" s="201"/>
      <c r="AB175" s="201"/>
      <c r="AC175" s="201"/>
      <c r="AD175" s="201"/>
      <c r="AE175" s="201"/>
      <c r="AF175" s="201"/>
      <c r="AG175" s="201"/>
      <c r="AH175" s="201"/>
      <c r="AI175" s="201"/>
      <c r="AJ175" s="201"/>
      <c r="AK175" s="201"/>
      <c r="AL175" s="201"/>
      <c r="AM175" s="201"/>
      <c r="AN175" s="201"/>
      <c r="AO175" s="201"/>
      <c r="AP175" s="201"/>
      <c r="AQ175" s="201"/>
      <c r="AR175" s="201"/>
      <c r="AS175" s="201"/>
      <c r="AT175" s="201"/>
      <c r="AU175" s="201"/>
      <c r="AV175" s="201"/>
      <c r="AW175" s="201"/>
    </row>
    <row r="176" spans="1:49" s="134" customFormat="1" ht="13.8">
      <c r="A176" s="185" t="s">
        <v>13</v>
      </c>
      <c r="B176" s="87">
        <v>100</v>
      </c>
      <c r="C176" s="87">
        <v>100</v>
      </c>
      <c r="D176" s="87">
        <v>100</v>
      </c>
      <c r="E176" s="87">
        <v>100</v>
      </c>
      <c r="F176" s="87">
        <v>90.71</v>
      </c>
      <c r="G176" s="87">
        <v>96.38</v>
      </c>
      <c r="H176" s="201"/>
      <c r="I176" s="201"/>
      <c r="J176" s="201"/>
      <c r="K176" s="201"/>
      <c r="L176" s="201"/>
      <c r="M176" s="201"/>
      <c r="N176" s="201"/>
      <c r="O176" s="201"/>
      <c r="P176" s="201"/>
      <c r="Q176" s="201"/>
      <c r="R176" s="201"/>
      <c r="S176" s="201"/>
      <c r="T176" s="201"/>
      <c r="U176" s="201"/>
      <c r="V176" s="201"/>
      <c r="W176" s="201"/>
      <c r="X176" s="201"/>
      <c r="Y176" s="201"/>
      <c r="Z176" s="201"/>
      <c r="AA176" s="201"/>
      <c r="AB176" s="201"/>
      <c r="AC176" s="201"/>
      <c r="AD176" s="201"/>
      <c r="AE176" s="201"/>
      <c r="AF176" s="201"/>
      <c r="AG176" s="201"/>
      <c r="AH176" s="201"/>
      <c r="AI176" s="201"/>
      <c r="AJ176" s="201"/>
      <c r="AK176" s="201"/>
      <c r="AL176" s="201"/>
      <c r="AM176" s="201"/>
      <c r="AN176" s="201"/>
      <c r="AO176" s="201"/>
      <c r="AP176" s="201"/>
      <c r="AQ176" s="201"/>
      <c r="AR176" s="201"/>
      <c r="AS176" s="201"/>
      <c r="AT176" s="201"/>
      <c r="AU176" s="201"/>
      <c r="AV176" s="201"/>
      <c r="AW176" s="201"/>
    </row>
    <row r="177" spans="1:49" s="134" customFormat="1" ht="13.8">
      <c r="A177" s="185" t="s">
        <v>14</v>
      </c>
      <c r="B177" s="87">
        <v>99.24</v>
      </c>
      <c r="C177" s="87">
        <v>95.71</v>
      </c>
      <c r="D177" s="87">
        <v>100</v>
      </c>
      <c r="E177" s="87">
        <v>100</v>
      </c>
      <c r="F177" s="87">
        <v>89.47</v>
      </c>
      <c r="G177" s="87">
        <v>96.63</v>
      </c>
      <c r="H177" s="201"/>
      <c r="I177" s="201"/>
      <c r="J177" s="201"/>
      <c r="K177" s="201"/>
      <c r="L177" s="201"/>
      <c r="M177" s="201"/>
      <c r="N177" s="201"/>
      <c r="O177" s="201"/>
      <c r="P177" s="201"/>
      <c r="Q177" s="201"/>
      <c r="R177" s="201"/>
      <c r="S177" s="201"/>
      <c r="T177" s="201"/>
      <c r="U177" s="201"/>
      <c r="V177" s="201"/>
      <c r="W177" s="201"/>
      <c r="X177" s="201"/>
      <c r="Y177" s="201"/>
      <c r="Z177" s="201"/>
      <c r="AA177" s="201"/>
      <c r="AB177" s="201"/>
      <c r="AC177" s="201"/>
      <c r="AD177" s="201"/>
      <c r="AE177" s="201"/>
      <c r="AF177" s="201"/>
      <c r="AG177" s="201"/>
      <c r="AH177" s="201"/>
      <c r="AI177" s="201"/>
      <c r="AJ177" s="201"/>
      <c r="AK177" s="201"/>
      <c r="AL177" s="201"/>
      <c r="AM177" s="201"/>
      <c r="AN177" s="201"/>
      <c r="AO177" s="201"/>
      <c r="AP177" s="201"/>
      <c r="AQ177" s="201"/>
      <c r="AR177" s="201"/>
      <c r="AS177" s="201"/>
      <c r="AT177" s="201"/>
      <c r="AU177" s="201"/>
      <c r="AV177" s="201"/>
      <c r="AW177" s="201"/>
    </row>
    <row r="178" spans="1:49" s="134" customFormat="1" ht="13.8">
      <c r="A178" s="185" t="s">
        <v>15</v>
      </c>
      <c r="B178" s="87">
        <v>100</v>
      </c>
      <c r="C178" s="87">
        <v>100</v>
      </c>
      <c r="D178" s="87">
        <v>99.09</v>
      </c>
      <c r="E178" s="87">
        <v>100</v>
      </c>
      <c r="F178" s="87">
        <v>92.79</v>
      </c>
      <c r="G178" s="87">
        <v>96.55</v>
      </c>
      <c r="H178" s="201"/>
      <c r="I178" s="201"/>
      <c r="J178" s="201"/>
      <c r="K178" s="201"/>
      <c r="L178" s="201"/>
      <c r="M178" s="201"/>
      <c r="N178" s="201"/>
      <c r="O178" s="201"/>
      <c r="P178" s="201"/>
      <c r="Q178" s="201"/>
      <c r="R178" s="201"/>
      <c r="S178" s="201"/>
      <c r="T178" s="201"/>
      <c r="U178" s="201"/>
      <c r="V178" s="201"/>
      <c r="W178" s="201"/>
      <c r="X178" s="201"/>
      <c r="Y178" s="201"/>
      <c r="Z178" s="201"/>
      <c r="AA178" s="201"/>
      <c r="AB178" s="201"/>
      <c r="AC178" s="201"/>
      <c r="AD178" s="201"/>
      <c r="AE178" s="201"/>
      <c r="AF178" s="201"/>
      <c r="AG178" s="201"/>
      <c r="AH178" s="201"/>
      <c r="AI178" s="201"/>
      <c r="AJ178" s="201"/>
      <c r="AK178" s="201"/>
      <c r="AL178" s="201"/>
      <c r="AM178" s="201"/>
      <c r="AN178" s="201"/>
      <c r="AO178" s="201"/>
      <c r="AP178" s="201"/>
      <c r="AQ178" s="201"/>
      <c r="AR178" s="201"/>
      <c r="AS178" s="201"/>
      <c r="AT178" s="201"/>
      <c r="AU178" s="201"/>
      <c r="AV178" s="201"/>
      <c r="AW178" s="201"/>
    </row>
    <row r="179" spans="1:49" s="134" customFormat="1" ht="13.8">
      <c r="A179" s="185" t="s">
        <v>16</v>
      </c>
      <c r="B179" s="87">
        <v>88.16</v>
      </c>
      <c r="C179" s="87">
        <v>98.68</v>
      </c>
      <c r="D179" s="87">
        <v>88.73</v>
      </c>
      <c r="E179" s="87">
        <v>95.65</v>
      </c>
      <c r="F179" s="87">
        <v>76.53</v>
      </c>
      <c r="G179" s="87">
        <v>100</v>
      </c>
      <c r="H179" s="201"/>
      <c r="I179" s="201"/>
      <c r="J179" s="201"/>
      <c r="K179" s="201"/>
      <c r="L179" s="201"/>
      <c r="M179" s="201"/>
      <c r="N179" s="201"/>
      <c r="O179" s="201"/>
      <c r="P179" s="201"/>
      <c r="Q179" s="201"/>
      <c r="R179" s="201"/>
      <c r="S179" s="201"/>
      <c r="T179" s="201"/>
      <c r="U179" s="201"/>
      <c r="V179" s="201"/>
      <c r="W179" s="201"/>
      <c r="X179" s="201"/>
      <c r="Y179" s="201"/>
      <c r="Z179" s="201"/>
      <c r="AA179" s="201"/>
      <c r="AB179" s="201"/>
      <c r="AC179" s="201"/>
      <c r="AD179" s="201"/>
      <c r="AE179" s="201"/>
      <c r="AF179" s="201"/>
      <c r="AG179" s="201"/>
      <c r="AH179" s="201"/>
      <c r="AI179" s="201"/>
      <c r="AJ179" s="201"/>
      <c r="AK179" s="201"/>
      <c r="AL179" s="201"/>
      <c r="AM179" s="201"/>
      <c r="AN179" s="201"/>
      <c r="AO179" s="201"/>
      <c r="AP179" s="201"/>
      <c r="AQ179" s="201"/>
      <c r="AR179" s="201"/>
      <c r="AS179" s="201"/>
      <c r="AT179" s="201"/>
      <c r="AU179" s="201"/>
      <c r="AV179" s="201"/>
      <c r="AW179" s="201"/>
    </row>
    <row r="180" spans="1:49" s="134" customFormat="1" ht="18" customHeight="1">
      <c r="A180" s="185" t="s">
        <v>17</v>
      </c>
      <c r="B180" s="87"/>
      <c r="C180" s="87"/>
      <c r="D180" s="87">
        <v>99.15</v>
      </c>
      <c r="E180" s="87">
        <v>100</v>
      </c>
      <c r="F180" s="87">
        <v>96.77</v>
      </c>
      <c r="G180" s="87">
        <v>100</v>
      </c>
      <c r="H180" s="201"/>
      <c r="I180" s="201"/>
      <c r="J180" s="201"/>
      <c r="K180" s="201"/>
      <c r="L180" s="201"/>
      <c r="M180" s="201"/>
      <c r="N180" s="201"/>
      <c r="O180" s="201"/>
      <c r="P180" s="201"/>
      <c r="Q180" s="201"/>
      <c r="R180" s="201"/>
      <c r="S180" s="201"/>
      <c r="T180" s="201"/>
      <c r="U180" s="201"/>
      <c r="V180" s="201"/>
      <c r="W180" s="201"/>
      <c r="X180" s="201"/>
      <c r="Y180" s="201"/>
      <c r="Z180" s="201"/>
      <c r="AA180" s="201"/>
      <c r="AB180" s="201"/>
      <c r="AC180" s="201"/>
      <c r="AD180" s="201"/>
      <c r="AE180" s="201"/>
      <c r="AF180" s="201"/>
      <c r="AG180" s="201"/>
      <c r="AH180" s="201"/>
      <c r="AI180" s="201"/>
      <c r="AJ180" s="201"/>
      <c r="AK180" s="201"/>
      <c r="AL180" s="201"/>
      <c r="AM180" s="201"/>
      <c r="AN180" s="201"/>
      <c r="AO180" s="201"/>
      <c r="AP180" s="201"/>
      <c r="AQ180" s="201"/>
      <c r="AR180" s="201"/>
      <c r="AS180" s="201"/>
      <c r="AT180" s="201"/>
      <c r="AU180" s="201"/>
      <c r="AV180" s="201"/>
      <c r="AW180" s="201"/>
    </row>
    <row r="181" spans="1:49" s="134" customFormat="1" ht="18" customHeight="1">
      <c r="A181" s="254" t="s">
        <v>18</v>
      </c>
      <c r="B181" s="276">
        <f t="shared" ref="B181:G181" si="5">IFERROR(AVERAGE(B167:B180),"")</f>
        <v>97.122</v>
      </c>
      <c r="C181" s="276">
        <f t="shared" si="5"/>
        <v>98.725999999999999</v>
      </c>
      <c r="D181" s="276">
        <f t="shared" si="5"/>
        <v>97.828333333333333</v>
      </c>
      <c r="E181" s="276">
        <f t="shared" si="5"/>
        <v>99.274999999999991</v>
      </c>
      <c r="F181" s="276">
        <f t="shared" si="5"/>
        <v>88.28166666666668</v>
      </c>
      <c r="G181" s="276">
        <f t="shared" si="5"/>
        <v>97.905000000000015</v>
      </c>
      <c r="H181" s="201"/>
      <c r="I181" s="201"/>
      <c r="J181" s="201"/>
      <c r="K181" s="201"/>
      <c r="L181" s="201"/>
      <c r="M181" s="201"/>
      <c r="N181" s="201"/>
      <c r="O181" s="201"/>
      <c r="P181" s="201"/>
      <c r="Q181" s="201"/>
      <c r="R181" s="201"/>
      <c r="S181" s="201"/>
      <c r="T181" s="201"/>
      <c r="U181" s="201"/>
      <c r="V181" s="201"/>
      <c r="W181" s="201"/>
      <c r="X181" s="201"/>
      <c r="Y181" s="201"/>
      <c r="Z181" s="201"/>
      <c r="AA181" s="201"/>
      <c r="AB181" s="201"/>
      <c r="AC181" s="201"/>
      <c r="AD181" s="201"/>
      <c r="AE181" s="201"/>
      <c r="AF181" s="201"/>
      <c r="AG181" s="201"/>
      <c r="AH181" s="201"/>
      <c r="AI181" s="201"/>
      <c r="AJ181" s="201"/>
      <c r="AK181" s="201"/>
      <c r="AL181" s="201"/>
      <c r="AM181" s="201"/>
      <c r="AN181" s="201"/>
      <c r="AO181" s="201"/>
      <c r="AP181" s="201"/>
      <c r="AQ181" s="201"/>
      <c r="AR181" s="201"/>
      <c r="AS181" s="201"/>
      <c r="AT181" s="201"/>
      <c r="AU181" s="201"/>
      <c r="AV181" s="201"/>
      <c r="AW181" s="201"/>
    </row>
    <row r="182" spans="1:49" s="134" customFormat="1" ht="3.75" customHeight="1">
      <c r="A182" s="201"/>
      <c r="B182" s="201"/>
      <c r="C182" s="201"/>
      <c r="D182" s="201"/>
      <c r="E182" s="201"/>
      <c r="F182" s="201"/>
      <c r="G182" s="201"/>
      <c r="H182" s="201"/>
      <c r="I182" s="201"/>
      <c r="J182" s="201"/>
      <c r="K182" s="201"/>
      <c r="L182" s="201"/>
      <c r="M182" s="201"/>
      <c r="N182" s="201"/>
      <c r="O182" s="201"/>
      <c r="P182" s="201"/>
      <c r="Q182" s="201"/>
      <c r="R182" s="201"/>
      <c r="S182" s="201"/>
      <c r="T182" s="201"/>
      <c r="U182" s="201"/>
      <c r="V182" s="201"/>
      <c r="W182" s="201"/>
      <c r="X182" s="201"/>
      <c r="Y182" s="201"/>
      <c r="Z182" s="201"/>
      <c r="AA182" s="201"/>
      <c r="AB182" s="201"/>
      <c r="AC182" s="201"/>
      <c r="AD182" s="201"/>
      <c r="AE182" s="201"/>
      <c r="AF182" s="201"/>
      <c r="AG182" s="201"/>
      <c r="AH182" s="201"/>
      <c r="AI182" s="201"/>
      <c r="AJ182" s="201"/>
      <c r="AK182" s="201"/>
      <c r="AL182" s="201"/>
      <c r="AM182" s="201"/>
      <c r="AN182" s="201"/>
      <c r="AO182" s="201"/>
      <c r="AP182" s="201"/>
      <c r="AQ182" s="201"/>
      <c r="AR182" s="201"/>
      <c r="AS182" s="201"/>
      <c r="AT182" s="201"/>
      <c r="AU182" s="201"/>
      <c r="AV182" s="201"/>
      <c r="AW182" s="201"/>
    </row>
    <row r="183" spans="1:49" s="168" customFormat="1" ht="21.75" customHeight="1">
      <c r="A183" s="842" t="s">
        <v>769</v>
      </c>
      <c r="B183" s="842"/>
      <c r="C183" s="842"/>
      <c r="D183" s="842"/>
      <c r="E183" s="842"/>
      <c r="F183" s="842"/>
      <c r="G183" s="842"/>
      <c r="H183" s="213"/>
      <c r="I183" s="201"/>
      <c r="J183" s="201"/>
      <c r="K183" s="201"/>
      <c r="L183" s="201"/>
      <c r="M183" s="201"/>
      <c r="N183" s="201"/>
      <c r="O183" s="201"/>
      <c r="P183" s="201"/>
      <c r="Q183" s="201"/>
      <c r="R183" s="201"/>
      <c r="S183" s="201"/>
      <c r="T183" s="201"/>
      <c r="U183" s="201"/>
      <c r="V183" s="201"/>
      <c r="W183" s="201"/>
      <c r="X183" s="201"/>
      <c r="Y183" s="201"/>
      <c r="Z183" s="201"/>
      <c r="AA183" s="201"/>
      <c r="AB183" s="201"/>
      <c r="AC183" s="201"/>
      <c r="AD183" s="201"/>
      <c r="AE183" s="201"/>
      <c r="AF183" s="201"/>
      <c r="AG183" s="201"/>
      <c r="AH183" s="201"/>
      <c r="AI183" s="201"/>
      <c r="AJ183" s="201"/>
      <c r="AK183" s="201"/>
      <c r="AL183" s="201"/>
      <c r="AM183" s="201"/>
      <c r="AN183" s="201"/>
      <c r="AO183" s="201"/>
      <c r="AP183" s="201"/>
      <c r="AQ183" s="201"/>
      <c r="AR183" s="201"/>
      <c r="AS183" s="201"/>
      <c r="AT183" s="201"/>
      <c r="AU183" s="201"/>
      <c r="AV183" s="201"/>
      <c r="AW183" s="201"/>
    </row>
    <row r="184" spans="1:49" s="168" customFormat="1" ht="16.5" customHeight="1">
      <c r="A184" s="757"/>
      <c r="B184" s="757"/>
      <c r="C184" s="757"/>
      <c r="D184" s="757"/>
      <c r="E184" s="757"/>
      <c r="F184" s="757"/>
      <c r="G184" s="757"/>
      <c r="H184" s="213"/>
      <c r="I184" s="213"/>
      <c r="J184" s="213"/>
      <c r="K184" s="201"/>
      <c r="L184" s="201"/>
      <c r="M184" s="201"/>
      <c r="N184" s="201"/>
      <c r="O184" s="201"/>
      <c r="P184" s="201"/>
      <c r="Q184" s="201"/>
      <c r="R184" s="201"/>
      <c r="S184" s="201"/>
      <c r="T184" s="201"/>
      <c r="U184" s="201"/>
      <c r="V184" s="201"/>
      <c r="W184" s="201"/>
      <c r="X184" s="201"/>
      <c r="Y184" s="201"/>
      <c r="Z184" s="201"/>
      <c r="AA184" s="201"/>
      <c r="AB184" s="201"/>
      <c r="AC184" s="201"/>
      <c r="AD184" s="201"/>
      <c r="AE184" s="201"/>
      <c r="AF184" s="201"/>
      <c r="AG184" s="201"/>
      <c r="AH184" s="201"/>
      <c r="AI184" s="201"/>
      <c r="AJ184" s="201"/>
      <c r="AK184" s="201"/>
      <c r="AL184" s="201"/>
      <c r="AM184" s="201"/>
      <c r="AN184" s="201"/>
      <c r="AO184" s="201"/>
      <c r="AP184" s="201"/>
      <c r="AQ184" s="201"/>
      <c r="AR184" s="201"/>
      <c r="AS184" s="201"/>
      <c r="AT184" s="201"/>
      <c r="AU184" s="201"/>
      <c r="AV184" s="201"/>
      <c r="AW184" s="201"/>
    </row>
    <row r="185" spans="1:49" s="168" customFormat="1" ht="15.75" customHeight="1">
      <c r="A185" s="742" t="s">
        <v>2</v>
      </c>
      <c r="B185" s="742"/>
      <c r="C185" s="743" t="s">
        <v>26</v>
      </c>
      <c r="D185" s="743"/>
      <c r="E185" s="743"/>
      <c r="F185" s="744" t="str">
        <f>IF(C11="","",C11)</f>
        <v>2016-2017</v>
      </c>
      <c r="G185" s="744"/>
      <c r="H185" s="201"/>
      <c r="I185" s="201"/>
      <c r="J185" s="201"/>
      <c r="K185" s="201"/>
      <c r="L185" s="201"/>
      <c r="M185" s="201"/>
      <c r="N185" s="201"/>
      <c r="O185" s="201"/>
      <c r="P185" s="201"/>
      <c r="Q185" s="201"/>
      <c r="R185" s="201"/>
      <c r="S185" s="201"/>
      <c r="T185" s="201"/>
      <c r="U185" s="201"/>
      <c r="V185" s="201"/>
      <c r="W185" s="201"/>
      <c r="X185" s="201"/>
      <c r="Y185" s="201"/>
      <c r="Z185" s="201"/>
      <c r="AA185" s="201"/>
      <c r="AB185" s="201"/>
      <c r="AC185" s="201"/>
      <c r="AD185" s="201"/>
      <c r="AE185" s="201"/>
      <c r="AF185" s="201"/>
      <c r="AG185" s="201"/>
      <c r="AH185" s="201"/>
      <c r="AI185" s="201"/>
      <c r="AJ185" s="201"/>
      <c r="AK185" s="201"/>
      <c r="AL185" s="201"/>
      <c r="AM185" s="201"/>
      <c r="AN185" s="201"/>
      <c r="AO185" s="201"/>
      <c r="AP185" s="201"/>
      <c r="AQ185" s="201"/>
      <c r="AR185" s="201"/>
      <c r="AS185" s="201"/>
      <c r="AT185" s="201"/>
      <c r="AU185" s="201"/>
      <c r="AV185" s="201"/>
      <c r="AW185" s="201"/>
    </row>
    <row r="186" spans="1:49" s="168" customFormat="1" ht="15.75" customHeight="1">
      <c r="A186" s="742"/>
      <c r="B186" s="742"/>
      <c r="C186" s="263" t="s">
        <v>52</v>
      </c>
      <c r="D186" s="263" t="s">
        <v>53</v>
      </c>
      <c r="E186" s="263" t="s">
        <v>54</v>
      </c>
      <c r="F186" s="263" t="s">
        <v>55</v>
      </c>
      <c r="G186" s="263" t="s">
        <v>83</v>
      </c>
      <c r="H186" s="201"/>
      <c r="I186" s="201"/>
      <c r="J186" s="201"/>
      <c r="K186" s="201"/>
      <c r="L186" s="201"/>
      <c r="M186" s="201"/>
      <c r="N186" s="201"/>
      <c r="O186" s="201"/>
      <c r="P186" s="201"/>
      <c r="Q186" s="201"/>
      <c r="R186" s="201"/>
      <c r="S186" s="201"/>
      <c r="T186" s="201"/>
      <c r="U186" s="201"/>
      <c r="V186" s="201"/>
      <c r="W186" s="201"/>
      <c r="X186" s="201"/>
      <c r="Y186" s="201"/>
      <c r="Z186" s="201"/>
      <c r="AA186" s="201"/>
      <c r="AB186" s="201"/>
      <c r="AC186" s="201"/>
      <c r="AD186" s="201"/>
      <c r="AE186" s="201"/>
      <c r="AF186" s="201"/>
      <c r="AG186" s="201"/>
      <c r="AH186" s="201"/>
      <c r="AI186" s="201"/>
      <c r="AJ186" s="201"/>
      <c r="AK186" s="201"/>
      <c r="AL186" s="201"/>
      <c r="AM186" s="201"/>
      <c r="AN186" s="201"/>
      <c r="AO186" s="201"/>
      <c r="AP186" s="201"/>
      <c r="AQ186" s="201"/>
      <c r="AR186" s="201"/>
      <c r="AS186" s="201"/>
      <c r="AT186" s="201"/>
      <c r="AU186" s="201"/>
      <c r="AV186" s="201"/>
      <c r="AW186" s="201"/>
    </row>
    <row r="187" spans="1:49" s="168" customFormat="1" ht="15.6">
      <c r="A187" s="701" t="s">
        <v>8</v>
      </c>
      <c r="B187" s="701"/>
      <c r="C187" s="245"/>
      <c r="D187" s="245"/>
      <c r="E187" s="245"/>
      <c r="F187" s="245"/>
      <c r="G187" s="245"/>
      <c r="H187" s="201"/>
      <c r="I187" s="201"/>
      <c r="J187" s="201"/>
      <c r="K187" s="201"/>
      <c r="L187" s="201"/>
      <c r="M187" s="201"/>
      <c r="N187" s="201"/>
      <c r="O187" s="201"/>
      <c r="P187" s="201"/>
      <c r="Q187" s="201"/>
      <c r="R187" s="201"/>
      <c r="S187" s="201"/>
      <c r="T187" s="201"/>
      <c r="U187" s="201"/>
      <c r="V187" s="201"/>
      <c r="W187" s="201"/>
      <c r="X187" s="201"/>
      <c r="Y187" s="201"/>
      <c r="Z187" s="201"/>
      <c r="AA187" s="201"/>
      <c r="AB187" s="201"/>
      <c r="AC187" s="201"/>
      <c r="AD187" s="201"/>
      <c r="AE187" s="201"/>
      <c r="AF187" s="201"/>
      <c r="AG187" s="201"/>
      <c r="AH187" s="201"/>
      <c r="AI187" s="201"/>
      <c r="AJ187" s="201"/>
      <c r="AK187" s="201"/>
      <c r="AL187" s="201"/>
      <c r="AM187" s="201"/>
      <c r="AN187" s="201"/>
      <c r="AO187" s="201"/>
      <c r="AP187" s="201"/>
      <c r="AQ187" s="201"/>
      <c r="AR187" s="201"/>
      <c r="AS187" s="201"/>
      <c r="AT187" s="201"/>
      <c r="AU187" s="201"/>
      <c r="AV187" s="201"/>
      <c r="AW187" s="201"/>
    </row>
    <row r="188" spans="1:49" s="168" customFormat="1" ht="15.6">
      <c r="A188" s="701" t="s">
        <v>11</v>
      </c>
      <c r="B188" s="701"/>
      <c r="C188" s="245"/>
      <c r="D188" s="245"/>
      <c r="E188" s="245"/>
      <c r="F188" s="245"/>
      <c r="G188" s="245"/>
      <c r="H188" s="201"/>
      <c r="I188" s="201"/>
      <c r="J188" s="212"/>
      <c r="K188" s="201"/>
      <c r="L188" s="201"/>
      <c r="M188" s="201"/>
      <c r="N188" s="201"/>
      <c r="O188" s="201"/>
      <c r="P188" s="201"/>
      <c r="Q188" s="201"/>
      <c r="R188" s="201"/>
      <c r="S188" s="201"/>
      <c r="T188" s="201"/>
      <c r="U188" s="201"/>
      <c r="V188" s="201"/>
      <c r="W188" s="201"/>
      <c r="X188" s="201"/>
      <c r="Y188" s="201"/>
      <c r="Z188" s="201"/>
      <c r="AA188" s="201"/>
      <c r="AB188" s="201"/>
      <c r="AC188" s="201"/>
      <c r="AD188" s="201"/>
      <c r="AE188" s="201"/>
      <c r="AF188" s="201"/>
      <c r="AG188" s="201"/>
      <c r="AH188" s="201"/>
      <c r="AI188" s="201"/>
      <c r="AJ188" s="201"/>
      <c r="AK188" s="201"/>
      <c r="AL188" s="201"/>
      <c r="AM188" s="201"/>
      <c r="AN188" s="201"/>
      <c r="AO188" s="201"/>
      <c r="AP188" s="201"/>
      <c r="AQ188" s="201"/>
      <c r="AR188" s="201"/>
      <c r="AS188" s="201"/>
      <c r="AT188" s="201"/>
      <c r="AU188" s="201"/>
      <c r="AV188" s="201"/>
      <c r="AW188" s="201"/>
    </row>
    <row r="189" spans="1:49" s="168" customFormat="1" ht="15.6">
      <c r="A189" s="701" t="s">
        <v>13</v>
      </c>
      <c r="B189" s="701"/>
      <c r="C189" s="245"/>
      <c r="D189" s="245"/>
      <c r="E189" s="245"/>
      <c r="F189" s="245"/>
      <c r="G189" s="245"/>
      <c r="H189" s="201"/>
      <c r="I189" s="201"/>
      <c r="J189" s="201"/>
      <c r="K189" s="201"/>
      <c r="L189" s="201"/>
      <c r="M189" s="201"/>
      <c r="N189" s="201"/>
      <c r="O189" s="201"/>
      <c r="P189" s="201"/>
      <c r="Q189" s="201"/>
      <c r="R189" s="201"/>
      <c r="S189" s="201"/>
      <c r="T189" s="201"/>
      <c r="U189" s="201"/>
      <c r="V189" s="201"/>
      <c r="W189" s="201"/>
      <c r="X189" s="201"/>
      <c r="Y189" s="201"/>
      <c r="Z189" s="201"/>
      <c r="AA189" s="201"/>
      <c r="AB189" s="201"/>
      <c r="AC189" s="201"/>
      <c r="AD189" s="201"/>
      <c r="AE189" s="201"/>
      <c r="AF189" s="201"/>
      <c r="AG189" s="201"/>
      <c r="AH189" s="201"/>
      <c r="AI189" s="201"/>
      <c r="AJ189" s="201"/>
      <c r="AK189" s="201"/>
      <c r="AL189" s="201"/>
      <c r="AM189" s="201"/>
      <c r="AN189" s="201"/>
      <c r="AO189" s="201"/>
      <c r="AP189" s="201"/>
      <c r="AQ189" s="201"/>
      <c r="AR189" s="201"/>
      <c r="AS189" s="201"/>
      <c r="AT189" s="201"/>
      <c r="AU189" s="201"/>
      <c r="AV189" s="201"/>
      <c r="AW189" s="201"/>
    </row>
    <row r="190" spans="1:49" s="168" customFormat="1" ht="15.6">
      <c r="A190" s="701" t="s">
        <v>15</v>
      </c>
      <c r="B190" s="701"/>
      <c r="C190" s="245"/>
      <c r="D190" s="245"/>
      <c r="E190" s="245"/>
      <c r="F190" s="245"/>
      <c r="G190" s="245"/>
      <c r="H190" s="201"/>
      <c r="I190" s="201"/>
      <c r="J190" s="201"/>
      <c r="K190" s="201"/>
      <c r="L190" s="201"/>
      <c r="M190" s="201"/>
      <c r="N190" s="201"/>
      <c r="O190" s="201"/>
      <c r="P190" s="201"/>
      <c r="Q190" s="201"/>
      <c r="R190" s="201"/>
      <c r="S190" s="201"/>
      <c r="T190" s="201"/>
      <c r="U190" s="201"/>
      <c r="V190" s="201"/>
      <c r="W190" s="201"/>
      <c r="X190" s="201"/>
      <c r="Y190" s="201"/>
      <c r="Z190" s="201"/>
      <c r="AA190" s="201"/>
      <c r="AB190" s="201"/>
      <c r="AC190" s="201"/>
      <c r="AD190" s="201"/>
      <c r="AE190" s="201"/>
      <c r="AF190" s="201"/>
      <c r="AG190" s="201"/>
      <c r="AH190" s="201"/>
      <c r="AI190" s="201"/>
      <c r="AJ190" s="201"/>
      <c r="AK190" s="201"/>
      <c r="AL190" s="201"/>
      <c r="AM190" s="201"/>
      <c r="AN190" s="201"/>
      <c r="AO190" s="201"/>
      <c r="AP190" s="201"/>
      <c r="AQ190" s="201"/>
      <c r="AR190" s="201"/>
      <c r="AS190" s="201"/>
      <c r="AT190" s="201"/>
      <c r="AU190" s="201"/>
      <c r="AV190" s="201"/>
      <c r="AW190" s="201"/>
    </row>
    <row r="191" spans="1:49" s="168" customFormat="1" ht="15.6">
      <c r="A191" s="742" t="s">
        <v>100</v>
      </c>
      <c r="B191" s="742"/>
      <c r="C191" s="248" t="str">
        <f>IF(COUNT(C187:C190)&gt;0,AVERAGE(C187:C190),"")</f>
        <v/>
      </c>
      <c r="D191" s="248" t="str">
        <f>IF(COUNT(D187:D190)&gt;0,AVERAGE(D187:D190),"")</f>
        <v/>
      </c>
      <c r="E191" s="248" t="str">
        <f>IF(COUNT(E187:E190)&gt;0,AVERAGE(E187:E190),"")</f>
        <v/>
      </c>
      <c r="F191" s="248" t="str">
        <f>IF(COUNT(F187:F190)&gt;0,AVERAGE(F187:F190),"")</f>
        <v/>
      </c>
      <c r="G191" s="248" t="str">
        <f>IF(COUNT(G187:G190)&gt;0,AVERAGE(G187:G190),"")</f>
        <v/>
      </c>
      <c r="H191" s="201"/>
      <c r="I191" s="201"/>
      <c r="J191" s="201"/>
      <c r="K191" s="201"/>
      <c r="L191" s="201"/>
      <c r="M191" s="201"/>
      <c r="N191" s="201"/>
      <c r="O191" s="201"/>
      <c r="P191" s="201"/>
      <c r="Q191" s="201"/>
      <c r="R191" s="201"/>
      <c r="S191" s="201"/>
      <c r="T191" s="201"/>
      <c r="U191" s="201"/>
      <c r="V191" s="201"/>
      <c r="W191" s="201"/>
      <c r="X191" s="201"/>
      <c r="Y191" s="201"/>
      <c r="Z191" s="201"/>
      <c r="AA191" s="201"/>
      <c r="AB191" s="201"/>
      <c r="AC191" s="201"/>
      <c r="AD191" s="201"/>
      <c r="AE191" s="201"/>
      <c r="AF191" s="201"/>
      <c r="AG191" s="201"/>
      <c r="AH191" s="201"/>
      <c r="AI191" s="201"/>
      <c r="AJ191" s="201"/>
      <c r="AK191" s="201"/>
      <c r="AL191" s="201"/>
      <c r="AM191" s="201"/>
      <c r="AN191" s="201"/>
      <c r="AO191" s="201"/>
      <c r="AP191" s="201"/>
      <c r="AQ191" s="201"/>
      <c r="AR191" s="201"/>
      <c r="AS191" s="201"/>
      <c r="AT191" s="201"/>
      <c r="AU191" s="201"/>
      <c r="AV191" s="201"/>
      <c r="AW191" s="201"/>
    </row>
    <row r="192" spans="1:49" s="168" customFormat="1" ht="15.75" customHeight="1">
      <c r="A192" s="742" t="s">
        <v>2</v>
      </c>
      <c r="B192" s="742"/>
      <c r="C192" s="743" t="s">
        <v>49</v>
      </c>
      <c r="D192" s="743"/>
      <c r="E192" s="743"/>
      <c r="F192" s="744" t="str">
        <f>IF(E11="","",E11)</f>
        <v>2017-2018</v>
      </c>
      <c r="G192" s="744"/>
      <c r="H192" s="201"/>
      <c r="I192" s="201"/>
      <c r="J192" s="201"/>
      <c r="K192" s="201"/>
      <c r="L192" s="201"/>
      <c r="M192" s="201"/>
      <c r="N192" s="201"/>
      <c r="O192" s="201"/>
      <c r="P192" s="201"/>
      <c r="Q192" s="201"/>
      <c r="R192" s="201"/>
      <c r="S192" s="201"/>
      <c r="T192" s="201"/>
      <c r="U192" s="201"/>
      <c r="V192" s="201"/>
      <c r="W192" s="201"/>
      <c r="X192" s="201"/>
      <c r="Y192" s="201"/>
      <c r="Z192" s="201"/>
      <c r="AA192" s="201"/>
      <c r="AB192" s="201"/>
      <c r="AC192" s="201"/>
      <c r="AD192" s="201"/>
      <c r="AE192" s="201"/>
      <c r="AF192" s="201"/>
      <c r="AG192" s="201"/>
      <c r="AH192" s="201"/>
      <c r="AI192" s="201"/>
      <c r="AJ192" s="201"/>
      <c r="AK192" s="201"/>
      <c r="AL192" s="201"/>
      <c r="AM192" s="201"/>
      <c r="AN192" s="201"/>
      <c r="AO192" s="201"/>
      <c r="AP192" s="201"/>
      <c r="AQ192" s="201"/>
      <c r="AR192" s="201"/>
      <c r="AS192" s="201"/>
      <c r="AT192" s="201"/>
      <c r="AU192" s="201"/>
      <c r="AV192" s="201"/>
      <c r="AW192" s="201"/>
    </row>
    <row r="193" spans="1:49" s="168" customFormat="1" ht="15.75" customHeight="1">
      <c r="A193" s="742"/>
      <c r="B193" s="742"/>
      <c r="C193" s="263" t="s">
        <v>52</v>
      </c>
      <c r="D193" s="263" t="s">
        <v>53</v>
      </c>
      <c r="E193" s="263" t="s">
        <v>54</v>
      </c>
      <c r="F193" s="263" t="s">
        <v>55</v>
      </c>
      <c r="G193" s="263" t="s">
        <v>83</v>
      </c>
      <c r="H193" s="201"/>
      <c r="I193" s="201"/>
      <c r="J193" s="201"/>
      <c r="K193" s="201"/>
      <c r="L193" s="201"/>
      <c r="M193" s="201"/>
      <c r="N193" s="201"/>
      <c r="O193" s="201"/>
      <c r="P193" s="201"/>
      <c r="Q193" s="201"/>
      <c r="R193" s="201"/>
      <c r="S193" s="201"/>
      <c r="T193" s="201"/>
      <c r="U193" s="201"/>
      <c r="V193" s="201"/>
      <c r="W193" s="201"/>
      <c r="X193" s="201"/>
      <c r="Y193" s="201"/>
      <c r="Z193" s="201"/>
      <c r="AA193" s="201"/>
      <c r="AB193" s="201"/>
      <c r="AC193" s="201"/>
      <c r="AD193" s="201"/>
      <c r="AE193" s="201"/>
      <c r="AF193" s="201"/>
      <c r="AG193" s="201"/>
      <c r="AH193" s="201"/>
      <c r="AI193" s="201"/>
      <c r="AJ193" s="201"/>
      <c r="AK193" s="201"/>
      <c r="AL193" s="201"/>
      <c r="AM193" s="201"/>
      <c r="AN193" s="201"/>
      <c r="AO193" s="201"/>
      <c r="AP193" s="201"/>
      <c r="AQ193" s="201"/>
      <c r="AR193" s="201"/>
      <c r="AS193" s="201"/>
      <c r="AT193" s="201"/>
      <c r="AU193" s="201"/>
      <c r="AV193" s="201"/>
      <c r="AW193" s="201"/>
    </row>
    <row r="194" spans="1:49" s="168" customFormat="1" ht="15.6">
      <c r="A194" s="701" t="s">
        <v>8</v>
      </c>
      <c r="B194" s="701"/>
      <c r="C194" s="245"/>
      <c r="D194" s="245"/>
      <c r="E194" s="245"/>
      <c r="F194" s="245"/>
      <c r="G194" s="245"/>
      <c r="H194" s="201"/>
      <c r="I194" s="201"/>
      <c r="J194" s="201"/>
      <c r="K194" s="201"/>
      <c r="L194" s="201"/>
      <c r="M194" s="201"/>
      <c r="N194" s="201"/>
      <c r="O194" s="201"/>
      <c r="P194" s="201"/>
      <c r="Q194" s="201"/>
      <c r="R194" s="201"/>
      <c r="S194" s="201"/>
      <c r="T194" s="201"/>
      <c r="U194" s="201"/>
      <c r="V194" s="201"/>
      <c r="W194" s="201"/>
      <c r="X194" s="201"/>
      <c r="Y194" s="201"/>
      <c r="Z194" s="201"/>
      <c r="AA194" s="201"/>
      <c r="AB194" s="201"/>
      <c r="AC194" s="201"/>
      <c r="AD194" s="201"/>
      <c r="AE194" s="201"/>
      <c r="AF194" s="201"/>
      <c r="AG194" s="201"/>
      <c r="AH194" s="201"/>
      <c r="AI194" s="201"/>
      <c r="AJ194" s="201"/>
      <c r="AK194" s="201"/>
      <c r="AL194" s="201"/>
      <c r="AM194" s="201"/>
      <c r="AN194" s="201"/>
      <c r="AO194" s="201"/>
      <c r="AP194" s="201"/>
      <c r="AQ194" s="201"/>
      <c r="AR194" s="201"/>
      <c r="AS194" s="201"/>
      <c r="AT194" s="201"/>
      <c r="AU194" s="201"/>
      <c r="AV194" s="201"/>
      <c r="AW194" s="201"/>
    </row>
    <row r="195" spans="1:49" s="168" customFormat="1" ht="15.6">
      <c r="A195" s="701" t="s">
        <v>11</v>
      </c>
      <c r="B195" s="701"/>
      <c r="C195" s="245"/>
      <c r="D195" s="245"/>
      <c r="E195" s="245"/>
      <c r="F195" s="245"/>
      <c r="G195" s="245"/>
      <c r="H195" s="201"/>
      <c r="I195" s="201"/>
      <c r="J195" s="201"/>
      <c r="K195" s="201"/>
      <c r="L195" s="201"/>
      <c r="M195" s="201"/>
      <c r="N195" s="201"/>
      <c r="O195" s="201"/>
      <c r="P195" s="201"/>
      <c r="Q195" s="201"/>
      <c r="R195" s="201"/>
      <c r="S195" s="201"/>
      <c r="T195" s="201"/>
      <c r="U195" s="201"/>
      <c r="V195" s="201"/>
      <c r="W195" s="201"/>
      <c r="X195" s="201"/>
      <c r="Y195" s="201"/>
      <c r="Z195" s="201"/>
      <c r="AA195" s="201"/>
      <c r="AB195" s="201"/>
      <c r="AC195" s="201"/>
      <c r="AD195" s="201"/>
      <c r="AE195" s="201"/>
      <c r="AF195" s="201"/>
      <c r="AG195" s="201"/>
      <c r="AH195" s="201"/>
      <c r="AI195" s="201"/>
      <c r="AJ195" s="201"/>
      <c r="AK195" s="201"/>
      <c r="AL195" s="201"/>
      <c r="AM195" s="201"/>
      <c r="AN195" s="201"/>
      <c r="AO195" s="201"/>
      <c r="AP195" s="201"/>
      <c r="AQ195" s="201"/>
      <c r="AR195" s="201"/>
      <c r="AS195" s="201"/>
      <c r="AT195" s="201"/>
      <c r="AU195" s="201"/>
      <c r="AV195" s="201"/>
      <c r="AW195" s="201"/>
    </row>
    <row r="196" spans="1:49" s="168" customFormat="1" ht="15.6">
      <c r="A196" s="701" t="s">
        <v>13</v>
      </c>
      <c r="B196" s="701"/>
      <c r="C196" s="245"/>
      <c r="D196" s="245"/>
      <c r="E196" s="245"/>
      <c r="F196" s="245"/>
      <c r="G196" s="245"/>
      <c r="H196" s="201"/>
      <c r="I196" s="201"/>
      <c r="J196" s="201"/>
      <c r="K196" s="201"/>
      <c r="L196" s="201"/>
      <c r="M196" s="201"/>
      <c r="N196" s="201"/>
      <c r="O196" s="201"/>
      <c r="P196" s="201"/>
      <c r="Q196" s="201"/>
      <c r="R196" s="201"/>
      <c r="S196" s="201"/>
      <c r="T196" s="201"/>
      <c r="U196" s="201"/>
      <c r="V196" s="201"/>
      <c r="W196" s="201"/>
      <c r="X196" s="201"/>
      <c r="Y196" s="201"/>
      <c r="Z196" s="201"/>
      <c r="AA196" s="201"/>
      <c r="AB196" s="201"/>
      <c r="AC196" s="201"/>
      <c r="AD196" s="201"/>
      <c r="AE196" s="201"/>
      <c r="AF196" s="201"/>
      <c r="AG196" s="201"/>
      <c r="AH196" s="201"/>
      <c r="AI196" s="201"/>
      <c r="AJ196" s="201"/>
      <c r="AK196" s="201"/>
      <c r="AL196" s="201"/>
      <c r="AM196" s="201"/>
      <c r="AN196" s="201"/>
      <c r="AO196" s="201"/>
      <c r="AP196" s="201"/>
      <c r="AQ196" s="201"/>
      <c r="AR196" s="201"/>
      <c r="AS196" s="201"/>
      <c r="AT196" s="201"/>
      <c r="AU196" s="201"/>
      <c r="AV196" s="201"/>
      <c r="AW196" s="201"/>
    </row>
    <row r="197" spans="1:49" s="168" customFormat="1" ht="15.6">
      <c r="A197" s="701" t="s">
        <v>15</v>
      </c>
      <c r="B197" s="701"/>
      <c r="C197" s="245">
        <v>47.73</v>
      </c>
      <c r="D197" s="245">
        <v>54.65</v>
      </c>
      <c r="E197" s="245">
        <v>34.58</v>
      </c>
      <c r="F197" s="245">
        <v>28.86</v>
      </c>
      <c r="G197" s="245">
        <v>39.299999999999997</v>
      </c>
      <c r="H197" s="201"/>
      <c r="I197" s="201"/>
      <c r="J197" s="201"/>
      <c r="K197" s="201"/>
      <c r="L197" s="201"/>
      <c r="M197" s="201"/>
      <c r="N197" s="201"/>
      <c r="O197" s="201"/>
      <c r="P197" s="201"/>
      <c r="Q197" s="201"/>
      <c r="R197" s="201"/>
      <c r="S197" s="201"/>
      <c r="T197" s="201"/>
      <c r="U197" s="201"/>
      <c r="V197" s="201"/>
      <c r="W197" s="201"/>
      <c r="X197" s="201"/>
      <c r="Y197" s="201"/>
      <c r="Z197" s="201"/>
      <c r="AA197" s="201"/>
      <c r="AB197" s="201"/>
      <c r="AC197" s="201"/>
      <c r="AD197" s="201"/>
      <c r="AE197" s="201"/>
      <c r="AF197" s="201"/>
      <c r="AG197" s="201"/>
      <c r="AH197" s="201"/>
      <c r="AI197" s="201"/>
      <c r="AJ197" s="201"/>
      <c r="AK197" s="201"/>
      <c r="AL197" s="201"/>
      <c r="AM197" s="201"/>
      <c r="AN197" s="201"/>
      <c r="AO197" s="201"/>
      <c r="AP197" s="201"/>
      <c r="AQ197" s="201"/>
      <c r="AR197" s="201"/>
      <c r="AS197" s="201"/>
      <c r="AT197" s="201"/>
      <c r="AU197" s="201"/>
      <c r="AV197" s="201"/>
      <c r="AW197" s="201"/>
    </row>
    <row r="198" spans="1:49" s="168" customFormat="1" ht="15.6">
      <c r="A198" s="742" t="s">
        <v>100</v>
      </c>
      <c r="B198" s="742"/>
      <c r="C198" s="248">
        <f>IF(COUNT(C194:C197)&gt;0,AVERAGE(C194:C197),"")</f>
        <v>47.73</v>
      </c>
      <c r="D198" s="248">
        <f>IF(COUNT(D194:D197)&gt;0,AVERAGE(D194:D197),"")</f>
        <v>54.65</v>
      </c>
      <c r="E198" s="248">
        <f>IF(COUNT(E194:E197)&gt;0,AVERAGE(E194:E197),"")</f>
        <v>34.58</v>
      </c>
      <c r="F198" s="248">
        <f>IF(COUNT(F194:F197)&gt;0,AVERAGE(F194:F197),"")</f>
        <v>28.86</v>
      </c>
      <c r="G198" s="248">
        <f>IF(COUNT(G194:G197)&gt;0,AVERAGE(G194:G197),"")</f>
        <v>39.299999999999997</v>
      </c>
      <c r="H198" s="201"/>
      <c r="I198" s="201"/>
      <c r="J198" s="201"/>
      <c r="K198" s="201"/>
      <c r="L198" s="201"/>
      <c r="M198" s="201"/>
      <c r="N198" s="201"/>
      <c r="O198" s="201"/>
      <c r="P198" s="201"/>
      <c r="Q198" s="201"/>
      <c r="R198" s="201"/>
      <c r="S198" s="201"/>
      <c r="T198" s="201"/>
      <c r="U198" s="201"/>
      <c r="V198" s="201"/>
      <c r="W198" s="201"/>
      <c r="X198" s="201"/>
      <c r="Y198" s="201"/>
      <c r="Z198" s="201"/>
      <c r="AA198" s="201"/>
      <c r="AB198" s="201"/>
      <c r="AC198" s="201"/>
      <c r="AD198" s="201"/>
      <c r="AE198" s="201"/>
      <c r="AF198" s="201"/>
      <c r="AG198" s="201"/>
      <c r="AH198" s="201"/>
      <c r="AI198" s="201"/>
      <c r="AJ198" s="201"/>
      <c r="AK198" s="201"/>
      <c r="AL198" s="201"/>
      <c r="AM198" s="201"/>
      <c r="AN198" s="201"/>
      <c r="AO198" s="201"/>
      <c r="AP198" s="201"/>
      <c r="AQ198" s="201"/>
      <c r="AR198" s="201"/>
      <c r="AS198" s="201"/>
      <c r="AT198" s="201"/>
      <c r="AU198" s="201"/>
      <c r="AV198" s="201"/>
      <c r="AW198" s="201"/>
    </row>
    <row r="199" spans="1:49" s="168" customFormat="1" ht="15.75" customHeight="1">
      <c r="A199" s="742" t="s">
        <v>2</v>
      </c>
      <c r="B199" s="742"/>
      <c r="C199" s="743" t="s">
        <v>27</v>
      </c>
      <c r="D199" s="743"/>
      <c r="E199" s="743"/>
      <c r="F199" s="744" t="str">
        <f>IF(G11="","",G11)</f>
        <v>2018-2019</v>
      </c>
      <c r="G199" s="744"/>
      <c r="H199" s="201"/>
      <c r="I199" s="201"/>
      <c r="J199" s="201"/>
      <c r="K199" s="201"/>
      <c r="L199" s="201"/>
      <c r="M199" s="201"/>
      <c r="N199" s="201"/>
      <c r="O199" s="201"/>
      <c r="P199" s="201"/>
      <c r="Q199" s="201"/>
      <c r="R199" s="201"/>
      <c r="S199" s="201"/>
      <c r="T199" s="201"/>
      <c r="U199" s="201"/>
      <c r="V199" s="201"/>
      <c r="W199" s="201"/>
      <c r="X199" s="201"/>
      <c r="Y199" s="201"/>
      <c r="Z199" s="201"/>
      <c r="AA199" s="201"/>
      <c r="AB199" s="201"/>
      <c r="AC199" s="201"/>
      <c r="AD199" s="201"/>
      <c r="AE199" s="201"/>
      <c r="AF199" s="201"/>
      <c r="AG199" s="201"/>
      <c r="AH199" s="201"/>
      <c r="AI199" s="201"/>
      <c r="AJ199" s="201"/>
      <c r="AK199" s="201"/>
      <c r="AL199" s="201"/>
      <c r="AM199" s="201"/>
      <c r="AN199" s="201"/>
      <c r="AO199" s="201"/>
      <c r="AP199" s="201"/>
      <c r="AQ199" s="201"/>
      <c r="AR199" s="201"/>
      <c r="AS199" s="201"/>
      <c r="AT199" s="201"/>
      <c r="AU199" s="201"/>
      <c r="AV199" s="201"/>
      <c r="AW199" s="201"/>
    </row>
    <row r="200" spans="1:49" s="168" customFormat="1" ht="15.75" customHeight="1">
      <c r="A200" s="742"/>
      <c r="B200" s="742"/>
      <c r="C200" s="263" t="s">
        <v>52</v>
      </c>
      <c r="D200" s="263" t="s">
        <v>53</v>
      </c>
      <c r="E200" s="263" t="s">
        <v>54</v>
      </c>
      <c r="F200" s="263" t="s">
        <v>55</v>
      </c>
      <c r="G200" s="263" t="s">
        <v>83</v>
      </c>
      <c r="H200" s="201"/>
      <c r="I200" s="201"/>
      <c r="J200" s="201"/>
      <c r="K200" s="201"/>
      <c r="L200" s="201"/>
      <c r="M200" s="201"/>
      <c r="N200" s="201"/>
      <c r="O200" s="201"/>
      <c r="P200" s="201"/>
      <c r="Q200" s="201"/>
      <c r="R200" s="201"/>
      <c r="S200" s="201"/>
      <c r="T200" s="201"/>
      <c r="U200" s="201"/>
      <c r="V200" s="201"/>
      <c r="W200" s="201"/>
      <c r="X200" s="201"/>
      <c r="Y200" s="201"/>
      <c r="Z200" s="201"/>
      <c r="AA200" s="201"/>
      <c r="AB200" s="201"/>
      <c r="AC200" s="201"/>
      <c r="AD200" s="201"/>
      <c r="AE200" s="201"/>
      <c r="AF200" s="201"/>
      <c r="AG200" s="201"/>
      <c r="AH200" s="201"/>
      <c r="AI200" s="201"/>
      <c r="AJ200" s="201"/>
      <c r="AK200" s="201"/>
      <c r="AL200" s="201"/>
      <c r="AM200" s="201"/>
      <c r="AN200" s="201"/>
      <c r="AO200" s="201"/>
      <c r="AP200" s="201"/>
      <c r="AQ200" s="201"/>
      <c r="AR200" s="201"/>
      <c r="AS200" s="201"/>
      <c r="AT200" s="201"/>
      <c r="AU200" s="201"/>
      <c r="AV200" s="201"/>
      <c r="AW200" s="201"/>
    </row>
    <row r="201" spans="1:49" s="168" customFormat="1" ht="15.6">
      <c r="A201" s="701" t="s">
        <v>8</v>
      </c>
      <c r="B201" s="701"/>
      <c r="C201" s="245"/>
      <c r="D201" s="245"/>
      <c r="E201" s="245"/>
      <c r="F201" s="245"/>
      <c r="G201" s="245"/>
      <c r="H201" s="201"/>
      <c r="I201" s="201"/>
      <c r="J201" s="201"/>
      <c r="K201" s="201"/>
      <c r="L201" s="201"/>
      <c r="M201" s="201"/>
      <c r="N201" s="201"/>
      <c r="O201" s="201"/>
      <c r="P201" s="201"/>
      <c r="Q201" s="201"/>
      <c r="R201" s="201"/>
      <c r="S201" s="201"/>
      <c r="T201" s="201"/>
      <c r="U201" s="201"/>
      <c r="V201" s="201"/>
      <c r="W201" s="201"/>
      <c r="X201" s="201"/>
      <c r="Y201" s="201"/>
      <c r="Z201" s="201"/>
      <c r="AA201" s="201"/>
      <c r="AB201" s="201"/>
      <c r="AC201" s="201"/>
      <c r="AD201" s="201"/>
      <c r="AE201" s="201"/>
      <c r="AF201" s="201"/>
      <c r="AG201" s="201"/>
      <c r="AH201" s="201"/>
      <c r="AI201" s="201"/>
      <c r="AJ201" s="201"/>
      <c r="AK201" s="201"/>
      <c r="AL201" s="201"/>
      <c r="AM201" s="201"/>
      <c r="AN201" s="201"/>
      <c r="AO201" s="201"/>
      <c r="AP201" s="201"/>
      <c r="AQ201" s="201"/>
      <c r="AR201" s="201"/>
      <c r="AS201" s="201"/>
      <c r="AT201" s="201"/>
      <c r="AU201" s="201"/>
      <c r="AV201" s="201"/>
      <c r="AW201" s="201"/>
    </row>
    <row r="202" spans="1:49" s="168" customFormat="1" ht="15.6">
      <c r="A202" s="701" t="s">
        <v>11</v>
      </c>
      <c r="B202" s="701"/>
      <c r="C202" s="245"/>
      <c r="D202" s="245"/>
      <c r="E202" s="245"/>
      <c r="F202" s="245"/>
      <c r="G202" s="245"/>
      <c r="H202" s="201"/>
      <c r="I202" s="201"/>
      <c r="J202" s="201"/>
      <c r="K202" s="201"/>
      <c r="L202" s="201"/>
      <c r="M202" s="201"/>
      <c r="N202" s="201"/>
      <c r="O202" s="201"/>
      <c r="P202" s="201"/>
      <c r="Q202" s="201"/>
      <c r="R202" s="201"/>
      <c r="S202" s="201"/>
      <c r="T202" s="201"/>
      <c r="U202" s="201"/>
      <c r="V202" s="201"/>
      <c r="W202" s="201"/>
      <c r="X202" s="201"/>
      <c r="Y202" s="201"/>
      <c r="Z202" s="201"/>
      <c r="AA202" s="201"/>
      <c r="AB202" s="201"/>
      <c r="AC202" s="201"/>
      <c r="AD202" s="201"/>
      <c r="AE202" s="201"/>
      <c r="AF202" s="201"/>
      <c r="AG202" s="201"/>
      <c r="AH202" s="201"/>
      <c r="AI202" s="201"/>
      <c r="AJ202" s="201"/>
      <c r="AK202" s="201"/>
      <c r="AL202" s="201"/>
      <c r="AM202" s="201"/>
      <c r="AN202" s="201"/>
      <c r="AO202" s="201"/>
      <c r="AP202" s="201"/>
      <c r="AQ202" s="201"/>
      <c r="AR202" s="201"/>
      <c r="AS202" s="201"/>
      <c r="AT202" s="201"/>
      <c r="AU202" s="201"/>
      <c r="AV202" s="201"/>
      <c r="AW202" s="201"/>
    </row>
    <row r="203" spans="1:49" s="168" customFormat="1" ht="15.6">
      <c r="A203" s="701" t="s">
        <v>13</v>
      </c>
      <c r="B203" s="701"/>
      <c r="C203" s="245"/>
      <c r="D203" s="245"/>
      <c r="E203" s="245"/>
      <c r="F203" s="245"/>
      <c r="G203" s="245"/>
      <c r="H203" s="201"/>
      <c r="I203" s="201"/>
      <c r="J203" s="201"/>
      <c r="K203" s="201"/>
      <c r="L203" s="201"/>
      <c r="M203" s="201"/>
      <c r="N203" s="201"/>
      <c r="O203" s="201"/>
      <c r="P203" s="201"/>
      <c r="Q203" s="201"/>
      <c r="R203" s="201"/>
      <c r="S203" s="201"/>
      <c r="T203" s="201"/>
      <c r="U203" s="201"/>
      <c r="V203" s="201"/>
      <c r="W203" s="201"/>
      <c r="X203" s="201"/>
      <c r="Y203" s="201"/>
      <c r="Z203" s="201"/>
      <c r="AA203" s="201"/>
      <c r="AB203" s="201"/>
      <c r="AC203" s="201"/>
      <c r="AD203" s="201"/>
      <c r="AE203" s="201"/>
      <c r="AF203" s="201"/>
      <c r="AG203" s="201"/>
      <c r="AH203" s="201"/>
      <c r="AI203" s="201"/>
      <c r="AJ203" s="201"/>
      <c r="AK203" s="201"/>
      <c r="AL203" s="201"/>
      <c r="AM203" s="201"/>
      <c r="AN203" s="201"/>
      <c r="AO203" s="201"/>
      <c r="AP203" s="201"/>
      <c r="AQ203" s="201"/>
      <c r="AR203" s="201"/>
      <c r="AS203" s="201"/>
      <c r="AT203" s="201"/>
      <c r="AU203" s="201"/>
      <c r="AV203" s="201"/>
      <c r="AW203" s="201"/>
    </row>
    <row r="204" spans="1:49" s="168" customFormat="1" ht="15.6">
      <c r="A204" s="701" t="s">
        <v>15</v>
      </c>
      <c r="B204" s="701"/>
      <c r="C204" s="245"/>
      <c r="D204" s="245"/>
      <c r="E204" s="245"/>
      <c r="F204" s="245"/>
      <c r="G204" s="245"/>
      <c r="H204" s="201"/>
      <c r="I204" s="201"/>
      <c r="J204" s="201"/>
      <c r="K204" s="201"/>
      <c r="L204" s="201"/>
      <c r="M204" s="201"/>
      <c r="N204" s="201"/>
      <c r="O204" s="201"/>
      <c r="P204" s="201"/>
      <c r="Q204" s="201"/>
      <c r="R204" s="201"/>
      <c r="S204" s="201"/>
      <c r="T204" s="201"/>
      <c r="U204" s="201"/>
      <c r="V204" s="201"/>
      <c r="W204" s="201"/>
      <c r="X204" s="201"/>
      <c r="Y204" s="201"/>
      <c r="Z204" s="201"/>
      <c r="AA204" s="201"/>
      <c r="AB204" s="201"/>
      <c r="AC204" s="201"/>
      <c r="AD204" s="201"/>
      <c r="AE204" s="201"/>
      <c r="AF204" s="201"/>
      <c r="AG204" s="201"/>
      <c r="AH204" s="201"/>
      <c r="AI204" s="201"/>
      <c r="AJ204" s="201"/>
      <c r="AK204" s="201"/>
      <c r="AL204" s="201"/>
      <c r="AM204" s="201"/>
      <c r="AN204" s="201"/>
      <c r="AO204" s="201"/>
      <c r="AP204" s="201"/>
      <c r="AQ204" s="201"/>
      <c r="AR204" s="201"/>
      <c r="AS204" s="201"/>
      <c r="AT204" s="201"/>
      <c r="AU204" s="201"/>
      <c r="AV204" s="201"/>
      <c r="AW204" s="201"/>
    </row>
    <row r="205" spans="1:49" s="134" customFormat="1" ht="13.8">
      <c r="A205" s="765" t="s">
        <v>100</v>
      </c>
      <c r="B205" s="765"/>
      <c r="C205" s="249" t="str">
        <f>IF(COUNT(C201:C204)&gt;0,AVERAGE(C201:C204),"")</f>
        <v/>
      </c>
      <c r="D205" s="249" t="str">
        <f>IF(COUNT(D201:D204)&gt;0,AVERAGE(D201:D204),"")</f>
        <v/>
      </c>
      <c r="E205" s="249" t="str">
        <f>IF(COUNT(E201:E204)&gt;0,AVERAGE(E201:E204),"")</f>
        <v/>
      </c>
      <c r="F205" s="249" t="str">
        <f>IF(COUNT(F201:F204)&gt;0,AVERAGE(F201:F204),"")</f>
        <v/>
      </c>
      <c r="G205" s="249" t="str">
        <f>IF(COUNT(G201:G204)&gt;0,AVERAGE(G201:G204),"")</f>
        <v/>
      </c>
      <c r="H205" s="201"/>
      <c r="I205" s="201"/>
      <c r="J205" s="201"/>
      <c r="K205" s="201"/>
      <c r="L205" s="201"/>
      <c r="M205" s="201"/>
      <c r="N205" s="201"/>
      <c r="O205" s="201"/>
      <c r="P205" s="201"/>
      <c r="Q205" s="201"/>
      <c r="R205" s="201"/>
      <c r="S205" s="201"/>
      <c r="T205" s="201"/>
      <c r="U205" s="201"/>
      <c r="V205" s="201"/>
      <c r="W205" s="201"/>
      <c r="X205" s="201"/>
      <c r="Y205" s="201"/>
      <c r="Z205" s="201"/>
      <c r="AA205" s="201"/>
      <c r="AB205" s="201"/>
      <c r="AC205" s="201"/>
      <c r="AD205" s="201"/>
      <c r="AE205" s="201"/>
      <c r="AF205" s="201"/>
      <c r="AG205" s="201"/>
      <c r="AH205" s="201"/>
      <c r="AI205" s="201"/>
      <c r="AJ205" s="201"/>
      <c r="AK205" s="201"/>
      <c r="AL205" s="201"/>
      <c r="AM205" s="201"/>
      <c r="AN205" s="201"/>
      <c r="AO205" s="201"/>
      <c r="AP205" s="201"/>
      <c r="AQ205" s="201"/>
      <c r="AR205" s="201"/>
      <c r="AS205" s="201"/>
      <c r="AT205" s="201"/>
      <c r="AU205" s="201"/>
      <c r="AV205" s="201"/>
      <c r="AW205" s="201"/>
    </row>
    <row r="206" spans="1:49" s="134" customFormat="1" ht="2.25" customHeight="1">
      <c r="A206" s="211"/>
      <c r="B206" s="211"/>
      <c r="C206" s="211"/>
      <c r="D206" s="211"/>
      <c r="E206" s="211"/>
      <c r="F206" s="211"/>
      <c r="G206" s="211"/>
      <c r="H206" s="201"/>
      <c r="I206" s="201"/>
      <c r="J206" s="201"/>
      <c r="K206" s="201"/>
      <c r="L206" s="201"/>
      <c r="M206" s="201"/>
      <c r="N206" s="201"/>
      <c r="O206" s="201"/>
      <c r="P206" s="201"/>
      <c r="Q206" s="201"/>
      <c r="R206" s="201"/>
      <c r="S206" s="201"/>
      <c r="T206" s="201"/>
      <c r="U206" s="201"/>
      <c r="V206" s="201"/>
      <c r="W206" s="201"/>
      <c r="X206" s="201"/>
      <c r="Y206" s="201"/>
      <c r="Z206" s="201"/>
      <c r="AA206" s="201"/>
      <c r="AB206" s="201"/>
      <c r="AC206" s="201"/>
      <c r="AD206" s="201"/>
      <c r="AE206" s="201"/>
      <c r="AF206" s="201"/>
      <c r="AG206" s="201"/>
      <c r="AH206" s="201"/>
      <c r="AI206" s="201"/>
      <c r="AJ206" s="201"/>
      <c r="AK206" s="201"/>
      <c r="AL206" s="201"/>
      <c r="AM206" s="201"/>
      <c r="AN206" s="201"/>
      <c r="AO206" s="201"/>
      <c r="AP206" s="201"/>
      <c r="AQ206" s="201"/>
      <c r="AR206" s="201"/>
      <c r="AS206" s="201"/>
      <c r="AT206" s="201"/>
      <c r="AU206" s="201"/>
      <c r="AV206" s="201"/>
      <c r="AW206" s="201"/>
    </row>
    <row r="207" spans="1:49" s="134" customFormat="1" ht="0.75" customHeight="1">
      <c r="A207" s="211"/>
      <c r="B207" s="211"/>
      <c r="C207" s="211"/>
      <c r="D207" s="211"/>
      <c r="E207" s="211"/>
      <c r="F207" s="211"/>
      <c r="G207" s="211"/>
      <c r="H207" s="201"/>
      <c r="I207" s="201"/>
      <c r="J207" s="201"/>
      <c r="K207" s="201"/>
      <c r="L207" s="201"/>
      <c r="M207" s="201"/>
      <c r="N207" s="201"/>
      <c r="O207" s="201"/>
      <c r="P207" s="201"/>
      <c r="Q207" s="201"/>
      <c r="R207" s="201"/>
      <c r="S207" s="201"/>
      <c r="T207" s="201"/>
      <c r="U207" s="201"/>
      <c r="V207" s="201"/>
      <c r="W207" s="201"/>
      <c r="X207" s="201"/>
      <c r="Y207" s="201"/>
      <c r="Z207" s="201"/>
      <c r="AA207" s="201"/>
      <c r="AB207" s="201"/>
      <c r="AC207" s="201"/>
      <c r="AD207" s="201"/>
      <c r="AE207" s="201"/>
      <c r="AF207" s="201"/>
      <c r="AG207" s="201"/>
      <c r="AH207" s="201"/>
      <c r="AI207" s="201"/>
      <c r="AJ207" s="201"/>
      <c r="AK207" s="201"/>
      <c r="AL207" s="201"/>
      <c r="AM207" s="201"/>
      <c r="AN207" s="201"/>
      <c r="AO207" s="201"/>
      <c r="AP207" s="201"/>
      <c r="AQ207" s="201"/>
      <c r="AR207" s="201"/>
      <c r="AS207" s="201"/>
      <c r="AT207" s="201"/>
      <c r="AU207" s="201"/>
      <c r="AV207" s="201"/>
      <c r="AW207" s="201"/>
    </row>
    <row r="208" spans="1:49" s="168" customFormat="1" ht="15.75" customHeight="1">
      <c r="A208" s="201" t="s">
        <v>858</v>
      </c>
      <c r="B208" s="201"/>
      <c r="C208" s="201"/>
      <c r="D208" s="201"/>
      <c r="E208" s="201"/>
      <c r="F208" s="201"/>
      <c r="G208" s="201"/>
      <c r="H208" s="201"/>
      <c r="I208" s="201"/>
      <c r="J208" s="201"/>
      <c r="K208" s="201"/>
      <c r="L208" s="201"/>
      <c r="M208" s="201"/>
      <c r="N208" s="201"/>
      <c r="O208" s="201"/>
      <c r="P208" s="201"/>
      <c r="Q208" s="201"/>
      <c r="R208" s="201"/>
      <c r="S208" s="201"/>
      <c r="T208" s="201"/>
      <c r="U208" s="201"/>
      <c r="V208" s="201"/>
      <c r="W208" s="201"/>
      <c r="X208" s="201"/>
      <c r="Y208" s="201"/>
      <c r="Z208" s="201"/>
      <c r="AA208" s="201"/>
      <c r="AB208" s="201"/>
      <c r="AC208" s="201"/>
      <c r="AD208" s="201"/>
      <c r="AE208" s="201"/>
      <c r="AF208" s="201"/>
      <c r="AG208" s="201"/>
      <c r="AH208" s="201"/>
      <c r="AI208" s="201"/>
      <c r="AJ208" s="201"/>
      <c r="AK208" s="201"/>
      <c r="AL208" s="201"/>
      <c r="AM208" s="201"/>
      <c r="AN208" s="201"/>
      <c r="AO208" s="201"/>
      <c r="AP208" s="201"/>
      <c r="AQ208" s="201"/>
      <c r="AR208" s="201"/>
      <c r="AS208" s="201"/>
      <c r="AT208" s="201"/>
      <c r="AU208" s="201"/>
      <c r="AV208" s="201"/>
      <c r="AW208" s="201"/>
    </row>
    <row r="209" spans="1:49" s="168" customFormat="1" ht="22.5" customHeight="1">
      <c r="A209" s="757" t="s">
        <v>862</v>
      </c>
      <c r="B209" s="757"/>
      <c r="C209" s="757"/>
      <c r="D209" s="757"/>
      <c r="E209" s="757"/>
      <c r="F209" s="757"/>
      <c r="G209" s="757"/>
      <c r="H209" s="757"/>
      <c r="I209" s="757"/>
      <c r="J209" s="757"/>
      <c r="K209" s="214"/>
      <c r="L209" s="214"/>
      <c r="M209" s="214"/>
      <c r="N209" s="201"/>
      <c r="O209" s="700"/>
      <c r="P209" s="700"/>
      <c r="Q209" s="700"/>
      <c r="R209" s="700"/>
      <c r="S209" s="700"/>
      <c r="T209" s="700"/>
      <c r="U209" s="700"/>
      <c r="V209" s="700"/>
      <c r="W209" s="700"/>
      <c r="X209" s="700"/>
      <c r="Y209" s="700"/>
      <c r="Z209" s="700"/>
      <c r="AA209" s="700"/>
      <c r="AB209" s="202"/>
      <c r="AC209" s="202"/>
      <c r="AD209" s="202"/>
      <c r="AE209" s="202"/>
      <c r="AF209" s="202"/>
      <c r="AG209" s="201"/>
      <c r="AH209" s="201"/>
      <c r="AI209" s="201"/>
      <c r="AJ209" s="201"/>
      <c r="AK209" s="201"/>
      <c r="AL209" s="201"/>
      <c r="AM209" s="201"/>
      <c r="AN209" s="201"/>
      <c r="AO209" s="201"/>
      <c r="AP209" s="201"/>
      <c r="AQ209" s="201"/>
      <c r="AR209" s="201"/>
      <c r="AS209" s="201"/>
      <c r="AT209" s="201"/>
      <c r="AU209" s="201"/>
      <c r="AV209" s="201"/>
      <c r="AW209" s="201"/>
    </row>
    <row r="210" spans="1:49" s="168" customFormat="1" ht="15.75" customHeight="1">
      <c r="A210" s="742" t="s">
        <v>2</v>
      </c>
      <c r="B210" s="756" t="s">
        <v>859</v>
      </c>
      <c r="C210" s="756"/>
      <c r="D210" s="756"/>
      <c r="E210" s="756" t="s">
        <v>860</v>
      </c>
      <c r="F210" s="756"/>
      <c r="G210" s="756"/>
      <c r="H210" s="756" t="s">
        <v>861</v>
      </c>
      <c r="I210" s="756"/>
      <c r="J210" s="756"/>
      <c r="K210" s="764"/>
      <c r="L210" s="764"/>
      <c r="M210" s="764"/>
      <c r="N210" s="201"/>
      <c r="O210" s="764"/>
      <c r="P210" s="764"/>
      <c r="Q210" s="764"/>
      <c r="R210" s="764"/>
      <c r="S210" s="764"/>
      <c r="T210" s="764"/>
      <c r="U210" s="764"/>
      <c r="V210" s="764"/>
      <c r="W210" s="764"/>
      <c r="X210" s="764"/>
      <c r="Y210" s="764"/>
      <c r="Z210" s="764"/>
      <c r="AA210" s="764"/>
      <c r="AB210" s="214"/>
      <c r="AC210" s="214"/>
      <c r="AD210" s="214"/>
      <c r="AE210" s="214"/>
      <c r="AF210" s="202"/>
      <c r="AG210" s="201"/>
      <c r="AH210" s="201"/>
      <c r="AI210" s="201"/>
      <c r="AJ210" s="201"/>
      <c r="AK210" s="201"/>
      <c r="AL210" s="201"/>
      <c r="AM210" s="201"/>
      <c r="AN210" s="201"/>
      <c r="AO210" s="201"/>
      <c r="AP210" s="201"/>
      <c r="AQ210" s="201"/>
      <c r="AR210" s="201"/>
      <c r="AS210" s="201"/>
      <c r="AT210" s="201"/>
      <c r="AU210" s="201"/>
      <c r="AV210" s="201"/>
      <c r="AW210" s="201"/>
    </row>
    <row r="211" spans="1:49" s="168" customFormat="1" ht="15.6">
      <c r="A211" s="742"/>
      <c r="B211" s="325" t="s">
        <v>4</v>
      </c>
      <c r="C211" s="325" t="s">
        <v>23</v>
      </c>
      <c r="D211" s="85" t="s">
        <v>24</v>
      </c>
      <c r="E211" s="325" t="s">
        <v>4</v>
      </c>
      <c r="F211" s="325" t="s">
        <v>23</v>
      </c>
      <c r="G211" s="325" t="s">
        <v>24</v>
      </c>
      <c r="H211" s="325" t="s">
        <v>4</v>
      </c>
      <c r="I211" s="325" t="s">
        <v>23</v>
      </c>
      <c r="J211" s="251" t="s">
        <v>24</v>
      </c>
      <c r="K211" s="327"/>
      <c r="L211" s="327"/>
      <c r="M211" s="329"/>
      <c r="N211" s="201"/>
      <c r="O211" s="764"/>
      <c r="P211" s="327"/>
      <c r="Q211" s="327"/>
      <c r="R211" s="327"/>
      <c r="S211" s="327"/>
      <c r="T211" s="327"/>
      <c r="U211" s="328"/>
      <c r="V211" s="327"/>
      <c r="W211" s="327"/>
      <c r="X211" s="329"/>
      <c r="Y211" s="327"/>
      <c r="Z211" s="327"/>
      <c r="AA211" s="329"/>
      <c r="AB211" s="207"/>
      <c r="AC211" s="208"/>
      <c r="AD211" s="208"/>
      <c r="AE211" s="207"/>
      <c r="AF211" s="202"/>
      <c r="AG211" s="201"/>
      <c r="AH211" s="201"/>
      <c r="AI211" s="201"/>
      <c r="AJ211" s="201"/>
      <c r="AK211" s="201"/>
      <c r="AL211" s="201"/>
      <c r="AM211" s="201"/>
      <c r="AN211" s="201"/>
      <c r="AO211" s="201"/>
      <c r="AP211" s="201"/>
      <c r="AQ211" s="201"/>
      <c r="AR211" s="201"/>
      <c r="AS211" s="201"/>
      <c r="AT211" s="201"/>
      <c r="AU211" s="201"/>
      <c r="AV211" s="201"/>
      <c r="AW211" s="201"/>
    </row>
    <row r="212" spans="1:49" s="168" customFormat="1" ht="15.6">
      <c r="A212" s="742"/>
      <c r="B212" s="758" t="s">
        <v>57</v>
      </c>
      <c r="C212" s="759"/>
      <c r="D212" s="759"/>
      <c r="E212" s="759"/>
      <c r="F212" s="759"/>
      <c r="G212" s="759"/>
      <c r="H212" s="759"/>
      <c r="I212" s="759"/>
      <c r="J212" s="760"/>
      <c r="K212" s="340"/>
      <c r="L212" s="340"/>
      <c r="M212" s="340"/>
      <c r="N212" s="201"/>
      <c r="O212" s="764"/>
      <c r="P212" s="824"/>
      <c r="Q212" s="824"/>
      <c r="R212" s="824"/>
      <c r="S212" s="824"/>
      <c r="T212" s="824"/>
      <c r="U212" s="824"/>
      <c r="V212" s="824"/>
      <c r="W212" s="824"/>
      <c r="X212" s="824"/>
      <c r="Y212" s="824"/>
      <c r="Z212" s="824"/>
      <c r="AA212" s="824"/>
      <c r="AB212" s="206"/>
      <c r="AC212" s="206"/>
      <c r="AD212" s="206"/>
      <c r="AE212" s="206"/>
      <c r="AF212" s="202"/>
      <c r="AG212" s="201"/>
      <c r="AH212" s="201"/>
      <c r="AI212" s="201"/>
      <c r="AJ212" s="201"/>
      <c r="AK212" s="201"/>
      <c r="AL212" s="201"/>
      <c r="AM212" s="201"/>
      <c r="AN212" s="201"/>
      <c r="AO212" s="201"/>
      <c r="AP212" s="201"/>
      <c r="AQ212" s="201"/>
      <c r="AR212" s="201"/>
      <c r="AS212" s="201"/>
      <c r="AT212" s="201"/>
      <c r="AU212" s="201"/>
      <c r="AV212" s="201"/>
      <c r="AW212" s="201"/>
    </row>
    <row r="213" spans="1:49" s="168" customFormat="1" ht="13.5" customHeight="1">
      <c r="A213" s="188" t="s">
        <v>6</v>
      </c>
      <c r="B213" s="238" t="str">
        <f>IF(OR(ISNUMBER(C213), ISNUMBER(D213)), C213+D213, "")</f>
        <v/>
      </c>
      <c r="C213" s="239"/>
      <c r="D213" s="239"/>
      <c r="E213" s="238" t="str">
        <f>IF(OR(ISNUMBER(F213), ISNUMBER(G213)), F213+G213, "")</f>
        <v/>
      </c>
      <c r="F213" s="239"/>
      <c r="G213" s="239"/>
      <c r="H213" s="238" t="str">
        <f>IF(OR(ISNUMBER(I213), ISNUMBER(J213)), I213+J213, "")</f>
        <v/>
      </c>
      <c r="I213" s="239"/>
      <c r="J213" s="239"/>
      <c r="K213" s="331"/>
      <c r="L213" s="333"/>
      <c r="M213" s="333"/>
      <c r="N213" s="201"/>
      <c r="O213" s="330"/>
      <c r="P213" s="331"/>
      <c r="Q213" s="332"/>
      <c r="R213" s="332"/>
      <c r="S213" s="331"/>
      <c r="T213" s="332"/>
      <c r="U213" s="332"/>
      <c r="V213" s="331"/>
      <c r="W213" s="332"/>
      <c r="X213" s="332"/>
      <c r="Y213" s="331"/>
      <c r="Z213" s="333"/>
      <c r="AA213" s="333"/>
      <c r="AB213" s="208"/>
      <c r="AC213" s="215"/>
      <c r="AD213" s="202"/>
      <c r="AE213" s="202"/>
      <c r="AF213" s="202"/>
      <c r="AG213" s="201"/>
      <c r="AH213" s="201"/>
      <c r="AI213" s="201"/>
      <c r="AJ213" s="201"/>
      <c r="AK213" s="201"/>
      <c r="AL213" s="201"/>
      <c r="AM213" s="201"/>
      <c r="AN213" s="201"/>
      <c r="AO213" s="201"/>
      <c r="AP213" s="201"/>
      <c r="AQ213" s="201"/>
      <c r="AR213" s="201"/>
      <c r="AS213" s="201"/>
      <c r="AT213" s="201"/>
      <c r="AU213" s="201"/>
      <c r="AV213" s="201"/>
      <c r="AW213" s="201"/>
    </row>
    <row r="214" spans="1:49" s="168" customFormat="1" ht="13.5" customHeight="1">
      <c r="A214" s="188" t="s">
        <v>7</v>
      </c>
      <c r="B214" s="238" t="str">
        <f t="shared" ref="B214:B224" si="6">IF(OR(ISNUMBER(C214), ISNUMBER(D214)), C214+D214, "")</f>
        <v/>
      </c>
      <c r="C214" s="239"/>
      <c r="D214" s="239"/>
      <c r="E214" s="238" t="str">
        <f t="shared" ref="E214:E224" si="7">IF(OR(ISNUMBER(F214), ISNUMBER(G214)), F214+G214, "")</f>
        <v/>
      </c>
      <c r="F214" s="239"/>
      <c r="G214" s="239"/>
      <c r="H214" s="238" t="str">
        <f t="shared" ref="H214:H224" si="8">IF(OR(ISNUMBER(I214), ISNUMBER(J214)), I214+J214, "")</f>
        <v/>
      </c>
      <c r="I214" s="239"/>
      <c r="J214" s="239"/>
      <c r="K214" s="331"/>
      <c r="L214" s="333"/>
      <c r="M214" s="333"/>
      <c r="N214" s="201"/>
      <c r="O214" s="330"/>
      <c r="P214" s="331"/>
      <c r="Q214" s="332"/>
      <c r="R214" s="332"/>
      <c r="S214" s="331"/>
      <c r="T214" s="332"/>
      <c r="U214" s="332"/>
      <c r="V214" s="331"/>
      <c r="W214" s="332"/>
      <c r="X214" s="332"/>
      <c r="Y214" s="331"/>
      <c r="Z214" s="333"/>
      <c r="AA214" s="333"/>
      <c r="AB214" s="208"/>
      <c r="AC214" s="215"/>
      <c r="AD214" s="202"/>
      <c r="AE214" s="202"/>
      <c r="AF214" s="202"/>
      <c r="AG214" s="201"/>
      <c r="AH214" s="201"/>
      <c r="AI214" s="201"/>
      <c r="AJ214" s="201"/>
      <c r="AK214" s="201"/>
      <c r="AL214" s="201"/>
      <c r="AM214" s="201"/>
      <c r="AN214" s="201"/>
      <c r="AO214" s="201"/>
      <c r="AP214" s="201"/>
      <c r="AQ214" s="201"/>
      <c r="AR214" s="201"/>
      <c r="AS214" s="201"/>
      <c r="AT214" s="201"/>
      <c r="AU214" s="201"/>
      <c r="AV214" s="201"/>
      <c r="AW214" s="201"/>
    </row>
    <row r="215" spans="1:49" s="168" customFormat="1" ht="13.5" customHeight="1">
      <c r="A215" s="188" t="s">
        <v>8</v>
      </c>
      <c r="B215" s="238" t="str">
        <f t="shared" si="6"/>
        <v/>
      </c>
      <c r="C215" s="239"/>
      <c r="D215" s="239"/>
      <c r="E215" s="238" t="str">
        <f t="shared" si="7"/>
        <v/>
      </c>
      <c r="F215" s="239"/>
      <c r="G215" s="239"/>
      <c r="H215" s="238" t="str">
        <f t="shared" si="8"/>
        <v/>
      </c>
      <c r="I215" s="239"/>
      <c r="J215" s="239"/>
      <c r="K215" s="331"/>
      <c r="L215" s="333"/>
      <c r="M215" s="333"/>
      <c r="N215" s="201"/>
      <c r="O215" s="330"/>
      <c r="P215" s="331"/>
      <c r="Q215" s="332"/>
      <c r="R215" s="332"/>
      <c r="S215" s="331"/>
      <c r="T215" s="332"/>
      <c r="U215" s="332"/>
      <c r="V215" s="331"/>
      <c r="W215" s="332"/>
      <c r="X215" s="332"/>
      <c r="Y215" s="331"/>
      <c r="Z215" s="333"/>
      <c r="AA215" s="333"/>
      <c r="AB215" s="208"/>
      <c r="AC215" s="215"/>
      <c r="AD215" s="202"/>
      <c r="AE215" s="202"/>
      <c r="AF215" s="202"/>
      <c r="AG215" s="201"/>
      <c r="AH215" s="201"/>
      <c r="AI215" s="201"/>
      <c r="AJ215" s="201"/>
      <c r="AK215" s="201"/>
      <c r="AL215" s="201"/>
      <c r="AM215" s="201"/>
      <c r="AN215" s="201"/>
      <c r="AO215" s="201"/>
      <c r="AP215" s="201"/>
      <c r="AQ215" s="201"/>
      <c r="AR215" s="201"/>
      <c r="AS215" s="201"/>
      <c r="AT215" s="201"/>
      <c r="AU215" s="201"/>
      <c r="AV215" s="201"/>
      <c r="AW215" s="201"/>
    </row>
    <row r="216" spans="1:49" s="168" customFormat="1" ht="13.5" customHeight="1">
      <c r="A216" s="188" t="s">
        <v>9</v>
      </c>
      <c r="B216" s="238" t="str">
        <f t="shared" si="6"/>
        <v/>
      </c>
      <c r="C216" s="239"/>
      <c r="D216" s="239"/>
      <c r="E216" s="238" t="str">
        <f t="shared" si="7"/>
        <v/>
      </c>
      <c r="F216" s="239"/>
      <c r="G216" s="239"/>
      <c r="H216" s="238" t="str">
        <f t="shared" si="8"/>
        <v/>
      </c>
      <c r="I216" s="239"/>
      <c r="J216" s="239"/>
      <c r="K216" s="331"/>
      <c r="L216" s="333"/>
      <c r="M216" s="333"/>
      <c r="N216" s="201"/>
      <c r="O216" s="330"/>
      <c r="P216" s="331"/>
      <c r="Q216" s="332"/>
      <c r="R216" s="332"/>
      <c r="S216" s="331"/>
      <c r="T216" s="332"/>
      <c r="U216" s="332"/>
      <c r="V216" s="331"/>
      <c r="W216" s="332"/>
      <c r="X216" s="332"/>
      <c r="Y216" s="331"/>
      <c r="Z216" s="333"/>
      <c r="AA216" s="333"/>
      <c r="AB216" s="208"/>
      <c r="AC216" s="215"/>
      <c r="AD216" s="202"/>
      <c r="AE216" s="202"/>
      <c r="AF216" s="202"/>
      <c r="AG216" s="201"/>
      <c r="AH216" s="201"/>
      <c r="AI216" s="201"/>
      <c r="AJ216" s="201"/>
      <c r="AK216" s="201"/>
      <c r="AL216" s="201"/>
      <c r="AM216" s="201"/>
      <c r="AN216" s="201"/>
      <c r="AO216" s="201"/>
      <c r="AP216" s="201"/>
      <c r="AQ216" s="201"/>
      <c r="AR216" s="201"/>
      <c r="AS216" s="201"/>
      <c r="AT216" s="201"/>
      <c r="AU216" s="201"/>
      <c r="AV216" s="201"/>
      <c r="AW216" s="201"/>
    </row>
    <row r="217" spans="1:49" s="168" customFormat="1" ht="13.5" customHeight="1">
      <c r="A217" s="188" t="s">
        <v>10</v>
      </c>
      <c r="B217" s="238" t="str">
        <f t="shared" si="6"/>
        <v/>
      </c>
      <c r="C217" s="239"/>
      <c r="D217" s="239"/>
      <c r="E217" s="238" t="str">
        <f t="shared" si="7"/>
        <v/>
      </c>
      <c r="F217" s="239"/>
      <c r="G217" s="239"/>
      <c r="H217" s="238" t="str">
        <f t="shared" si="8"/>
        <v/>
      </c>
      <c r="I217" s="87"/>
      <c r="J217" s="87"/>
      <c r="K217" s="331"/>
      <c r="L217" s="333"/>
      <c r="M217" s="333"/>
      <c r="N217" s="201"/>
      <c r="O217" s="330"/>
      <c r="P217" s="331"/>
      <c r="Q217" s="332"/>
      <c r="R217" s="332"/>
      <c r="S217" s="331"/>
      <c r="T217" s="332"/>
      <c r="U217" s="332"/>
      <c r="V217" s="331"/>
      <c r="W217" s="334"/>
      <c r="X217" s="334"/>
      <c r="Y217" s="331"/>
      <c r="Z217" s="333"/>
      <c r="AA217" s="333"/>
      <c r="AB217" s="205"/>
      <c r="AC217" s="215"/>
      <c r="AD217" s="202"/>
      <c r="AE217" s="202"/>
      <c r="AF217" s="202"/>
      <c r="AG217" s="201"/>
      <c r="AH217" s="201"/>
      <c r="AI217" s="201"/>
      <c r="AJ217" s="201"/>
      <c r="AK217" s="201"/>
      <c r="AL217" s="201"/>
      <c r="AM217" s="201"/>
      <c r="AN217" s="201"/>
      <c r="AO217" s="201"/>
      <c r="AP217" s="201"/>
      <c r="AQ217" s="201"/>
      <c r="AR217" s="201"/>
      <c r="AS217" s="201"/>
      <c r="AT217" s="201"/>
      <c r="AU217" s="201"/>
      <c r="AV217" s="201"/>
      <c r="AW217" s="201"/>
    </row>
    <row r="218" spans="1:49" s="168" customFormat="1" ht="13.5" customHeight="1">
      <c r="A218" s="188" t="s">
        <v>11</v>
      </c>
      <c r="B218" s="238" t="str">
        <f t="shared" si="6"/>
        <v/>
      </c>
      <c r="C218" s="239"/>
      <c r="D218" s="239"/>
      <c r="E218" s="238" t="str">
        <f t="shared" si="7"/>
        <v/>
      </c>
      <c r="F218" s="239"/>
      <c r="G218" s="239"/>
      <c r="H218" s="238" t="str">
        <f t="shared" si="8"/>
        <v/>
      </c>
      <c r="I218" s="87"/>
      <c r="J218" s="87"/>
      <c r="K218" s="331"/>
      <c r="L218" s="333"/>
      <c r="M218" s="333"/>
      <c r="N218" s="201"/>
      <c r="O218" s="330"/>
      <c r="P218" s="331"/>
      <c r="Q218" s="332"/>
      <c r="R218" s="332"/>
      <c r="S218" s="331"/>
      <c r="T218" s="332"/>
      <c r="U218" s="332"/>
      <c r="V218" s="331"/>
      <c r="W218" s="334"/>
      <c r="X218" s="334"/>
      <c r="Y218" s="331"/>
      <c r="Z218" s="333"/>
      <c r="AA218" s="333"/>
      <c r="AB218" s="205"/>
      <c r="AC218" s="215"/>
      <c r="AD218" s="202"/>
      <c r="AE218" s="202"/>
      <c r="AF218" s="202"/>
      <c r="AG218" s="201"/>
      <c r="AH218" s="201"/>
      <c r="AI218" s="201"/>
      <c r="AJ218" s="201"/>
      <c r="AK218" s="201"/>
      <c r="AL218" s="201"/>
      <c r="AM218" s="201"/>
      <c r="AN218" s="201"/>
      <c r="AO218" s="201"/>
      <c r="AP218" s="201"/>
      <c r="AQ218" s="201"/>
      <c r="AR218" s="201"/>
      <c r="AS218" s="201"/>
      <c r="AT218" s="201"/>
      <c r="AU218" s="201"/>
      <c r="AV218" s="201"/>
      <c r="AW218" s="201"/>
    </row>
    <row r="219" spans="1:49" s="168" customFormat="1" ht="13.5" customHeight="1">
      <c r="A219" s="188" t="s">
        <v>12</v>
      </c>
      <c r="B219" s="238">
        <f t="shared" si="6"/>
        <v>64</v>
      </c>
      <c r="C219" s="849">
        <v>21</v>
      </c>
      <c r="D219" s="849">
        <v>43</v>
      </c>
      <c r="E219" s="238">
        <f t="shared" si="7"/>
        <v>272</v>
      </c>
      <c r="F219" s="848">
        <v>135</v>
      </c>
      <c r="G219" s="848">
        <v>137</v>
      </c>
      <c r="H219" s="238">
        <f t="shared" si="8"/>
        <v>28</v>
      </c>
      <c r="I219" s="848">
        <v>20</v>
      </c>
      <c r="J219" s="848">
        <v>8</v>
      </c>
      <c r="K219" s="331"/>
      <c r="L219" s="334"/>
      <c r="M219" s="334"/>
      <c r="N219" s="201"/>
      <c r="O219" s="330"/>
      <c r="P219" s="331"/>
      <c r="Q219" s="332"/>
      <c r="R219" s="332"/>
      <c r="S219" s="331"/>
      <c r="T219" s="332"/>
      <c r="U219" s="332"/>
      <c r="V219" s="331"/>
      <c r="W219" s="332"/>
      <c r="X219" s="332"/>
      <c r="Y219" s="331"/>
      <c r="Z219" s="334"/>
      <c r="AA219" s="334"/>
      <c r="AB219" s="205"/>
      <c r="AC219" s="215"/>
      <c r="AD219" s="202"/>
      <c r="AE219" s="202"/>
      <c r="AF219" s="202"/>
      <c r="AG219" s="201"/>
      <c r="AH219" s="201"/>
      <c r="AI219" s="201"/>
      <c r="AJ219" s="201"/>
      <c r="AK219" s="201"/>
      <c r="AL219" s="201"/>
      <c r="AM219" s="201"/>
      <c r="AN219" s="201"/>
      <c r="AO219" s="201"/>
      <c r="AP219" s="201"/>
      <c r="AQ219" s="201"/>
      <c r="AR219" s="201"/>
      <c r="AS219" s="201"/>
      <c r="AT219" s="201"/>
      <c r="AU219" s="201"/>
      <c r="AV219" s="201"/>
      <c r="AW219" s="201"/>
    </row>
    <row r="220" spans="1:49" s="168" customFormat="1" ht="13.5" customHeight="1">
      <c r="A220" s="188" t="s">
        <v>13</v>
      </c>
      <c r="B220" s="238">
        <f t="shared" si="6"/>
        <v>116</v>
      </c>
      <c r="C220" s="849">
        <v>18</v>
      </c>
      <c r="D220" s="849">
        <v>98</v>
      </c>
      <c r="E220" s="238">
        <f t="shared" si="7"/>
        <v>184</v>
      </c>
      <c r="F220" s="848">
        <v>116</v>
      </c>
      <c r="G220" s="848">
        <v>68</v>
      </c>
      <c r="H220" s="238">
        <f t="shared" si="8"/>
        <v>5</v>
      </c>
      <c r="I220" s="848">
        <v>5</v>
      </c>
      <c r="J220" s="848">
        <v>0</v>
      </c>
      <c r="K220" s="331"/>
      <c r="L220" s="334"/>
      <c r="M220" s="334"/>
      <c r="N220" s="201"/>
      <c r="O220" s="330"/>
      <c r="P220" s="331"/>
      <c r="Q220" s="332"/>
      <c r="R220" s="332"/>
      <c r="S220" s="331"/>
      <c r="T220" s="332"/>
      <c r="U220" s="332"/>
      <c r="V220" s="331"/>
      <c r="W220" s="332"/>
      <c r="X220" s="332"/>
      <c r="Y220" s="331"/>
      <c r="Z220" s="334"/>
      <c r="AA220" s="334"/>
      <c r="AB220" s="205"/>
      <c r="AC220" s="215"/>
      <c r="AD220" s="202"/>
      <c r="AE220" s="202"/>
      <c r="AF220" s="202"/>
      <c r="AG220" s="201"/>
      <c r="AH220" s="201"/>
      <c r="AI220" s="201"/>
      <c r="AJ220" s="201"/>
      <c r="AK220" s="201"/>
      <c r="AL220" s="201"/>
      <c r="AM220" s="201"/>
      <c r="AN220" s="201"/>
      <c r="AO220" s="201"/>
      <c r="AP220" s="201"/>
      <c r="AQ220" s="201"/>
      <c r="AR220" s="201"/>
      <c r="AS220" s="201"/>
      <c r="AT220" s="201"/>
      <c r="AU220" s="201"/>
      <c r="AV220" s="201"/>
      <c r="AW220" s="201"/>
    </row>
    <row r="221" spans="1:49" s="168" customFormat="1" ht="13.5" customHeight="1">
      <c r="A221" s="188" t="s">
        <v>14</v>
      </c>
      <c r="B221" s="238">
        <f t="shared" si="6"/>
        <v>85</v>
      </c>
      <c r="C221" s="849">
        <v>22</v>
      </c>
      <c r="D221" s="849">
        <v>63</v>
      </c>
      <c r="E221" s="238">
        <f t="shared" si="7"/>
        <v>152</v>
      </c>
      <c r="F221" s="848">
        <v>102</v>
      </c>
      <c r="G221" s="848">
        <v>50</v>
      </c>
      <c r="H221" s="238">
        <f t="shared" si="8"/>
        <v>10</v>
      </c>
      <c r="I221" s="848">
        <v>5</v>
      </c>
      <c r="J221" s="848">
        <v>5</v>
      </c>
      <c r="K221" s="331"/>
      <c r="L221" s="334"/>
      <c r="M221" s="334"/>
      <c r="N221" s="201"/>
      <c r="O221" s="330"/>
      <c r="P221" s="331"/>
      <c r="Q221" s="332"/>
      <c r="R221" s="332"/>
      <c r="S221" s="331"/>
      <c r="T221" s="332"/>
      <c r="U221" s="332"/>
      <c r="V221" s="331"/>
      <c r="W221" s="332"/>
      <c r="X221" s="332"/>
      <c r="Y221" s="331"/>
      <c r="Z221" s="334"/>
      <c r="AA221" s="334"/>
      <c r="AB221" s="205"/>
      <c r="AC221" s="215"/>
      <c r="AD221" s="202"/>
      <c r="AE221" s="202"/>
      <c r="AF221" s="202"/>
      <c r="AG221" s="201"/>
      <c r="AH221" s="201"/>
      <c r="AI221" s="201"/>
      <c r="AJ221" s="201"/>
      <c r="AK221" s="201"/>
      <c r="AL221" s="201"/>
      <c r="AM221" s="201"/>
      <c r="AN221" s="201"/>
      <c r="AO221" s="201"/>
      <c r="AP221" s="201"/>
      <c r="AQ221" s="201"/>
      <c r="AR221" s="201"/>
      <c r="AS221" s="201"/>
      <c r="AT221" s="201"/>
      <c r="AU221" s="201"/>
      <c r="AV221" s="201"/>
      <c r="AW221" s="201"/>
    </row>
    <row r="222" spans="1:49" s="168" customFormat="1" ht="13.5" customHeight="1">
      <c r="A222" s="188" t="s">
        <v>15</v>
      </c>
      <c r="B222" s="238">
        <f t="shared" si="6"/>
        <v>104</v>
      </c>
      <c r="C222" s="849">
        <v>28</v>
      </c>
      <c r="D222" s="849">
        <v>76</v>
      </c>
      <c r="E222" s="238">
        <f t="shared" si="7"/>
        <v>105</v>
      </c>
      <c r="F222" s="848">
        <v>68</v>
      </c>
      <c r="G222" s="848">
        <v>37</v>
      </c>
      <c r="H222" s="238">
        <f t="shared" si="8"/>
        <v>12</v>
      </c>
      <c r="I222" s="848">
        <v>11</v>
      </c>
      <c r="J222" s="848">
        <v>1</v>
      </c>
      <c r="K222" s="331"/>
      <c r="L222" s="334"/>
      <c r="M222" s="334"/>
      <c r="N222" s="201"/>
      <c r="O222" s="335"/>
      <c r="P222" s="331"/>
      <c r="Q222" s="332"/>
      <c r="R222" s="332"/>
      <c r="S222" s="331"/>
      <c r="T222" s="332"/>
      <c r="U222" s="332"/>
      <c r="V222" s="331"/>
      <c r="W222" s="332"/>
      <c r="X222" s="332"/>
      <c r="Y222" s="331"/>
      <c r="Z222" s="334"/>
      <c r="AA222" s="334"/>
      <c r="AB222" s="205"/>
      <c r="AC222" s="215"/>
      <c r="AD222" s="202"/>
      <c r="AE222" s="202"/>
      <c r="AF222" s="202"/>
      <c r="AG222" s="201"/>
      <c r="AH222" s="201"/>
      <c r="AI222" s="201"/>
      <c r="AJ222" s="201"/>
      <c r="AK222" s="201"/>
      <c r="AL222" s="201"/>
      <c r="AM222" s="201"/>
      <c r="AN222" s="201"/>
      <c r="AO222" s="201"/>
      <c r="AP222" s="201"/>
      <c r="AQ222" s="201"/>
      <c r="AR222" s="201"/>
      <c r="AS222" s="201"/>
      <c r="AT222" s="201"/>
      <c r="AU222" s="201"/>
      <c r="AV222" s="201"/>
      <c r="AW222" s="201"/>
    </row>
    <row r="223" spans="1:49" s="168" customFormat="1" ht="13.5" customHeight="1">
      <c r="A223" s="188" t="s">
        <v>16</v>
      </c>
      <c r="B223" s="238">
        <f t="shared" si="6"/>
        <v>104</v>
      </c>
      <c r="C223" s="849">
        <v>47</v>
      </c>
      <c r="D223" s="849">
        <v>57</v>
      </c>
      <c r="E223" s="238">
        <f t="shared" si="7"/>
        <v>52</v>
      </c>
      <c r="F223" s="848">
        <v>35</v>
      </c>
      <c r="G223" s="848">
        <v>17</v>
      </c>
      <c r="H223" s="238">
        <f t="shared" si="8"/>
        <v>51</v>
      </c>
      <c r="I223" s="848">
        <v>46</v>
      </c>
      <c r="J223" s="848">
        <v>5</v>
      </c>
      <c r="K223" s="331"/>
      <c r="L223" s="334"/>
      <c r="M223" s="334"/>
      <c r="N223" s="201"/>
      <c r="O223" s="335"/>
      <c r="P223" s="331"/>
      <c r="Q223" s="332"/>
      <c r="R223" s="332"/>
      <c r="S223" s="331"/>
      <c r="T223" s="332"/>
      <c r="U223" s="332"/>
      <c r="V223" s="331"/>
      <c r="W223" s="332"/>
      <c r="X223" s="332"/>
      <c r="Y223" s="331"/>
      <c r="Z223" s="334"/>
      <c r="AA223" s="334"/>
      <c r="AB223" s="205"/>
      <c r="AC223" s="215"/>
      <c r="AD223" s="202"/>
      <c r="AE223" s="202"/>
      <c r="AF223" s="202"/>
      <c r="AG223" s="201"/>
      <c r="AH223" s="201"/>
      <c r="AI223" s="201"/>
      <c r="AJ223" s="201"/>
      <c r="AK223" s="201"/>
      <c r="AL223" s="201"/>
      <c r="AM223" s="201"/>
      <c r="AN223" s="201"/>
      <c r="AO223" s="201"/>
      <c r="AP223" s="201"/>
      <c r="AQ223" s="201"/>
      <c r="AR223" s="201"/>
      <c r="AS223" s="201"/>
      <c r="AT223" s="201"/>
      <c r="AU223" s="201"/>
      <c r="AV223" s="201"/>
      <c r="AW223" s="201"/>
    </row>
    <row r="224" spans="1:49" s="168" customFormat="1" ht="13.5" customHeight="1">
      <c r="A224" s="188" t="s">
        <v>17</v>
      </c>
      <c r="B224" s="238">
        <f t="shared" si="6"/>
        <v>42</v>
      </c>
      <c r="C224" s="849">
        <v>23</v>
      </c>
      <c r="D224" s="849">
        <v>19</v>
      </c>
      <c r="E224" s="238">
        <f t="shared" si="7"/>
        <v>66</v>
      </c>
      <c r="F224" s="848">
        <v>37</v>
      </c>
      <c r="G224" s="848">
        <v>29</v>
      </c>
      <c r="H224" s="238">
        <f t="shared" si="8"/>
        <v>53</v>
      </c>
      <c r="I224" s="848">
        <v>33</v>
      </c>
      <c r="J224" s="848">
        <v>20</v>
      </c>
      <c r="K224" s="331"/>
      <c r="L224" s="334"/>
      <c r="M224" s="334"/>
      <c r="N224" s="201"/>
      <c r="O224" s="335"/>
      <c r="P224" s="331"/>
      <c r="Q224" s="332"/>
      <c r="R224" s="332"/>
      <c r="S224" s="331"/>
      <c r="T224" s="332"/>
      <c r="U224" s="332"/>
      <c r="V224" s="331"/>
      <c r="W224" s="332"/>
      <c r="X224" s="332"/>
      <c r="Y224" s="331"/>
      <c r="Z224" s="334"/>
      <c r="AA224" s="334"/>
      <c r="AB224" s="205"/>
      <c r="AC224" s="215"/>
      <c r="AD224" s="202"/>
      <c r="AE224" s="202"/>
      <c r="AF224" s="202"/>
      <c r="AG224" s="201"/>
      <c r="AH224" s="201"/>
      <c r="AI224" s="201"/>
      <c r="AJ224" s="201"/>
      <c r="AK224" s="201"/>
      <c r="AL224" s="201"/>
      <c r="AM224" s="201"/>
      <c r="AN224" s="201"/>
      <c r="AO224" s="201"/>
      <c r="AP224" s="201"/>
      <c r="AQ224" s="201"/>
      <c r="AR224" s="201"/>
      <c r="AS224" s="201"/>
      <c r="AT224" s="201"/>
      <c r="AU224" s="201"/>
      <c r="AV224" s="201"/>
      <c r="AW224" s="201"/>
    </row>
    <row r="225" spans="1:49" s="168" customFormat="1" ht="15.6">
      <c r="A225" s="250" t="s">
        <v>2</v>
      </c>
      <c r="B225" s="761" t="s">
        <v>58</v>
      </c>
      <c r="C225" s="762"/>
      <c r="D225" s="762"/>
      <c r="E225" s="762"/>
      <c r="F225" s="762"/>
      <c r="G225" s="762"/>
      <c r="H225" s="762"/>
      <c r="I225" s="762"/>
      <c r="J225" s="763"/>
      <c r="K225" s="341"/>
      <c r="L225" s="341"/>
      <c r="M225" s="341"/>
      <c r="N225" s="201"/>
      <c r="O225" s="327"/>
      <c r="P225" s="825"/>
      <c r="Q225" s="825"/>
      <c r="R225" s="825"/>
      <c r="S225" s="825"/>
      <c r="T225" s="825"/>
      <c r="U225" s="825"/>
      <c r="V225" s="825"/>
      <c r="W225" s="825"/>
      <c r="X225" s="825"/>
      <c r="Y225" s="825"/>
      <c r="Z225" s="825"/>
      <c r="AA225" s="825"/>
      <c r="AB225" s="216"/>
      <c r="AC225" s="216"/>
      <c r="AD225" s="216"/>
      <c r="AE225" s="216"/>
      <c r="AF225" s="202"/>
      <c r="AG225" s="201"/>
      <c r="AH225" s="201"/>
      <c r="AI225" s="201"/>
      <c r="AJ225" s="201"/>
      <c r="AK225" s="201"/>
      <c r="AL225" s="201"/>
      <c r="AM225" s="201"/>
      <c r="AN225" s="201"/>
      <c r="AO225" s="201"/>
      <c r="AP225" s="201"/>
      <c r="AQ225" s="201"/>
      <c r="AR225" s="201"/>
      <c r="AS225" s="201"/>
      <c r="AT225" s="201"/>
      <c r="AU225" s="201"/>
      <c r="AV225" s="201"/>
      <c r="AW225" s="201"/>
    </row>
    <row r="226" spans="1:49" s="168" customFormat="1" ht="13.5" customHeight="1">
      <c r="A226" s="188" t="s">
        <v>6</v>
      </c>
      <c r="B226" s="238" t="str">
        <f t="shared" ref="B226:B237" si="9">IF(OR(ISNUMBER(C226), ISNUMBER(D226)), C226+D226, "")</f>
        <v/>
      </c>
      <c r="C226" s="239"/>
      <c r="D226" s="239"/>
      <c r="E226" s="238" t="str">
        <f>IF(OR(ISNUMBER(F226), ISNUMBER(G226)), F226+G226, "")</f>
        <v/>
      </c>
      <c r="F226" s="239"/>
      <c r="G226" s="239"/>
      <c r="H226" s="238" t="str">
        <f>IF(OR(ISNUMBER(I226), ISNUMBER(J226)), I226+J226, "")</f>
        <v/>
      </c>
      <c r="I226" s="239"/>
      <c r="J226" s="239"/>
      <c r="K226" s="331"/>
      <c r="L226" s="332"/>
      <c r="M226" s="332"/>
      <c r="N226" s="201"/>
      <c r="O226" s="330"/>
      <c r="P226" s="331"/>
      <c r="Q226" s="332"/>
      <c r="R226" s="332"/>
      <c r="S226" s="331"/>
      <c r="T226" s="332"/>
      <c r="U226" s="332"/>
      <c r="V226" s="331"/>
      <c r="W226" s="332"/>
      <c r="X226" s="332"/>
      <c r="Y226" s="331"/>
      <c r="Z226" s="332"/>
      <c r="AA226" s="332"/>
      <c r="AB226" s="208"/>
      <c r="AC226" s="215"/>
      <c r="AD226" s="208"/>
      <c r="AE226" s="208"/>
      <c r="AF226" s="202"/>
      <c r="AG226" s="201"/>
      <c r="AH226" s="201"/>
      <c r="AI226" s="201"/>
      <c r="AJ226" s="201"/>
      <c r="AK226" s="201"/>
      <c r="AL226" s="201"/>
      <c r="AM226" s="201"/>
      <c r="AN226" s="201"/>
      <c r="AO226" s="201"/>
      <c r="AP226" s="201"/>
      <c r="AQ226" s="201"/>
      <c r="AR226" s="201"/>
      <c r="AS226" s="201"/>
      <c r="AT226" s="201"/>
      <c r="AU226" s="201"/>
      <c r="AV226" s="201"/>
      <c r="AW226" s="201"/>
    </row>
    <row r="227" spans="1:49" s="168" customFormat="1" ht="13.5" customHeight="1">
      <c r="A227" s="188" t="s">
        <v>7</v>
      </c>
      <c r="B227" s="238" t="str">
        <f t="shared" si="9"/>
        <v/>
      </c>
      <c r="C227" s="239"/>
      <c r="D227" s="239"/>
      <c r="E227" s="238" t="str">
        <f t="shared" ref="E227:E237" si="10">IF(OR(ISNUMBER(F227), ISNUMBER(G227)), F227+G227, "")</f>
        <v/>
      </c>
      <c r="F227" s="239"/>
      <c r="G227" s="239"/>
      <c r="H227" s="238" t="str">
        <f t="shared" ref="H227:H237" si="11">IF(OR(ISNUMBER(I227), ISNUMBER(J227)), I227+J227, "")</f>
        <v/>
      </c>
      <c r="I227" s="239"/>
      <c r="J227" s="239"/>
      <c r="K227" s="331"/>
      <c r="L227" s="332"/>
      <c r="M227" s="332"/>
      <c r="N227" s="201"/>
      <c r="O227" s="330"/>
      <c r="P227" s="331"/>
      <c r="Q227" s="332"/>
      <c r="R227" s="332"/>
      <c r="S227" s="331"/>
      <c r="T227" s="332"/>
      <c r="U227" s="332"/>
      <c r="V227" s="331"/>
      <c r="W227" s="332"/>
      <c r="X227" s="332"/>
      <c r="Y227" s="331"/>
      <c r="Z227" s="332"/>
      <c r="AA227" s="332"/>
      <c r="AB227" s="208"/>
      <c r="AC227" s="215"/>
      <c r="AD227" s="208"/>
      <c r="AE227" s="208"/>
      <c r="AF227" s="202"/>
      <c r="AG227" s="201"/>
      <c r="AH227" s="201"/>
      <c r="AI227" s="201"/>
      <c r="AJ227" s="201"/>
      <c r="AK227" s="201"/>
      <c r="AL227" s="201"/>
      <c r="AM227" s="201"/>
      <c r="AN227" s="201"/>
      <c r="AO227" s="201"/>
      <c r="AP227" s="201"/>
      <c r="AQ227" s="201"/>
      <c r="AR227" s="201"/>
      <c r="AS227" s="201"/>
      <c r="AT227" s="201"/>
      <c r="AU227" s="201"/>
      <c r="AV227" s="201"/>
      <c r="AW227" s="201"/>
    </row>
    <row r="228" spans="1:49" s="168" customFormat="1" ht="13.5" customHeight="1">
      <c r="A228" s="188" t="s">
        <v>8</v>
      </c>
      <c r="B228" s="238" t="str">
        <f t="shared" si="9"/>
        <v/>
      </c>
      <c r="C228" s="239"/>
      <c r="D228" s="239"/>
      <c r="E228" s="238" t="str">
        <f t="shared" si="10"/>
        <v/>
      </c>
      <c r="F228" s="239"/>
      <c r="G228" s="239"/>
      <c r="H228" s="238" t="str">
        <f t="shared" si="11"/>
        <v/>
      </c>
      <c r="I228" s="239"/>
      <c r="J228" s="239"/>
      <c r="K228" s="331"/>
      <c r="L228" s="332"/>
      <c r="M228" s="332"/>
      <c r="N228" s="201"/>
      <c r="O228" s="330"/>
      <c r="P228" s="331"/>
      <c r="Q228" s="332"/>
      <c r="R228" s="332"/>
      <c r="S228" s="331"/>
      <c r="T228" s="332"/>
      <c r="U228" s="332"/>
      <c r="V228" s="331"/>
      <c r="W228" s="332"/>
      <c r="X228" s="332"/>
      <c r="Y228" s="331"/>
      <c r="Z228" s="332"/>
      <c r="AA228" s="332"/>
      <c r="AB228" s="208"/>
      <c r="AC228" s="215"/>
      <c r="AD228" s="208"/>
      <c r="AE228" s="208"/>
      <c r="AF228" s="202"/>
      <c r="AG228" s="201"/>
      <c r="AH228" s="201"/>
      <c r="AI228" s="201"/>
      <c r="AJ228" s="201"/>
      <c r="AK228" s="201"/>
      <c r="AL228" s="201"/>
      <c r="AM228" s="201"/>
      <c r="AN228" s="201"/>
      <c r="AO228" s="201"/>
      <c r="AP228" s="201"/>
      <c r="AQ228" s="201"/>
      <c r="AR228" s="201"/>
      <c r="AS228" s="201"/>
      <c r="AT228" s="201"/>
      <c r="AU228" s="201"/>
      <c r="AV228" s="201"/>
      <c r="AW228" s="201"/>
    </row>
    <row r="229" spans="1:49" s="168" customFormat="1" ht="13.5" customHeight="1">
      <c r="A229" s="188" t="s">
        <v>9</v>
      </c>
      <c r="B229" s="238" t="str">
        <f t="shared" si="9"/>
        <v/>
      </c>
      <c r="C229" s="239"/>
      <c r="D229" s="239"/>
      <c r="E229" s="238" t="str">
        <f t="shared" si="10"/>
        <v/>
      </c>
      <c r="F229" s="239"/>
      <c r="G229" s="239"/>
      <c r="H229" s="238" t="str">
        <f t="shared" si="11"/>
        <v/>
      </c>
      <c r="I229" s="239"/>
      <c r="J229" s="239"/>
      <c r="K229" s="331"/>
      <c r="L229" s="332"/>
      <c r="M229" s="332"/>
      <c r="N229" s="201"/>
      <c r="O229" s="330"/>
      <c r="P229" s="331"/>
      <c r="Q229" s="332"/>
      <c r="R229" s="332"/>
      <c r="S229" s="331"/>
      <c r="T229" s="332"/>
      <c r="U229" s="332"/>
      <c r="V229" s="331"/>
      <c r="W229" s="332"/>
      <c r="X229" s="332"/>
      <c r="Y229" s="331"/>
      <c r="Z229" s="332"/>
      <c r="AA229" s="332"/>
      <c r="AB229" s="208"/>
      <c r="AC229" s="215"/>
      <c r="AD229" s="208"/>
      <c r="AE229" s="208"/>
      <c r="AF229" s="202"/>
      <c r="AG229" s="201"/>
      <c r="AH229" s="201"/>
      <c r="AI229" s="201"/>
      <c r="AJ229" s="201"/>
      <c r="AK229" s="201"/>
      <c r="AL229" s="201"/>
      <c r="AM229" s="201"/>
      <c r="AN229" s="201"/>
      <c r="AO229" s="201"/>
      <c r="AP229" s="201"/>
      <c r="AQ229" s="201"/>
      <c r="AR229" s="201"/>
      <c r="AS229" s="201"/>
      <c r="AT229" s="201"/>
      <c r="AU229" s="201"/>
      <c r="AV229" s="201"/>
      <c r="AW229" s="201"/>
    </row>
    <row r="230" spans="1:49" s="168" customFormat="1" ht="13.5" customHeight="1">
      <c r="A230" s="188" t="s">
        <v>10</v>
      </c>
      <c r="B230" s="238" t="str">
        <f t="shared" si="9"/>
        <v/>
      </c>
      <c r="C230" s="239"/>
      <c r="D230" s="239"/>
      <c r="E230" s="238" t="str">
        <f t="shared" si="10"/>
        <v/>
      </c>
      <c r="F230" s="239"/>
      <c r="G230" s="239"/>
      <c r="H230" s="238" t="str">
        <f t="shared" si="11"/>
        <v/>
      </c>
      <c r="I230" s="87"/>
      <c r="J230" s="87"/>
      <c r="K230" s="331"/>
      <c r="L230" s="334"/>
      <c r="M230" s="334"/>
      <c r="N230" s="201"/>
      <c r="O230" s="330"/>
      <c r="P230" s="331"/>
      <c r="Q230" s="332"/>
      <c r="R230" s="332"/>
      <c r="S230" s="331"/>
      <c r="T230" s="332"/>
      <c r="U230" s="332"/>
      <c r="V230" s="331"/>
      <c r="W230" s="334"/>
      <c r="X230" s="334"/>
      <c r="Y230" s="331"/>
      <c r="Z230" s="334"/>
      <c r="AA230" s="334"/>
      <c r="AB230" s="205"/>
      <c r="AC230" s="215"/>
      <c r="AD230" s="205"/>
      <c r="AE230" s="205"/>
      <c r="AF230" s="202"/>
      <c r="AG230" s="201"/>
      <c r="AH230" s="201"/>
      <c r="AI230" s="201"/>
      <c r="AJ230" s="201"/>
      <c r="AK230" s="201"/>
      <c r="AL230" s="201"/>
      <c r="AM230" s="201"/>
      <c r="AN230" s="201"/>
      <c r="AO230" s="201"/>
      <c r="AP230" s="201"/>
      <c r="AQ230" s="201"/>
      <c r="AR230" s="201"/>
      <c r="AS230" s="201"/>
      <c r="AT230" s="201"/>
      <c r="AU230" s="201"/>
      <c r="AV230" s="201"/>
      <c r="AW230" s="201"/>
    </row>
    <row r="231" spans="1:49" s="168" customFormat="1" ht="13.5" customHeight="1">
      <c r="A231" s="188" t="s">
        <v>11</v>
      </c>
      <c r="B231" s="238" t="str">
        <f t="shared" si="9"/>
        <v/>
      </c>
      <c r="C231" s="239"/>
      <c r="D231" s="239"/>
      <c r="E231" s="238" t="str">
        <f t="shared" si="10"/>
        <v/>
      </c>
      <c r="F231" s="239"/>
      <c r="G231" s="239"/>
      <c r="H231" s="238" t="str">
        <f t="shared" si="11"/>
        <v/>
      </c>
      <c r="I231" s="87"/>
      <c r="J231" s="87"/>
      <c r="K231" s="331"/>
      <c r="L231" s="334"/>
      <c r="M231" s="334"/>
      <c r="N231" s="201"/>
      <c r="O231" s="330"/>
      <c r="P231" s="331"/>
      <c r="Q231" s="332"/>
      <c r="R231" s="332"/>
      <c r="S231" s="331"/>
      <c r="T231" s="332"/>
      <c r="U231" s="332"/>
      <c r="V231" s="331"/>
      <c r="W231" s="334"/>
      <c r="X231" s="334"/>
      <c r="Y231" s="331"/>
      <c r="Z231" s="334"/>
      <c r="AA231" s="334"/>
      <c r="AB231" s="205"/>
      <c r="AC231" s="215"/>
      <c r="AD231" s="205"/>
      <c r="AE231" s="205"/>
      <c r="AF231" s="202"/>
      <c r="AG231" s="201"/>
      <c r="AH231" s="201"/>
      <c r="AI231" s="201"/>
      <c r="AJ231" s="201"/>
      <c r="AK231" s="201"/>
      <c r="AL231" s="201"/>
      <c r="AM231" s="201"/>
      <c r="AN231" s="201"/>
      <c r="AO231" s="201"/>
      <c r="AP231" s="201"/>
      <c r="AQ231" s="201"/>
      <c r="AR231" s="201"/>
      <c r="AS231" s="201"/>
      <c r="AT231" s="201"/>
      <c r="AU231" s="201"/>
      <c r="AV231" s="201"/>
      <c r="AW231" s="201"/>
    </row>
    <row r="232" spans="1:49" s="168" customFormat="1" ht="13.5" customHeight="1">
      <c r="A232" s="188" t="s">
        <v>12</v>
      </c>
      <c r="B232" s="238">
        <f t="shared" si="9"/>
        <v>253</v>
      </c>
      <c r="C232" s="849">
        <v>106</v>
      </c>
      <c r="D232" s="849">
        <v>147</v>
      </c>
      <c r="E232" s="238">
        <f t="shared" si="10"/>
        <v>111</v>
      </c>
      <c r="F232" s="848">
        <v>70</v>
      </c>
      <c r="G232" s="848">
        <v>41</v>
      </c>
      <c r="H232" s="238">
        <f t="shared" si="11"/>
        <v>0</v>
      </c>
      <c r="I232" s="848">
        <v>0</v>
      </c>
      <c r="J232" s="848">
        <v>0</v>
      </c>
      <c r="K232" s="331"/>
      <c r="L232" s="334"/>
      <c r="M232" s="334"/>
      <c r="N232" s="201"/>
      <c r="O232" s="330"/>
      <c r="P232" s="331"/>
      <c r="Q232" s="332"/>
      <c r="R232" s="332"/>
      <c r="S232" s="331"/>
      <c r="T232" s="332"/>
      <c r="U232" s="332"/>
      <c r="V232" s="331"/>
      <c r="W232" s="332"/>
      <c r="X232" s="332"/>
      <c r="Y232" s="331"/>
      <c r="Z232" s="334"/>
      <c r="AA232" s="334"/>
      <c r="AB232" s="205"/>
      <c r="AC232" s="215"/>
      <c r="AD232" s="205"/>
      <c r="AE232" s="205"/>
      <c r="AF232" s="202"/>
      <c r="AG232" s="201"/>
      <c r="AH232" s="201"/>
      <c r="AI232" s="201"/>
      <c r="AJ232" s="201"/>
      <c r="AK232" s="201"/>
      <c r="AL232" s="201"/>
      <c r="AM232" s="201"/>
      <c r="AN232" s="201"/>
      <c r="AO232" s="201"/>
      <c r="AP232" s="201"/>
      <c r="AQ232" s="201"/>
      <c r="AR232" s="201"/>
      <c r="AS232" s="201"/>
      <c r="AT232" s="201"/>
      <c r="AU232" s="201"/>
      <c r="AV232" s="201"/>
      <c r="AW232" s="201"/>
    </row>
    <row r="233" spans="1:49" s="168" customFormat="1" ht="13.5" customHeight="1">
      <c r="A233" s="188" t="s">
        <v>13</v>
      </c>
      <c r="B233" s="238">
        <f t="shared" si="9"/>
        <v>213</v>
      </c>
      <c r="C233" s="849">
        <v>100</v>
      </c>
      <c r="D233" s="849">
        <v>113</v>
      </c>
      <c r="E233" s="238">
        <f t="shared" si="10"/>
        <v>92</v>
      </c>
      <c r="F233" s="848">
        <v>39</v>
      </c>
      <c r="G233" s="848">
        <v>53</v>
      </c>
      <c r="H233" s="238">
        <f t="shared" si="11"/>
        <v>0</v>
      </c>
      <c r="I233" s="848">
        <v>0</v>
      </c>
      <c r="J233" s="848">
        <v>0</v>
      </c>
      <c r="K233" s="331"/>
      <c r="L233" s="334"/>
      <c r="M233" s="334"/>
      <c r="N233" s="201"/>
      <c r="O233" s="330"/>
      <c r="P233" s="331"/>
      <c r="Q233" s="332"/>
      <c r="R233" s="332"/>
      <c r="S233" s="331"/>
      <c r="T233" s="332"/>
      <c r="U233" s="332"/>
      <c r="V233" s="331"/>
      <c r="W233" s="332"/>
      <c r="X233" s="332"/>
      <c r="Y233" s="331"/>
      <c r="Z233" s="334"/>
      <c r="AA233" s="334"/>
      <c r="AB233" s="205"/>
      <c r="AC233" s="215"/>
      <c r="AD233" s="205"/>
      <c r="AE233" s="205"/>
      <c r="AF233" s="202"/>
      <c r="AG233" s="201"/>
      <c r="AH233" s="201"/>
      <c r="AI233" s="201"/>
      <c r="AJ233" s="201"/>
      <c r="AK233" s="201"/>
      <c r="AL233" s="201"/>
      <c r="AM233" s="201"/>
      <c r="AN233" s="201"/>
      <c r="AO233" s="201"/>
      <c r="AP233" s="201"/>
      <c r="AQ233" s="201"/>
      <c r="AR233" s="201"/>
      <c r="AS233" s="201"/>
      <c r="AT233" s="201"/>
      <c r="AU233" s="201"/>
      <c r="AV233" s="201"/>
      <c r="AW233" s="201"/>
    </row>
    <row r="234" spans="1:49" s="168" customFormat="1" ht="13.5" customHeight="1">
      <c r="A234" s="188" t="s">
        <v>14</v>
      </c>
      <c r="B234" s="238">
        <f t="shared" si="9"/>
        <v>213</v>
      </c>
      <c r="C234" s="849">
        <v>120</v>
      </c>
      <c r="D234" s="849">
        <v>93</v>
      </c>
      <c r="E234" s="238">
        <f t="shared" si="10"/>
        <v>34</v>
      </c>
      <c r="F234" s="848">
        <v>9</v>
      </c>
      <c r="G234" s="848">
        <v>25</v>
      </c>
      <c r="H234" s="238">
        <f t="shared" si="11"/>
        <v>0</v>
      </c>
      <c r="I234" s="848">
        <v>0</v>
      </c>
      <c r="J234" s="848">
        <v>0</v>
      </c>
      <c r="K234" s="331"/>
      <c r="L234" s="334"/>
      <c r="M234" s="334"/>
      <c r="N234" s="201"/>
      <c r="O234" s="330"/>
      <c r="P234" s="331"/>
      <c r="Q234" s="332"/>
      <c r="R234" s="332"/>
      <c r="S234" s="331"/>
      <c r="T234" s="332"/>
      <c r="U234" s="332"/>
      <c r="V234" s="331"/>
      <c r="W234" s="332"/>
      <c r="X234" s="332"/>
      <c r="Y234" s="331"/>
      <c r="Z234" s="334"/>
      <c r="AA234" s="334"/>
      <c r="AB234" s="205"/>
      <c r="AC234" s="215"/>
      <c r="AD234" s="205"/>
      <c r="AE234" s="205"/>
      <c r="AF234" s="202"/>
      <c r="AG234" s="201"/>
      <c r="AH234" s="201"/>
      <c r="AI234" s="201"/>
      <c r="AJ234" s="201"/>
      <c r="AK234" s="201"/>
      <c r="AL234" s="201"/>
      <c r="AM234" s="201"/>
      <c r="AN234" s="201"/>
      <c r="AO234" s="201"/>
      <c r="AP234" s="201"/>
      <c r="AQ234" s="201"/>
      <c r="AR234" s="201"/>
      <c r="AS234" s="201"/>
      <c r="AT234" s="201"/>
      <c r="AU234" s="201"/>
      <c r="AV234" s="201"/>
      <c r="AW234" s="201"/>
    </row>
    <row r="235" spans="1:49" s="168" customFormat="1" ht="13.5" customHeight="1">
      <c r="A235" s="188" t="s">
        <v>15</v>
      </c>
      <c r="B235" s="238">
        <f t="shared" si="9"/>
        <v>198</v>
      </c>
      <c r="C235" s="849">
        <v>93</v>
      </c>
      <c r="D235" s="849">
        <v>105</v>
      </c>
      <c r="E235" s="238">
        <f t="shared" si="10"/>
        <v>23</v>
      </c>
      <c r="F235" s="848">
        <v>14</v>
      </c>
      <c r="G235" s="848">
        <v>9</v>
      </c>
      <c r="H235" s="238">
        <f t="shared" si="11"/>
        <v>0</v>
      </c>
      <c r="I235" s="848">
        <v>0</v>
      </c>
      <c r="J235" s="848">
        <v>0</v>
      </c>
      <c r="K235" s="331"/>
      <c r="L235" s="334"/>
      <c r="M235" s="334"/>
      <c r="N235" s="201"/>
      <c r="O235" s="335"/>
      <c r="P235" s="331"/>
      <c r="Q235" s="332"/>
      <c r="R235" s="332"/>
      <c r="S235" s="331"/>
      <c r="T235" s="332"/>
      <c r="U235" s="332"/>
      <c r="V235" s="331"/>
      <c r="W235" s="332"/>
      <c r="X235" s="332"/>
      <c r="Y235" s="331"/>
      <c r="Z235" s="334"/>
      <c r="AA235" s="334"/>
      <c r="AB235" s="205"/>
      <c r="AC235" s="215"/>
      <c r="AD235" s="205"/>
      <c r="AE235" s="205"/>
      <c r="AF235" s="202"/>
      <c r="AG235" s="201"/>
      <c r="AH235" s="201"/>
      <c r="AI235" s="201"/>
      <c r="AJ235" s="201"/>
      <c r="AK235" s="201"/>
      <c r="AL235" s="201"/>
      <c r="AM235" s="201"/>
      <c r="AN235" s="201"/>
      <c r="AO235" s="201"/>
      <c r="AP235" s="201"/>
      <c r="AQ235" s="201"/>
      <c r="AR235" s="201"/>
      <c r="AS235" s="201"/>
      <c r="AT235" s="201"/>
      <c r="AU235" s="201"/>
      <c r="AV235" s="201"/>
      <c r="AW235" s="201"/>
    </row>
    <row r="236" spans="1:49" s="168" customFormat="1" ht="13.5" customHeight="1">
      <c r="A236" s="188" t="s">
        <v>16</v>
      </c>
      <c r="B236" s="238">
        <f t="shared" si="9"/>
        <v>100</v>
      </c>
      <c r="C236" s="849">
        <v>78</v>
      </c>
      <c r="D236" s="849">
        <v>22</v>
      </c>
      <c r="E236" s="238">
        <f t="shared" si="10"/>
        <v>107</v>
      </c>
      <c r="F236" s="848">
        <v>50</v>
      </c>
      <c r="G236" s="848">
        <v>57</v>
      </c>
      <c r="H236" s="238">
        <f t="shared" si="11"/>
        <v>0</v>
      </c>
      <c r="I236" s="848">
        <v>0</v>
      </c>
      <c r="J236" s="848">
        <v>0</v>
      </c>
      <c r="K236" s="331"/>
      <c r="L236" s="334"/>
      <c r="M236" s="334"/>
      <c r="N236" s="201"/>
      <c r="O236" s="335"/>
      <c r="P236" s="331"/>
      <c r="Q236" s="332"/>
      <c r="R236" s="332"/>
      <c r="S236" s="331"/>
      <c r="T236" s="332"/>
      <c r="U236" s="332"/>
      <c r="V236" s="331"/>
      <c r="W236" s="332"/>
      <c r="X236" s="332"/>
      <c r="Y236" s="331"/>
      <c r="Z236" s="334"/>
      <c r="AA236" s="334"/>
      <c r="AB236" s="205"/>
      <c r="AC236" s="215"/>
      <c r="AD236" s="205"/>
      <c r="AE236" s="205"/>
      <c r="AF236" s="202"/>
      <c r="AG236" s="201"/>
      <c r="AH236" s="201"/>
      <c r="AI236" s="201"/>
      <c r="AJ236" s="201"/>
      <c r="AK236" s="201"/>
      <c r="AL236" s="201"/>
      <c r="AM236" s="201"/>
      <c r="AN236" s="201"/>
      <c r="AO236" s="201"/>
      <c r="AP236" s="201"/>
      <c r="AQ236" s="201"/>
      <c r="AR236" s="201"/>
      <c r="AS236" s="201"/>
      <c r="AT236" s="201"/>
      <c r="AU236" s="201"/>
      <c r="AV236" s="201"/>
      <c r="AW236" s="201"/>
    </row>
    <row r="237" spans="1:49" s="168" customFormat="1" ht="13.5" customHeight="1">
      <c r="A237" s="188" t="s">
        <v>17</v>
      </c>
      <c r="B237" s="238">
        <f t="shared" si="9"/>
        <v>139</v>
      </c>
      <c r="C237" s="849">
        <v>76</v>
      </c>
      <c r="D237" s="849">
        <v>63</v>
      </c>
      <c r="E237" s="238">
        <f t="shared" si="10"/>
        <v>22</v>
      </c>
      <c r="F237" s="848">
        <v>17</v>
      </c>
      <c r="G237" s="848">
        <v>5</v>
      </c>
      <c r="H237" s="238">
        <f t="shared" si="11"/>
        <v>0</v>
      </c>
      <c r="I237" s="848">
        <v>0</v>
      </c>
      <c r="J237" s="848">
        <v>0</v>
      </c>
      <c r="K237" s="331"/>
      <c r="L237" s="334"/>
      <c r="M237" s="334"/>
      <c r="N237" s="201"/>
      <c r="O237" s="335"/>
      <c r="P237" s="331"/>
      <c r="Q237" s="332"/>
      <c r="R237" s="332"/>
      <c r="S237" s="331"/>
      <c r="T237" s="332"/>
      <c r="U237" s="332"/>
      <c r="V237" s="331"/>
      <c r="W237" s="332"/>
      <c r="X237" s="332"/>
      <c r="Y237" s="331"/>
      <c r="Z237" s="334"/>
      <c r="AA237" s="334"/>
      <c r="AB237" s="205"/>
      <c r="AC237" s="215"/>
      <c r="AD237" s="205"/>
      <c r="AE237" s="205"/>
      <c r="AF237" s="202"/>
      <c r="AG237" s="201"/>
      <c r="AH237" s="201"/>
      <c r="AI237" s="201"/>
      <c r="AJ237" s="201"/>
      <c r="AK237" s="201"/>
      <c r="AL237" s="201"/>
      <c r="AM237" s="201"/>
      <c r="AN237" s="201"/>
      <c r="AO237" s="201"/>
      <c r="AP237" s="201"/>
      <c r="AQ237" s="201"/>
      <c r="AR237" s="201"/>
      <c r="AS237" s="201"/>
      <c r="AT237" s="201"/>
      <c r="AU237" s="201"/>
      <c r="AV237" s="201"/>
      <c r="AW237" s="201"/>
    </row>
    <row r="238" spans="1:49" s="168" customFormat="1" ht="15.75" hidden="1" customHeight="1">
      <c r="A238" s="169"/>
      <c r="B238" s="167"/>
      <c r="C238" s="167"/>
      <c r="D238" s="167"/>
      <c r="E238" s="167"/>
      <c r="F238" s="167"/>
      <c r="G238" s="167"/>
      <c r="H238" s="167"/>
      <c r="I238" s="167"/>
      <c r="J238" s="167"/>
      <c r="N238" s="201"/>
      <c r="O238" s="336"/>
      <c r="P238" s="337"/>
      <c r="Q238" s="337"/>
      <c r="R238" s="337"/>
      <c r="S238" s="337"/>
      <c r="T238" s="337"/>
      <c r="U238" s="337"/>
      <c r="V238" s="337"/>
      <c r="W238" s="337"/>
      <c r="X238" s="337"/>
      <c r="Y238" s="338"/>
      <c r="Z238" s="338"/>
      <c r="AA238" s="338"/>
      <c r="AB238" s="202"/>
      <c r="AC238" s="202"/>
      <c r="AD238" s="202"/>
      <c r="AE238" s="202"/>
      <c r="AF238" s="202"/>
      <c r="AG238" s="201"/>
      <c r="AH238" s="201"/>
      <c r="AI238" s="201"/>
      <c r="AJ238" s="201"/>
      <c r="AK238" s="201"/>
      <c r="AL238" s="201"/>
      <c r="AM238" s="201"/>
      <c r="AN238" s="201"/>
      <c r="AO238" s="201"/>
      <c r="AP238" s="201"/>
      <c r="AQ238" s="201"/>
      <c r="AR238" s="201"/>
      <c r="AS238" s="201"/>
      <c r="AT238" s="201"/>
      <c r="AU238" s="201"/>
      <c r="AV238" s="201"/>
      <c r="AW238" s="201"/>
    </row>
    <row r="239" spans="1:49" s="168" customFormat="1" ht="2.25" customHeight="1">
      <c r="A239" s="219"/>
      <c r="B239" s="217"/>
      <c r="C239" s="217"/>
      <c r="D239" s="217"/>
      <c r="E239" s="217"/>
      <c r="F239" s="217"/>
      <c r="G239" s="217"/>
      <c r="H239" s="217"/>
      <c r="I239" s="217"/>
      <c r="J239" s="217"/>
      <c r="K239" s="218"/>
      <c r="L239" s="218"/>
      <c r="M239" s="218"/>
      <c r="N239" s="201"/>
      <c r="O239" s="339"/>
      <c r="P239" s="337"/>
      <c r="Q239" s="337"/>
      <c r="R239" s="337"/>
      <c r="S239" s="337"/>
      <c r="T239" s="337"/>
      <c r="U239" s="337"/>
      <c r="V239" s="337"/>
      <c r="W239" s="337"/>
      <c r="X239" s="337"/>
      <c r="Y239" s="338"/>
      <c r="Z239" s="338"/>
      <c r="AA239" s="338"/>
      <c r="AB239" s="202"/>
      <c r="AC239" s="202"/>
      <c r="AD239" s="202"/>
      <c r="AE239" s="202"/>
      <c r="AF239" s="202"/>
      <c r="AG239" s="201"/>
      <c r="AH239" s="201"/>
      <c r="AI239" s="201"/>
      <c r="AJ239" s="201"/>
      <c r="AK239" s="201"/>
      <c r="AL239" s="201"/>
      <c r="AM239" s="201"/>
      <c r="AN239" s="201"/>
      <c r="AO239" s="201"/>
      <c r="AP239" s="201"/>
      <c r="AQ239" s="201"/>
      <c r="AR239" s="201"/>
      <c r="AS239" s="201"/>
      <c r="AT239" s="201"/>
      <c r="AU239" s="201"/>
      <c r="AV239" s="201"/>
      <c r="AW239" s="201"/>
    </row>
    <row r="240" spans="1:49" s="168" customFormat="1" ht="19.5" customHeight="1">
      <c r="A240" s="757" t="s">
        <v>863</v>
      </c>
      <c r="B240" s="757"/>
      <c r="C240" s="757"/>
      <c r="D240" s="757"/>
      <c r="E240" s="757"/>
      <c r="F240" s="757"/>
      <c r="G240" s="757"/>
      <c r="H240" s="757"/>
      <c r="I240" s="757"/>
      <c r="J240" s="757"/>
      <c r="K240" s="214"/>
      <c r="L240" s="214"/>
      <c r="M240" s="214"/>
      <c r="N240" s="201"/>
      <c r="O240" s="700"/>
      <c r="P240" s="700"/>
      <c r="Q240" s="700"/>
      <c r="R240" s="700"/>
      <c r="S240" s="700"/>
      <c r="T240" s="700"/>
      <c r="U240" s="700"/>
      <c r="V240" s="700"/>
      <c r="W240" s="700"/>
      <c r="X240" s="700"/>
      <c r="Y240" s="700"/>
      <c r="Z240" s="700"/>
      <c r="AA240" s="700"/>
      <c r="AB240" s="202"/>
      <c r="AC240" s="202"/>
      <c r="AD240" s="202"/>
      <c r="AE240" s="202"/>
      <c r="AF240" s="202"/>
      <c r="AG240" s="201"/>
      <c r="AH240" s="201"/>
      <c r="AI240" s="201"/>
      <c r="AJ240" s="201"/>
      <c r="AK240" s="201"/>
      <c r="AL240" s="201"/>
      <c r="AM240" s="201"/>
      <c r="AN240" s="201"/>
      <c r="AO240" s="201"/>
      <c r="AP240" s="201"/>
      <c r="AQ240" s="201"/>
      <c r="AR240" s="201"/>
      <c r="AS240" s="201"/>
      <c r="AT240" s="201"/>
      <c r="AU240" s="201"/>
      <c r="AV240" s="201"/>
      <c r="AW240" s="201"/>
    </row>
    <row r="241" spans="1:49" s="168" customFormat="1" ht="15.75" customHeight="1">
      <c r="A241" s="742" t="s">
        <v>2</v>
      </c>
      <c r="B241" s="756" t="s">
        <v>859</v>
      </c>
      <c r="C241" s="756"/>
      <c r="D241" s="756"/>
      <c r="E241" s="756" t="s">
        <v>860</v>
      </c>
      <c r="F241" s="756"/>
      <c r="G241" s="756"/>
      <c r="H241" s="756" t="s">
        <v>861</v>
      </c>
      <c r="I241" s="756"/>
      <c r="J241" s="756"/>
      <c r="K241" s="764"/>
      <c r="L241" s="764"/>
      <c r="M241" s="764"/>
      <c r="N241" s="201"/>
      <c r="O241" s="764"/>
      <c r="P241" s="764"/>
      <c r="Q241" s="764"/>
      <c r="R241" s="764"/>
      <c r="S241" s="764"/>
      <c r="T241" s="764"/>
      <c r="U241" s="764"/>
      <c r="V241" s="764"/>
      <c r="W241" s="764"/>
      <c r="X241" s="764"/>
      <c r="Y241" s="764"/>
      <c r="Z241" s="764"/>
      <c r="AA241" s="764"/>
      <c r="AB241" s="214"/>
      <c r="AC241" s="214"/>
      <c r="AD241" s="214"/>
      <c r="AE241" s="214"/>
      <c r="AF241" s="202"/>
      <c r="AG241" s="201"/>
      <c r="AH241" s="201"/>
      <c r="AI241" s="201"/>
      <c r="AJ241" s="201"/>
      <c r="AK241" s="201"/>
      <c r="AL241" s="201"/>
      <c r="AM241" s="201"/>
      <c r="AN241" s="201"/>
      <c r="AO241" s="201"/>
      <c r="AP241" s="201"/>
      <c r="AQ241" s="201"/>
      <c r="AR241" s="201"/>
      <c r="AS241" s="201"/>
      <c r="AT241" s="201"/>
      <c r="AU241" s="201"/>
      <c r="AV241" s="201"/>
      <c r="AW241" s="201"/>
    </row>
    <row r="242" spans="1:49" s="168" customFormat="1" ht="15.6">
      <c r="A242" s="742"/>
      <c r="B242" s="325" t="s">
        <v>4</v>
      </c>
      <c r="C242" s="325" t="s">
        <v>23</v>
      </c>
      <c r="D242" s="85" t="s">
        <v>24</v>
      </c>
      <c r="E242" s="325" t="s">
        <v>4</v>
      </c>
      <c r="F242" s="325" t="s">
        <v>23</v>
      </c>
      <c r="G242" s="325" t="s">
        <v>24</v>
      </c>
      <c r="H242" s="325" t="s">
        <v>4</v>
      </c>
      <c r="I242" s="325" t="s">
        <v>23</v>
      </c>
      <c r="J242" s="251" t="s">
        <v>24</v>
      </c>
      <c r="K242" s="327"/>
      <c r="L242" s="327"/>
      <c r="M242" s="329"/>
      <c r="N242" s="201"/>
      <c r="O242" s="764"/>
      <c r="P242" s="327"/>
      <c r="Q242" s="327"/>
      <c r="R242" s="327"/>
      <c r="S242" s="327"/>
      <c r="T242" s="327"/>
      <c r="U242" s="328"/>
      <c r="V242" s="327"/>
      <c r="W242" s="327"/>
      <c r="X242" s="329"/>
      <c r="Y242" s="327"/>
      <c r="Z242" s="327"/>
      <c r="AA242" s="329"/>
      <c r="AB242" s="207"/>
      <c r="AC242" s="208"/>
      <c r="AD242" s="208"/>
      <c r="AE242" s="207"/>
      <c r="AF242" s="202"/>
      <c r="AG242" s="201"/>
      <c r="AH242" s="201"/>
      <c r="AI242" s="201"/>
      <c r="AJ242" s="201"/>
      <c r="AK242" s="201"/>
      <c r="AL242" s="201"/>
      <c r="AM242" s="201"/>
      <c r="AN242" s="201"/>
      <c r="AO242" s="201"/>
      <c r="AP242" s="201"/>
      <c r="AQ242" s="201"/>
      <c r="AR242" s="201"/>
      <c r="AS242" s="201"/>
      <c r="AT242" s="201"/>
      <c r="AU242" s="201"/>
      <c r="AV242" s="201"/>
      <c r="AW242" s="201"/>
    </row>
    <row r="243" spans="1:49" s="168" customFormat="1" ht="15.6">
      <c r="A243" s="742"/>
      <c r="B243" s="758" t="s">
        <v>57</v>
      </c>
      <c r="C243" s="759"/>
      <c r="D243" s="759"/>
      <c r="E243" s="759"/>
      <c r="F243" s="759"/>
      <c r="G243" s="759"/>
      <c r="H243" s="759"/>
      <c r="I243" s="759"/>
      <c r="J243" s="760"/>
      <c r="K243" s="340"/>
      <c r="L243" s="340"/>
      <c r="M243" s="340"/>
      <c r="N243" s="201"/>
      <c r="O243" s="764"/>
      <c r="P243" s="824"/>
      <c r="Q243" s="824"/>
      <c r="R243" s="824"/>
      <c r="S243" s="824"/>
      <c r="T243" s="824"/>
      <c r="U243" s="824"/>
      <c r="V243" s="824"/>
      <c r="W243" s="824"/>
      <c r="X243" s="824"/>
      <c r="Y243" s="824"/>
      <c r="Z243" s="824"/>
      <c r="AA243" s="824"/>
      <c r="AB243" s="206"/>
      <c r="AC243" s="206"/>
      <c r="AD243" s="206"/>
      <c r="AE243" s="206"/>
      <c r="AF243" s="202"/>
      <c r="AG243" s="201"/>
      <c r="AH243" s="201"/>
      <c r="AI243" s="201"/>
      <c r="AJ243" s="201"/>
      <c r="AK243" s="201"/>
      <c r="AL243" s="201"/>
      <c r="AM243" s="201"/>
      <c r="AN243" s="201"/>
      <c r="AO243" s="201"/>
      <c r="AP243" s="201"/>
      <c r="AQ243" s="201"/>
      <c r="AR243" s="201"/>
      <c r="AS243" s="201"/>
      <c r="AT243" s="201"/>
      <c r="AU243" s="201"/>
      <c r="AV243" s="201"/>
      <c r="AW243" s="201"/>
    </row>
    <row r="244" spans="1:49" s="168" customFormat="1" ht="13.5" customHeight="1">
      <c r="A244" s="188" t="s">
        <v>6</v>
      </c>
      <c r="B244" s="238" t="str">
        <f t="shared" ref="B244:B255" si="12">IF(OR(ISNUMBER(C244), ISNUMBER(D244)), C244+D244, "")</f>
        <v/>
      </c>
      <c r="C244" s="239"/>
      <c r="D244" s="239"/>
      <c r="E244" s="238" t="str">
        <f>IF(OR(ISNUMBER(F244), ISNUMBER(G244)), F244+G244, "")</f>
        <v/>
      </c>
      <c r="F244" s="239"/>
      <c r="G244" s="239"/>
      <c r="H244" s="238" t="str">
        <f>IF(OR(ISNUMBER(I244), ISNUMBER(J244)), I244+J244, "")</f>
        <v/>
      </c>
      <c r="I244" s="239"/>
      <c r="J244" s="239"/>
      <c r="K244" s="331"/>
      <c r="L244" s="332"/>
      <c r="M244" s="332"/>
      <c r="N244" s="201"/>
      <c r="O244" s="330"/>
      <c r="P244" s="331"/>
      <c r="Q244" s="332"/>
      <c r="R244" s="332"/>
      <c r="S244" s="331"/>
      <c r="T244" s="332"/>
      <c r="U244" s="332"/>
      <c r="V244" s="331"/>
      <c r="W244" s="332"/>
      <c r="X244" s="332"/>
      <c r="Y244" s="331"/>
      <c r="Z244" s="332"/>
      <c r="AA244" s="332"/>
      <c r="AB244" s="208"/>
      <c r="AC244" s="215"/>
      <c r="AD244" s="208"/>
      <c r="AE244" s="208"/>
      <c r="AF244" s="202"/>
      <c r="AG244" s="201"/>
      <c r="AH244" s="201"/>
      <c r="AI244" s="201"/>
      <c r="AJ244" s="201"/>
      <c r="AK244" s="201"/>
      <c r="AL244" s="201"/>
      <c r="AM244" s="201"/>
      <c r="AN244" s="201"/>
      <c r="AO244" s="201"/>
      <c r="AP244" s="201"/>
      <c r="AQ244" s="201"/>
      <c r="AR244" s="201"/>
      <c r="AS244" s="201"/>
      <c r="AT244" s="201"/>
      <c r="AU244" s="201"/>
      <c r="AV244" s="201"/>
      <c r="AW244" s="201"/>
    </row>
    <row r="245" spans="1:49" s="168" customFormat="1" ht="13.5" customHeight="1">
      <c r="A245" s="188" t="s">
        <v>7</v>
      </c>
      <c r="B245" s="238" t="str">
        <f t="shared" si="12"/>
        <v/>
      </c>
      <c r="C245" s="239"/>
      <c r="D245" s="239"/>
      <c r="E245" s="238" t="str">
        <f t="shared" ref="E245:E268" si="13">IF(OR(ISNUMBER(F245), ISNUMBER(G245)), F245+G245, "")</f>
        <v/>
      </c>
      <c r="F245" s="239"/>
      <c r="G245" s="239"/>
      <c r="H245" s="238" t="str">
        <f t="shared" ref="H245:H255" si="14">IF(OR(ISNUMBER(I245), ISNUMBER(J245)), I245+J245, "")</f>
        <v/>
      </c>
      <c r="I245" s="239"/>
      <c r="J245" s="239"/>
      <c r="K245" s="331"/>
      <c r="L245" s="332"/>
      <c r="M245" s="332"/>
      <c r="N245" s="201"/>
      <c r="O245" s="330"/>
      <c r="P245" s="331"/>
      <c r="Q245" s="332"/>
      <c r="R245" s="332"/>
      <c r="S245" s="331"/>
      <c r="T245" s="332"/>
      <c r="U245" s="332"/>
      <c r="V245" s="331"/>
      <c r="W245" s="332"/>
      <c r="X245" s="332"/>
      <c r="Y245" s="331"/>
      <c r="Z245" s="332"/>
      <c r="AA245" s="332"/>
      <c r="AB245" s="208"/>
      <c r="AC245" s="215"/>
      <c r="AD245" s="208"/>
      <c r="AE245" s="208"/>
      <c r="AF245" s="202"/>
      <c r="AG245" s="201"/>
      <c r="AH245" s="201"/>
      <c r="AI245" s="201"/>
      <c r="AJ245" s="201"/>
      <c r="AK245" s="201"/>
      <c r="AL245" s="201"/>
      <c r="AM245" s="201"/>
      <c r="AN245" s="201"/>
      <c r="AO245" s="201"/>
      <c r="AP245" s="201"/>
      <c r="AQ245" s="201"/>
      <c r="AR245" s="201"/>
      <c r="AS245" s="201"/>
      <c r="AT245" s="201"/>
      <c r="AU245" s="201"/>
      <c r="AV245" s="201"/>
      <c r="AW245" s="201"/>
    </row>
    <row r="246" spans="1:49" s="168" customFormat="1" ht="13.5" customHeight="1">
      <c r="A246" s="188" t="s">
        <v>8</v>
      </c>
      <c r="B246" s="238" t="str">
        <f t="shared" si="12"/>
        <v/>
      </c>
      <c r="C246" s="239"/>
      <c r="D246" s="239"/>
      <c r="E246" s="238" t="str">
        <f t="shared" si="13"/>
        <v/>
      </c>
      <c r="F246" s="239"/>
      <c r="G246" s="239"/>
      <c r="H246" s="238" t="str">
        <f t="shared" si="14"/>
        <v/>
      </c>
      <c r="I246" s="239"/>
      <c r="J246" s="239"/>
      <c r="K246" s="331"/>
      <c r="L246" s="332"/>
      <c r="M246" s="332"/>
      <c r="N246" s="201"/>
      <c r="O246" s="330"/>
      <c r="P246" s="331"/>
      <c r="Q246" s="332"/>
      <c r="R246" s="332"/>
      <c r="S246" s="331"/>
      <c r="T246" s="332"/>
      <c r="U246" s="332"/>
      <c r="V246" s="331"/>
      <c r="W246" s="332"/>
      <c r="X246" s="332"/>
      <c r="Y246" s="331"/>
      <c r="Z246" s="332"/>
      <c r="AA246" s="332"/>
      <c r="AB246" s="208"/>
      <c r="AC246" s="215"/>
      <c r="AD246" s="208"/>
      <c r="AE246" s="208"/>
      <c r="AF246" s="202"/>
      <c r="AG246" s="201"/>
      <c r="AH246" s="201"/>
      <c r="AI246" s="201"/>
      <c r="AJ246" s="201"/>
      <c r="AK246" s="201"/>
      <c r="AL246" s="201"/>
      <c r="AM246" s="201"/>
      <c r="AN246" s="201"/>
      <c r="AO246" s="201"/>
      <c r="AP246" s="201"/>
      <c r="AQ246" s="201"/>
      <c r="AR246" s="201"/>
      <c r="AS246" s="201"/>
      <c r="AT246" s="201"/>
      <c r="AU246" s="201"/>
      <c r="AV246" s="201"/>
      <c r="AW246" s="201"/>
    </row>
    <row r="247" spans="1:49" s="168" customFormat="1" ht="13.5" customHeight="1">
      <c r="A247" s="188" t="s">
        <v>9</v>
      </c>
      <c r="B247" s="238" t="str">
        <f t="shared" si="12"/>
        <v/>
      </c>
      <c r="C247" s="239"/>
      <c r="D247" s="239"/>
      <c r="E247" s="238" t="str">
        <f t="shared" si="13"/>
        <v/>
      </c>
      <c r="F247" s="239"/>
      <c r="G247" s="239"/>
      <c r="H247" s="238" t="str">
        <f t="shared" si="14"/>
        <v/>
      </c>
      <c r="I247" s="239"/>
      <c r="J247" s="239"/>
      <c r="K247" s="331"/>
      <c r="L247" s="332"/>
      <c r="M247" s="332"/>
      <c r="N247" s="201"/>
      <c r="O247" s="330"/>
      <c r="P247" s="331"/>
      <c r="Q247" s="332"/>
      <c r="R247" s="332"/>
      <c r="S247" s="331"/>
      <c r="T247" s="332"/>
      <c r="U247" s="332"/>
      <c r="V247" s="331"/>
      <c r="W247" s="332"/>
      <c r="X247" s="332"/>
      <c r="Y247" s="331"/>
      <c r="Z247" s="332"/>
      <c r="AA247" s="332"/>
      <c r="AB247" s="208"/>
      <c r="AC247" s="215"/>
      <c r="AD247" s="208"/>
      <c r="AE247" s="208"/>
      <c r="AF247" s="202"/>
      <c r="AG247" s="201"/>
      <c r="AH247" s="201"/>
      <c r="AI247" s="201"/>
      <c r="AJ247" s="201"/>
      <c r="AK247" s="201"/>
      <c r="AL247" s="201"/>
      <c r="AM247" s="201"/>
      <c r="AN247" s="201"/>
      <c r="AO247" s="201"/>
      <c r="AP247" s="201"/>
      <c r="AQ247" s="201"/>
      <c r="AR247" s="201"/>
      <c r="AS247" s="201"/>
      <c r="AT247" s="201"/>
      <c r="AU247" s="201"/>
      <c r="AV247" s="201"/>
      <c r="AW247" s="201"/>
    </row>
    <row r="248" spans="1:49" s="168" customFormat="1" ht="13.5" customHeight="1">
      <c r="A248" s="188" t="s">
        <v>10</v>
      </c>
      <c r="B248" s="238" t="str">
        <f t="shared" si="12"/>
        <v/>
      </c>
      <c r="C248" s="239"/>
      <c r="D248" s="239"/>
      <c r="E248" s="238" t="str">
        <f t="shared" si="13"/>
        <v/>
      </c>
      <c r="F248" s="239"/>
      <c r="G248" s="239"/>
      <c r="H248" s="238" t="str">
        <f t="shared" si="14"/>
        <v/>
      </c>
      <c r="I248" s="87"/>
      <c r="J248" s="87"/>
      <c r="K248" s="331"/>
      <c r="L248" s="334"/>
      <c r="M248" s="334"/>
      <c r="N248" s="201"/>
      <c r="O248" s="330"/>
      <c r="P248" s="331"/>
      <c r="Q248" s="332"/>
      <c r="R248" s="332"/>
      <c r="S248" s="331"/>
      <c r="T248" s="332"/>
      <c r="U248" s="332"/>
      <c r="V248" s="331"/>
      <c r="W248" s="334"/>
      <c r="X248" s="334"/>
      <c r="Y248" s="331"/>
      <c r="Z248" s="334"/>
      <c r="AA248" s="334"/>
      <c r="AB248" s="205"/>
      <c r="AC248" s="215"/>
      <c r="AD248" s="205"/>
      <c r="AE248" s="205"/>
      <c r="AF248" s="202"/>
      <c r="AG248" s="201"/>
      <c r="AH248" s="201"/>
      <c r="AI248" s="201"/>
      <c r="AJ248" s="201"/>
      <c r="AK248" s="201"/>
      <c r="AL248" s="201"/>
      <c r="AM248" s="201"/>
      <c r="AN248" s="201"/>
      <c r="AO248" s="201"/>
      <c r="AP248" s="201"/>
      <c r="AQ248" s="201"/>
      <c r="AR248" s="201"/>
      <c r="AS248" s="201"/>
      <c r="AT248" s="201"/>
      <c r="AU248" s="201"/>
      <c r="AV248" s="201"/>
      <c r="AW248" s="201"/>
    </row>
    <row r="249" spans="1:49" s="168" customFormat="1" ht="13.5" customHeight="1">
      <c r="A249" s="188" t="s">
        <v>11</v>
      </c>
      <c r="B249" s="238" t="str">
        <f t="shared" si="12"/>
        <v/>
      </c>
      <c r="C249" s="239"/>
      <c r="D249" s="239"/>
      <c r="E249" s="238" t="str">
        <f t="shared" si="13"/>
        <v/>
      </c>
      <c r="F249" s="239"/>
      <c r="G249" s="239"/>
      <c r="H249" s="238" t="str">
        <f t="shared" si="14"/>
        <v/>
      </c>
      <c r="I249" s="87"/>
      <c r="J249" s="87"/>
      <c r="K249" s="331"/>
      <c r="L249" s="334"/>
      <c r="M249" s="334"/>
      <c r="N249" s="201"/>
      <c r="O249" s="330"/>
      <c r="P249" s="331"/>
      <c r="Q249" s="332"/>
      <c r="R249" s="332"/>
      <c r="S249" s="331"/>
      <c r="T249" s="332"/>
      <c r="U249" s="332"/>
      <c r="V249" s="331"/>
      <c r="W249" s="334"/>
      <c r="X249" s="334"/>
      <c r="Y249" s="331"/>
      <c r="Z249" s="334"/>
      <c r="AA249" s="334"/>
      <c r="AB249" s="205"/>
      <c r="AC249" s="215"/>
      <c r="AD249" s="205"/>
      <c r="AE249" s="205"/>
      <c r="AF249" s="202"/>
      <c r="AG249" s="201"/>
      <c r="AH249" s="201"/>
      <c r="AI249" s="201"/>
      <c r="AJ249" s="201"/>
      <c r="AK249" s="201"/>
      <c r="AL249" s="201"/>
      <c r="AM249" s="201"/>
      <c r="AN249" s="201"/>
      <c r="AO249" s="201"/>
      <c r="AP249" s="201"/>
      <c r="AQ249" s="201"/>
      <c r="AR249" s="201"/>
      <c r="AS249" s="201"/>
      <c r="AT249" s="201"/>
      <c r="AU249" s="201"/>
      <c r="AV249" s="201"/>
      <c r="AW249" s="201"/>
    </row>
    <row r="250" spans="1:49" s="168" customFormat="1" ht="13.5" customHeight="1">
      <c r="A250" s="188" t="s">
        <v>12</v>
      </c>
      <c r="B250" s="238">
        <f t="shared" si="12"/>
        <v>110</v>
      </c>
      <c r="C250" s="849">
        <v>70</v>
      </c>
      <c r="D250" s="849">
        <v>40</v>
      </c>
      <c r="E250" s="238">
        <f t="shared" si="13"/>
        <v>190</v>
      </c>
      <c r="F250" s="848">
        <v>79</v>
      </c>
      <c r="G250" s="848">
        <v>111</v>
      </c>
      <c r="H250" s="238">
        <f t="shared" si="14"/>
        <v>64</v>
      </c>
      <c r="I250" s="848">
        <v>27</v>
      </c>
      <c r="J250" s="848">
        <v>37</v>
      </c>
      <c r="K250" s="331"/>
      <c r="L250" s="334"/>
      <c r="M250" s="334"/>
      <c r="N250" s="201"/>
      <c r="O250" s="330"/>
      <c r="P250" s="331"/>
      <c r="Q250" s="332"/>
      <c r="R250" s="332"/>
      <c r="S250" s="331"/>
      <c r="T250" s="332"/>
      <c r="U250" s="332"/>
      <c r="V250" s="331"/>
      <c r="W250" s="332"/>
      <c r="X250" s="332"/>
      <c r="Y250" s="331"/>
      <c r="Z250" s="334"/>
      <c r="AA250" s="334"/>
      <c r="AB250" s="205"/>
      <c r="AC250" s="215"/>
      <c r="AD250" s="205"/>
      <c r="AE250" s="205"/>
      <c r="AF250" s="202"/>
      <c r="AG250" s="201"/>
      <c r="AH250" s="201"/>
      <c r="AI250" s="201"/>
      <c r="AJ250" s="201"/>
      <c r="AK250" s="201"/>
      <c r="AL250" s="201"/>
      <c r="AM250" s="201"/>
      <c r="AN250" s="201"/>
      <c r="AO250" s="201"/>
      <c r="AP250" s="201"/>
      <c r="AQ250" s="201"/>
      <c r="AR250" s="201"/>
      <c r="AS250" s="201"/>
      <c r="AT250" s="201"/>
      <c r="AU250" s="201"/>
      <c r="AV250" s="201"/>
      <c r="AW250" s="201"/>
    </row>
    <row r="251" spans="1:49" s="168" customFormat="1" ht="13.5" customHeight="1">
      <c r="A251" s="188" t="s">
        <v>13</v>
      </c>
      <c r="B251" s="238">
        <f t="shared" si="12"/>
        <v>71</v>
      </c>
      <c r="C251" s="849">
        <v>32</v>
      </c>
      <c r="D251" s="849">
        <v>39</v>
      </c>
      <c r="E251" s="238">
        <f t="shared" si="13"/>
        <v>198</v>
      </c>
      <c r="F251" s="848">
        <v>91</v>
      </c>
      <c r="G251" s="848">
        <v>107</v>
      </c>
      <c r="H251" s="238">
        <f t="shared" si="14"/>
        <v>36</v>
      </c>
      <c r="I251" s="848">
        <v>16</v>
      </c>
      <c r="J251" s="848">
        <v>20</v>
      </c>
      <c r="K251" s="331"/>
      <c r="L251" s="334"/>
      <c r="M251" s="334"/>
      <c r="N251" s="201"/>
      <c r="O251" s="330"/>
      <c r="P251" s="331"/>
      <c r="Q251" s="332"/>
      <c r="R251" s="332"/>
      <c r="S251" s="331"/>
      <c r="T251" s="332"/>
      <c r="U251" s="332"/>
      <c r="V251" s="331"/>
      <c r="W251" s="332"/>
      <c r="X251" s="332"/>
      <c r="Y251" s="331"/>
      <c r="Z251" s="334"/>
      <c r="AA251" s="334"/>
      <c r="AB251" s="205"/>
      <c r="AC251" s="215"/>
      <c r="AD251" s="205"/>
      <c r="AE251" s="205"/>
      <c r="AF251" s="202"/>
      <c r="AG251" s="201"/>
      <c r="AH251" s="201"/>
      <c r="AI251" s="201"/>
      <c r="AJ251" s="201"/>
      <c r="AK251" s="201"/>
      <c r="AL251" s="201"/>
      <c r="AM251" s="201"/>
      <c r="AN251" s="201"/>
      <c r="AO251" s="201"/>
      <c r="AP251" s="201"/>
      <c r="AQ251" s="201"/>
      <c r="AR251" s="201"/>
      <c r="AS251" s="201"/>
      <c r="AT251" s="201"/>
      <c r="AU251" s="201"/>
      <c r="AV251" s="201"/>
      <c r="AW251" s="201"/>
    </row>
    <row r="252" spans="1:49" s="168" customFormat="1" ht="13.5" customHeight="1">
      <c r="A252" s="188" t="s">
        <v>14</v>
      </c>
      <c r="B252" s="238">
        <f t="shared" si="12"/>
        <v>87</v>
      </c>
      <c r="C252" s="849">
        <v>46</v>
      </c>
      <c r="D252" s="849">
        <v>41</v>
      </c>
      <c r="E252" s="238">
        <f t="shared" si="13"/>
        <v>159</v>
      </c>
      <c r="F252" s="848">
        <v>82</v>
      </c>
      <c r="G252" s="848">
        <v>77</v>
      </c>
      <c r="H252" s="238">
        <f t="shared" si="14"/>
        <v>1</v>
      </c>
      <c r="I252" s="848">
        <v>1</v>
      </c>
      <c r="J252" s="848">
        <v>0</v>
      </c>
      <c r="K252" s="331"/>
      <c r="L252" s="334"/>
      <c r="M252" s="334"/>
      <c r="N252" s="201"/>
      <c r="O252" s="330"/>
      <c r="P252" s="331"/>
      <c r="Q252" s="332"/>
      <c r="R252" s="332"/>
      <c r="S252" s="331"/>
      <c r="T252" s="332"/>
      <c r="U252" s="332"/>
      <c r="V252" s="331"/>
      <c r="W252" s="332"/>
      <c r="X252" s="332"/>
      <c r="Y252" s="331"/>
      <c r="Z252" s="334"/>
      <c r="AA252" s="334"/>
      <c r="AB252" s="205"/>
      <c r="AC252" s="215"/>
      <c r="AD252" s="205"/>
      <c r="AE252" s="205"/>
      <c r="AF252" s="202"/>
      <c r="AG252" s="201"/>
      <c r="AH252" s="201"/>
      <c r="AI252" s="201"/>
      <c r="AJ252" s="201"/>
      <c r="AK252" s="201"/>
      <c r="AL252" s="201"/>
      <c r="AM252" s="201"/>
      <c r="AN252" s="201"/>
      <c r="AO252" s="201"/>
      <c r="AP252" s="201"/>
      <c r="AQ252" s="201"/>
      <c r="AR252" s="201"/>
      <c r="AS252" s="201"/>
      <c r="AT252" s="201"/>
      <c r="AU252" s="201"/>
      <c r="AV252" s="201"/>
      <c r="AW252" s="201"/>
    </row>
    <row r="253" spans="1:49" s="168" customFormat="1" ht="13.5" customHeight="1">
      <c r="A253" s="188" t="s">
        <v>15</v>
      </c>
      <c r="B253" s="238">
        <f t="shared" si="12"/>
        <v>93</v>
      </c>
      <c r="C253" s="849">
        <v>60</v>
      </c>
      <c r="D253" s="849">
        <v>33</v>
      </c>
      <c r="E253" s="238">
        <f t="shared" si="13"/>
        <v>115</v>
      </c>
      <c r="F253" s="848">
        <v>39</v>
      </c>
      <c r="G253" s="848">
        <v>76</v>
      </c>
      <c r="H253" s="238">
        <f t="shared" si="14"/>
        <v>13</v>
      </c>
      <c r="I253" s="848">
        <v>8</v>
      </c>
      <c r="J253" s="848">
        <v>5</v>
      </c>
      <c r="K253" s="331"/>
      <c r="L253" s="334"/>
      <c r="M253" s="334"/>
      <c r="N253" s="201"/>
      <c r="O253" s="335"/>
      <c r="P253" s="331"/>
      <c r="Q253" s="332"/>
      <c r="R253" s="332"/>
      <c r="S253" s="331"/>
      <c r="T253" s="332"/>
      <c r="U253" s="332"/>
      <c r="V253" s="331"/>
      <c r="W253" s="332"/>
      <c r="X253" s="332"/>
      <c r="Y253" s="331"/>
      <c r="Z253" s="334"/>
      <c r="AA253" s="334"/>
      <c r="AB253" s="205"/>
      <c r="AC253" s="215"/>
      <c r="AD253" s="205"/>
      <c r="AE253" s="205"/>
      <c r="AF253" s="202"/>
      <c r="AG253" s="201"/>
      <c r="AH253" s="201"/>
      <c r="AI253" s="201"/>
      <c r="AJ253" s="201"/>
      <c r="AK253" s="201"/>
      <c r="AL253" s="201"/>
      <c r="AM253" s="201"/>
      <c r="AN253" s="201"/>
      <c r="AO253" s="201"/>
      <c r="AP253" s="201"/>
      <c r="AQ253" s="201"/>
      <c r="AR253" s="201"/>
      <c r="AS253" s="201"/>
      <c r="AT253" s="201"/>
      <c r="AU253" s="201"/>
      <c r="AV253" s="201"/>
      <c r="AW253" s="201"/>
    </row>
    <row r="254" spans="1:49" s="168" customFormat="1" ht="13.5" customHeight="1">
      <c r="A254" s="188" t="s">
        <v>16</v>
      </c>
      <c r="B254" s="238">
        <f t="shared" si="12"/>
        <v>63</v>
      </c>
      <c r="C254" s="849">
        <v>42</v>
      </c>
      <c r="D254" s="849">
        <v>21</v>
      </c>
      <c r="E254" s="238">
        <f t="shared" si="13"/>
        <v>103</v>
      </c>
      <c r="F254" s="848">
        <v>58</v>
      </c>
      <c r="G254" s="848">
        <v>45</v>
      </c>
      <c r="H254" s="238">
        <f t="shared" si="14"/>
        <v>41</v>
      </c>
      <c r="I254" s="848">
        <v>28</v>
      </c>
      <c r="J254" s="848">
        <v>13</v>
      </c>
      <c r="K254" s="331"/>
      <c r="L254" s="334"/>
      <c r="M254" s="334"/>
      <c r="N254" s="201"/>
      <c r="O254" s="335"/>
      <c r="P254" s="331"/>
      <c r="Q254" s="332"/>
      <c r="R254" s="332"/>
      <c r="S254" s="331"/>
      <c r="T254" s="332"/>
      <c r="U254" s="332"/>
      <c r="V254" s="331"/>
      <c r="W254" s="332"/>
      <c r="X254" s="332"/>
      <c r="Y254" s="331"/>
      <c r="Z254" s="334"/>
      <c r="AA254" s="334"/>
      <c r="AB254" s="205"/>
      <c r="AC254" s="215"/>
      <c r="AD254" s="205"/>
      <c r="AE254" s="205"/>
      <c r="AF254" s="202"/>
      <c r="AG254" s="201"/>
      <c r="AH254" s="201"/>
      <c r="AI254" s="201"/>
      <c r="AJ254" s="201"/>
      <c r="AK254" s="201"/>
      <c r="AL254" s="201"/>
      <c r="AM254" s="201"/>
      <c r="AN254" s="201"/>
      <c r="AO254" s="201"/>
      <c r="AP254" s="201"/>
      <c r="AQ254" s="201"/>
      <c r="AR254" s="201"/>
      <c r="AS254" s="201"/>
      <c r="AT254" s="201"/>
      <c r="AU254" s="201"/>
      <c r="AV254" s="201"/>
      <c r="AW254" s="201"/>
    </row>
    <row r="255" spans="1:49" s="168" customFormat="1" ht="13.5" customHeight="1">
      <c r="A255" s="188" t="s">
        <v>17</v>
      </c>
      <c r="B255" s="238">
        <f t="shared" si="12"/>
        <v>124</v>
      </c>
      <c r="C255" s="849">
        <v>65</v>
      </c>
      <c r="D255" s="849">
        <v>59</v>
      </c>
      <c r="E255" s="238">
        <f t="shared" si="13"/>
        <v>21</v>
      </c>
      <c r="F255" s="848">
        <v>15</v>
      </c>
      <c r="G255" s="848">
        <v>6</v>
      </c>
      <c r="H255" s="238">
        <f t="shared" si="14"/>
        <v>16</v>
      </c>
      <c r="I255" s="848">
        <v>13</v>
      </c>
      <c r="J255" s="848">
        <v>3</v>
      </c>
      <c r="K255" s="331"/>
      <c r="L255" s="334"/>
      <c r="M255" s="334"/>
      <c r="N255" s="201"/>
      <c r="O255" s="335"/>
      <c r="P255" s="331"/>
      <c r="Q255" s="332"/>
      <c r="R255" s="332"/>
      <c r="S255" s="331"/>
      <c r="T255" s="332"/>
      <c r="U255" s="332"/>
      <c r="V255" s="331"/>
      <c r="W255" s="332"/>
      <c r="X255" s="332"/>
      <c r="Y255" s="331"/>
      <c r="Z255" s="334"/>
      <c r="AA255" s="334"/>
      <c r="AB255" s="205"/>
      <c r="AC255" s="215"/>
      <c r="AD255" s="205"/>
      <c r="AE255" s="205"/>
      <c r="AF255" s="202"/>
      <c r="AG255" s="201"/>
      <c r="AH255" s="201"/>
      <c r="AI255" s="201"/>
      <c r="AJ255" s="201"/>
      <c r="AK255" s="201"/>
      <c r="AL255" s="201"/>
      <c r="AM255" s="201"/>
      <c r="AN255" s="201"/>
      <c r="AO255" s="201"/>
      <c r="AP255" s="201"/>
      <c r="AQ255" s="201"/>
      <c r="AR255" s="201"/>
      <c r="AS255" s="201"/>
      <c r="AT255" s="201"/>
      <c r="AU255" s="201"/>
      <c r="AV255" s="201"/>
      <c r="AW255" s="201"/>
    </row>
    <row r="256" spans="1:49" s="168" customFormat="1" ht="15.6">
      <c r="A256" s="250" t="s">
        <v>2</v>
      </c>
      <c r="B256" s="761" t="s">
        <v>58</v>
      </c>
      <c r="C256" s="762"/>
      <c r="D256" s="762"/>
      <c r="E256" s="762"/>
      <c r="F256" s="762"/>
      <c r="G256" s="762"/>
      <c r="H256" s="762"/>
      <c r="I256" s="762"/>
      <c r="J256" s="763"/>
      <c r="K256" s="341"/>
      <c r="L256" s="341"/>
      <c r="M256" s="341"/>
      <c r="N256" s="201"/>
      <c r="O256" s="327"/>
      <c r="P256" s="825"/>
      <c r="Q256" s="825"/>
      <c r="R256" s="825"/>
      <c r="S256" s="825"/>
      <c r="T256" s="825"/>
      <c r="U256" s="825"/>
      <c r="V256" s="825"/>
      <c r="W256" s="825"/>
      <c r="X256" s="825"/>
      <c r="Y256" s="825"/>
      <c r="Z256" s="825"/>
      <c r="AA256" s="825"/>
      <c r="AB256" s="216"/>
      <c r="AC256" s="216"/>
      <c r="AD256" s="216"/>
      <c r="AE256" s="216"/>
      <c r="AF256" s="202"/>
      <c r="AG256" s="201"/>
      <c r="AH256" s="201"/>
      <c r="AI256" s="201"/>
      <c r="AJ256" s="201"/>
      <c r="AK256" s="201"/>
      <c r="AL256" s="201"/>
      <c r="AM256" s="201"/>
      <c r="AN256" s="201"/>
      <c r="AO256" s="201"/>
      <c r="AP256" s="201"/>
      <c r="AQ256" s="201"/>
      <c r="AR256" s="201"/>
      <c r="AS256" s="201"/>
      <c r="AT256" s="201"/>
      <c r="AU256" s="201"/>
      <c r="AV256" s="201"/>
      <c r="AW256" s="201"/>
    </row>
    <row r="257" spans="1:49" s="168" customFormat="1" ht="13.5" customHeight="1">
      <c r="A257" s="188" t="s">
        <v>6</v>
      </c>
      <c r="B257" s="238" t="str">
        <f t="shared" ref="B257:B268" si="15">IF(OR(ISNUMBER(C257), ISNUMBER(D257)), C257+D257, "")</f>
        <v/>
      </c>
      <c r="C257" s="239"/>
      <c r="D257" s="239"/>
      <c r="E257" s="238" t="str">
        <f t="shared" si="13"/>
        <v/>
      </c>
      <c r="F257" s="239"/>
      <c r="G257" s="239"/>
      <c r="H257" s="238" t="str">
        <f>IF(OR(ISNUMBER(I257), ISNUMBER(J257)), I257+J257, "")</f>
        <v/>
      </c>
      <c r="I257" s="239"/>
      <c r="J257" s="239"/>
      <c r="K257" s="331"/>
      <c r="L257" s="332"/>
      <c r="M257" s="332"/>
      <c r="N257" s="201"/>
      <c r="O257" s="330"/>
      <c r="P257" s="331"/>
      <c r="Q257" s="332"/>
      <c r="R257" s="332"/>
      <c r="S257" s="331"/>
      <c r="T257" s="332"/>
      <c r="U257" s="332"/>
      <c r="V257" s="331"/>
      <c r="W257" s="332"/>
      <c r="X257" s="332"/>
      <c r="Y257" s="331"/>
      <c r="Z257" s="332"/>
      <c r="AA257" s="332"/>
      <c r="AB257" s="208"/>
      <c r="AC257" s="215"/>
      <c r="AD257" s="208"/>
      <c r="AE257" s="208"/>
      <c r="AF257" s="202"/>
      <c r="AG257" s="201"/>
      <c r="AH257" s="201"/>
      <c r="AI257" s="201"/>
      <c r="AJ257" s="201"/>
      <c r="AK257" s="201"/>
      <c r="AL257" s="201"/>
      <c r="AM257" s="201"/>
      <c r="AN257" s="201"/>
      <c r="AO257" s="201"/>
      <c r="AP257" s="201"/>
      <c r="AQ257" s="201"/>
      <c r="AR257" s="201"/>
      <c r="AS257" s="201"/>
      <c r="AT257" s="201"/>
      <c r="AU257" s="201"/>
      <c r="AV257" s="201"/>
      <c r="AW257" s="201"/>
    </row>
    <row r="258" spans="1:49" s="168" customFormat="1" ht="13.5" customHeight="1">
      <c r="A258" s="188" t="s">
        <v>7</v>
      </c>
      <c r="B258" s="238" t="str">
        <f t="shared" si="15"/>
        <v/>
      </c>
      <c r="C258" s="239"/>
      <c r="D258" s="239"/>
      <c r="E258" s="238" t="str">
        <f t="shared" si="13"/>
        <v/>
      </c>
      <c r="F258" s="239"/>
      <c r="G258" s="239"/>
      <c r="H258" s="238" t="str">
        <f t="shared" ref="H258:H268" si="16">IF(OR(ISNUMBER(I258), ISNUMBER(J258)), I258+J258, "")</f>
        <v/>
      </c>
      <c r="I258" s="239"/>
      <c r="J258" s="239"/>
      <c r="K258" s="331"/>
      <c r="L258" s="332"/>
      <c r="M258" s="332"/>
      <c r="N258" s="201"/>
      <c r="O258" s="330"/>
      <c r="P258" s="331"/>
      <c r="Q258" s="332"/>
      <c r="R258" s="332"/>
      <c r="S258" s="331"/>
      <c r="T258" s="332"/>
      <c r="U258" s="332"/>
      <c r="V258" s="331"/>
      <c r="W258" s="332"/>
      <c r="X258" s="332"/>
      <c r="Y258" s="331"/>
      <c r="Z258" s="332"/>
      <c r="AA258" s="332"/>
      <c r="AB258" s="208"/>
      <c r="AC258" s="215"/>
      <c r="AD258" s="208"/>
      <c r="AE258" s="208"/>
      <c r="AF258" s="202"/>
      <c r="AG258" s="201"/>
      <c r="AH258" s="201"/>
      <c r="AI258" s="201"/>
      <c r="AJ258" s="201"/>
      <c r="AK258" s="201"/>
      <c r="AL258" s="201"/>
      <c r="AM258" s="201"/>
      <c r="AN258" s="201"/>
      <c r="AO258" s="201"/>
      <c r="AP258" s="201"/>
      <c r="AQ258" s="201"/>
      <c r="AR258" s="201"/>
      <c r="AS258" s="201"/>
      <c r="AT258" s="201"/>
      <c r="AU258" s="201"/>
      <c r="AV258" s="201"/>
      <c r="AW258" s="201"/>
    </row>
    <row r="259" spans="1:49" s="168" customFormat="1" ht="13.5" customHeight="1">
      <c r="A259" s="188" t="s">
        <v>8</v>
      </c>
      <c r="B259" s="238" t="str">
        <f t="shared" si="15"/>
        <v/>
      </c>
      <c r="C259" s="239"/>
      <c r="D259" s="239"/>
      <c r="E259" s="238" t="str">
        <f t="shared" si="13"/>
        <v/>
      </c>
      <c r="F259" s="239"/>
      <c r="G259" s="239"/>
      <c r="H259" s="238" t="str">
        <f t="shared" si="16"/>
        <v/>
      </c>
      <c r="I259" s="239"/>
      <c r="J259" s="239"/>
      <c r="K259" s="331"/>
      <c r="L259" s="332"/>
      <c r="M259" s="332"/>
      <c r="N259" s="201"/>
      <c r="O259" s="330"/>
      <c r="P259" s="331"/>
      <c r="Q259" s="332"/>
      <c r="R259" s="332"/>
      <c r="S259" s="331"/>
      <c r="T259" s="332"/>
      <c r="U259" s="332"/>
      <c r="V259" s="331"/>
      <c r="W259" s="332"/>
      <c r="X259" s="332"/>
      <c r="Y259" s="331"/>
      <c r="Z259" s="332"/>
      <c r="AA259" s="332"/>
      <c r="AB259" s="208"/>
      <c r="AC259" s="215"/>
      <c r="AD259" s="208"/>
      <c r="AE259" s="208"/>
      <c r="AF259" s="202"/>
      <c r="AG259" s="201"/>
      <c r="AH259" s="201"/>
      <c r="AI259" s="201"/>
      <c r="AJ259" s="201"/>
      <c r="AK259" s="201"/>
      <c r="AL259" s="201"/>
      <c r="AM259" s="201"/>
      <c r="AN259" s="201"/>
      <c r="AO259" s="201"/>
      <c r="AP259" s="201"/>
      <c r="AQ259" s="201"/>
      <c r="AR259" s="201"/>
      <c r="AS259" s="201"/>
      <c r="AT259" s="201"/>
      <c r="AU259" s="201"/>
      <c r="AV259" s="201"/>
      <c r="AW259" s="201"/>
    </row>
    <row r="260" spans="1:49" s="168" customFormat="1" ht="13.5" customHeight="1">
      <c r="A260" s="188" t="s">
        <v>9</v>
      </c>
      <c r="B260" s="238" t="str">
        <f t="shared" si="15"/>
        <v/>
      </c>
      <c r="C260" s="239"/>
      <c r="D260" s="239"/>
      <c r="E260" s="238" t="str">
        <f t="shared" si="13"/>
        <v/>
      </c>
      <c r="F260" s="239"/>
      <c r="G260" s="239"/>
      <c r="H260" s="238" t="str">
        <f t="shared" si="16"/>
        <v/>
      </c>
      <c r="I260" s="239"/>
      <c r="J260" s="239"/>
      <c r="K260" s="331"/>
      <c r="L260" s="332"/>
      <c r="M260" s="332"/>
      <c r="N260" s="201"/>
      <c r="O260" s="330"/>
      <c r="P260" s="331"/>
      <c r="Q260" s="332"/>
      <c r="R260" s="332"/>
      <c r="S260" s="331"/>
      <c r="T260" s="332"/>
      <c r="U260" s="332"/>
      <c r="V260" s="331"/>
      <c r="W260" s="332"/>
      <c r="X260" s="332"/>
      <c r="Y260" s="331"/>
      <c r="Z260" s="332"/>
      <c r="AA260" s="332"/>
      <c r="AB260" s="208"/>
      <c r="AC260" s="215"/>
      <c r="AD260" s="208"/>
      <c r="AE260" s="208"/>
      <c r="AF260" s="202"/>
      <c r="AG260" s="201"/>
      <c r="AH260" s="201"/>
      <c r="AI260" s="201"/>
      <c r="AJ260" s="201"/>
      <c r="AK260" s="201"/>
      <c r="AL260" s="201"/>
      <c r="AM260" s="201"/>
      <c r="AN260" s="201"/>
      <c r="AO260" s="201"/>
      <c r="AP260" s="201"/>
      <c r="AQ260" s="201"/>
      <c r="AR260" s="201"/>
      <c r="AS260" s="201"/>
      <c r="AT260" s="201"/>
      <c r="AU260" s="201"/>
      <c r="AV260" s="201"/>
      <c r="AW260" s="201"/>
    </row>
    <row r="261" spans="1:49" s="168" customFormat="1" ht="13.5" customHeight="1">
      <c r="A261" s="188" t="s">
        <v>10</v>
      </c>
      <c r="B261" s="238" t="str">
        <f t="shared" si="15"/>
        <v/>
      </c>
      <c r="C261" s="239"/>
      <c r="D261" s="239"/>
      <c r="E261" s="238" t="str">
        <f t="shared" si="13"/>
        <v/>
      </c>
      <c r="F261" s="239"/>
      <c r="G261" s="239"/>
      <c r="H261" s="238" t="str">
        <f t="shared" si="16"/>
        <v/>
      </c>
      <c r="I261" s="87"/>
      <c r="J261" s="87"/>
      <c r="K261" s="331"/>
      <c r="L261" s="334"/>
      <c r="M261" s="334"/>
      <c r="N261" s="201"/>
      <c r="O261" s="330"/>
      <c r="P261" s="331"/>
      <c r="Q261" s="332"/>
      <c r="R261" s="332"/>
      <c r="S261" s="331"/>
      <c r="T261" s="332"/>
      <c r="U261" s="332"/>
      <c r="V261" s="331"/>
      <c r="W261" s="334"/>
      <c r="X261" s="334"/>
      <c r="Y261" s="331"/>
      <c r="Z261" s="334"/>
      <c r="AA261" s="334"/>
      <c r="AB261" s="205"/>
      <c r="AC261" s="215"/>
      <c r="AD261" s="205"/>
      <c r="AE261" s="205"/>
      <c r="AF261" s="202"/>
      <c r="AG261" s="201"/>
      <c r="AH261" s="201"/>
      <c r="AI261" s="201"/>
      <c r="AJ261" s="201"/>
      <c r="AK261" s="201"/>
      <c r="AL261" s="201"/>
      <c r="AM261" s="201"/>
      <c r="AN261" s="201"/>
      <c r="AO261" s="201"/>
      <c r="AP261" s="201"/>
      <c r="AQ261" s="201"/>
      <c r="AR261" s="201"/>
      <c r="AS261" s="201"/>
      <c r="AT261" s="201"/>
      <c r="AU261" s="201"/>
      <c r="AV261" s="201"/>
      <c r="AW261" s="201"/>
    </row>
    <row r="262" spans="1:49" s="168" customFormat="1" ht="13.5" customHeight="1">
      <c r="A262" s="188" t="s">
        <v>11</v>
      </c>
      <c r="B262" s="238" t="str">
        <f t="shared" si="15"/>
        <v/>
      </c>
      <c r="C262" s="239"/>
      <c r="D262" s="239"/>
      <c r="E262" s="238" t="str">
        <f t="shared" si="13"/>
        <v/>
      </c>
      <c r="F262" s="239"/>
      <c r="G262" s="239"/>
      <c r="H262" s="238" t="str">
        <f t="shared" si="16"/>
        <v/>
      </c>
      <c r="I262" s="87"/>
      <c r="J262" s="87"/>
      <c r="K262" s="331"/>
      <c r="L262" s="334"/>
      <c r="M262" s="334"/>
      <c r="N262" s="201"/>
      <c r="O262" s="330"/>
      <c r="P262" s="331"/>
      <c r="Q262" s="332"/>
      <c r="R262" s="332"/>
      <c r="S262" s="331"/>
      <c r="T262" s="332"/>
      <c r="U262" s="332"/>
      <c r="V262" s="331"/>
      <c r="W262" s="334"/>
      <c r="X262" s="334"/>
      <c r="Y262" s="331"/>
      <c r="Z262" s="334"/>
      <c r="AA262" s="334"/>
      <c r="AB262" s="205"/>
      <c r="AC262" s="215"/>
      <c r="AD262" s="205"/>
      <c r="AE262" s="205"/>
      <c r="AF262" s="202"/>
      <c r="AG262" s="201"/>
      <c r="AH262" s="201"/>
      <c r="AI262" s="201"/>
      <c r="AJ262" s="201"/>
      <c r="AK262" s="201"/>
      <c r="AL262" s="201"/>
      <c r="AM262" s="201"/>
      <c r="AN262" s="201"/>
      <c r="AO262" s="201"/>
      <c r="AP262" s="201"/>
      <c r="AQ262" s="201"/>
      <c r="AR262" s="201"/>
      <c r="AS262" s="201"/>
      <c r="AT262" s="201"/>
      <c r="AU262" s="201"/>
      <c r="AV262" s="201"/>
      <c r="AW262" s="201"/>
    </row>
    <row r="263" spans="1:49" s="168" customFormat="1" ht="13.5" customHeight="1">
      <c r="A263" s="188" t="s">
        <v>12</v>
      </c>
      <c r="B263" s="238">
        <f t="shared" si="15"/>
        <v>0</v>
      </c>
      <c r="C263" s="848">
        <v>0</v>
      </c>
      <c r="D263" s="848">
        <v>0</v>
      </c>
      <c r="E263" s="238">
        <f t="shared" si="13"/>
        <v>190</v>
      </c>
      <c r="F263" s="848">
        <v>79</v>
      </c>
      <c r="G263" s="848">
        <v>111</v>
      </c>
      <c r="H263" s="238">
        <f t="shared" si="16"/>
        <v>174</v>
      </c>
      <c r="I263" s="849">
        <v>97</v>
      </c>
      <c r="J263" s="849">
        <v>77</v>
      </c>
      <c r="K263" s="331"/>
      <c r="L263" s="334"/>
      <c r="M263" s="334"/>
      <c r="N263" s="201"/>
      <c r="O263" s="330"/>
      <c r="P263" s="331"/>
      <c r="Q263" s="332"/>
      <c r="R263" s="332"/>
      <c r="S263" s="331"/>
      <c r="T263" s="332"/>
      <c r="U263" s="332"/>
      <c r="V263" s="331"/>
      <c r="W263" s="332"/>
      <c r="X263" s="332"/>
      <c r="Y263" s="331"/>
      <c r="Z263" s="334"/>
      <c r="AA263" s="334"/>
      <c r="AB263" s="205"/>
      <c r="AC263" s="215"/>
      <c r="AD263" s="205"/>
      <c r="AE263" s="205"/>
      <c r="AF263" s="202"/>
      <c r="AG263" s="201"/>
      <c r="AH263" s="201"/>
      <c r="AI263" s="201"/>
      <c r="AJ263" s="201"/>
      <c r="AK263" s="201"/>
      <c r="AL263" s="201"/>
      <c r="AM263" s="201"/>
      <c r="AN263" s="201"/>
      <c r="AO263" s="201"/>
      <c r="AP263" s="201"/>
      <c r="AQ263" s="201"/>
      <c r="AR263" s="201"/>
      <c r="AS263" s="201"/>
      <c r="AT263" s="201"/>
      <c r="AU263" s="201"/>
      <c r="AV263" s="201"/>
      <c r="AW263" s="201"/>
    </row>
    <row r="264" spans="1:49" s="168" customFormat="1" ht="13.5" customHeight="1">
      <c r="A264" s="188" t="s">
        <v>13</v>
      </c>
      <c r="B264" s="238">
        <f t="shared" si="15"/>
        <v>0</v>
      </c>
      <c r="C264" s="848">
        <v>0</v>
      </c>
      <c r="D264" s="848">
        <v>0</v>
      </c>
      <c r="E264" s="238">
        <f t="shared" si="13"/>
        <v>198</v>
      </c>
      <c r="F264" s="848">
        <v>91</v>
      </c>
      <c r="G264" s="848">
        <v>107</v>
      </c>
      <c r="H264" s="238">
        <f t="shared" si="16"/>
        <v>107</v>
      </c>
      <c r="I264" s="849">
        <v>48</v>
      </c>
      <c r="J264" s="849">
        <v>59</v>
      </c>
      <c r="K264" s="331"/>
      <c r="L264" s="334"/>
      <c r="M264" s="334"/>
      <c r="N264" s="201"/>
      <c r="O264" s="330"/>
      <c r="P264" s="331"/>
      <c r="Q264" s="332"/>
      <c r="R264" s="332"/>
      <c r="S264" s="331"/>
      <c r="T264" s="332"/>
      <c r="U264" s="332"/>
      <c r="V264" s="331"/>
      <c r="W264" s="332"/>
      <c r="X264" s="332"/>
      <c r="Y264" s="331"/>
      <c r="Z264" s="334"/>
      <c r="AA264" s="334"/>
      <c r="AB264" s="205"/>
      <c r="AC264" s="215"/>
      <c r="AD264" s="205"/>
      <c r="AE264" s="205"/>
      <c r="AF264" s="202"/>
      <c r="AG264" s="201"/>
      <c r="AH264" s="201"/>
      <c r="AI264" s="201"/>
      <c r="AJ264" s="201"/>
      <c r="AK264" s="201"/>
      <c r="AL264" s="201"/>
      <c r="AM264" s="201"/>
      <c r="AN264" s="201"/>
      <c r="AO264" s="201"/>
      <c r="AP264" s="201"/>
      <c r="AQ264" s="201"/>
      <c r="AR264" s="201"/>
      <c r="AS264" s="201"/>
      <c r="AT264" s="201"/>
      <c r="AU264" s="201"/>
      <c r="AV264" s="201"/>
      <c r="AW264" s="201"/>
    </row>
    <row r="265" spans="1:49" s="168" customFormat="1" ht="13.5" customHeight="1">
      <c r="A265" s="188" t="s">
        <v>14</v>
      </c>
      <c r="B265" s="238">
        <f t="shared" si="15"/>
        <v>0</v>
      </c>
      <c r="C265" s="848">
        <v>0</v>
      </c>
      <c r="D265" s="848">
        <v>0</v>
      </c>
      <c r="E265" s="238">
        <f t="shared" si="13"/>
        <v>159</v>
      </c>
      <c r="F265" s="848">
        <v>82</v>
      </c>
      <c r="G265" s="848">
        <v>77</v>
      </c>
      <c r="H265" s="238">
        <f t="shared" si="16"/>
        <v>88</v>
      </c>
      <c r="I265" s="849">
        <v>47</v>
      </c>
      <c r="J265" s="849">
        <v>41</v>
      </c>
      <c r="K265" s="331"/>
      <c r="L265" s="334"/>
      <c r="M265" s="334"/>
      <c r="N265" s="201"/>
      <c r="O265" s="330"/>
      <c r="P265" s="331"/>
      <c r="Q265" s="332"/>
      <c r="R265" s="332"/>
      <c r="S265" s="331"/>
      <c r="T265" s="332"/>
      <c r="U265" s="332"/>
      <c r="V265" s="331"/>
      <c r="W265" s="332"/>
      <c r="X265" s="332"/>
      <c r="Y265" s="331"/>
      <c r="Z265" s="334"/>
      <c r="AA265" s="334"/>
      <c r="AB265" s="205"/>
      <c r="AC265" s="215"/>
      <c r="AD265" s="205"/>
      <c r="AE265" s="205"/>
      <c r="AF265" s="202"/>
      <c r="AG265" s="201"/>
      <c r="AH265" s="201"/>
      <c r="AI265" s="201"/>
      <c r="AJ265" s="201"/>
      <c r="AK265" s="201"/>
      <c r="AL265" s="201"/>
      <c r="AM265" s="201"/>
      <c r="AN265" s="201"/>
      <c r="AO265" s="201"/>
      <c r="AP265" s="201"/>
      <c r="AQ265" s="201"/>
      <c r="AR265" s="201"/>
      <c r="AS265" s="201"/>
      <c r="AT265" s="201"/>
      <c r="AU265" s="201"/>
      <c r="AV265" s="201"/>
      <c r="AW265" s="201"/>
    </row>
    <row r="266" spans="1:49" s="168" customFormat="1" ht="13.5" customHeight="1">
      <c r="A266" s="188" t="s">
        <v>15</v>
      </c>
      <c r="B266" s="238">
        <f t="shared" si="15"/>
        <v>0</v>
      </c>
      <c r="C266" s="848">
        <v>0</v>
      </c>
      <c r="D266" s="848">
        <v>0</v>
      </c>
      <c r="E266" s="238">
        <f t="shared" si="13"/>
        <v>115</v>
      </c>
      <c r="F266" s="848">
        <v>39</v>
      </c>
      <c r="G266" s="848">
        <v>76</v>
      </c>
      <c r="H266" s="238">
        <f t="shared" si="16"/>
        <v>106</v>
      </c>
      <c r="I266" s="849">
        <v>68</v>
      </c>
      <c r="J266" s="849">
        <v>38</v>
      </c>
      <c r="K266" s="331"/>
      <c r="L266" s="334"/>
      <c r="M266" s="334"/>
      <c r="N266" s="201"/>
      <c r="O266" s="335"/>
      <c r="P266" s="331"/>
      <c r="Q266" s="332"/>
      <c r="R266" s="332"/>
      <c r="S266" s="331"/>
      <c r="T266" s="332"/>
      <c r="U266" s="332"/>
      <c r="V266" s="331"/>
      <c r="W266" s="332"/>
      <c r="X266" s="332"/>
      <c r="Y266" s="331"/>
      <c r="Z266" s="334"/>
      <c r="AA266" s="334"/>
      <c r="AB266" s="205"/>
      <c r="AC266" s="215"/>
      <c r="AD266" s="205"/>
      <c r="AE266" s="205"/>
      <c r="AF266" s="202"/>
      <c r="AG266" s="201"/>
      <c r="AH266" s="201"/>
      <c r="AI266" s="201"/>
      <c r="AJ266" s="201"/>
      <c r="AK266" s="201"/>
      <c r="AL266" s="201"/>
      <c r="AM266" s="201"/>
      <c r="AN266" s="201"/>
      <c r="AO266" s="201"/>
      <c r="AP266" s="201"/>
      <c r="AQ266" s="201"/>
      <c r="AR266" s="201"/>
      <c r="AS266" s="201"/>
      <c r="AT266" s="201"/>
      <c r="AU266" s="201"/>
      <c r="AV266" s="201"/>
      <c r="AW266" s="201"/>
    </row>
    <row r="267" spans="1:49" s="168" customFormat="1" ht="13.5" customHeight="1">
      <c r="A267" s="188" t="s">
        <v>16</v>
      </c>
      <c r="B267" s="238">
        <f t="shared" si="15"/>
        <v>0</v>
      </c>
      <c r="C267" s="848">
        <v>0</v>
      </c>
      <c r="D267" s="848">
        <v>0</v>
      </c>
      <c r="E267" s="238">
        <f t="shared" si="13"/>
        <v>103</v>
      </c>
      <c r="F267" s="848">
        <v>58</v>
      </c>
      <c r="G267" s="848">
        <v>45</v>
      </c>
      <c r="H267" s="238">
        <f t="shared" si="16"/>
        <v>104</v>
      </c>
      <c r="I267" s="849">
        <v>70</v>
      </c>
      <c r="J267" s="849">
        <v>34</v>
      </c>
      <c r="K267" s="331"/>
      <c r="L267" s="334"/>
      <c r="M267" s="334"/>
      <c r="N267" s="201"/>
      <c r="O267" s="335"/>
      <c r="P267" s="331"/>
      <c r="Q267" s="332"/>
      <c r="R267" s="332"/>
      <c r="S267" s="331"/>
      <c r="T267" s="332"/>
      <c r="U267" s="332"/>
      <c r="V267" s="331"/>
      <c r="W267" s="332"/>
      <c r="X267" s="332"/>
      <c r="Y267" s="331"/>
      <c r="Z267" s="334"/>
      <c r="AA267" s="334"/>
      <c r="AB267" s="205"/>
      <c r="AC267" s="215"/>
      <c r="AD267" s="205"/>
      <c r="AE267" s="205"/>
      <c r="AF267" s="202"/>
      <c r="AG267" s="201"/>
      <c r="AH267" s="201"/>
      <c r="AI267" s="201"/>
      <c r="AJ267" s="201"/>
      <c r="AK267" s="201"/>
      <c r="AL267" s="201"/>
      <c r="AM267" s="201"/>
      <c r="AN267" s="201"/>
      <c r="AO267" s="201"/>
      <c r="AP267" s="201"/>
      <c r="AQ267" s="201"/>
      <c r="AR267" s="201"/>
      <c r="AS267" s="201"/>
      <c r="AT267" s="201"/>
      <c r="AU267" s="201"/>
      <c r="AV267" s="201"/>
      <c r="AW267" s="201"/>
    </row>
    <row r="268" spans="1:49" s="168" customFormat="1" ht="13.5" customHeight="1">
      <c r="A268" s="188" t="s">
        <v>17</v>
      </c>
      <c r="B268" s="238">
        <f t="shared" si="15"/>
        <v>0</v>
      </c>
      <c r="C268" s="848">
        <v>0</v>
      </c>
      <c r="D268" s="848">
        <v>0</v>
      </c>
      <c r="E268" s="238">
        <f t="shared" si="13"/>
        <v>21</v>
      </c>
      <c r="F268" s="848">
        <v>15</v>
      </c>
      <c r="G268" s="848">
        <v>6</v>
      </c>
      <c r="H268" s="238">
        <f t="shared" si="16"/>
        <v>140</v>
      </c>
      <c r="I268" s="849">
        <v>78</v>
      </c>
      <c r="J268" s="849">
        <v>62</v>
      </c>
      <c r="K268" s="331"/>
      <c r="L268" s="334"/>
      <c r="M268" s="334"/>
      <c r="N268" s="201"/>
      <c r="O268" s="335"/>
      <c r="P268" s="331"/>
      <c r="Q268" s="332"/>
      <c r="R268" s="332"/>
      <c r="S268" s="331"/>
      <c r="T268" s="332"/>
      <c r="U268" s="332"/>
      <c r="V268" s="331"/>
      <c r="W268" s="332"/>
      <c r="X268" s="332"/>
      <c r="Y268" s="331"/>
      <c r="Z268" s="334"/>
      <c r="AA268" s="334"/>
      <c r="AB268" s="205"/>
      <c r="AC268" s="215"/>
      <c r="AD268" s="205"/>
      <c r="AE268" s="205"/>
      <c r="AF268" s="202"/>
      <c r="AG268" s="201"/>
      <c r="AH268" s="201"/>
      <c r="AI268" s="201"/>
      <c r="AJ268" s="201"/>
      <c r="AK268" s="201"/>
      <c r="AL268" s="201"/>
      <c r="AM268" s="201"/>
      <c r="AN268" s="201"/>
      <c r="AO268" s="201"/>
      <c r="AP268" s="201"/>
      <c r="AQ268" s="201"/>
      <c r="AR268" s="201"/>
      <c r="AS268" s="201"/>
      <c r="AT268" s="201"/>
      <c r="AU268" s="201"/>
      <c r="AV268" s="201"/>
      <c r="AW268" s="201"/>
    </row>
    <row r="269" spans="1:49" s="134" customFormat="1" ht="2.25" customHeight="1">
      <c r="A269" s="211"/>
      <c r="B269" s="211"/>
      <c r="C269" s="211"/>
      <c r="D269" s="211"/>
      <c r="E269" s="211"/>
      <c r="F269" s="211"/>
      <c r="G269" s="211"/>
      <c r="H269" s="211"/>
      <c r="I269" s="211"/>
      <c r="J269" s="211"/>
      <c r="K269" s="211"/>
      <c r="L269" s="211"/>
      <c r="M269" s="211"/>
      <c r="N269" s="201"/>
      <c r="O269" s="211"/>
      <c r="P269" s="211"/>
      <c r="Q269" s="211"/>
      <c r="R269" s="211"/>
      <c r="S269" s="211"/>
      <c r="T269" s="211"/>
      <c r="U269" s="211"/>
      <c r="V269" s="211"/>
      <c r="W269" s="211"/>
      <c r="X269" s="211"/>
      <c r="Y269" s="211"/>
      <c r="Z269" s="211"/>
      <c r="AA269" s="211"/>
      <c r="AB269" s="201"/>
      <c r="AC269" s="201"/>
      <c r="AD269" s="201"/>
      <c r="AE269" s="201"/>
      <c r="AF269" s="201"/>
      <c r="AG269" s="201"/>
      <c r="AH269" s="201"/>
      <c r="AI269" s="201"/>
      <c r="AJ269" s="201"/>
      <c r="AK269" s="201"/>
      <c r="AL269" s="201"/>
      <c r="AM269" s="201"/>
      <c r="AN269" s="201"/>
      <c r="AO269" s="201"/>
      <c r="AP269" s="201"/>
      <c r="AQ269" s="201"/>
      <c r="AR269" s="201"/>
      <c r="AS269" s="201"/>
      <c r="AT269" s="201"/>
      <c r="AU269" s="201"/>
      <c r="AV269" s="201"/>
      <c r="AW269" s="201"/>
    </row>
    <row r="270" spans="1:49" s="134" customFormat="1" ht="4.5" customHeight="1">
      <c r="A270" s="201"/>
      <c r="B270" s="201"/>
      <c r="C270" s="201"/>
      <c r="D270" s="201"/>
      <c r="E270" s="201"/>
      <c r="F270" s="201"/>
      <c r="G270" s="201"/>
      <c r="H270" s="201"/>
      <c r="I270" s="201"/>
      <c r="J270" s="201"/>
      <c r="K270" s="201"/>
      <c r="L270" s="201"/>
      <c r="M270" s="201"/>
      <c r="N270" s="201"/>
      <c r="O270" s="201"/>
      <c r="P270" s="201"/>
      <c r="Q270" s="201"/>
      <c r="R270" s="201"/>
      <c r="S270" s="201"/>
      <c r="T270" s="201"/>
      <c r="U270" s="201"/>
      <c r="V270" s="201"/>
      <c r="W270" s="201"/>
      <c r="X270" s="201"/>
      <c r="Y270" s="201"/>
      <c r="Z270" s="201"/>
      <c r="AA270" s="201"/>
      <c r="AB270" s="201"/>
      <c r="AC270" s="201"/>
      <c r="AD270" s="201"/>
      <c r="AE270" s="201"/>
      <c r="AF270" s="201"/>
      <c r="AG270" s="201"/>
      <c r="AH270" s="201"/>
      <c r="AI270" s="201"/>
      <c r="AJ270" s="201"/>
      <c r="AK270" s="201"/>
      <c r="AL270" s="201"/>
      <c r="AM270" s="201"/>
      <c r="AN270" s="201"/>
      <c r="AO270" s="201"/>
      <c r="AP270" s="201"/>
      <c r="AQ270" s="201"/>
      <c r="AR270" s="201"/>
      <c r="AS270" s="201"/>
      <c r="AT270" s="201"/>
      <c r="AU270" s="201"/>
      <c r="AV270" s="201"/>
      <c r="AW270" s="201"/>
    </row>
    <row r="271" spans="1:49" s="134" customFormat="1" ht="13.8" hidden="1">
      <c r="A271" s="201" t="s">
        <v>236</v>
      </c>
      <c r="B271" s="201"/>
      <c r="C271" s="201"/>
      <c r="D271" s="201"/>
      <c r="E271" s="201"/>
      <c r="F271" s="201"/>
      <c r="G271" s="201"/>
      <c r="H271" s="201"/>
      <c r="I271" s="201"/>
      <c r="J271" s="201"/>
      <c r="K271" s="201"/>
      <c r="L271" s="201"/>
      <c r="M271" s="201"/>
      <c r="N271" s="201"/>
      <c r="O271" s="201"/>
      <c r="P271" s="201"/>
      <c r="Q271" s="201"/>
      <c r="R271" s="201"/>
      <c r="S271" s="201"/>
      <c r="T271" s="201"/>
      <c r="U271" s="201"/>
      <c r="V271" s="201"/>
      <c r="W271" s="201"/>
      <c r="X271" s="201"/>
      <c r="Y271" s="201"/>
      <c r="Z271" s="201"/>
      <c r="AA271" s="201"/>
      <c r="AB271" s="201"/>
      <c r="AC271" s="201"/>
      <c r="AD271" s="201"/>
      <c r="AE271" s="201"/>
      <c r="AF271" s="201"/>
      <c r="AG271" s="201"/>
      <c r="AH271" s="201"/>
      <c r="AI271" s="201"/>
      <c r="AJ271" s="201"/>
      <c r="AK271" s="201"/>
      <c r="AL271" s="201"/>
      <c r="AM271" s="201"/>
      <c r="AN271" s="201"/>
      <c r="AO271" s="201"/>
      <c r="AP271" s="201"/>
      <c r="AQ271" s="201"/>
      <c r="AR271" s="201"/>
      <c r="AS271" s="201"/>
      <c r="AT271" s="201"/>
      <c r="AU271" s="201"/>
      <c r="AV271" s="201"/>
      <c r="AW271" s="201"/>
    </row>
    <row r="272" spans="1:49" s="134" customFormat="1" ht="13.8" hidden="1">
      <c r="A272" s="201"/>
      <c r="B272" s="201"/>
      <c r="C272" s="201"/>
      <c r="D272" s="201"/>
      <c r="E272" s="201"/>
      <c r="F272" s="201"/>
      <c r="G272" s="201"/>
      <c r="H272" s="201"/>
      <c r="I272" s="220"/>
      <c r="J272" s="220"/>
      <c r="K272" s="220"/>
      <c r="L272" s="201"/>
      <c r="M272" s="201"/>
      <c r="N272" s="201"/>
      <c r="O272" s="201"/>
      <c r="P272" s="201"/>
      <c r="Q272" s="201"/>
      <c r="R272" s="201"/>
      <c r="S272" s="201"/>
      <c r="T272" s="201"/>
      <c r="U272" s="201"/>
      <c r="V272" s="201"/>
      <c r="W272" s="201"/>
      <c r="X272" s="201"/>
      <c r="Y272" s="201"/>
      <c r="Z272" s="201"/>
      <c r="AA272" s="201"/>
      <c r="AB272" s="201"/>
      <c r="AC272" s="201"/>
      <c r="AD272" s="201"/>
      <c r="AE272" s="201"/>
      <c r="AF272" s="201"/>
      <c r="AG272" s="201"/>
      <c r="AH272" s="201"/>
      <c r="AI272" s="201"/>
      <c r="AJ272" s="201"/>
      <c r="AK272" s="201"/>
      <c r="AL272" s="201"/>
      <c r="AM272" s="201"/>
      <c r="AN272" s="201"/>
      <c r="AO272" s="201"/>
      <c r="AP272" s="201"/>
      <c r="AQ272" s="201"/>
      <c r="AR272" s="201"/>
      <c r="AS272" s="201"/>
      <c r="AT272" s="201"/>
      <c r="AU272" s="201"/>
      <c r="AV272" s="201"/>
      <c r="AW272" s="201"/>
    </row>
    <row r="273" spans="1:49" s="134" customFormat="1" ht="13.8" hidden="1">
      <c r="A273" s="201"/>
      <c r="B273" s="201"/>
      <c r="C273" s="201"/>
      <c r="D273" s="201"/>
      <c r="E273" s="201"/>
      <c r="F273" s="201"/>
      <c r="G273" s="201"/>
      <c r="H273" s="201"/>
      <c r="I273" s="220"/>
      <c r="J273" s="220"/>
      <c r="K273" s="220"/>
      <c r="L273" s="201"/>
      <c r="M273" s="201"/>
      <c r="N273" s="201"/>
      <c r="O273" s="201"/>
      <c r="P273" s="201"/>
      <c r="Q273" s="201"/>
      <c r="R273" s="201"/>
      <c r="S273" s="201"/>
      <c r="T273" s="201"/>
      <c r="U273" s="201"/>
      <c r="V273" s="201"/>
      <c r="W273" s="201"/>
      <c r="X273" s="201"/>
      <c r="Y273" s="201"/>
      <c r="Z273" s="201"/>
      <c r="AA273" s="201"/>
      <c r="AB273" s="201"/>
      <c r="AC273" s="201"/>
      <c r="AD273" s="201"/>
      <c r="AE273" s="201"/>
      <c r="AF273" s="201"/>
      <c r="AG273" s="201"/>
      <c r="AH273" s="201"/>
      <c r="AI273" s="201"/>
      <c r="AJ273" s="201"/>
      <c r="AK273" s="201"/>
      <c r="AL273" s="201"/>
      <c r="AM273" s="201"/>
      <c r="AN273" s="201"/>
      <c r="AO273" s="201"/>
      <c r="AP273" s="201"/>
      <c r="AQ273" s="201"/>
      <c r="AR273" s="201"/>
      <c r="AS273" s="201"/>
      <c r="AT273" s="201"/>
      <c r="AU273" s="201"/>
      <c r="AV273" s="201"/>
      <c r="AW273" s="201"/>
    </row>
    <row r="274" spans="1:49" s="134" customFormat="1" ht="13.8" hidden="1">
      <c r="A274" s="751" t="s">
        <v>30</v>
      </c>
      <c r="B274" s="751"/>
      <c r="C274" s="745" t="s">
        <v>31</v>
      </c>
      <c r="D274" s="746"/>
      <c r="E274" s="747"/>
      <c r="F274" s="748" t="s">
        <v>32</v>
      </c>
      <c r="G274" s="749"/>
      <c r="H274" s="749"/>
      <c r="I274" s="749"/>
      <c r="J274" s="749"/>
      <c r="K274" s="749"/>
      <c r="L274" s="201"/>
      <c r="M274" s="201"/>
      <c r="N274" s="201"/>
      <c r="O274" s="201"/>
      <c r="P274" s="201"/>
      <c r="Q274" s="201"/>
      <c r="R274" s="201"/>
      <c r="S274" s="201"/>
      <c r="T274" s="201"/>
      <c r="U274" s="201"/>
      <c r="V274" s="201"/>
      <c r="W274" s="201"/>
      <c r="X274" s="201"/>
      <c r="Y274" s="201"/>
      <c r="Z274" s="201"/>
      <c r="AA274" s="201"/>
      <c r="AB274" s="201"/>
      <c r="AC274" s="201"/>
      <c r="AD274" s="201"/>
      <c r="AE274" s="201"/>
      <c r="AF274" s="201"/>
      <c r="AG274" s="201"/>
      <c r="AH274" s="201"/>
      <c r="AI274" s="201"/>
      <c r="AJ274" s="201"/>
      <c r="AK274" s="201"/>
      <c r="AL274" s="201"/>
      <c r="AM274" s="201"/>
      <c r="AN274" s="201"/>
      <c r="AO274" s="201"/>
      <c r="AP274" s="201"/>
      <c r="AQ274" s="201"/>
      <c r="AR274" s="201"/>
      <c r="AS274" s="201"/>
      <c r="AT274" s="201"/>
      <c r="AU274" s="201"/>
      <c r="AV274" s="201"/>
      <c r="AW274" s="201"/>
    </row>
    <row r="275" spans="1:49" s="134" customFormat="1" ht="41.4" hidden="1">
      <c r="A275" s="751"/>
      <c r="B275" s="751"/>
      <c r="C275" s="221" t="s">
        <v>33</v>
      </c>
      <c r="D275" s="222" t="s">
        <v>34</v>
      </c>
      <c r="E275" s="222" t="s">
        <v>35</v>
      </c>
      <c r="F275" s="221" t="s">
        <v>36</v>
      </c>
      <c r="G275" s="221" t="s">
        <v>37</v>
      </c>
      <c r="H275" s="750" t="s">
        <v>38</v>
      </c>
      <c r="I275" s="750"/>
      <c r="J275" s="750"/>
      <c r="K275" s="750"/>
      <c r="L275" s="201"/>
      <c r="M275" s="201"/>
      <c r="N275" s="201"/>
      <c r="O275" s="201"/>
      <c r="P275" s="201"/>
      <c r="Q275" s="201"/>
      <c r="R275" s="201"/>
      <c r="S275" s="201"/>
      <c r="T275" s="201"/>
      <c r="U275" s="201"/>
      <c r="V275" s="201"/>
      <c r="W275" s="201"/>
      <c r="X275" s="201"/>
      <c r="Y275" s="201"/>
      <c r="Z275" s="201"/>
      <c r="AA275" s="201"/>
      <c r="AB275" s="201"/>
      <c r="AC275" s="201"/>
      <c r="AD275" s="201"/>
      <c r="AE275" s="201"/>
      <c r="AF275" s="201"/>
      <c r="AG275" s="201"/>
      <c r="AH275" s="201"/>
      <c r="AI275" s="201"/>
      <c r="AJ275" s="201"/>
      <c r="AK275" s="201"/>
      <c r="AL275" s="201"/>
      <c r="AM275" s="201"/>
      <c r="AN275" s="201"/>
      <c r="AO275" s="201"/>
      <c r="AP275" s="201"/>
      <c r="AQ275" s="201"/>
      <c r="AR275" s="201"/>
      <c r="AS275" s="201"/>
      <c r="AT275" s="201"/>
      <c r="AU275" s="201"/>
      <c r="AV275" s="201"/>
      <c r="AW275" s="201"/>
    </row>
    <row r="276" spans="1:49" s="134" customFormat="1" ht="13.8" hidden="1">
      <c r="A276" s="223" t="s">
        <v>39</v>
      </c>
      <c r="B276" s="224"/>
      <c r="C276" s="225" t="str">
        <f>IF(C277="","",SUM(C277:C282))</f>
        <v/>
      </c>
      <c r="D276" s="225" t="str">
        <f>IF(D277="","",SUM(D277:D282))</f>
        <v/>
      </c>
      <c r="E276" s="225" t="str">
        <f>IF(E277="","",SUM(E277:E282))</f>
        <v/>
      </c>
      <c r="F276" s="226"/>
      <c r="G276" s="226"/>
      <c r="H276" s="752" t="str">
        <f>IF(H277="","",AVERAGE(H277:K282))</f>
        <v/>
      </c>
      <c r="I276" s="752"/>
      <c r="J276" s="752"/>
      <c r="K276" s="752"/>
      <c r="L276" s="201"/>
      <c r="M276" s="201"/>
      <c r="N276" s="201"/>
      <c r="O276" s="201"/>
      <c r="P276" s="201"/>
      <c r="Q276" s="201"/>
      <c r="R276" s="201"/>
      <c r="S276" s="201"/>
      <c r="T276" s="201"/>
      <c r="U276" s="201"/>
      <c r="V276" s="201"/>
      <c r="W276" s="201"/>
      <c r="X276" s="201"/>
      <c r="Y276" s="201"/>
      <c r="Z276" s="201"/>
      <c r="AA276" s="201"/>
      <c r="AB276" s="201"/>
      <c r="AC276" s="201"/>
      <c r="AD276" s="201"/>
      <c r="AE276" s="201"/>
      <c r="AF276" s="201"/>
      <c r="AG276" s="201"/>
      <c r="AH276" s="201"/>
      <c r="AI276" s="201"/>
      <c r="AJ276" s="201"/>
      <c r="AK276" s="201"/>
      <c r="AL276" s="201"/>
      <c r="AM276" s="201"/>
      <c r="AN276" s="201"/>
      <c r="AO276" s="201"/>
      <c r="AP276" s="201"/>
      <c r="AQ276" s="201"/>
      <c r="AR276" s="201"/>
      <c r="AS276" s="201"/>
      <c r="AT276" s="201"/>
      <c r="AU276" s="201"/>
      <c r="AV276" s="201"/>
      <c r="AW276" s="201"/>
    </row>
    <row r="277" spans="1:49" s="134" customFormat="1" ht="13.8" hidden="1">
      <c r="A277" s="692" t="s">
        <v>106</v>
      </c>
      <c r="B277" s="693"/>
      <c r="C277" s="227"/>
      <c r="D277" s="227"/>
      <c r="E277" s="228"/>
      <c r="F277" s="227"/>
      <c r="G277" s="227"/>
      <c r="H277" s="694" t="str">
        <f t="shared" ref="H277:H282" si="17">IF(AND(ISNUMBER(F277),ISNUMBER(G277)),F277/G277,"")</f>
        <v/>
      </c>
      <c r="I277" s="694"/>
      <c r="J277" s="694"/>
      <c r="K277" s="694"/>
      <c r="L277" s="201"/>
      <c r="M277" s="201"/>
      <c r="N277" s="201"/>
      <c r="O277" s="201"/>
      <c r="P277" s="201"/>
      <c r="Q277" s="201"/>
      <c r="R277" s="201"/>
      <c r="S277" s="201"/>
      <c r="T277" s="201"/>
      <c r="U277" s="201"/>
      <c r="V277" s="201"/>
      <c r="W277" s="201"/>
      <c r="X277" s="201"/>
      <c r="Y277" s="201"/>
      <c r="Z277" s="201"/>
      <c r="AA277" s="201"/>
      <c r="AB277" s="201"/>
      <c r="AC277" s="201"/>
      <c r="AD277" s="201"/>
      <c r="AE277" s="201"/>
      <c r="AF277" s="201"/>
      <c r="AG277" s="201"/>
      <c r="AH277" s="201"/>
      <c r="AI277" s="201"/>
      <c r="AJ277" s="201"/>
      <c r="AK277" s="201"/>
      <c r="AL277" s="201"/>
      <c r="AM277" s="201"/>
      <c r="AN277" s="201"/>
      <c r="AO277" s="201"/>
      <c r="AP277" s="201"/>
      <c r="AQ277" s="201"/>
      <c r="AR277" s="201"/>
      <c r="AS277" s="201"/>
      <c r="AT277" s="201"/>
      <c r="AU277" s="201"/>
      <c r="AV277" s="201"/>
      <c r="AW277" s="201"/>
    </row>
    <row r="278" spans="1:49" s="134" customFormat="1" ht="13.8" hidden="1">
      <c r="A278" s="695"/>
      <c r="B278" s="696"/>
      <c r="C278" s="227"/>
      <c r="D278" s="227"/>
      <c r="E278" s="228"/>
      <c r="F278" s="227"/>
      <c r="G278" s="227"/>
      <c r="H278" s="694" t="str">
        <f t="shared" si="17"/>
        <v/>
      </c>
      <c r="I278" s="694"/>
      <c r="J278" s="694"/>
      <c r="K278" s="694"/>
      <c r="L278" s="201"/>
      <c r="M278" s="201"/>
      <c r="N278" s="201"/>
      <c r="O278" s="201"/>
      <c r="P278" s="201"/>
      <c r="Q278" s="201"/>
      <c r="R278" s="201"/>
      <c r="S278" s="201"/>
      <c r="T278" s="201"/>
      <c r="U278" s="201"/>
      <c r="V278" s="201"/>
      <c r="W278" s="201"/>
      <c r="X278" s="201"/>
      <c r="Y278" s="201"/>
      <c r="Z278" s="201"/>
      <c r="AA278" s="201"/>
      <c r="AB278" s="201"/>
      <c r="AC278" s="201"/>
      <c r="AD278" s="201"/>
      <c r="AE278" s="201"/>
      <c r="AF278" s="201"/>
      <c r="AG278" s="201"/>
      <c r="AH278" s="201"/>
      <c r="AI278" s="201"/>
      <c r="AJ278" s="201"/>
      <c r="AK278" s="201"/>
      <c r="AL278" s="201"/>
      <c r="AM278" s="201"/>
      <c r="AN278" s="201"/>
      <c r="AO278" s="201"/>
      <c r="AP278" s="201"/>
      <c r="AQ278" s="201"/>
      <c r="AR278" s="201"/>
      <c r="AS278" s="201"/>
      <c r="AT278" s="201"/>
      <c r="AU278" s="201"/>
      <c r="AV278" s="201"/>
      <c r="AW278" s="201"/>
    </row>
    <row r="279" spans="1:49" s="134" customFormat="1" ht="13.8" hidden="1">
      <c r="A279" s="695"/>
      <c r="B279" s="696"/>
      <c r="C279" s="227"/>
      <c r="D279" s="227"/>
      <c r="E279" s="228"/>
      <c r="F279" s="227"/>
      <c r="G279" s="227"/>
      <c r="H279" s="694" t="str">
        <f t="shared" si="17"/>
        <v/>
      </c>
      <c r="I279" s="694"/>
      <c r="J279" s="694"/>
      <c r="K279" s="694"/>
      <c r="L279" s="201"/>
      <c r="M279" s="201"/>
      <c r="N279" s="201"/>
      <c r="O279" s="201"/>
      <c r="P279" s="201"/>
      <c r="Q279" s="201"/>
      <c r="R279" s="201"/>
      <c r="S279" s="201"/>
      <c r="T279" s="201"/>
      <c r="U279" s="201"/>
      <c r="V279" s="201"/>
      <c r="W279" s="201"/>
      <c r="X279" s="201"/>
      <c r="Y279" s="201"/>
      <c r="Z279" s="201"/>
      <c r="AA279" s="201"/>
      <c r="AB279" s="201"/>
      <c r="AC279" s="201"/>
      <c r="AD279" s="201"/>
      <c r="AE279" s="201"/>
      <c r="AF279" s="201"/>
      <c r="AG279" s="201"/>
      <c r="AH279" s="201"/>
      <c r="AI279" s="201"/>
      <c r="AJ279" s="201"/>
      <c r="AK279" s="201"/>
      <c r="AL279" s="201"/>
      <c r="AM279" s="201"/>
      <c r="AN279" s="201"/>
      <c r="AO279" s="201"/>
      <c r="AP279" s="201"/>
      <c r="AQ279" s="201"/>
      <c r="AR279" s="201"/>
      <c r="AS279" s="201"/>
      <c r="AT279" s="201"/>
      <c r="AU279" s="201"/>
      <c r="AV279" s="201"/>
      <c r="AW279" s="201"/>
    </row>
    <row r="280" spans="1:49" s="134" customFormat="1" ht="13.8" hidden="1">
      <c r="A280" s="695"/>
      <c r="B280" s="696"/>
      <c r="C280" s="227"/>
      <c r="D280" s="227"/>
      <c r="E280" s="228"/>
      <c r="F280" s="227"/>
      <c r="G280" s="227"/>
      <c r="H280" s="694" t="str">
        <f t="shared" si="17"/>
        <v/>
      </c>
      <c r="I280" s="694"/>
      <c r="J280" s="694"/>
      <c r="K280" s="694"/>
      <c r="L280" s="201"/>
      <c r="M280" s="201"/>
      <c r="N280" s="201"/>
      <c r="O280" s="201"/>
      <c r="P280" s="201"/>
      <c r="Q280" s="201"/>
      <c r="R280" s="201"/>
      <c r="S280" s="201"/>
      <c r="T280" s="201"/>
      <c r="U280" s="201"/>
      <c r="V280" s="201"/>
      <c r="W280" s="201"/>
      <c r="X280" s="201"/>
      <c r="Y280" s="201"/>
      <c r="Z280" s="201"/>
      <c r="AA280" s="201"/>
      <c r="AB280" s="201"/>
      <c r="AC280" s="201"/>
      <c r="AD280" s="201"/>
      <c r="AE280" s="201"/>
      <c r="AF280" s="201"/>
      <c r="AG280" s="201"/>
      <c r="AH280" s="201"/>
      <c r="AI280" s="201"/>
      <c r="AJ280" s="201"/>
      <c r="AK280" s="201"/>
      <c r="AL280" s="201"/>
      <c r="AM280" s="201"/>
      <c r="AN280" s="201"/>
      <c r="AO280" s="201"/>
      <c r="AP280" s="201"/>
      <c r="AQ280" s="201"/>
      <c r="AR280" s="201"/>
      <c r="AS280" s="201"/>
      <c r="AT280" s="201"/>
      <c r="AU280" s="201"/>
      <c r="AV280" s="201"/>
      <c r="AW280" s="201"/>
    </row>
    <row r="281" spans="1:49" s="134" customFormat="1" ht="13.8" hidden="1">
      <c r="A281" s="229"/>
      <c r="B281" s="230"/>
      <c r="C281" s="227"/>
      <c r="D281" s="227"/>
      <c r="E281" s="228"/>
      <c r="F281" s="227"/>
      <c r="G281" s="227"/>
      <c r="H281" s="694" t="str">
        <f t="shared" si="17"/>
        <v/>
      </c>
      <c r="I281" s="694"/>
      <c r="J281" s="694"/>
      <c r="K281" s="694"/>
      <c r="L281" s="201"/>
      <c r="M281" s="201"/>
      <c r="N281" s="201"/>
      <c r="O281" s="201"/>
      <c r="P281" s="201"/>
      <c r="Q281" s="201"/>
      <c r="R281" s="201"/>
      <c r="S281" s="201"/>
      <c r="T281" s="201"/>
      <c r="U281" s="201"/>
      <c r="V281" s="201"/>
      <c r="W281" s="201"/>
      <c r="X281" s="201"/>
      <c r="Y281" s="201"/>
      <c r="Z281" s="201"/>
      <c r="AA281" s="201"/>
      <c r="AB281" s="201"/>
      <c r="AC281" s="201"/>
      <c r="AD281" s="201"/>
      <c r="AE281" s="201"/>
      <c r="AF281" s="201"/>
      <c r="AG281" s="201"/>
      <c r="AH281" s="201"/>
      <c r="AI281" s="201"/>
      <c r="AJ281" s="201"/>
      <c r="AK281" s="201"/>
      <c r="AL281" s="201"/>
      <c r="AM281" s="201"/>
      <c r="AN281" s="201"/>
      <c r="AO281" s="201"/>
      <c r="AP281" s="201"/>
      <c r="AQ281" s="201"/>
      <c r="AR281" s="201"/>
      <c r="AS281" s="201"/>
      <c r="AT281" s="201"/>
      <c r="AU281" s="201"/>
      <c r="AV281" s="201"/>
      <c r="AW281" s="201"/>
    </row>
    <row r="282" spans="1:49" s="134" customFormat="1" ht="13.8" hidden="1">
      <c r="A282" s="695"/>
      <c r="B282" s="696"/>
      <c r="C282" s="227"/>
      <c r="D282" s="227"/>
      <c r="E282" s="228"/>
      <c r="F282" s="227"/>
      <c r="G282" s="227"/>
      <c r="H282" s="694" t="str">
        <f t="shared" si="17"/>
        <v/>
      </c>
      <c r="I282" s="694"/>
      <c r="J282" s="694"/>
      <c r="K282" s="694"/>
      <c r="L282" s="201"/>
      <c r="M282" s="201"/>
      <c r="N282" s="201"/>
      <c r="O282" s="201"/>
      <c r="P282" s="201"/>
      <c r="Q282" s="201"/>
      <c r="R282" s="201"/>
      <c r="S282" s="201"/>
      <c r="T282" s="201"/>
      <c r="U282" s="201"/>
      <c r="V282" s="201"/>
      <c r="W282" s="201"/>
      <c r="X282" s="201"/>
      <c r="Y282" s="201"/>
      <c r="Z282" s="201"/>
      <c r="AA282" s="201"/>
      <c r="AB282" s="201"/>
      <c r="AC282" s="201"/>
      <c r="AD282" s="201"/>
      <c r="AE282" s="201"/>
      <c r="AF282" s="201"/>
      <c r="AG282" s="201"/>
      <c r="AH282" s="201"/>
      <c r="AI282" s="201"/>
      <c r="AJ282" s="201"/>
      <c r="AK282" s="201"/>
      <c r="AL282" s="201"/>
      <c r="AM282" s="201"/>
      <c r="AN282" s="201"/>
      <c r="AO282" s="201"/>
      <c r="AP282" s="201"/>
      <c r="AQ282" s="201"/>
      <c r="AR282" s="201"/>
      <c r="AS282" s="201"/>
      <c r="AT282" s="201"/>
      <c r="AU282" s="201"/>
      <c r="AV282" s="201"/>
      <c r="AW282" s="201"/>
    </row>
    <row r="283" spans="1:49" s="134" customFormat="1" ht="13.8" hidden="1">
      <c r="A283" s="231" t="s">
        <v>40</v>
      </c>
      <c r="B283" s="232"/>
      <c r="C283" s="225" t="str">
        <f>IF(C284="","",SUM(C284:C288))</f>
        <v/>
      </c>
      <c r="D283" s="225" t="str">
        <f>IF(D284="","",SUM(D284:D288))</f>
        <v/>
      </c>
      <c r="E283" s="225" t="str">
        <f>IF(E284="","",SUM(E284:E288))</f>
        <v/>
      </c>
      <c r="F283" s="233"/>
      <c r="G283" s="233"/>
      <c r="H283" s="694" t="str">
        <f>IF(H284="","",AVERAGE(H284:K288))</f>
        <v/>
      </c>
      <c r="I283" s="694"/>
      <c r="J283" s="694"/>
      <c r="K283" s="694"/>
      <c r="L283" s="201"/>
      <c r="M283" s="201"/>
      <c r="N283" s="201"/>
      <c r="O283" s="201"/>
      <c r="P283" s="201"/>
      <c r="Q283" s="201"/>
      <c r="R283" s="201"/>
      <c r="S283" s="201"/>
      <c r="T283" s="201"/>
      <c r="U283" s="201"/>
      <c r="V283" s="201"/>
      <c r="W283" s="201"/>
      <c r="X283" s="201"/>
      <c r="Y283" s="201"/>
      <c r="Z283" s="201"/>
      <c r="AA283" s="201"/>
      <c r="AB283" s="201"/>
      <c r="AC283" s="201"/>
      <c r="AD283" s="201"/>
      <c r="AE283" s="201"/>
      <c r="AF283" s="201"/>
      <c r="AG283" s="201"/>
      <c r="AH283" s="201"/>
      <c r="AI283" s="201"/>
      <c r="AJ283" s="201"/>
      <c r="AK283" s="201"/>
      <c r="AL283" s="201"/>
      <c r="AM283" s="201"/>
      <c r="AN283" s="201"/>
      <c r="AO283" s="201"/>
      <c r="AP283" s="201"/>
      <c r="AQ283" s="201"/>
      <c r="AR283" s="201"/>
      <c r="AS283" s="201"/>
      <c r="AT283" s="201"/>
      <c r="AU283" s="201"/>
      <c r="AV283" s="201"/>
      <c r="AW283" s="201"/>
    </row>
    <row r="284" spans="1:49" s="134" customFormat="1" ht="13.8" hidden="1">
      <c r="A284" s="692" t="s">
        <v>108</v>
      </c>
      <c r="B284" s="693"/>
      <c r="C284" s="234"/>
      <c r="D284" s="234"/>
      <c r="E284" s="234"/>
      <c r="F284" s="234"/>
      <c r="G284" s="234"/>
      <c r="H284" s="694" t="str">
        <f>IF(AND(ISNUMBER(F284),ISNUMBER(G284)),F284/G284,"")</f>
        <v/>
      </c>
      <c r="I284" s="694"/>
      <c r="J284" s="694"/>
      <c r="K284" s="694"/>
      <c r="L284" s="201"/>
      <c r="M284" s="201"/>
      <c r="N284" s="201"/>
      <c r="O284" s="201"/>
      <c r="P284" s="201"/>
      <c r="Q284" s="201"/>
      <c r="R284" s="201"/>
      <c r="S284" s="201"/>
      <c r="T284" s="201"/>
      <c r="U284" s="201"/>
      <c r="V284" s="201"/>
      <c r="W284" s="201"/>
      <c r="X284" s="201"/>
      <c r="Y284" s="201"/>
      <c r="Z284" s="201"/>
      <c r="AA284" s="201"/>
      <c r="AB284" s="201"/>
      <c r="AC284" s="201"/>
      <c r="AD284" s="201"/>
      <c r="AE284" s="201"/>
      <c r="AF284" s="201"/>
      <c r="AG284" s="201"/>
      <c r="AH284" s="201"/>
      <c r="AI284" s="201"/>
      <c r="AJ284" s="201"/>
      <c r="AK284" s="201"/>
      <c r="AL284" s="201"/>
      <c r="AM284" s="201"/>
      <c r="AN284" s="201"/>
      <c r="AO284" s="201"/>
      <c r="AP284" s="201"/>
      <c r="AQ284" s="201"/>
      <c r="AR284" s="201"/>
      <c r="AS284" s="201"/>
      <c r="AT284" s="201"/>
      <c r="AU284" s="201"/>
      <c r="AV284" s="201"/>
      <c r="AW284" s="201"/>
    </row>
    <row r="285" spans="1:49" s="134" customFormat="1" ht="13.8" hidden="1">
      <c r="A285" s="692" t="s">
        <v>107</v>
      </c>
      <c r="B285" s="693"/>
      <c r="C285" s="234"/>
      <c r="D285" s="234"/>
      <c r="E285" s="234"/>
      <c r="F285" s="234"/>
      <c r="G285" s="234"/>
      <c r="H285" s="694" t="str">
        <f>IF(AND(ISNUMBER(F285),ISNUMBER(G285)),F285/G285,"")</f>
        <v/>
      </c>
      <c r="I285" s="694"/>
      <c r="J285" s="694"/>
      <c r="K285" s="694"/>
      <c r="L285" s="201"/>
      <c r="M285" s="201"/>
      <c r="N285" s="201"/>
      <c r="O285" s="201"/>
      <c r="P285" s="201"/>
      <c r="Q285" s="201"/>
      <c r="R285" s="201"/>
      <c r="S285" s="201"/>
      <c r="T285" s="201"/>
      <c r="U285" s="201"/>
      <c r="V285" s="201"/>
      <c r="W285" s="201"/>
      <c r="X285" s="201"/>
      <c r="Y285" s="201"/>
      <c r="Z285" s="201"/>
      <c r="AA285" s="201"/>
      <c r="AB285" s="201"/>
      <c r="AC285" s="201"/>
      <c r="AD285" s="201"/>
      <c r="AE285" s="201"/>
      <c r="AF285" s="201"/>
      <c r="AG285" s="201"/>
      <c r="AH285" s="201"/>
      <c r="AI285" s="201"/>
      <c r="AJ285" s="201"/>
      <c r="AK285" s="201"/>
      <c r="AL285" s="201"/>
      <c r="AM285" s="201"/>
      <c r="AN285" s="201"/>
      <c r="AO285" s="201"/>
      <c r="AP285" s="201"/>
      <c r="AQ285" s="201"/>
      <c r="AR285" s="201"/>
      <c r="AS285" s="201"/>
      <c r="AT285" s="201"/>
      <c r="AU285" s="201"/>
      <c r="AV285" s="201"/>
      <c r="AW285" s="201"/>
    </row>
    <row r="286" spans="1:49" s="134" customFormat="1" ht="13.8" hidden="1">
      <c r="A286" s="692" t="s">
        <v>109</v>
      </c>
      <c r="B286" s="693"/>
      <c r="C286" s="234"/>
      <c r="D286" s="234"/>
      <c r="E286" s="234"/>
      <c r="F286" s="234"/>
      <c r="G286" s="234"/>
      <c r="H286" s="694" t="str">
        <f>IF(AND(ISNUMBER(F286),ISNUMBER(G286)),F286/G286,"")</f>
        <v/>
      </c>
      <c r="I286" s="694"/>
      <c r="J286" s="694"/>
      <c r="K286" s="694"/>
      <c r="L286" s="201"/>
      <c r="M286" s="201"/>
      <c r="N286" s="201"/>
      <c r="O286" s="201"/>
      <c r="P286" s="201"/>
      <c r="Q286" s="201"/>
      <c r="R286" s="201"/>
      <c r="S286" s="201"/>
      <c r="T286" s="201"/>
      <c r="U286" s="201"/>
      <c r="V286" s="201"/>
      <c r="W286" s="201"/>
      <c r="X286" s="201"/>
      <c r="Y286" s="201"/>
      <c r="Z286" s="201"/>
      <c r="AA286" s="201"/>
      <c r="AB286" s="201"/>
      <c r="AC286" s="201"/>
      <c r="AD286" s="201"/>
      <c r="AE286" s="201"/>
      <c r="AF286" s="201"/>
      <c r="AG286" s="201"/>
      <c r="AH286" s="201"/>
      <c r="AI286" s="201"/>
      <c r="AJ286" s="201"/>
      <c r="AK286" s="201"/>
      <c r="AL286" s="201"/>
      <c r="AM286" s="201"/>
      <c r="AN286" s="201"/>
      <c r="AO286" s="201"/>
      <c r="AP286" s="201"/>
      <c r="AQ286" s="201"/>
      <c r="AR286" s="201"/>
      <c r="AS286" s="201"/>
      <c r="AT286" s="201"/>
      <c r="AU286" s="201"/>
      <c r="AV286" s="201"/>
      <c r="AW286" s="201"/>
    </row>
    <row r="287" spans="1:49" s="134" customFormat="1" ht="13.8" hidden="1">
      <c r="A287" s="692" t="s">
        <v>47</v>
      </c>
      <c r="B287" s="693"/>
      <c r="C287" s="234"/>
      <c r="D287" s="234"/>
      <c r="E287" s="234"/>
      <c r="F287" s="234"/>
      <c r="G287" s="234"/>
      <c r="H287" s="694" t="str">
        <f>IF(AND(ISNUMBER(F287),ISNUMBER(G287)),F287/G287,"")</f>
        <v/>
      </c>
      <c r="I287" s="694"/>
      <c r="J287" s="694"/>
      <c r="K287" s="694"/>
      <c r="L287" s="201"/>
      <c r="M287" s="201"/>
      <c r="N287" s="201"/>
      <c r="O287" s="201"/>
      <c r="P287" s="201"/>
      <c r="Q287" s="201"/>
      <c r="R287" s="201"/>
      <c r="S287" s="201"/>
      <c r="T287" s="201"/>
      <c r="U287" s="201"/>
      <c r="V287" s="201"/>
      <c r="W287" s="201"/>
      <c r="X287" s="201"/>
      <c r="Y287" s="201"/>
      <c r="Z287" s="201"/>
      <c r="AA287" s="201"/>
      <c r="AB287" s="201"/>
      <c r="AC287" s="201"/>
      <c r="AD287" s="201"/>
      <c r="AE287" s="201"/>
      <c r="AF287" s="201"/>
      <c r="AG287" s="201"/>
      <c r="AH287" s="201"/>
      <c r="AI287" s="201"/>
      <c r="AJ287" s="201"/>
      <c r="AK287" s="201"/>
      <c r="AL287" s="201"/>
      <c r="AM287" s="201"/>
      <c r="AN287" s="201"/>
      <c r="AO287" s="201"/>
      <c r="AP287" s="201"/>
      <c r="AQ287" s="201"/>
      <c r="AR287" s="201"/>
      <c r="AS287" s="201"/>
      <c r="AT287" s="201"/>
      <c r="AU287" s="201"/>
      <c r="AV287" s="201"/>
      <c r="AW287" s="201"/>
    </row>
    <row r="288" spans="1:49" s="134" customFormat="1" ht="13.8" hidden="1">
      <c r="A288" s="695"/>
      <c r="B288" s="696"/>
      <c r="C288" s="234"/>
      <c r="D288" s="234"/>
      <c r="E288" s="234"/>
      <c r="F288" s="234"/>
      <c r="G288" s="234"/>
      <c r="H288" s="694" t="str">
        <f>IF(AND(ISNUMBER(F288),ISNUMBER(G288)),F288/G288,"")</f>
        <v/>
      </c>
      <c r="I288" s="694"/>
      <c r="J288" s="694"/>
      <c r="K288" s="694"/>
      <c r="L288" s="201"/>
      <c r="M288" s="201"/>
      <c r="N288" s="201"/>
      <c r="O288" s="201"/>
      <c r="P288" s="201"/>
      <c r="Q288" s="201"/>
      <c r="R288" s="201"/>
      <c r="S288" s="201"/>
      <c r="T288" s="201"/>
      <c r="U288" s="201"/>
      <c r="V288" s="201"/>
      <c r="W288" s="201"/>
      <c r="X288" s="201"/>
      <c r="Y288" s="201"/>
      <c r="Z288" s="201"/>
      <c r="AA288" s="201"/>
      <c r="AB288" s="201"/>
      <c r="AC288" s="201"/>
      <c r="AD288" s="201"/>
      <c r="AE288" s="201"/>
      <c r="AF288" s="201"/>
      <c r="AG288" s="201"/>
      <c r="AH288" s="201"/>
      <c r="AI288" s="201"/>
      <c r="AJ288" s="201"/>
      <c r="AK288" s="201"/>
      <c r="AL288" s="201"/>
      <c r="AM288" s="201"/>
      <c r="AN288" s="201"/>
      <c r="AO288" s="201"/>
      <c r="AP288" s="201"/>
      <c r="AQ288" s="201"/>
      <c r="AR288" s="201"/>
      <c r="AS288" s="201"/>
      <c r="AT288" s="201"/>
      <c r="AU288" s="201"/>
      <c r="AV288" s="201"/>
      <c r="AW288" s="201"/>
    </row>
    <row r="289" spans="1:49" s="134" customFormat="1" ht="13.8" hidden="1">
      <c r="A289" s="231" t="s">
        <v>104</v>
      </c>
      <c r="B289" s="232"/>
      <c r="C289" s="225" t="str">
        <f>IF(C290="","",SUM(C290:C294))</f>
        <v/>
      </c>
      <c r="D289" s="225" t="str">
        <f>IF(D290="","",SUM(D290:D294))</f>
        <v/>
      </c>
      <c r="E289" s="225" t="str">
        <f>IF(E290="","",SUM(E290:E294))</f>
        <v/>
      </c>
      <c r="F289" s="233"/>
      <c r="G289" s="233"/>
      <c r="H289" s="694" t="str">
        <f>IF(H290="","",AVERAGE(H290:K294))</f>
        <v/>
      </c>
      <c r="I289" s="694"/>
      <c r="J289" s="694"/>
      <c r="K289" s="694"/>
      <c r="L289" s="201"/>
      <c r="M289" s="201"/>
      <c r="N289" s="201"/>
      <c r="O289" s="201"/>
      <c r="P289" s="201"/>
      <c r="Q289" s="201"/>
      <c r="R289" s="201"/>
      <c r="S289" s="201"/>
      <c r="T289" s="201"/>
      <c r="U289" s="201"/>
      <c r="V289" s="201"/>
      <c r="W289" s="201"/>
      <c r="X289" s="201"/>
      <c r="Y289" s="201"/>
      <c r="Z289" s="201"/>
      <c r="AA289" s="201"/>
      <c r="AB289" s="201"/>
      <c r="AC289" s="201"/>
      <c r="AD289" s="201"/>
      <c r="AE289" s="201"/>
      <c r="AF289" s="201"/>
      <c r="AG289" s="201"/>
      <c r="AH289" s="201"/>
      <c r="AI289" s="201"/>
      <c r="AJ289" s="201"/>
      <c r="AK289" s="201"/>
      <c r="AL289" s="201"/>
      <c r="AM289" s="201"/>
      <c r="AN289" s="201"/>
      <c r="AO289" s="201"/>
      <c r="AP289" s="201"/>
      <c r="AQ289" s="201"/>
      <c r="AR289" s="201"/>
      <c r="AS289" s="201"/>
      <c r="AT289" s="201"/>
      <c r="AU289" s="201"/>
      <c r="AV289" s="201"/>
      <c r="AW289" s="201"/>
    </row>
    <row r="290" spans="1:49" s="134" customFormat="1" ht="13.8" hidden="1">
      <c r="A290" s="692" t="s">
        <v>110</v>
      </c>
      <c r="B290" s="693"/>
      <c r="C290" s="227"/>
      <c r="D290" s="227"/>
      <c r="E290" s="228"/>
      <c r="F290" s="227"/>
      <c r="G290" s="227"/>
      <c r="H290" s="694" t="str">
        <f>IF(AND(ISNUMBER(F290),ISNUMBER(G290)),F290/G290,"")</f>
        <v/>
      </c>
      <c r="I290" s="694"/>
      <c r="J290" s="694"/>
      <c r="K290" s="694"/>
      <c r="L290" s="201"/>
      <c r="M290" s="201"/>
      <c r="N290" s="201"/>
      <c r="O290" s="201"/>
      <c r="P290" s="201"/>
      <c r="Q290" s="201"/>
      <c r="R290" s="201"/>
      <c r="S290" s="201"/>
      <c r="T290" s="201"/>
      <c r="U290" s="201"/>
      <c r="V290" s="201"/>
      <c r="W290" s="201"/>
      <c r="X290" s="201"/>
      <c r="Y290" s="201"/>
      <c r="Z290" s="201"/>
      <c r="AA290" s="201"/>
      <c r="AB290" s="201"/>
      <c r="AC290" s="201"/>
      <c r="AD290" s="201"/>
      <c r="AE290" s="201"/>
      <c r="AF290" s="201"/>
      <c r="AG290" s="201"/>
      <c r="AH290" s="201"/>
      <c r="AI290" s="201"/>
      <c r="AJ290" s="201"/>
      <c r="AK290" s="201"/>
      <c r="AL290" s="201"/>
      <c r="AM290" s="201"/>
      <c r="AN290" s="201"/>
      <c r="AO290" s="201"/>
      <c r="AP290" s="201"/>
      <c r="AQ290" s="201"/>
      <c r="AR290" s="201"/>
      <c r="AS290" s="201"/>
      <c r="AT290" s="201"/>
      <c r="AU290" s="201"/>
      <c r="AV290" s="201"/>
      <c r="AW290" s="201"/>
    </row>
    <row r="291" spans="1:49" s="134" customFormat="1" ht="13.8" hidden="1">
      <c r="A291" s="695"/>
      <c r="B291" s="696"/>
      <c r="C291" s="227"/>
      <c r="D291" s="227"/>
      <c r="E291" s="228"/>
      <c r="F291" s="227"/>
      <c r="G291" s="227"/>
      <c r="H291" s="694" t="str">
        <f>IF(AND(ISNUMBER(F291),ISNUMBER(G291)),F291/G291,"")</f>
        <v/>
      </c>
      <c r="I291" s="694"/>
      <c r="J291" s="694"/>
      <c r="K291" s="694"/>
      <c r="L291" s="201"/>
      <c r="M291" s="201"/>
      <c r="N291" s="201"/>
      <c r="O291" s="201"/>
      <c r="P291" s="201"/>
      <c r="Q291" s="201"/>
      <c r="R291" s="201"/>
      <c r="S291" s="201"/>
      <c r="T291" s="201"/>
      <c r="U291" s="201"/>
      <c r="V291" s="201"/>
      <c r="W291" s="201"/>
      <c r="X291" s="201"/>
      <c r="Y291" s="201"/>
      <c r="Z291" s="201"/>
      <c r="AA291" s="201"/>
      <c r="AB291" s="201"/>
      <c r="AC291" s="201"/>
      <c r="AD291" s="201"/>
      <c r="AE291" s="201"/>
      <c r="AF291" s="201"/>
      <c r="AG291" s="201"/>
      <c r="AH291" s="201"/>
      <c r="AI291" s="201"/>
      <c r="AJ291" s="201"/>
      <c r="AK291" s="201"/>
      <c r="AL291" s="201"/>
      <c r="AM291" s="201"/>
      <c r="AN291" s="201"/>
      <c r="AO291" s="201"/>
      <c r="AP291" s="201"/>
      <c r="AQ291" s="201"/>
      <c r="AR291" s="201"/>
      <c r="AS291" s="201"/>
      <c r="AT291" s="201"/>
      <c r="AU291" s="201"/>
      <c r="AV291" s="201"/>
      <c r="AW291" s="201"/>
    </row>
    <row r="292" spans="1:49" s="134" customFormat="1" ht="13.8" hidden="1">
      <c r="A292" s="695"/>
      <c r="B292" s="696"/>
      <c r="C292" s="227"/>
      <c r="D292" s="227"/>
      <c r="E292" s="228"/>
      <c r="F292" s="227"/>
      <c r="G292" s="227"/>
      <c r="H292" s="694" t="str">
        <f>IF(AND(ISNUMBER(F292),ISNUMBER(G292)),F292/G292,"")</f>
        <v/>
      </c>
      <c r="I292" s="694"/>
      <c r="J292" s="694"/>
      <c r="K292" s="694"/>
      <c r="L292" s="201"/>
      <c r="M292" s="201"/>
      <c r="N292" s="201"/>
      <c r="O292" s="201"/>
      <c r="P292" s="201"/>
      <c r="Q292" s="201"/>
      <c r="R292" s="201"/>
      <c r="S292" s="201"/>
      <c r="T292" s="201"/>
      <c r="U292" s="201"/>
      <c r="V292" s="201"/>
      <c r="W292" s="201"/>
      <c r="X292" s="201"/>
      <c r="Y292" s="201"/>
      <c r="Z292" s="201"/>
      <c r="AA292" s="201"/>
      <c r="AB292" s="201"/>
      <c r="AC292" s="201"/>
      <c r="AD292" s="201"/>
      <c r="AE292" s="201"/>
      <c r="AF292" s="201"/>
      <c r="AG292" s="201"/>
      <c r="AH292" s="201"/>
      <c r="AI292" s="201"/>
      <c r="AJ292" s="201"/>
      <c r="AK292" s="201"/>
      <c r="AL292" s="201"/>
      <c r="AM292" s="201"/>
      <c r="AN292" s="201"/>
      <c r="AO292" s="201"/>
      <c r="AP292" s="201"/>
      <c r="AQ292" s="201"/>
      <c r="AR292" s="201"/>
      <c r="AS292" s="201"/>
      <c r="AT292" s="201"/>
      <c r="AU292" s="201"/>
      <c r="AV292" s="201"/>
      <c r="AW292" s="201"/>
    </row>
    <row r="293" spans="1:49" s="134" customFormat="1" ht="13.8" hidden="1">
      <c r="A293" s="695"/>
      <c r="B293" s="696"/>
      <c r="C293" s="227"/>
      <c r="D293" s="227"/>
      <c r="E293" s="228"/>
      <c r="F293" s="227"/>
      <c r="G293" s="227"/>
      <c r="H293" s="694" t="str">
        <f>IF(AND(ISNUMBER(F293),ISNUMBER(G293)),F293/G293,"")</f>
        <v/>
      </c>
      <c r="I293" s="694"/>
      <c r="J293" s="694"/>
      <c r="K293" s="694"/>
      <c r="L293" s="201"/>
      <c r="M293" s="201"/>
      <c r="N293" s="201"/>
      <c r="O293" s="201"/>
      <c r="P293" s="201"/>
      <c r="Q293" s="201"/>
      <c r="R293" s="201"/>
      <c r="S293" s="201"/>
      <c r="T293" s="201"/>
      <c r="U293" s="201"/>
      <c r="V293" s="201"/>
      <c r="W293" s="201"/>
      <c r="X293" s="201"/>
      <c r="Y293" s="201"/>
      <c r="Z293" s="201"/>
      <c r="AA293" s="201"/>
      <c r="AB293" s="201"/>
      <c r="AC293" s="201"/>
      <c r="AD293" s="201"/>
      <c r="AE293" s="201"/>
      <c r="AF293" s="201"/>
      <c r="AG293" s="201"/>
      <c r="AH293" s="201"/>
      <c r="AI293" s="201"/>
      <c r="AJ293" s="201"/>
      <c r="AK293" s="201"/>
      <c r="AL293" s="201"/>
      <c r="AM293" s="201"/>
      <c r="AN293" s="201"/>
      <c r="AO293" s="201"/>
      <c r="AP293" s="201"/>
      <c r="AQ293" s="201"/>
      <c r="AR293" s="201"/>
      <c r="AS293" s="201"/>
      <c r="AT293" s="201"/>
      <c r="AU293" s="201"/>
      <c r="AV293" s="201"/>
      <c r="AW293" s="201"/>
    </row>
    <row r="294" spans="1:49" s="134" customFormat="1" ht="13.8" hidden="1">
      <c r="A294" s="695"/>
      <c r="B294" s="696"/>
      <c r="C294" s="227"/>
      <c r="D294" s="227"/>
      <c r="E294" s="228"/>
      <c r="F294" s="227"/>
      <c r="G294" s="227"/>
      <c r="H294" s="694" t="str">
        <f>IF(AND(ISNUMBER(F294),ISNUMBER(G294)),F294/G294,"")</f>
        <v/>
      </c>
      <c r="I294" s="694"/>
      <c r="J294" s="694"/>
      <c r="K294" s="694"/>
      <c r="L294" s="201"/>
      <c r="M294" s="201"/>
      <c r="N294" s="201"/>
      <c r="O294" s="201"/>
      <c r="P294" s="201"/>
      <c r="Q294" s="201"/>
      <c r="R294" s="201"/>
      <c r="S294" s="201"/>
      <c r="T294" s="201"/>
      <c r="U294" s="201"/>
      <c r="V294" s="201"/>
      <c r="W294" s="201"/>
      <c r="X294" s="201"/>
      <c r="Y294" s="201"/>
      <c r="Z294" s="201"/>
      <c r="AA294" s="201"/>
      <c r="AB294" s="201"/>
      <c r="AC294" s="201"/>
      <c r="AD294" s="201"/>
      <c r="AE294" s="201"/>
      <c r="AF294" s="201"/>
      <c r="AG294" s="201"/>
      <c r="AH294" s="201"/>
      <c r="AI294" s="201"/>
      <c r="AJ294" s="201"/>
      <c r="AK294" s="201"/>
      <c r="AL294" s="201"/>
      <c r="AM294" s="201"/>
      <c r="AN294" s="201"/>
      <c r="AO294" s="201"/>
      <c r="AP294" s="201"/>
      <c r="AQ294" s="201"/>
      <c r="AR294" s="201"/>
      <c r="AS294" s="201"/>
      <c r="AT294" s="201"/>
      <c r="AU294" s="201"/>
      <c r="AV294" s="201"/>
      <c r="AW294" s="201"/>
    </row>
    <row r="295" spans="1:49" s="134" customFormat="1" ht="13.8" hidden="1">
      <c r="A295" s="231" t="s">
        <v>105</v>
      </c>
      <c r="B295" s="232"/>
      <c r="C295" s="222" t="str">
        <f>IF(C296="","",SUM(C296:C297))</f>
        <v/>
      </c>
      <c r="D295" s="222" t="str">
        <f>IF(D296="","",SUM(D296:D297))</f>
        <v/>
      </c>
      <c r="E295" s="222" t="str">
        <f>IF(E296="","",SUM(E296:E297))</f>
        <v/>
      </c>
      <c r="F295" s="233"/>
      <c r="G295" s="233"/>
      <c r="H295" s="694" t="str">
        <f>IF(H296="","",AVERAGE(H296:K297))</f>
        <v/>
      </c>
      <c r="I295" s="694"/>
      <c r="J295" s="694"/>
      <c r="K295" s="694"/>
      <c r="L295" s="201"/>
      <c r="M295" s="201"/>
      <c r="N295" s="201"/>
      <c r="O295" s="201"/>
      <c r="P295" s="201"/>
      <c r="Q295" s="201"/>
      <c r="R295" s="201"/>
      <c r="S295" s="201"/>
      <c r="T295" s="201"/>
      <c r="U295" s="201"/>
      <c r="V295" s="201"/>
      <c r="W295" s="201"/>
      <c r="X295" s="201"/>
      <c r="Y295" s="201"/>
      <c r="Z295" s="201"/>
      <c r="AA295" s="201"/>
      <c r="AB295" s="201"/>
      <c r="AC295" s="201"/>
      <c r="AD295" s="201"/>
      <c r="AE295" s="201"/>
      <c r="AF295" s="201"/>
      <c r="AG295" s="201"/>
      <c r="AH295" s="201"/>
      <c r="AI295" s="201"/>
      <c r="AJ295" s="201"/>
      <c r="AK295" s="201"/>
      <c r="AL295" s="201"/>
      <c r="AM295" s="201"/>
      <c r="AN295" s="201"/>
      <c r="AO295" s="201"/>
      <c r="AP295" s="201"/>
      <c r="AQ295" s="201"/>
      <c r="AR295" s="201"/>
      <c r="AS295" s="201"/>
      <c r="AT295" s="201"/>
      <c r="AU295" s="201"/>
      <c r="AV295" s="201"/>
      <c r="AW295" s="201"/>
    </row>
    <row r="296" spans="1:49" s="134" customFormat="1" ht="13.8" hidden="1">
      <c r="A296" s="692" t="s">
        <v>111</v>
      </c>
      <c r="B296" s="693"/>
      <c r="C296" s="227"/>
      <c r="D296" s="227"/>
      <c r="E296" s="228"/>
      <c r="F296" s="227"/>
      <c r="G296" s="227"/>
      <c r="H296" s="694" t="str">
        <f>IF(AND(ISNUMBER(F296),ISNUMBER(G296)),F296/G296,"")</f>
        <v/>
      </c>
      <c r="I296" s="694"/>
      <c r="J296" s="694"/>
      <c r="K296" s="694"/>
      <c r="L296" s="201"/>
      <c r="M296" s="201"/>
      <c r="N296" s="201"/>
      <c r="O296" s="201"/>
      <c r="P296" s="201"/>
      <c r="Q296" s="201"/>
      <c r="R296" s="201"/>
      <c r="S296" s="201"/>
      <c r="T296" s="201"/>
      <c r="U296" s="201"/>
      <c r="V296" s="201"/>
      <c r="W296" s="201"/>
      <c r="X296" s="201"/>
      <c r="Y296" s="201"/>
      <c r="Z296" s="201"/>
      <c r="AA296" s="201"/>
      <c r="AB296" s="201"/>
      <c r="AC296" s="201"/>
      <c r="AD296" s="201"/>
      <c r="AE296" s="201"/>
      <c r="AF296" s="201"/>
      <c r="AG296" s="201"/>
      <c r="AH296" s="201"/>
      <c r="AI296" s="201"/>
      <c r="AJ296" s="201"/>
      <c r="AK296" s="201"/>
      <c r="AL296" s="201"/>
      <c r="AM296" s="201"/>
      <c r="AN296" s="201"/>
      <c r="AO296" s="201"/>
      <c r="AP296" s="201"/>
      <c r="AQ296" s="201"/>
      <c r="AR296" s="201"/>
      <c r="AS296" s="201"/>
      <c r="AT296" s="201"/>
      <c r="AU296" s="201"/>
      <c r="AV296" s="201"/>
      <c r="AW296" s="201"/>
    </row>
    <row r="297" spans="1:49" s="134" customFormat="1" ht="13.8" hidden="1">
      <c r="A297" s="695"/>
      <c r="B297" s="696"/>
      <c r="C297" s="227"/>
      <c r="D297" s="227"/>
      <c r="E297" s="228"/>
      <c r="F297" s="227"/>
      <c r="G297" s="227"/>
      <c r="H297" s="694" t="str">
        <f>IF(AND(ISNUMBER(F297),ISNUMBER(G297)),F297/G297,"")</f>
        <v/>
      </c>
      <c r="I297" s="694"/>
      <c r="J297" s="694"/>
      <c r="K297" s="694"/>
      <c r="L297" s="201"/>
      <c r="M297" s="201"/>
      <c r="N297" s="201"/>
      <c r="O297" s="201"/>
      <c r="P297" s="201"/>
      <c r="Q297" s="201"/>
      <c r="R297" s="201"/>
      <c r="S297" s="201"/>
      <c r="T297" s="201"/>
      <c r="U297" s="201"/>
      <c r="V297" s="201"/>
      <c r="W297" s="201"/>
      <c r="X297" s="201"/>
      <c r="Y297" s="201"/>
      <c r="Z297" s="201"/>
      <c r="AA297" s="201"/>
      <c r="AB297" s="201"/>
      <c r="AC297" s="201"/>
      <c r="AD297" s="201"/>
      <c r="AE297" s="201"/>
      <c r="AF297" s="201"/>
      <c r="AG297" s="201"/>
      <c r="AH297" s="201"/>
      <c r="AI297" s="201"/>
      <c r="AJ297" s="201"/>
      <c r="AK297" s="201"/>
      <c r="AL297" s="201"/>
      <c r="AM297" s="201"/>
      <c r="AN297" s="201"/>
      <c r="AO297" s="201"/>
      <c r="AP297" s="201"/>
      <c r="AQ297" s="201"/>
      <c r="AR297" s="201"/>
      <c r="AS297" s="201"/>
      <c r="AT297" s="201"/>
      <c r="AU297" s="201"/>
      <c r="AV297" s="201"/>
      <c r="AW297" s="201"/>
    </row>
    <row r="298" spans="1:49" s="134" customFormat="1" ht="13.8" hidden="1">
      <c r="A298" s="231" t="s">
        <v>47</v>
      </c>
      <c r="B298" s="232"/>
      <c r="C298" s="222" t="str">
        <f>IF(C299="","",SUM(C299:C300))</f>
        <v/>
      </c>
      <c r="D298" s="222" t="str">
        <f>IF(D299="","",SUM(D299:D300))</f>
        <v/>
      </c>
      <c r="E298" s="222" t="str">
        <f>IF(E299="","",SUM(E299:E300))</f>
        <v/>
      </c>
      <c r="F298" s="233"/>
      <c r="G298" s="233"/>
      <c r="H298" s="694" t="str">
        <f>IF(H299="","",AVERAGE(H299:K300))</f>
        <v/>
      </c>
      <c r="I298" s="694"/>
      <c r="J298" s="694"/>
      <c r="K298" s="694"/>
      <c r="L298" s="201"/>
      <c r="M298" s="201"/>
      <c r="N298" s="201"/>
      <c r="O298" s="201"/>
      <c r="P298" s="201"/>
      <c r="Q298" s="201"/>
      <c r="R298" s="201"/>
      <c r="S298" s="201"/>
      <c r="T298" s="201"/>
      <c r="U298" s="201"/>
      <c r="V298" s="201"/>
      <c r="W298" s="201"/>
      <c r="X298" s="201"/>
      <c r="Y298" s="201"/>
      <c r="Z298" s="201"/>
      <c r="AA298" s="201"/>
      <c r="AB298" s="201"/>
      <c r="AC298" s="201"/>
      <c r="AD298" s="201"/>
      <c r="AE298" s="201"/>
      <c r="AF298" s="201"/>
      <c r="AG298" s="201"/>
      <c r="AH298" s="201"/>
      <c r="AI298" s="201"/>
      <c r="AJ298" s="201"/>
      <c r="AK298" s="201"/>
      <c r="AL298" s="201"/>
      <c r="AM298" s="201"/>
      <c r="AN298" s="201"/>
      <c r="AO298" s="201"/>
      <c r="AP298" s="201"/>
      <c r="AQ298" s="201"/>
      <c r="AR298" s="201"/>
      <c r="AS298" s="201"/>
      <c r="AT298" s="201"/>
      <c r="AU298" s="201"/>
      <c r="AV298" s="201"/>
      <c r="AW298" s="201"/>
    </row>
    <row r="299" spans="1:49" s="134" customFormat="1" ht="13.8" hidden="1">
      <c r="A299" s="695" t="s">
        <v>47</v>
      </c>
      <c r="B299" s="696"/>
      <c r="C299" s="227"/>
      <c r="D299" s="227"/>
      <c r="E299" s="228"/>
      <c r="F299" s="227"/>
      <c r="G299" s="227"/>
      <c r="H299" s="694" t="str">
        <f>IF(AND(ISNUMBER(F299),ISNUMBER(G299)),F299/G299,"")</f>
        <v/>
      </c>
      <c r="I299" s="694"/>
      <c r="J299" s="694"/>
      <c r="K299" s="694"/>
      <c r="L299" s="201"/>
      <c r="M299" s="201"/>
      <c r="N299" s="201"/>
      <c r="O299" s="201"/>
      <c r="P299" s="201"/>
      <c r="Q299" s="201"/>
      <c r="R299" s="201"/>
      <c r="S299" s="201"/>
      <c r="T299" s="201"/>
      <c r="U299" s="201"/>
      <c r="V299" s="201"/>
      <c r="W299" s="201"/>
      <c r="X299" s="201"/>
      <c r="Y299" s="201"/>
      <c r="Z299" s="201"/>
      <c r="AA299" s="201"/>
      <c r="AB299" s="201"/>
      <c r="AC299" s="201"/>
      <c r="AD299" s="201"/>
      <c r="AE299" s="201"/>
      <c r="AF299" s="201"/>
      <c r="AG299" s="201"/>
      <c r="AH299" s="201"/>
      <c r="AI299" s="201"/>
      <c r="AJ299" s="201"/>
      <c r="AK299" s="201"/>
      <c r="AL299" s="201"/>
      <c r="AM299" s="201"/>
      <c r="AN299" s="201"/>
      <c r="AO299" s="201"/>
      <c r="AP299" s="201"/>
      <c r="AQ299" s="201"/>
      <c r="AR299" s="201"/>
      <c r="AS299" s="201"/>
      <c r="AT299" s="201"/>
      <c r="AU299" s="201"/>
      <c r="AV299" s="201"/>
      <c r="AW299" s="201"/>
    </row>
    <row r="300" spans="1:49" s="134" customFormat="1" ht="13.8" hidden="1">
      <c r="A300" s="695"/>
      <c r="B300" s="696"/>
      <c r="C300" s="227"/>
      <c r="D300" s="227"/>
      <c r="E300" s="228"/>
      <c r="F300" s="227"/>
      <c r="G300" s="227"/>
      <c r="H300" s="694" t="str">
        <f>IF(AND(ISNUMBER(F300),ISNUMBER(G300)),F300/G300,"")</f>
        <v/>
      </c>
      <c r="I300" s="694"/>
      <c r="J300" s="694"/>
      <c r="K300" s="694"/>
      <c r="L300" s="201"/>
      <c r="M300" s="201"/>
      <c r="N300" s="201"/>
      <c r="O300" s="201"/>
      <c r="P300" s="201"/>
      <c r="Q300" s="201"/>
      <c r="R300" s="201"/>
      <c r="S300" s="201"/>
      <c r="T300" s="201"/>
      <c r="U300" s="201"/>
      <c r="V300" s="201"/>
      <c r="W300" s="201"/>
      <c r="X300" s="201"/>
      <c r="Y300" s="201"/>
      <c r="Z300" s="201"/>
      <c r="AA300" s="201"/>
      <c r="AB300" s="201"/>
      <c r="AC300" s="201"/>
      <c r="AD300" s="201"/>
      <c r="AE300" s="201"/>
      <c r="AF300" s="201"/>
      <c r="AG300" s="201"/>
      <c r="AH300" s="201"/>
      <c r="AI300" s="201"/>
      <c r="AJ300" s="201"/>
      <c r="AK300" s="201"/>
      <c r="AL300" s="201"/>
      <c r="AM300" s="201"/>
      <c r="AN300" s="201"/>
      <c r="AO300" s="201"/>
      <c r="AP300" s="201"/>
      <c r="AQ300" s="201"/>
      <c r="AR300" s="201"/>
      <c r="AS300" s="201"/>
      <c r="AT300" s="201"/>
      <c r="AU300" s="201"/>
      <c r="AV300" s="201"/>
      <c r="AW300" s="201"/>
    </row>
    <row r="301" spans="1:49" s="134" customFormat="1" ht="2.25" customHeight="1">
      <c r="A301" s="201"/>
      <c r="B301" s="201"/>
      <c r="C301" s="201"/>
      <c r="D301" s="201"/>
      <c r="E301" s="201"/>
      <c r="F301" s="201"/>
      <c r="G301" s="201"/>
      <c r="H301" s="201"/>
      <c r="I301" s="201"/>
      <c r="J301" s="201"/>
      <c r="K301" s="201"/>
      <c r="L301" s="201"/>
      <c r="M301" s="201"/>
      <c r="N301" s="201"/>
      <c r="O301" s="201"/>
      <c r="P301" s="201"/>
      <c r="Q301" s="201"/>
      <c r="R301" s="201"/>
      <c r="S301" s="201"/>
      <c r="T301" s="201"/>
      <c r="U301" s="201"/>
      <c r="V301" s="201"/>
      <c r="W301" s="201"/>
      <c r="X301" s="201"/>
      <c r="Y301" s="201"/>
      <c r="Z301" s="201"/>
      <c r="AA301" s="201"/>
      <c r="AB301" s="201"/>
      <c r="AC301" s="201"/>
      <c r="AD301" s="201"/>
      <c r="AE301" s="201"/>
      <c r="AF301" s="201"/>
      <c r="AG301" s="201"/>
      <c r="AH301" s="201"/>
      <c r="AI301" s="201"/>
      <c r="AJ301" s="201"/>
      <c r="AK301" s="201"/>
      <c r="AL301" s="201"/>
      <c r="AM301" s="201"/>
      <c r="AN301" s="201"/>
      <c r="AO301" s="201"/>
      <c r="AP301" s="201"/>
      <c r="AQ301" s="201"/>
      <c r="AR301" s="201"/>
      <c r="AS301" s="201"/>
      <c r="AT301" s="201"/>
      <c r="AU301" s="201"/>
      <c r="AV301" s="201"/>
      <c r="AW301" s="201"/>
    </row>
    <row r="302" spans="1:49" s="134" customFormat="1" ht="15.75" customHeight="1">
      <c r="A302" s="201"/>
      <c r="B302" s="417" t="s">
        <v>956</v>
      </c>
      <c r="C302" s="201"/>
      <c r="D302" s="201"/>
      <c r="E302" s="201"/>
      <c r="F302" s="201"/>
      <c r="G302" s="201"/>
      <c r="H302" s="201"/>
      <c r="I302" s="201"/>
      <c r="J302" s="201"/>
      <c r="K302" s="201"/>
      <c r="L302" s="201"/>
      <c r="M302" s="201"/>
      <c r="N302" s="201"/>
      <c r="O302" s="201"/>
      <c r="P302" s="201"/>
      <c r="Q302" s="201"/>
      <c r="R302" s="201"/>
      <c r="S302" s="201"/>
      <c r="T302" s="201"/>
      <c r="U302" s="201"/>
      <c r="V302" s="201"/>
      <c r="W302" s="201"/>
      <c r="X302" s="201"/>
      <c r="Y302" s="201"/>
      <c r="Z302" s="201"/>
      <c r="AA302" s="201"/>
      <c r="AB302" s="201"/>
      <c r="AC302" s="201"/>
      <c r="AD302" s="201"/>
      <c r="AE302" s="201"/>
      <c r="AF302" s="201"/>
      <c r="AG302" s="201"/>
      <c r="AH302" s="201"/>
      <c r="AI302" s="201"/>
      <c r="AJ302" s="201"/>
      <c r="AK302" s="201"/>
      <c r="AL302" s="201"/>
      <c r="AM302" s="201"/>
      <c r="AN302" s="201"/>
      <c r="AO302" s="201"/>
      <c r="AP302" s="201"/>
      <c r="AQ302" s="201"/>
      <c r="AR302" s="201"/>
      <c r="AS302" s="201"/>
      <c r="AT302" s="201"/>
      <c r="AU302" s="201"/>
      <c r="AV302" s="201"/>
      <c r="AW302" s="201"/>
    </row>
    <row r="303" spans="1:49" s="416" customFormat="1" ht="12.75" customHeight="1">
      <c r="A303" s="415"/>
      <c r="B303" s="415" t="s">
        <v>237</v>
      </c>
      <c r="C303" s="415"/>
      <c r="D303" s="415"/>
      <c r="E303" s="415"/>
      <c r="F303" s="415"/>
      <c r="G303" s="415"/>
      <c r="H303" s="415"/>
      <c r="I303" s="415"/>
      <c r="J303" s="415"/>
      <c r="K303" s="415"/>
      <c r="L303" s="415"/>
      <c r="M303" s="415"/>
      <c r="N303" s="415"/>
      <c r="O303" s="415"/>
      <c r="P303" s="415"/>
      <c r="Q303" s="415"/>
      <c r="R303" s="415"/>
      <c r="S303" s="415"/>
      <c r="T303" s="415"/>
      <c r="U303" s="415"/>
      <c r="V303" s="415"/>
      <c r="W303" s="415"/>
      <c r="X303" s="415"/>
      <c r="Y303" s="415"/>
      <c r="Z303" s="415"/>
      <c r="AA303" s="415"/>
      <c r="AB303" s="415"/>
      <c r="AC303" s="415"/>
      <c r="AD303" s="415"/>
      <c r="AE303" s="415"/>
      <c r="AF303" s="415"/>
      <c r="AG303" s="415"/>
      <c r="AH303" s="415"/>
      <c r="AI303" s="415"/>
      <c r="AJ303" s="415"/>
      <c r="AK303" s="415"/>
      <c r="AL303" s="415"/>
      <c r="AM303" s="415"/>
      <c r="AN303" s="415"/>
      <c r="AO303" s="415"/>
      <c r="AP303" s="415"/>
      <c r="AQ303" s="415"/>
      <c r="AR303" s="415"/>
      <c r="AS303" s="415"/>
      <c r="AT303" s="415"/>
      <c r="AU303" s="415"/>
      <c r="AV303" s="415"/>
      <c r="AW303" s="415"/>
    </row>
    <row r="304" spans="1:49" s="134" customFormat="1" ht="36" customHeight="1">
      <c r="A304" s="201"/>
      <c r="B304" s="691" t="s">
        <v>519</v>
      </c>
      <c r="C304" s="691"/>
      <c r="D304" s="691"/>
      <c r="E304" s="691"/>
      <c r="F304" s="691"/>
      <c r="G304" s="691"/>
      <c r="H304" s="201"/>
      <c r="I304" s="691" t="s">
        <v>520</v>
      </c>
      <c r="J304" s="691"/>
      <c r="K304" s="691"/>
      <c r="L304" s="691"/>
      <c r="M304" s="691"/>
      <c r="N304" s="691"/>
      <c r="O304" s="201"/>
      <c r="P304" s="691" t="s">
        <v>521</v>
      </c>
      <c r="Q304" s="691"/>
      <c r="R304" s="691"/>
      <c r="S304" s="691"/>
      <c r="T304" s="691"/>
      <c r="U304" s="691"/>
      <c r="V304" s="201"/>
      <c r="W304" s="201"/>
      <c r="X304" s="201"/>
      <c r="Y304" s="201"/>
      <c r="Z304" s="201"/>
      <c r="AA304" s="201"/>
      <c r="AB304" s="201"/>
      <c r="AC304" s="201"/>
      <c r="AD304" s="201"/>
      <c r="AE304" s="201"/>
      <c r="AF304" s="201"/>
      <c r="AG304" s="201"/>
      <c r="AH304" s="201"/>
      <c r="AI304" s="201"/>
      <c r="AJ304" s="201"/>
      <c r="AK304" s="201"/>
      <c r="AL304" s="201"/>
      <c r="AM304" s="201"/>
      <c r="AN304" s="201"/>
      <c r="AO304" s="201"/>
      <c r="AP304" s="201"/>
      <c r="AQ304" s="201"/>
      <c r="AR304" s="201"/>
      <c r="AS304" s="201"/>
      <c r="AT304" s="201"/>
      <c r="AU304" s="201"/>
      <c r="AV304" s="201"/>
      <c r="AW304" s="201"/>
    </row>
    <row r="305" spans="1:49" s="134" customFormat="1" ht="33.9" customHeight="1">
      <c r="A305" s="201"/>
      <c r="B305" s="191" t="s">
        <v>2</v>
      </c>
      <c r="C305" s="191" t="s">
        <v>25</v>
      </c>
      <c r="D305" s="191" t="s">
        <v>24</v>
      </c>
      <c r="E305" s="191" t="s">
        <v>18</v>
      </c>
      <c r="F305" s="689" t="s">
        <v>235</v>
      </c>
      <c r="G305" s="689"/>
      <c r="H305" s="201"/>
      <c r="I305" s="191" t="s">
        <v>2</v>
      </c>
      <c r="J305" s="191" t="s">
        <v>25</v>
      </c>
      <c r="K305" s="191" t="s">
        <v>24</v>
      </c>
      <c r="L305" s="191" t="s">
        <v>18</v>
      </c>
      <c r="M305" s="689" t="s">
        <v>235</v>
      </c>
      <c r="N305" s="689"/>
      <c r="O305" s="201"/>
      <c r="P305" s="191" t="s">
        <v>2</v>
      </c>
      <c r="Q305" s="191" t="s">
        <v>25</v>
      </c>
      <c r="R305" s="191" t="s">
        <v>24</v>
      </c>
      <c r="S305" s="191" t="s">
        <v>18</v>
      </c>
      <c r="T305" s="689" t="s">
        <v>235</v>
      </c>
      <c r="U305" s="689"/>
      <c r="V305" s="201"/>
      <c r="W305" s="201"/>
      <c r="X305" s="201"/>
      <c r="Y305" s="201"/>
      <c r="Z305" s="201"/>
      <c r="AA305" s="201"/>
      <c r="AB305" s="201"/>
      <c r="AC305" s="201"/>
      <c r="AD305" s="201"/>
      <c r="AE305" s="201"/>
      <c r="AF305" s="201"/>
      <c r="AG305" s="201"/>
      <c r="AH305" s="201"/>
      <c r="AI305" s="201"/>
      <c r="AJ305" s="201"/>
      <c r="AK305" s="201"/>
      <c r="AL305" s="201"/>
      <c r="AM305" s="201"/>
      <c r="AN305" s="201"/>
      <c r="AO305" s="201"/>
      <c r="AP305" s="201"/>
      <c r="AQ305" s="201"/>
      <c r="AR305" s="201"/>
      <c r="AS305" s="201"/>
      <c r="AT305" s="201"/>
      <c r="AU305" s="201"/>
      <c r="AV305" s="201"/>
      <c r="AW305" s="201"/>
    </row>
    <row r="306" spans="1:49" s="134" customFormat="1" ht="17.25" customHeight="1">
      <c r="A306" s="201"/>
      <c r="B306" s="185" t="s">
        <v>5</v>
      </c>
      <c r="C306" s="87"/>
      <c r="D306" s="87"/>
      <c r="E306" s="181" t="str">
        <f>IF(OR(ISNUMBER(C306), ISNUMBER(D306)), C306+D306, "")</f>
        <v/>
      </c>
      <c r="F306" s="686" t="str">
        <f>IFERROR(IF(AND(ISNUMBER(Helper!B114), ISNUMBER(Helper!C114)), ROUND(Helper!B114/Helper!C114,0) &amp; ":" &amp; 1, ""),"")</f>
        <v/>
      </c>
      <c r="G306" s="686"/>
      <c r="H306" s="201"/>
      <c r="I306" s="185" t="s">
        <v>5</v>
      </c>
      <c r="J306" s="87"/>
      <c r="K306" s="87"/>
      <c r="L306" s="181" t="str">
        <f>IF(OR(ISNUMBER(J306), ISNUMBER(K306)), J306+K306, "")</f>
        <v/>
      </c>
      <c r="M306" s="686" t="str">
        <f>IFERROR(IF(AND(ISNUMBER(Helper!AK114), ISNUMBER(Helper!AL114)), ROUND(Helper!AK114/Helper!AL114,0) &amp; ":" &amp; 1, ""),"")</f>
        <v/>
      </c>
      <c r="N306" s="686"/>
      <c r="O306" s="201"/>
      <c r="P306" s="257" t="s">
        <v>5</v>
      </c>
      <c r="Q306" s="242"/>
      <c r="R306" s="242"/>
      <c r="S306" s="181" t="str">
        <f>IF(OR(ISNUMBER(Q306), ISNUMBER(R306)), Q306+R306, "")</f>
        <v/>
      </c>
      <c r="T306" s="686" t="str">
        <f>IFERROR(IF(AND(ISNUMBER(Helper!AY114), ISNUMBER(Helper!AZ114)), ROUND(Helper!AY114/Helper!AZ114,0) &amp; ":" &amp; 1, ""),"")</f>
        <v/>
      </c>
      <c r="U306" s="686"/>
      <c r="V306" s="201"/>
      <c r="W306" s="201"/>
      <c r="X306" s="201"/>
      <c r="Y306" s="201"/>
      <c r="Z306" s="201"/>
      <c r="AA306" s="201"/>
      <c r="AB306" s="201"/>
      <c r="AC306" s="201"/>
      <c r="AD306" s="201"/>
      <c r="AE306" s="201"/>
      <c r="AF306" s="201"/>
      <c r="AG306" s="201"/>
      <c r="AH306" s="201"/>
      <c r="AI306" s="201"/>
      <c r="AJ306" s="201"/>
      <c r="AK306" s="201"/>
      <c r="AL306" s="201"/>
      <c r="AM306" s="201"/>
      <c r="AN306" s="201"/>
      <c r="AO306" s="201"/>
      <c r="AP306" s="201"/>
      <c r="AQ306" s="201"/>
      <c r="AR306" s="201"/>
      <c r="AS306" s="201"/>
      <c r="AT306" s="201"/>
      <c r="AU306" s="201"/>
      <c r="AV306" s="201"/>
      <c r="AW306" s="201"/>
    </row>
    <row r="307" spans="1:49" s="134" customFormat="1" ht="17.25" customHeight="1">
      <c r="A307" s="201"/>
      <c r="B307" s="185" t="s">
        <v>6</v>
      </c>
      <c r="C307" s="87"/>
      <c r="D307" s="87"/>
      <c r="E307" s="181" t="str">
        <f t="shared" ref="E307:E318" si="18">IF(OR(ISNUMBER(C307), ISNUMBER(D307)), C307+D307, "")</f>
        <v/>
      </c>
      <c r="F307" s="686" t="str">
        <f>IFERROR(IF(AND(ISNUMBER(Helper!B115), ISNUMBER(Helper!C115)), ROUND(Helper!B115/Helper!C115,0) &amp; ":" &amp; 1, ""),"")</f>
        <v/>
      </c>
      <c r="G307" s="686"/>
      <c r="H307" s="201"/>
      <c r="I307" s="260" t="s">
        <v>6</v>
      </c>
      <c r="J307" s="87"/>
      <c r="K307" s="87"/>
      <c r="L307" s="181" t="str">
        <f t="shared" ref="L307:L318" si="19">IF(OR(ISNUMBER(J307), ISNUMBER(K307)), J307+K307, "")</f>
        <v/>
      </c>
      <c r="M307" s="686" t="str">
        <f>IFERROR(IF(AND(ISNUMBER(Helper!AK115), ISNUMBER(Helper!AL115)), ROUND(Helper!AK115/Helper!AL115,0) &amp; ":" &amp; 1, ""),"")</f>
        <v/>
      </c>
      <c r="N307" s="686"/>
      <c r="O307" s="201"/>
      <c r="P307" s="258" t="s">
        <v>6</v>
      </c>
      <c r="Q307" s="242"/>
      <c r="R307" s="242"/>
      <c r="S307" s="181" t="str">
        <f t="shared" ref="S307:S318" si="20">IF(OR(ISNUMBER(Q307), ISNUMBER(R307)), Q307+R307, "")</f>
        <v/>
      </c>
      <c r="T307" s="686" t="str">
        <f>IFERROR(IF(AND(ISNUMBER(Helper!AY115), ISNUMBER(Helper!AZ115)), ROUND(Helper!AY115/Helper!AZ115,0) &amp; ":" &amp; 1, ""),"")</f>
        <v/>
      </c>
      <c r="U307" s="686"/>
      <c r="V307" s="201"/>
      <c r="W307" s="201"/>
      <c r="X307" s="201"/>
      <c r="Y307" s="201"/>
      <c r="Z307" s="201"/>
      <c r="AA307" s="201"/>
      <c r="AB307" s="201"/>
      <c r="AC307" s="201"/>
      <c r="AD307" s="201"/>
      <c r="AE307" s="201"/>
      <c r="AF307" s="201"/>
      <c r="AG307" s="201"/>
      <c r="AH307" s="201"/>
      <c r="AI307" s="201"/>
      <c r="AJ307" s="201"/>
      <c r="AK307" s="201"/>
      <c r="AL307" s="201"/>
      <c r="AM307" s="201"/>
      <c r="AN307" s="201"/>
      <c r="AO307" s="201"/>
      <c r="AP307" s="201"/>
      <c r="AQ307" s="201"/>
      <c r="AR307" s="201"/>
      <c r="AS307" s="201"/>
      <c r="AT307" s="201"/>
      <c r="AU307" s="201"/>
      <c r="AV307" s="201"/>
      <c r="AW307" s="201"/>
    </row>
    <row r="308" spans="1:49" s="134" customFormat="1" ht="17.25" customHeight="1">
      <c r="A308" s="201"/>
      <c r="B308" s="185" t="s">
        <v>7</v>
      </c>
      <c r="C308" s="87"/>
      <c r="D308" s="87"/>
      <c r="E308" s="181" t="str">
        <f t="shared" si="18"/>
        <v/>
      </c>
      <c r="F308" s="686" t="str">
        <f>IFERROR(IF(AND(ISNUMBER(Helper!B116), ISNUMBER(Helper!C116)), ROUND(Helper!B116/Helper!C116,0) &amp; ":" &amp; 1, ""),"")</f>
        <v/>
      </c>
      <c r="G308" s="686"/>
      <c r="H308" s="201"/>
      <c r="I308" s="260" t="s">
        <v>7</v>
      </c>
      <c r="J308" s="87"/>
      <c r="K308" s="87"/>
      <c r="L308" s="181" t="str">
        <f t="shared" si="19"/>
        <v/>
      </c>
      <c r="M308" s="686" t="str">
        <f>IFERROR(IF(AND(ISNUMBER(Helper!AK116), ISNUMBER(Helper!AL116)), ROUND(Helper!AK116/Helper!AL116,0) &amp; ":" &amp; 1, ""),"")</f>
        <v/>
      </c>
      <c r="N308" s="686"/>
      <c r="O308" s="201"/>
      <c r="P308" s="258" t="s">
        <v>7</v>
      </c>
      <c r="Q308" s="242"/>
      <c r="R308" s="242"/>
      <c r="S308" s="181" t="str">
        <f t="shared" si="20"/>
        <v/>
      </c>
      <c r="T308" s="686" t="str">
        <f>IFERROR(IF(AND(ISNUMBER(Helper!AY116), ISNUMBER(Helper!AZ116)), ROUND(Helper!AY116/Helper!AZ116,0) &amp; ":" &amp; 1, ""),"")</f>
        <v/>
      </c>
      <c r="U308" s="686"/>
      <c r="V308" s="201"/>
      <c r="W308" s="201"/>
      <c r="X308" s="201"/>
      <c r="Y308" s="201"/>
      <c r="Z308" s="201"/>
      <c r="AA308" s="201"/>
      <c r="AB308" s="201"/>
      <c r="AC308" s="201"/>
      <c r="AD308" s="201"/>
      <c r="AE308" s="201"/>
      <c r="AF308" s="201"/>
      <c r="AG308" s="201"/>
      <c r="AH308" s="201"/>
      <c r="AI308" s="201"/>
      <c r="AJ308" s="201"/>
      <c r="AK308" s="201"/>
      <c r="AL308" s="201"/>
      <c r="AM308" s="201"/>
      <c r="AN308" s="201"/>
      <c r="AO308" s="201"/>
      <c r="AP308" s="201"/>
      <c r="AQ308" s="201"/>
      <c r="AR308" s="201"/>
      <c r="AS308" s="201"/>
      <c r="AT308" s="201"/>
      <c r="AU308" s="201"/>
      <c r="AV308" s="201"/>
      <c r="AW308" s="201"/>
    </row>
    <row r="309" spans="1:49" s="134" customFormat="1" ht="17.25" customHeight="1">
      <c r="A309" s="201"/>
      <c r="B309" s="185" t="s">
        <v>8</v>
      </c>
      <c r="C309" s="87"/>
      <c r="D309" s="87"/>
      <c r="E309" s="181" t="str">
        <f t="shared" si="18"/>
        <v/>
      </c>
      <c r="F309" s="686" t="str">
        <f>IFERROR(IF(AND(ISNUMBER(Helper!B117), ISNUMBER(Helper!C117)), ROUND(Helper!B117/Helper!C117,0) &amp; ":" &amp; 1, ""),"")</f>
        <v/>
      </c>
      <c r="G309" s="686"/>
      <c r="H309" s="201"/>
      <c r="I309" s="260" t="s">
        <v>8</v>
      </c>
      <c r="J309" s="87"/>
      <c r="K309" s="87"/>
      <c r="L309" s="181" t="str">
        <f t="shared" si="19"/>
        <v/>
      </c>
      <c r="M309" s="686" t="str">
        <f>IFERROR(IF(AND(ISNUMBER(Helper!AK117), ISNUMBER(Helper!AL117)), ROUND(Helper!AK117/Helper!AL117,0) &amp; ":" &amp; 1, ""),"")</f>
        <v/>
      </c>
      <c r="N309" s="686"/>
      <c r="O309" s="201"/>
      <c r="P309" s="258" t="s">
        <v>8</v>
      </c>
      <c r="Q309" s="242"/>
      <c r="R309" s="242"/>
      <c r="S309" s="181" t="str">
        <f t="shared" si="20"/>
        <v/>
      </c>
      <c r="T309" s="686" t="str">
        <f>IFERROR(IF(AND(ISNUMBER(Helper!AY117), ISNUMBER(Helper!AZ117)), ROUND(Helper!AY117/Helper!AZ117,0) &amp; ":" &amp; 1, ""),"")</f>
        <v/>
      </c>
      <c r="U309" s="686"/>
      <c r="V309" s="201"/>
      <c r="W309" s="201"/>
      <c r="X309" s="201"/>
      <c r="Y309" s="201"/>
      <c r="Z309" s="201"/>
      <c r="AA309" s="201"/>
      <c r="AB309" s="201"/>
      <c r="AC309" s="201"/>
      <c r="AD309" s="201"/>
      <c r="AE309" s="201"/>
      <c r="AF309" s="201"/>
      <c r="AG309" s="201"/>
      <c r="AH309" s="201"/>
      <c r="AI309" s="201"/>
      <c r="AJ309" s="201"/>
      <c r="AK309" s="201"/>
      <c r="AL309" s="201"/>
      <c r="AM309" s="201"/>
      <c r="AN309" s="201"/>
      <c r="AO309" s="201"/>
      <c r="AP309" s="201"/>
      <c r="AQ309" s="201"/>
      <c r="AR309" s="201"/>
      <c r="AS309" s="201"/>
      <c r="AT309" s="201"/>
      <c r="AU309" s="201"/>
      <c r="AV309" s="201"/>
      <c r="AW309" s="201"/>
    </row>
    <row r="310" spans="1:49" s="134" customFormat="1" ht="17.25" customHeight="1">
      <c r="A310" s="201"/>
      <c r="B310" s="185" t="s">
        <v>9</v>
      </c>
      <c r="C310" s="87"/>
      <c r="D310" s="87"/>
      <c r="E310" s="181" t="str">
        <f t="shared" si="18"/>
        <v/>
      </c>
      <c r="F310" s="686" t="str">
        <f>IFERROR(IF(AND(ISNUMBER(Helper!B118), ISNUMBER(Helper!C118)), ROUND(Helper!B118/Helper!C118,0) &amp; ":" &amp; 1, ""),"")</f>
        <v/>
      </c>
      <c r="G310" s="686"/>
      <c r="H310" s="201"/>
      <c r="I310" s="260" t="s">
        <v>9</v>
      </c>
      <c r="J310" s="87"/>
      <c r="K310" s="87"/>
      <c r="L310" s="181" t="str">
        <f t="shared" si="19"/>
        <v/>
      </c>
      <c r="M310" s="686" t="str">
        <f>IFERROR(IF(AND(ISNUMBER(Helper!AK118), ISNUMBER(Helper!AL118)), ROUND(Helper!AK118/Helper!AL118,0) &amp; ":" &amp; 1, ""),"")</f>
        <v/>
      </c>
      <c r="N310" s="686"/>
      <c r="O310" s="201"/>
      <c r="P310" s="258" t="s">
        <v>9</v>
      </c>
      <c r="Q310" s="242"/>
      <c r="R310" s="242"/>
      <c r="S310" s="181" t="str">
        <f t="shared" si="20"/>
        <v/>
      </c>
      <c r="T310" s="686" t="str">
        <f>IFERROR(IF(AND(ISNUMBER(Helper!AY118), ISNUMBER(Helper!AZ118)), ROUND(Helper!AY118/Helper!AZ118,0) &amp; ":" &amp; 1, ""),"")</f>
        <v/>
      </c>
      <c r="U310" s="686"/>
      <c r="V310" s="201"/>
      <c r="W310" s="201"/>
      <c r="X310" s="201"/>
      <c r="Y310" s="201"/>
      <c r="Z310" s="201"/>
      <c r="AA310" s="201"/>
      <c r="AB310" s="201"/>
      <c r="AC310" s="201"/>
      <c r="AD310" s="201"/>
      <c r="AE310" s="201"/>
      <c r="AF310" s="201"/>
      <c r="AG310" s="201"/>
      <c r="AH310" s="201"/>
      <c r="AI310" s="201"/>
      <c r="AJ310" s="201"/>
      <c r="AK310" s="201"/>
      <c r="AL310" s="201"/>
      <c r="AM310" s="201"/>
      <c r="AN310" s="201"/>
      <c r="AO310" s="201"/>
      <c r="AP310" s="201"/>
      <c r="AQ310" s="201"/>
      <c r="AR310" s="201"/>
      <c r="AS310" s="201"/>
      <c r="AT310" s="201"/>
      <c r="AU310" s="201"/>
      <c r="AV310" s="201"/>
      <c r="AW310" s="201"/>
    </row>
    <row r="311" spans="1:49" s="134" customFormat="1" ht="17.25" customHeight="1">
      <c r="A311" s="201"/>
      <c r="B311" s="185" t="s">
        <v>10</v>
      </c>
      <c r="C311" s="87"/>
      <c r="D311" s="87"/>
      <c r="E311" s="181" t="str">
        <f t="shared" si="18"/>
        <v/>
      </c>
      <c r="F311" s="686" t="str">
        <f>IFERROR(IF(AND(ISNUMBER(Helper!B119), ISNUMBER(Helper!C119)), ROUND(Helper!B119/Helper!C119,0) &amp; ":" &amp; 1, ""),"")</f>
        <v/>
      </c>
      <c r="G311" s="686"/>
      <c r="H311" s="201"/>
      <c r="I311" s="260" t="s">
        <v>10</v>
      </c>
      <c r="J311" s="87"/>
      <c r="K311" s="87"/>
      <c r="L311" s="181" t="str">
        <f t="shared" si="19"/>
        <v/>
      </c>
      <c r="M311" s="686" t="str">
        <f>IFERROR(IF(AND(ISNUMBER(Helper!AK119), ISNUMBER(Helper!AL119)), ROUND(Helper!AK119/Helper!AL119,0) &amp; ":" &amp; 1, ""),"")</f>
        <v/>
      </c>
      <c r="N311" s="686"/>
      <c r="O311" s="201"/>
      <c r="P311" s="258" t="s">
        <v>10</v>
      </c>
      <c r="Q311" s="242"/>
      <c r="R311" s="242"/>
      <c r="S311" s="181" t="str">
        <f t="shared" si="20"/>
        <v/>
      </c>
      <c r="T311" s="686" t="str">
        <f>IFERROR(IF(AND(ISNUMBER(Helper!AY119), ISNUMBER(Helper!AZ119)), ROUND(Helper!AY119/Helper!AZ119,0) &amp; ":" &amp; 1, ""),"")</f>
        <v/>
      </c>
      <c r="U311" s="686"/>
      <c r="V311" s="201"/>
      <c r="W311" s="201"/>
      <c r="X311" s="201"/>
      <c r="Y311" s="201"/>
      <c r="Z311" s="201"/>
      <c r="AA311" s="201"/>
      <c r="AB311" s="201"/>
      <c r="AC311" s="201"/>
      <c r="AD311" s="201"/>
      <c r="AE311" s="201"/>
      <c r="AF311" s="201"/>
      <c r="AG311" s="201"/>
      <c r="AH311" s="201"/>
      <c r="AI311" s="201"/>
      <c r="AJ311" s="201"/>
      <c r="AK311" s="201"/>
      <c r="AL311" s="201"/>
      <c r="AM311" s="201"/>
      <c r="AN311" s="201"/>
      <c r="AO311" s="201"/>
      <c r="AP311" s="201"/>
      <c r="AQ311" s="201"/>
      <c r="AR311" s="201"/>
      <c r="AS311" s="201"/>
      <c r="AT311" s="201"/>
      <c r="AU311" s="201"/>
      <c r="AV311" s="201"/>
      <c r="AW311" s="201"/>
    </row>
    <row r="312" spans="1:49" s="134" customFormat="1" ht="17.25" customHeight="1">
      <c r="A312" s="201"/>
      <c r="B312" s="185" t="s">
        <v>11</v>
      </c>
      <c r="C312" s="87"/>
      <c r="D312" s="87"/>
      <c r="E312" s="181" t="str">
        <f t="shared" si="18"/>
        <v/>
      </c>
      <c r="F312" s="686" t="str">
        <f>IFERROR(IF(AND(ISNUMBER(Helper!B120), ISNUMBER(Helper!C120)), ROUND(Helper!B120/Helper!C120,0) &amp; ":" &amp; 1, ""),"")</f>
        <v/>
      </c>
      <c r="G312" s="686"/>
      <c r="H312" s="201"/>
      <c r="I312" s="260" t="s">
        <v>11</v>
      </c>
      <c r="J312" s="87"/>
      <c r="K312" s="87"/>
      <c r="L312" s="181" t="str">
        <f t="shared" si="19"/>
        <v/>
      </c>
      <c r="M312" s="686" t="str">
        <f>IFERROR(IF(AND(ISNUMBER(Helper!AK120), ISNUMBER(Helper!AL120)), ROUND(Helper!AK120/Helper!AL120,0) &amp; ":" &amp; 1, ""),"")</f>
        <v/>
      </c>
      <c r="N312" s="686"/>
      <c r="O312" s="201"/>
      <c r="P312" s="258" t="s">
        <v>11</v>
      </c>
      <c r="Q312" s="242"/>
      <c r="R312" s="242"/>
      <c r="S312" s="181" t="str">
        <f t="shared" si="20"/>
        <v/>
      </c>
      <c r="T312" s="686" t="str">
        <f>IFERROR(IF(AND(ISNUMBER(Helper!AY120), ISNUMBER(Helper!AZ120)), ROUND(Helper!AY120/Helper!AZ120,0) &amp; ":" &amp; 1, ""),"")</f>
        <v/>
      </c>
      <c r="U312" s="686"/>
      <c r="V312" s="201"/>
      <c r="W312" s="201"/>
      <c r="X312" s="201"/>
      <c r="Y312" s="201"/>
      <c r="Z312" s="201"/>
      <c r="AA312" s="201"/>
      <c r="AB312" s="201"/>
      <c r="AC312" s="201"/>
      <c r="AD312" s="201"/>
      <c r="AE312" s="201"/>
      <c r="AF312" s="201"/>
      <c r="AG312" s="201"/>
      <c r="AH312" s="201"/>
      <c r="AI312" s="201"/>
      <c r="AJ312" s="201"/>
      <c r="AK312" s="201"/>
      <c r="AL312" s="201"/>
      <c r="AM312" s="201"/>
      <c r="AN312" s="201"/>
      <c r="AO312" s="201"/>
      <c r="AP312" s="201"/>
      <c r="AQ312" s="201"/>
      <c r="AR312" s="201"/>
      <c r="AS312" s="201"/>
      <c r="AT312" s="201"/>
      <c r="AU312" s="201"/>
      <c r="AV312" s="201"/>
      <c r="AW312" s="201"/>
    </row>
    <row r="313" spans="1:49" s="134" customFormat="1" ht="17.25" customHeight="1">
      <c r="A313" s="201"/>
      <c r="B313" s="185" t="s">
        <v>12</v>
      </c>
      <c r="C313" s="87">
        <v>0</v>
      </c>
      <c r="D313" s="87">
        <v>9</v>
      </c>
      <c r="E313" s="181">
        <f t="shared" si="18"/>
        <v>9</v>
      </c>
      <c r="F313" s="686" t="str">
        <f>IFERROR(IF(AND(ISNUMBER(Helper!B121), ISNUMBER(Helper!C121)), ROUND(Helper!B121/Helper!C121,0) &amp; ":" &amp; 1, ""),"")</f>
        <v>40:1</v>
      </c>
      <c r="G313" s="686"/>
      <c r="H313" s="201"/>
      <c r="I313" s="260" t="s">
        <v>12</v>
      </c>
      <c r="J313" s="87"/>
      <c r="K313" s="87"/>
      <c r="L313" s="181" t="str">
        <f t="shared" si="19"/>
        <v/>
      </c>
      <c r="M313" s="686" t="str">
        <f>IFERROR(IF(AND(ISNUMBER(Helper!AK121), ISNUMBER(Helper!AL121)), ROUND(Helper!AK121/Helper!AL121,0) &amp; ":" &amp; 1, ""),"")</f>
        <v/>
      </c>
      <c r="N313" s="686"/>
      <c r="O313" s="201"/>
      <c r="P313" s="258" t="s">
        <v>12</v>
      </c>
      <c r="Q313" s="242"/>
      <c r="R313" s="242"/>
      <c r="S313" s="181" t="str">
        <f t="shared" si="20"/>
        <v/>
      </c>
      <c r="T313" s="686" t="str">
        <f>IFERROR(IF(AND(ISNUMBER(Helper!AY121), ISNUMBER(Helper!AZ121)), ROUND(Helper!AY121/Helper!AZ121,0) &amp; ":" &amp; 1, ""),"")</f>
        <v/>
      </c>
      <c r="U313" s="686"/>
      <c r="V313" s="201"/>
      <c r="W313" s="201"/>
      <c r="X313" s="201"/>
      <c r="Y313" s="201"/>
      <c r="Z313" s="201"/>
      <c r="AA313" s="201"/>
      <c r="AB313" s="201"/>
      <c r="AC313" s="201"/>
      <c r="AD313" s="201"/>
      <c r="AE313" s="201"/>
      <c r="AF313" s="201"/>
      <c r="AG313" s="201"/>
      <c r="AH313" s="201"/>
      <c r="AI313" s="201"/>
      <c r="AJ313" s="201"/>
      <c r="AK313" s="201"/>
      <c r="AL313" s="201"/>
      <c r="AM313" s="201"/>
      <c r="AN313" s="201"/>
      <c r="AO313" s="201"/>
      <c r="AP313" s="201"/>
      <c r="AQ313" s="201"/>
      <c r="AR313" s="201"/>
      <c r="AS313" s="201"/>
      <c r="AT313" s="201"/>
      <c r="AU313" s="201"/>
      <c r="AV313" s="201"/>
      <c r="AW313" s="201"/>
    </row>
    <row r="314" spans="1:49" s="134" customFormat="1" ht="17.25" customHeight="1">
      <c r="A314" s="201"/>
      <c r="B314" s="185" t="s">
        <v>13</v>
      </c>
      <c r="C314" s="87">
        <v>5</v>
      </c>
      <c r="D314" s="87">
        <v>5</v>
      </c>
      <c r="E314" s="181">
        <f t="shared" si="18"/>
        <v>10</v>
      </c>
      <c r="F314" s="686" t="str">
        <f>IFERROR(IF(AND(ISNUMBER(Helper!B122), ISNUMBER(Helper!C122)), ROUND(Helper!B122/Helper!C122,0) &amp; ":" &amp; 1, ""),"")</f>
        <v>31:1</v>
      </c>
      <c r="G314" s="686"/>
      <c r="H314" s="201"/>
      <c r="I314" s="260" t="s">
        <v>13</v>
      </c>
      <c r="J314" s="87"/>
      <c r="K314" s="87"/>
      <c r="L314" s="181" t="str">
        <f t="shared" si="19"/>
        <v/>
      </c>
      <c r="M314" s="686" t="str">
        <f>IFERROR(IF(AND(ISNUMBER(Helper!AK122), ISNUMBER(Helper!AL122)), ROUND(Helper!AK122/Helper!AL122,0) &amp; ":" &amp; 1, ""),"")</f>
        <v/>
      </c>
      <c r="N314" s="686"/>
      <c r="O314" s="201"/>
      <c r="P314" s="258" t="s">
        <v>13</v>
      </c>
      <c r="Q314" s="242"/>
      <c r="R314" s="242"/>
      <c r="S314" s="181" t="str">
        <f t="shared" si="20"/>
        <v/>
      </c>
      <c r="T314" s="686" t="str">
        <f>IFERROR(IF(AND(ISNUMBER(Helper!AY122), ISNUMBER(Helper!AZ122)), ROUND(Helper!AY122/Helper!AZ122,0) &amp; ":" &amp; 1, ""),"")</f>
        <v/>
      </c>
      <c r="U314" s="686"/>
      <c r="V314" s="201"/>
      <c r="W314" s="201"/>
      <c r="X314" s="201"/>
      <c r="Y314" s="201"/>
      <c r="Z314" s="201"/>
      <c r="AA314" s="201"/>
      <c r="AB314" s="201"/>
      <c r="AC314" s="201"/>
      <c r="AD314" s="201"/>
      <c r="AE314" s="201"/>
      <c r="AF314" s="201"/>
      <c r="AG314" s="201"/>
      <c r="AH314" s="201"/>
      <c r="AI314" s="201"/>
      <c r="AJ314" s="201"/>
      <c r="AK314" s="201"/>
      <c r="AL314" s="201"/>
      <c r="AM314" s="201"/>
      <c r="AN314" s="201"/>
      <c r="AO314" s="201"/>
      <c r="AP314" s="201"/>
      <c r="AQ314" s="201"/>
      <c r="AR314" s="201"/>
      <c r="AS314" s="201"/>
      <c r="AT314" s="201"/>
      <c r="AU314" s="201"/>
      <c r="AV314" s="201"/>
      <c r="AW314" s="201"/>
    </row>
    <row r="315" spans="1:49" s="134" customFormat="1" ht="17.25" customHeight="1">
      <c r="A315" s="201"/>
      <c r="B315" s="185" t="s">
        <v>14</v>
      </c>
      <c r="C315" s="87">
        <v>2</v>
      </c>
      <c r="D315" s="87">
        <v>9</v>
      </c>
      <c r="E315" s="181">
        <f t="shared" si="18"/>
        <v>11</v>
      </c>
      <c r="F315" s="686" t="str">
        <f>IFERROR(IF(AND(ISNUMBER(Helper!B123), ISNUMBER(Helper!C123)), ROUND(Helper!B123/Helper!C123,0) &amp; ":" &amp; 1, ""),"")</f>
        <v>22:1</v>
      </c>
      <c r="G315" s="686"/>
      <c r="H315" s="201"/>
      <c r="I315" s="260" t="s">
        <v>14</v>
      </c>
      <c r="J315" s="87"/>
      <c r="K315" s="87"/>
      <c r="L315" s="181" t="str">
        <f t="shared" si="19"/>
        <v/>
      </c>
      <c r="M315" s="686" t="str">
        <f>IFERROR(IF(AND(ISNUMBER(Helper!AK123), ISNUMBER(Helper!AL123)), ROUND(Helper!AK123/Helper!AL123,0) &amp; ":" &amp; 1, ""),"")</f>
        <v/>
      </c>
      <c r="N315" s="686"/>
      <c r="O315" s="201"/>
      <c r="P315" s="258" t="s">
        <v>14</v>
      </c>
      <c r="Q315" s="242"/>
      <c r="R315" s="242"/>
      <c r="S315" s="181" t="str">
        <f t="shared" si="20"/>
        <v/>
      </c>
      <c r="T315" s="686" t="str">
        <f>IFERROR(IF(AND(ISNUMBER(Helper!AY123), ISNUMBER(Helper!AZ123)), ROUND(Helper!AY123/Helper!AZ123,0) &amp; ":" &amp; 1, ""),"")</f>
        <v/>
      </c>
      <c r="U315" s="686"/>
      <c r="V315" s="201"/>
      <c r="W315" s="201"/>
      <c r="X315" s="201"/>
      <c r="Y315" s="201"/>
      <c r="Z315" s="201"/>
      <c r="AA315" s="201"/>
      <c r="AB315" s="201"/>
      <c r="AC315" s="201"/>
      <c r="AD315" s="201"/>
      <c r="AE315" s="201"/>
      <c r="AF315" s="201"/>
      <c r="AG315" s="201"/>
      <c r="AH315" s="201"/>
      <c r="AI315" s="201"/>
      <c r="AJ315" s="201"/>
      <c r="AK315" s="201"/>
      <c r="AL315" s="201"/>
      <c r="AM315" s="201"/>
      <c r="AN315" s="201"/>
      <c r="AO315" s="201"/>
      <c r="AP315" s="201"/>
      <c r="AQ315" s="201"/>
      <c r="AR315" s="201"/>
      <c r="AS315" s="201"/>
      <c r="AT315" s="201"/>
      <c r="AU315" s="201"/>
      <c r="AV315" s="201"/>
      <c r="AW315" s="201"/>
    </row>
    <row r="316" spans="1:49" s="134" customFormat="1" ht="17.25" customHeight="1">
      <c r="A316" s="201"/>
      <c r="B316" s="260" t="s">
        <v>15</v>
      </c>
      <c r="C316" s="87">
        <v>5</v>
      </c>
      <c r="D316" s="87">
        <v>8</v>
      </c>
      <c r="E316" s="181">
        <f t="shared" si="18"/>
        <v>13</v>
      </c>
      <c r="F316" s="686" t="str">
        <f>IFERROR(IF(AND(ISNUMBER(Helper!B124), ISNUMBER(Helper!C124)), ROUND(Helper!B124/Helper!C124,0) &amp; ":" &amp; 1, ""),"")</f>
        <v>17:1</v>
      </c>
      <c r="G316" s="686"/>
      <c r="H316" s="201"/>
      <c r="I316" s="260" t="s">
        <v>15</v>
      </c>
      <c r="J316" s="87"/>
      <c r="K316" s="87"/>
      <c r="L316" s="181" t="str">
        <f t="shared" si="19"/>
        <v/>
      </c>
      <c r="M316" s="686" t="str">
        <f>IFERROR(IF(AND(ISNUMBER(Helper!AK124), ISNUMBER(Helper!AL124)), ROUND(Helper!AK124/Helper!AL124,0) &amp; ":" &amp; 1, ""),"")</f>
        <v/>
      </c>
      <c r="N316" s="686"/>
      <c r="O316" s="201"/>
      <c r="P316" s="258" t="s">
        <v>15</v>
      </c>
      <c r="Q316" s="242"/>
      <c r="R316" s="242"/>
      <c r="S316" s="181" t="str">
        <f t="shared" si="20"/>
        <v/>
      </c>
      <c r="T316" s="686" t="str">
        <f>IFERROR(IF(AND(ISNUMBER(Helper!AY124), ISNUMBER(Helper!AZ124)), ROUND(Helper!AY124/Helper!AZ124,0) &amp; ":" &amp; 1, ""),"")</f>
        <v/>
      </c>
      <c r="U316" s="686"/>
      <c r="V316" s="201"/>
      <c r="W316" s="201"/>
      <c r="X316" s="201"/>
      <c r="Y316" s="201"/>
      <c r="Z316" s="201"/>
      <c r="AA316" s="201"/>
      <c r="AB316" s="201"/>
      <c r="AC316" s="201"/>
      <c r="AD316" s="201"/>
      <c r="AE316" s="201"/>
      <c r="AF316" s="201"/>
      <c r="AG316" s="201"/>
      <c r="AH316" s="201"/>
      <c r="AI316" s="201"/>
      <c r="AJ316" s="201"/>
      <c r="AK316" s="201"/>
      <c r="AL316" s="201"/>
      <c r="AM316" s="201"/>
      <c r="AN316" s="201"/>
      <c r="AO316" s="201"/>
      <c r="AP316" s="201"/>
      <c r="AQ316" s="201"/>
      <c r="AR316" s="201"/>
      <c r="AS316" s="201"/>
      <c r="AT316" s="201"/>
      <c r="AU316" s="201"/>
      <c r="AV316" s="201"/>
      <c r="AW316" s="201"/>
    </row>
    <row r="317" spans="1:49" s="134" customFormat="1" ht="17.25" customHeight="1">
      <c r="A317" s="201"/>
      <c r="B317" s="260" t="s">
        <v>16</v>
      </c>
      <c r="C317" s="87">
        <v>4</v>
      </c>
      <c r="D317" s="87">
        <v>2</v>
      </c>
      <c r="E317" s="181">
        <f t="shared" si="18"/>
        <v>6</v>
      </c>
      <c r="F317" s="686" t="str">
        <f>IFERROR(IF(AND(ISNUMBER(Helper!B125), ISNUMBER(Helper!C125)), ROUND(Helper!B125/Helper!C125,0) &amp; ":" &amp; 1, ""),"")</f>
        <v>35:1</v>
      </c>
      <c r="G317" s="686"/>
      <c r="H317" s="201"/>
      <c r="I317" s="260" t="s">
        <v>16</v>
      </c>
      <c r="J317" s="87"/>
      <c r="K317" s="87"/>
      <c r="L317" s="181" t="str">
        <f t="shared" si="19"/>
        <v/>
      </c>
      <c r="M317" s="686" t="str">
        <f>IFERROR(IF(AND(ISNUMBER(Helper!AK125), ISNUMBER(Helper!AL125)), ROUND(Helper!AK125/Helper!AL125,0) &amp; ":" &amp; 1, ""),"")</f>
        <v/>
      </c>
      <c r="N317" s="686"/>
      <c r="O317" s="201"/>
      <c r="P317" s="258" t="s">
        <v>16</v>
      </c>
      <c r="Q317" s="242"/>
      <c r="R317" s="242"/>
      <c r="S317" s="181" t="str">
        <f t="shared" si="20"/>
        <v/>
      </c>
      <c r="T317" s="686" t="str">
        <f>IFERROR(IF(AND(ISNUMBER(Helper!AY125), ISNUMBER(Helper!AZ125)), ROUND(Helper!AY125/Helper!AZ125,0) &amp; ":" &amp; 1, ""),"")</f>
        <v/>
      </c>
      <c r="U317" s="686"/>
      <c r="V317" s="201"/>
      <c r="W317" s="201"/>
      <c r="X317" s="201"/>
      <c r="Y317" s="201"/>
      <c r="Z317" s="201"/>
      <c r="AA317" s="201"/>
      <c r="AB317" s="201"/>
      <c r="AC317" s="201"/>
      <c r="AD317" s="201"/>
      <c r="AE317" s="201"/>
      <c r="AF317" s="201"/>
      <c r="AG317" s="201"/>
      <c r="AH317" s="201"/>
      <c r="AI317" s="201"/>
      <c r="AJ317" s="201"/>
      <c r="AK317" s="201"/>
      <c r="AL317" s="201"/>
      <c r="AM317" s="201"/>
      <c r="AN317" s="201"/>
      <c r="AO317" s="201"/>
      <c r="AP317" s="201"/>
      <c r="AQ317" s="201"/>
      <c r="AR317" s="201"/>
      <c r="AS317" s="201"/>
      <c r="AT317" s="201"/>
      <c r="AU317" s="201"/>
      <c r="AV317" s="201"/>
      <c r="AW317" s="201"/>
    </row>
    <row r="318" spans="1:49" s="134" customFormat="1" ht="17.25" customHeight="1">
      <c r="A318" s="201"/>
      <c r="B318" s="260" t="s">
        <v>17</v>
      </c>
      <c r="C318" s="87">
        <v>5</v>
      </c>
      <c r="D318" s="87">
        <v>3</v>
      </c>
      <c r="E318" s="181">
        <f t="shared" si="18"/>
        <v>8</v>
      </c>
      <c r="F318" s="686" t="str">
        <f>IFERROR(IF(AND(ISNUMBER(Helper!B126), ISNUMBER(Helper!C126)), ROUND(Helper!B126/Helper!C126,0) &amp; ":" &amp; 1, ""),"")</f>
        <v>20:1</v>
      </c>
      <c r="G318" s="686"/>
      <c r="H318" s="201"/>
      <c r="I318" s="260" t="s">
        <v>17</v>
      </c>
      <c r="J318" s="87"/>
      <c r="K318" s="87"/>
      <c r="L318" s="181" t="str">
        <f t="shared" si="19"/>
        <v/>
      </c>
      <c r="M318" s="686" t="str">
        <f>IFERROR(IF(AND(ISNUMBER(Helper!AK126), ISNUMBER(Helper!AL126)), ROUND(Helper!AK126/Helper!AL126,0) &amp; ":" &amp; 1, ""),"")</f>
        <v/>
      </c>
      <c r="N318" s="686"/>
      <c r="O318" s="201"/>
      <c r="P318" s="258" t="s">
        <v>17</v>
      </c>
      <c r="Q318" s="242"/>
      <c r="R318" s="242"/>
      <c r="S318" s="181" t="str">
        <f t="shared" si="20"/>
        <v/>
      </c>
      <c r="T318" s="686" t="str">
        <f>IFERROR(IF(AND(ISNUMBER(Helper!AY126), ISNUMBER(Helper!AZ126)), ROUND(Helper!AY126/Helper!AZ126,0) &amp; ":" &amp; 1, ""),"")</f>
        <v/>
      </c>
      <c r="U318" s="686"/>
      <c r="V318" s="201"/>
      <c r="W318" s="201"/>
      <c r="X318" s="201"/>
      <c r="Y318" s="201"/>
      <c r="Z318" s="201"/>
      <c r="AA318" s="201"/>
      <c r="AB318" s="201"/>
      <c r="AC318" s="201"/>
      <c r="AD318" s="201"/>
      <c r="AE318" s="201"/>
      <c r="AF318" s="201"/>
      <c r="AG318" s="201"/>
      <c r="AH318" s="201"/>
      <c r="AI318" s="201"/>
      <c r="AJ318" s="201"/>
      <c r="AK318" s="201"/>
      <c r="AL318" s="201"/>
      <c r="AM318" s="201"/>
      <c r="AN318" s="201"/>
      <c r="AO318" s="201"/>
      <c r="AP318" s="201"/>
      <c r="AQ318" s="201"/>
      <c r="AR318" s="201"/>
      <c r="AS318" s="201"/>
      <c r="AT318" s="201"/>
      <c r="AU318" s="201"/>
      <c r="AV318" s="201"/>
      <c r="AW318" s="201"/>
    </row>
    <row r="319" spans="1:49" s="134" customFormat="1" ht="17.25" hidden="1" customHeight="1">
      <c r="A319" s="201"/>
      <c r="B319" s="170"/>
      <c r="C319" s="172"/>
      <c r="D319" s="173"/>
      <c r="E319" s="173"/>
      <c r="F319" s="173"/>
      <c r="G319" s="173"/>
      <c r="H319" s="173"/>
      <c r="I319" s="173"/>
      <c r="J319" s="173"/>
      <c r="K319" s="170"/>
      <c r="L319" s="173"/>
      <c r="M319" s="173"/>
      <c r="O319" s="201"/>
      <c r="P319" s="258" t="s">
        <v>525</v>
      </c>
      <c r="Q319" s="255"/>
      <c r="R319" s="255"/>
      <c r="S319" s="181" t="str">
        <f t="shared" ref="S319:S349" si="21">IF(OR(ISNUMBER(Q319), ISNUMBER(R319)), Q319+R319, "")</f>
        <v/>
      </c>
      <c r="T319" s="686" t="str">
        <f>IFERROR(IF(AND(ISNUMBER(Helper!AY127), ISNUMBER(Helper!AZ127)), ROUND(Helper!AY127/Helper!AZ127,0) &amp; ":" &amp; 1, ""),"")</f>
        <v/>
      </c>
      <c r="U319" s="686"/>
      <c r="V319" s="201"/>
      <c r="W319" s="201"/>
      <c r="X319" s="201"/>
      <c r="Y319" s="201"/>
      <c r="Z319" s="201"/>
      <c r="AA319" s="201"/>
      <c r="AB319" s="201"/>
      <c r="AC319" s="201"/>
      <c r="AD319" s="201"/>
      <c r="AE319" s="201"/>
      <c r="AF319" s="201"/>
      <c r="AG319" s="201"/>
      <c r="AH319" s="201"/>
      <c r="AI319" s="201"/>
      <c r="AJ319" s="201"/>
      <c r="AK319" s="201"/>
      <c r="AL319" s="201"/>
      <c r="AM319" s="201"/>
      <c r="AN319" s="201"/>
      <c r="AO319" s="201"/>
      <c r="AP319" s="201"/>
      <c r="AQ319" s="201"/>
      <c r="AR319" s="201"/>
      <c r="AS319" s="201"/>
      <c r="AT319" s="201"/>
      <c r="AU319" s="201"/>
      <c r="AV319" s="201"/>
      <c r="AW319" s="201"/>
    </row>
    <row r="320" spans="1:49" s="134" customFormat="1" ht="7.5" hidden="1" customHeight="1">
      <c r="A320" s="201"/>
      <c r="B320" s="170"/>
      <c r="C320" s="170"/>
      <c r="D320" s="173"/>
      <c r="E320" s="173"/>
      <c r="F320" s="173"/>
      <c r="G320" s="173"/>
      <c r="H320" s="173"/>
      <c r="I320" s="173"/>
      <c r="J320" s="173"/>
      <c r="K320" s="170"/>
      <c r="L320" s="173"/>
      <c r="M320" s="173"/>
      <c r="O320" s="201"/>
      <c r="P320" s="258" t="s">
        <v>529</v>
      </c>
      <c r="Q320" s="255"/>
      <c r="R320" s="255"/>
      <c r="S320" s="181" t="str">
        <f t="shared" si="21"/>
        <v/>
      </c>
      <c r="T320" s="686" t="str">
        <f>IFERROR(IF(AND(ISNUMBER(Helper!AY128), ISNUMBER(Helper!AZ128)), ROUND(Helper!AY128/Helper!AZ128,0) &amp; ":" &amp; 1, ""),"")</f>
        <v/>
      </c>
      <c r="U320" s="686"/>
      <c r="V320" s="201"/>
      <c r="W320" s="201"/>
      <c r="X320" s="201"/>
      <c r="Y320" s="201"/>
      <c r="Z320" s="201"/>
      <c r="AA320" s="201"/>
      <c r="AB320" s="201"/>
      <c r="AC320" s="201"/>
      <c r="AD320" s="201"/>
      <c r="AE320" s="201"/>
      <c r="AF320" s="201"/>
      <c r="AG320" s="201"/>
      <c r="AH320" s="201"/>
      <c r="AI320" s="201"/>
      <c r="AJ320" s="201"/>
      <c r="AK320" s="201"/>
      <c r="AL320" s="201"/>
      <c r="AM320" s="201"/>
      <c r="AN320" s="201"/>
      <c r="AO320" s="201"/>
      <c r="AP320" s="201"/>
      <c r="AQ320" s="201"/>
      <c r="AR320" s="201"/>
      <c r="AS320" s="201"/>
      <c r="AT320" s="201"/>
      <c r="AU320" s="201"/>
      <c r="AV320" s="201"/>
      <c r="AW320" s="201"/>
    </row>
    <row r="321" spans="1:49" s="137" customFormat="1" ht="17.25" hidden="1" customHeight="1">
      <c r="A321" s="202"/>
      <c r="C321" s="174"/>
      <c r="O321" s="202"/>
      <c r="P321" s="258" t="s">
        <v>530</v>
      </c>
      <c r="Q321" s="255"/>
      <c r="R321" s="255"/>
      <c r="S321" s="181" t="str">
        <f t="shared" si="21"/>
        <v/>
      </c>
      <c r="T321" s="686" t="str">
        <f>IFERROR(IF(AND(ISNUMBER(Helper!AY129), ISNUMBER(Helper!AZ129)), ROUND(Helper!AY129/Helper!AZ129,0) &amp; ":" &amp; 1, ""),"")</f>
        <v/>
      </c>
      <c r="U321" s="686"/>
      <c r="V321" s="202"/>
      <c r="W321" s="202"/>
      <c r="X321" s="202"/>
      <c r="Y321" s="202"/>
      <c r="Z321" s="202"/>
      <c r="AA321" s="202"/>
      <c r="AB321" s="202"/>
      <c r="AC321" s="202"/>
      <c r="AD321" s="202"/>
      <c r="AE321" s="202"/>
      <c r="AF321" s="202"/>
      <c r="AG321" s="202"/>
      <c r="AH321" s="202"/>
      <c r="AI321" s="202"/>
      <c r="AJ321" s="202"/>
      <c r="AK321" s="202"/>
      <c r="AL321" s="202"/>
      <c r="AM321" s="202"/>
      <c r="AN321" s="202"/>
      <c r="AO321" s="202"/>
      <c r="AP321" s="202"/>
      <c r="AQ321" s="202"/>
      <c r="AR321" s="202"/>
      <c r="AS321" s="202"/>
      <c r="AT321" s="202"/>
      <c r="AU321" s="202"/>
      <c r="AV321" s="202"/>
      <c r="AW321" s="202"/>
    </row>
    <row r="322" spans="1:49" s="137" customFormat="1" ht="17.25" hidden="1" customHeight="1">
      <c r="A322" s="202"/>
      <c r="O322" s="202"/>
      <c r="P322" s="258" t="s">
        <v>531</v>
      </c>
      <c r="Q322" s="255"/>
      <c r="R322" s="255"/>
      <c r="S322" s="181" t="str">
        <f t="shared" si="21"/>
        <v/>
      </c>
      <c r="T322" s="686" t="str">
        <f>IFERROR(IF(AND(ISNUMBER(Helper!AY130), ISNUMBER(Helper!AZ130)), ROUND(Helper!AY130/Helper!AZ130,0) &amp; ":" &amp; 1, ""),"")</f>
        <v/>
      </c>
      <c r="U322" s="686"/>
      <c r="V322" s="202"/>
      <c r="W322" s="202"/>
      <c r="X322" s="202"/>
      <c r="Y322" s="202"/>
      <c r="Z322" s="202"/>
      <c r="AA322" s="202"/>
      <c r="AB322" s="202"/>
      <c r="AC322" s="202"/>
      <c r="AD322" s="202"/>
      <c r="AE322" s="202"/>
      <c r="AF322" s="202"/>
      <c r="AG322" s="202"/>
      <c r="AH322" s="202"/>
      <c r="AI322" s="202"/>
      <c r="AJ322" s="202"/>
      <c r="AK322" s="202"/>
      <c r="AL322" s="202"/>
      <c r="AM322" s="202"/>
      <c r="AN322" s="202"/>
      <c r="AO322" s="202"/>
      <c r="AP322" s="202"/>
      <c r="AQ322" s="202"/>
      <c r="AR322" s="202"/>
      <c r="AS322" s="202"/>
      <c r="AT322" s="202"/>
      <c r="AU322" s="202"/>
      <c r="AV322" s="202"/>
      <c r="AW322" s="202"/>
    </row>
    <row r="323" spans="1:49" s="137" customFormat="1" ht="17.25" hidden="1" customHeight="1">
      <c r="A323" s="202"/>
      <c r="O323" s="202"/>
      <c r="P323" s="258" t="s">
        <v>532</v>
      </c>
      <c r="Q323" s="255"/>
      <c r="R323" s="255"/>
      <c r="S323" s="181" t="str">
        <f t="shared" si="21"/>
        <v/>
      </c>
      <c r="T323" s="686" t="str">
        <f>IFERROR(IF(AND(ISNUMBER(Helper!AY131), ISNUMBER(Helper!AZ131)), ROUND(Helper!AY131/Helper!AZ131,0) &amp; ":" &amp; 1, ""),"")</f>
        <v/>
      </c>
      <c r="U323" s="686"/>
      <c r="V323" s="202"/>
      <c r="W323" s="202"/>
      <c r="X323" s="202"/>
      <c r="Y323" s="202"/>
      <c r="Z323" s="202"/>
      <c r="AA323" s="202"/>
      <c r="AB323" s="202"/>
      <c r="AC323" s="202"/>
      <c r="AD323" s="202"/>
      <c r="AE323" s="202"/>
      <c r="AF323" s="202"/>
      <c r="AG323" s="202"/>
      <c r="AH323" s="202"/>
      <c r="AI323" s="202"/>
      <c r="AJ323" s="202"/>
      <c r="AK323" s="202"/>
      <c r="AL323" s="202"/>
      <c r="AM323" s="202"/>
      <c r="AN323" s="202"/>
      <c r="AO323" s="202"/>
      <c r="AP323" s="202"/>
      <c r="AQ323" s="202"/>
      <c r="AR323" s="202"/>
      <c r="AS323" s="202"/>
      <c r="AT323" s="202"/>
      <c r="AU323" s="202"/>
      <c r="AV323" s="202"/>
      <c r="AW323" s="202"/>
    </row>
    <row r="324" spans="1:49" s="137" customFormat="1" ht="15" hidden="1" customHeight="1">
      <c r="A324" s="202"/>
      <c r="O324" s="202"/>
      <c r="P324" s="258" t="s">
        <v>533</v>
      </c>
      <c r="Q324" s="255"/>
      <c r="R324" s="255"/>
      <c r="S324" s="181" t="str">
        <f t="shared" si="21"/>
        <v/>
      </c>
      <c r="T324" s="686" t="str">
        <f>IFERROR(IF(AND(ISNUMBER(Helper!AY132), ISNUMBER(Helper!AZ132)), ROUND(Helper!AY132/Helper!AZ132,0) &amp; ":" &amp; 1, ""),"")</f>
        <v/>
      </c>
      <c r="U324" s="686"/>
      <c r="V324" s="202"/>
      <c r="W324" s="202"/>
      <c r="X324" s="202"/>
      <c r="Y324" s="202"/>
      <c r="Z324" s="202"/>
      <c r="AA324" s="202"/>
      <c r="AB324" s="202"/>
      <c r="AC324" s="202"/>
      <c r="AD324" s="202"/>
      <c r="AE324" s="202"/>
      <c r="AF324" s="202"/>
      <c r="AG324" s="202"/>
      <c r="AH324" s="202"/>
      <c r="AI324" s="202"/>
      <c r="AJ324" s="202"/>
      <c r="AK324" s="202"/>
      <c r="AL324" s="202"/>
      <c r="AM324" s="202"/>
      <c r="AN324" s="202"/>
      <c r="AO324" s="202"/>
      <c r="AP324" s="202"/>
      <c r="AQ324" s="202"/>
      <c r="AR324" s="202"/>
      <c r="AS324" s="202"/>
      <c r="AT324" s="202"/>
      <c r="AU324" s="202"/>
      <c r="AV324" s="202"/>
      <c r="AW324" s="202"/>
    </row>
    <row r="325" spans="1:49" s="137" customFormat="1" ht="17.25" hidden="1" customHeight="1">
      <c r="A325" s="202"/>
      <c r="B325" s="175"/>
      <c r="O325" s="202"/>
      <c r="P325" s="258" t="s">
        <v>534</v>
      </c>
      <c r="Q325" s="255"/>
      <c r="R325" s="255"/>
      <c r="S325" s="181" t="str">
        <f t="shared" si="21"/>
        <v/>
      </c>
      <c r="T325" s="686" t="str">
        <f>IFERROR(IF(AND(ISNUMBER(Helper!AY133), ISNUMBER(Helper!AZ133)), ROUND(Helper!AY133/Helper!AZ133,0) &amp; ":" &amp; 1, ""),"")</f>
        <v/>
      </c>
      <c r="U325" s="686"/>
      <c r="V325" s="202"/>
      <c r="W325" s="202"/>
      <c r="X325" s="202"/>
      <c r="Y325" s="202"/>
      <c r="Z325" s="202"/>
      <c r="AA325" s="202"/>
      <c r="AB325" s="202"/>
      <c r="AC325" s="202"/>
      <c r="AD325" s="202"/>
      <c r="AE325" s="202"/>
      <c r="AF325" s="202"/>
      <c r="AG325" s="202"/>
      <c r="AH325" s="202"/>
      <c r="AI325" s="202"/>
      <c r="AJ325" s="202"/>
      <c r="AK325" s="202"/>
      <c r="AL325" s="202"/>
      <c r="AM325" s="202"/>
      <c r="AN325" s="202"/>
      <c r="AO325" s="202"/>
      <c r="AP325" s="202"/>
      <c r="AQ325" s="202"/>
      <c r="AR325" s="202"/>
      <c r="AS325" s="202"/>
      <c r="AT325" s="202"/>
      <c r="AU325" s="202"/>
      <c r="AV325" s="202"/>
      <c r="AW325" s="202"/>
    </row>
    <row r="326" spans="1:49" s="137" customFormat="1" ht="17.25" hidden="1" customHeight="1">
      <c r="A326" s="202"/>
      <c r="C326" s="174"/>
      <c r="O326" s="202"/>
      <c r="P326" s="258" t="s">
        <v>535</v>
      </c>
      <c r="Q326" s="255"/>
      <c r="R326" s="255"/>
      <c r="S326" s="181" t="str">
        <f t="shared" si="21"/>
        <v/>
      </c>
      <c r="T326" s="686" t="str">
        <f>IFERROR(IF(AND(ISNUMBER(Helper!AY134), ISNUMBER(Helper!AZ134)), ROUND(Helper!AY134/Helper!AZ134,0) &amp; ":" &amp; 1, ""),"")</f>
        <v/>
      </c>
      <c r="U326" s="686"/>
      <c r="V326" s="202"/>
      <c r="W326" s="202"/>
      <c r="X326" s="202"/>
      <c r="Y326" s="202"/>
      <c r="Z326" s="202"/>
      <c r="AA326" s="202"/>
      <c r="AB326" s="202"/>
      <c r="AC326" s="202"/>
      <c r="AD326" s="202"/>
      <c r="AE326" s="202"/>
      <c r="AF326" s="202"/>
      <c r="AG326" s="202"/>
      <c r="AH326" s="202"/>
      <c r="AI326" s="202"/>
      <c r="AJ326" s="202"/>
      <c r="AK326" s="202"/>
      <c r="AL326" s="202"/>
      <c r="AM326" s="202"/>
      <c r="AN326" s="202"/>
      <c r="AO326" s="202"/>
      <c r="AP326" s="202"/>
      <c r="AQ326" s="202"/>
      <c r="AR326" s="202"/>
      <c r="AS326" s="202"/>
      <c r="AT326" s="202"/>
      <c r="AU326" s="202"/>
      <c r="AV326" s="202"/>
      <c r="AW326" s="202"/>
    </row>
    <row r="327" spans="1:49" s="137" customFormat="1" ht="17.25" hidden="1" customHeight="1">
      <c r="A327" s="202"/>
      <c r="C327" s="791"/>
      <c r="D327" s="791"/>
      <c r="E327" s="791"/>
      <c r="F327" s="793"/>
      <c r="G327" s="793"/>
      <c r="H327" s="793"/>
      <c r="I327" s="793"/>
      <c r="J327" s="793"/>
      <c r="K327" s="793"/>
      <c r="L327" s="793"/>
      <c r="M327" s="793"/>
      <c r="O327" s="202"/>
      <c r="P327" s="258" t="s">
        <v>536</v>
      </c>
      <c r="Q327" s="255"/>
      <c r="R327" s="255"/>
      <c r="S327" s="181" t="str">
        <f t="shared" si="21"/>
        <v/>
      </c>
      <c r="T327" s="686" t="str">
        <f>IFERROR(IF(AND(ISNUMBER(Helper!AY135), ISNUMBER(Helper!AZ135)), ROUND(Helper!AY135/Helper!AZ135,0) &amp; ":" &amp; 1, ""),"")</f>
        <v/>
      </c>
      <c r="U327" s="686"/>
      <c r="V327" s="202"/>
      <c r="W327" s="202"/>
      <c r="X327" s="202"/>
      <c r="Y327" s="202"/>
      <c r="Z327" s="202"/>
      <c r="AA327" s="202"/>
      <c r="AB327" s="202"/>
      <c r="AC327" s="202"/>
      <c r="AD327" s="202"/>
      <c r="AE327" s="202"/>
      <c r="AF327" s="202"/>
      <c r="AG327" s="202"/>
      <c r="AH327" s="202"/>
      <c r="AI327" s="202"/>
      <c r="AJ327" s="202"/>
      <c r="AK327" s="202"/>
      <c r="AL327" s="202"/>
      <c r="AM327" s="202"/>
      <c r="AN327" s="202"/>
      <c r="AO327" s="202"/>
      <c r="AP327" s="202"/>
      <c r="AQ327" s="202"/>
      <c r="AR327" s="202"/>
      <c r="AS327" s="202"/>
      <c r="AT327" s="202"/>
      <c r="AU327" s="202"/>
      <c r="AV327" s="202"/>
      <c r="AW327" s="202"/>
    </row>
    <row r="328" spans="1:49" s="137" customFormat="1" ht="17.25" hidden="1" customHeight="1">
      <c r="A328" s="202"/>
      <c r="C328" s="791"/>
      <c r="D328" s="791"/>
      <c r="E328" s="791"/>
      <c r="F328" s="793"/>
      <c r="G328" s="793"/>
      <c r="H328" s="793"/>
      <c r="I328" s="793"/>
      <c r="J328" s="793"/>
      <c r="K328" s="793"/>
      <c r="L328" s="793"/>
      <c r="M328" s="793"/>
      <c r="O328" s="202"/>
      <c r="P328" s="258" t="s">
        <v>537</v>
      </c>
      <c r="Q328" s="255"/>
      <c r="R328" s="255"/>
      <c r="S328" s="181" t="str">
        <f t="shared" si="21"/>
        <v/>
      </c>
      <c r="T328" s="686" t="str">
        <f>IFERROR(IF(AND(ISNUMBER(Helper!AY136), ISNUMBER(Helper!AZ136)), ROUND(Helper!AY136/Helper!AZ136,0) &amp; ":" &amp; 1, ""),"")</f>
        <v/>
      </c>
      <c r="U328" s="686"/>
      <c r="V328" s="202"/>
      <c r="W328" s="202"/>
      <c r="X328" s="202"/>
      <c r="Y328" s="202"/>
      <c r="Z328" s="202"/>
      <c r="AA328" s="202"/>
      <c r="AB328" s="202"/>
      <c r="AC328" s="202"/>
      <c r="AD328" s="202"/>
      <c r="AE328" s="202"/>
      <c r="AF328" s="202"/>
      <c r="AG328" s="202"/>
      <c r="AH328" s="202"/>
      <c r="AI328" s="202"/>
      <c r="AJ328" s="202"/>
      <c r="AK328" s="202"/>
      <c r="AL328" s="202"/>
      <c r="AM328" s="202"/>
      <c r="AN328" s="202"/>
      <c r="AO328" s="202"/>
      <c r="AP328" s="202"/>
      <c r="AQ328" s="202"/>
      <c r="AR328" s="202"/>
      <c r="AS328" s="202"/>
      <c r="AT328" s="202"/>
      <c r="AU328" s="202"/>
      <c r="AV328" s="202"/>
      <c r="AW328" s="202"/>
    </row>
    <row r="329" spans="1:49" s="137" customFormat="1" ht="15" hidden="1" customHeight="1">
      <c r="A329" s="202"/>
      <c r="C329" s="791"/>
      <c r="D329" s="791"/>
      <c r="E329" s="791"/>
      <c r="F329" s="793"/>
      <c r="G329" s="793"/>
      <c r="H329" s="793"/>
      <c r="I329" s="793"/>
      <c r="J329" s="793"/>
      <c r="K329" s="793"/>
      <c r="L329" s="793"/>
      <c r="M329" s="793"/>
      <c r="O329" s="202"/>
      <c r="P329" s="258" t="s">
        <v>538</v>
      </c>
      <c r="Q329" s="255"/>
      <c r="R329" s="255"/>
      <c r="S329" s="181" t="str">
        <f t="shared" si="21"/>
        <v/>
      </c>
      <c r="T329" s="686" t="str">
        <f>IFERROR(IF(AND(ISNUMBER(Helper!AY137), ISNUMBER(Helper!AZ137)), ROUND(Helper!AY137/Helper!AZ137,0) &amp; ":" &amp; 1, ""),"")</f>
        <v/>
      </c>
      <c r="U329" s="686"/>
      <c r="V329" s="202"/>
      <c r="W329" s="202"/>
      <c r="X329" s="202"/>
      <c r="Y329" s="202"/>
      <c r="Z329" s="202"/>
      <c r="AA329" s="202"/>
      <c r="AB329" s="202"/>
      <c r="AC329" s="202"/>
      <c r="AD329" s="202"/>
      <c r="AE329" s="202"/>
      <c r="AF329" s="202"/>
      <c r="AG329" s="202"/>
      <c r="AH329" s="202"/>
      <c r="AI329" s="202"/>
      <c r="AJ329" s="202"/>
      <c r="AK329" s="202"/>
      <c r="AL329" s="202"/>
      <c r="AM329" s="202"/>
      <c r="AN329" s="202"/>
      <c r="AO329" s="202"/>
      <c r="AP329" s="202"/>
      <c r="AQ329" s="202"/>
      <c r="AR329" s="202"/>
      <c r="AS329" s="202"/>
      <c r="AT329" s="202"/>
      <c r="AU329" s="202"/>
      <c r="AV329" s="202"/>
      <c r="AW329" s="202"/>
    </row>
    <row r="330" spans="1:49" s="137" customFormat="1" ht="15" hidden="1" customHeight="1">
      <c r="A330" s="202"/>
      <c r="C330" s="792"/>
      <c r="D330" s="792"/>
      <c r="E330" s="163"/>
      <c r="F330" s="676"/>
      <c r="G330" s="676"/>
      <c r="H330" s="163"/>
      <c r="I330" s="676"/>
      <c r="J330" s="676"/>
      <c r="K330" s="676"/>
      <c r="L330" s="676"/>
      <c r="M330" s="676"/>
      <c r="O330" s="202"/>
      <c r="P330" s="258" t="s">
        <v>539</v>
      </c>
      <c r="Q330" s="255"/>
      <c r="R330" s="255"/>
      <c r="S330" s="181" t="str">
        <f t="shared" si="21"/>
        <v/>
      </c>
      <c r="T330" s="686" t="str">
        <f>IFERROR(IF(AND(ISNUMBER(Helper!AY138), ISNUMBER(Helper!AZ138)), ROUND(Helper!AY138/Helper!AZ138,0) &amp; ":" &amp; 1, ""),"")</f>
        <v/>
      </c>
      <c r="U330" s="686"/>
      <c r="V330" s="202"/>
      <c r="W330" s="202"/>
      <c r="X330" s="202"/>
      <c r="Y330" s="202"/>
      <c r="Z330" s="202"/>
      <c r="AA330" s="202"/>
      <c r="AB330" s="202"/>
      <c r="AC330" s="202"/>
      <c r="AD330" s="202"/>
      <c r="AE330" s="202"/>
      <c r="AF330" s="202"/>
      <c r="AG330" s="202"/>
      <c r="AH330" s="202"/>
      <c r="AI330" s="202"/>
      <c r="AJ330" s="202"/>
      <c r="AK330" s="202"/>
      <c r="AL330" s="202"/>
      <c r="AM330" s="202"/>
      <c r="AN330" s="202"/>
      <c r="AO330" s="202"/>
      <c r="AP330" s="202"/>
      <c r="AQ330" s="202"/>
      <c r="AR330" s="202"/>
      <c r="AS330" s="202"/>
      <c r="AT330" s="202"/>
      <c r="AU330" s="202"/>
      <c r="AV330" s="202"/>
      <c r="AW330" s="202"/>
    </row>
    <row r="331" spans="1:49" s="137" customFormat="1" ht="15" hidden="1" customHeight="1">
      <c r="A331" s="202"/>
      <c r="C331" s="792"/>
      <c r="D331" s="792"/>
      <c r="E331" s="163"/>
      <c r="F331" s="676"/>
      <c r="G331" s="676"/>
      <c r="H331" s="163"/>
      <c r="I331" s="676"/>
      <c r="J331" s="676"/>
      <c r="K331" s="676"/>
      <c r="L331" s="676"/>
      <c r="M331" s="676"/>
      <c r="O331" s="202"/>
      <c r="P331" s="258" t="s">
        <v>540</v>
      </c>
      <c r="Q331" s="255"/>
      <c r="R331" s="255"/>
      <c r="S331" s="181" t="str">
        <f t="shared" si="21"/>
        <v/>
      </c>
      <c r="T331" s="686" t="str">
        <f>IFERROR(IF(AND(ISNUMBER(Helper!AY139), ISNUMBER(Helper!AZ139)), ROUND(Helper!AY139/Helper!AZ139,0) &amp; ":" &amp; 1, ""),"")</f>
        <v/>
      </c>
      <c r="U331" s="686"/>
      <c r="V331" s="202"/>
      <c r="W331" s="202"/>
      <c r="X331" s="202"/>
      <c r="Y331" s="202"/>
      <c r="Z331" s="202"/>
      <c r="AA331" s="202"/>
      <c r="AB331" s="202"/>
      <c r="AC331" s="202"/>
      <c r="AD331" s="202"/>
      <c r="AE331" s="202"/>
      <c r="AF331" s="202"/>
      <c r="AG331" s="202"/>
      <c r="AH331" s="202"/>
      <c r="AI331" s="202"/>
      <c r="AJ331" s="202"/>
      <c r="AK331" s="202"/>
      <c r="AL331" s="202"/>
      <c r="AM331" s="202"/>
      <c r="AN331" s="202"/>
      <c r="AO331" s="202"/>
      <c r="AP331" s="202"/>
      <c r="AQ331" s="202"/>
      <c r="AR331" s="202"/>
      <c r="AS331" s="202"/>
      <c r="AT331" s="202"/>
      <c r="AU331" s="202"/>
      <c r="AV331" s="202"/>
      <c r="AW331" s="202"/>
    </row>
    <row r="332" spans="1:49" s="137" customFormat="1" ht="15" hidden="1" customHeight="1">
      <c r="A332" s="202"/>
      <c r="C332" s="792"/>
      <c r="D332" s="792"/>
      <c r="E332" s="163"/>
      <c r="F332" s="676"/>
      <c r="G332" s="676"/>
      <c r="H332" s="163"/>
      <c r="I332" s="676"/>
      <c r="J332" s="676"/>
      <c r="K332" s="676"/>
      <c r="L332" s="676"/>
      <c r="M332" s="676"/>
      <c r="O332" s="202"/>
      <c r="P332" s="258" t="s">
        <v>541</v>
      </c>
      <c r="Q332" s="255"/>
      <c r="R332" s="255"/>
      <c r="S332" s="181" t="str">
        <f t="shared" si="21"/>
        <v/>
      </c>
      <c r="T332" s="686" t="str">
        <f>IFERROR(IF(AND(ISNUMBER(Helper!AY140), ISNUMBER(Helper!AZ140)), ROUND(Helper!AY140/Helper!AZ140,0) &amp; ":" &amp; 1, ""),"")</f>
        <v/>
      </c>
      <c r="U332" s="686"/>
      <c r="V332" s="202"/>
      <c r="W332" s="202"/>
      <c r="X332" s="202"/>
      <c r="Y332" s="202"/>
      <c r="Z332" s="202"/>
      <c r="AA332" s="202"/>
      <c r="AB332" s="202"/>
      <c r="AC332" s="202"/>
      <c r="AD332" s="202"/>
      <c r="AE332" s="202"/>
      <c r="AF332" s="202"/>
      <c r="AG332" s="202"/>
      <c r="AH332" s="202"/>
      <c r="AI332" s="202"/>
      <c r="AJ332" s="202"/>
      <c r="AK332" s="202"/>
      <c r="AL332" s="202"/>
      <c r="AM332" s="202"/>
      <c r="AN332" s="202"/>
      <c r="AO332" s="202"/>
      <c r="AP332" s="202"/>
      <c r="AQ332" s="202"/>
      <c r="AR332" s="202"/>
      <c r="AS332" s="202"/>
      <c r="AT332" s="202"/>
      <c r="AU332" s="202"/>
      <c r="AV332" s="202"/>
      <c r="AW332" s="202"/>
    </row>
    <row r="333" spans="1:49" s="137" customFormat="1" ht="15" hidden="1" customHeight="1">
      <c r="A333" s="202"/>
      <c r="C333" s="792"/>
      <c r="D333" s="792"/>
      <c r="E333" s="163"/>
      <c r="F333" s="676"/>
      <c r="G333" s="676"/>
      <c r="H333" s="163"/>
      <c r="I333" s="676"/>
      <c r="J333" s="676"/>
      <c r="K333" s="676"/>
      <c r="L333" s="676"/>
      <c r="M333" s="676"/>
      <c r="O333" s="202"/>
      <c r="P333" s="258" t="s">
        <v>542</v>
      </c>
      <c r="Q333" s="255"/>
      <c r="R333" s="255"/>
      <c r="S333" s="181" t="str">
        <f t="shared" si="21"/>
        <v/>
      </c>
      <c r="T333" s="686" t="str">
        <f>IFERROR(IF(AND(ISNUMBER(Helper!AY141), ISNUMBER(Helper!AZ141)), ROUND(Helper!AY141/Helper!AZ141,0) &amp; ":" &amp; 1, ""),"")</f>
        <v/>
      </c>
      <c r="U333" s="686"/>
      <c r="V333" s="202"/>
      <c r="W333" s="202"/>
      <c r="X333" s="202"/>
      <c r="Y333" s="202"/>
      <c r="Z333" s="202"/>
      <c r="AA333" s="202"/>
      <c r="AB333" s="202"/>
      <c r="AC333" s="202"/>
      <c r="AD333" s="202"/>
      <c r="AE333" s="202"/>
      <c r="AF333" s="202"/>
      <c r="AG333" s="202"/>
      <c r="AH333" s="202"/>
      <c r="AI333" s="202"/>
      <c r="AJ333" s="202"/>
      <c r="AK333" s="202"/>
      <c r="AL333" s="202"/>
      <c r="AM333" s="202"/>
      <c r="AN333" s="202"/>
      <c r="AO333" s="202"/>
      <c r="AP333" s="202"/>
      <c r="AQ333" s="202"/>
      <c r="AR333" s="202"/>
      <c r="AS333" s="202"/>
      <c r="AT333" s="202"/>
      <c r="AU333" s="202"/>
      <c r="AV333" s="202"/>
      <c r="AW333" s="202"/>
    </row>
    <row r="334" spans="1:49" s="137" customFormat="1" ht="15" hidden="1" customHeight="1">
      <c r="A334" s="202"/>
      <c r="O334" s="202"/>
      <c r="P334" s="258" t="s">
        <v>543</v>
      </c>
      <c r="Q334" s="255"/>
      <c r="R334" s="255"/>
      <c r="S334" s="181" t="str">
        <f t="shared" si="21"/>
        <v/>
      </c>
      <c r="T334" s="686" t="str">
        <f>IFERROR(IF(AND(ISNUMBER(Helper!AY142), ISNUMBER(Helper!AZ142)), ROUND(Helper!AY142/Helper!AZ142,0) &amp; ":" &amp; 1, ""),"")</f>
        <v/>
      </c>
      <c r="U334" s="686"/>
      <c r="V334" s="202"/>
      <c r="W334" s="202"/>
      <c r="X334" s="202"/>
      <c r="Y334" s="202"/>
      <c r="Z334" s="202"/>
      <c r="AA334" s="202"/>
      <c r="AB334" s="202"/>
      <c r="AC334" s="202"/>
      <c r="AD334" s="202"/>
      <c r="AE334" s="202"/>
      <c r="AF334" s="202"/>
      <c r="AG334" s="202"/>
      <c r="AH334" s="202"/>
      <c r="AI334" s="202"/>
      <c r="AJ334" s="202"/>
      <c r="AK334" s="202"/>
      <c r="AL334" s="202"/>
      <c r="AM334" s="202"/>
      <c r="AN334" s="202"/>
      <c r="AO334" s="202"/>
      <c r="AP334" s="202"/>
      <c r="AQ334" s="202"/>
      <c r="AR334" s="202"/>
      <c r="AS334" s="202"/>
      <c r="AT334" s="202"/>
      <c r="AU334" s="202"/>
      <c r="AV334" s="202"/>
      <c r="AW334" s="202"/>
    </row>
    <row r="335" spans="1:49" s="137" customFormat="1" ht="15" hidden="1" customHeight="1">
      <c r="A335" s="202"/>
      <c r="C335" s="174"/>
      <c r="O335" s="202"/>
      <c r="P335" s="258" t="s">
        <v>544</v>
      </c>
      <c r="Q335" s="255"/>
      <c r="R335" s="255"/>
      <c r="S335" s="181" t="str">
        <f t="shared" si="21"/>
        <v/>
      </c>
      <c r="T335" s="686" t="str">
        <f>IFERROR(IF(AND(ISNUMBER(Helper!AY143), ISNUMBER(Helper!AZ143)), ROUND(Helper!AY143/Helper!AZ143,0) &amp; ":" &amp; 1, ""),"")</f>
        <v/>
      </c>
      <c r="U335" s="686"/>
      <c r="V335" s="202"/>
      <c r="W335" s="202"/>
      <c r="X335" s="202"/>
      <c r="Y335" s="202"/>
      <c r="Z335" s="202"/>
      <c r="AA335" s="202"/>
      <c r="AB335" s="202"/>
      <c r="AC335" s="202"/>
      <c r="AD335" s="202"/>
      <c r="AE335" s="202"/>
      <c r="AF335" s="202"/>
      <c r="AG335" s="202"/>
      <c r="AH335" s="202"/>
      <c r="AI335" s="202"/>
      <c r="AJ335" s="202"/>
      <c r="AK335" s="202"/>
      <c r="AL335" s="202"/>
      <c r="AM335" s="202"/>
      <c r="AN335" s="202"/>
      <c r="AO335" s="202"/>
      <c r="AP335" s="202"/>
      <c r="AQ335" s="202"/>
      <c r="AR335" s="202"/>
      <c r="AS335" s="202"/>
      <c r="AT335" s="202"/>
      <c r="AU335" s="202"/>
      <c r="AV335" s="202"/>
      <c r="AW335" s="202"/>
    </row>
    <row r="336" spans="1:49" s="137" customFormat="1" ht="24" hidden="1" customHeight="1">
      <c r="A336" s="202"/>
      <c r="D336" s="176"/>
      <c r="E336" s="176"/>
      <c r="G336" s="793"/>
      <c r="H336" s="793"/>
      <c r="I336" s="793"/>
      <c r="J336" s="793"/>
      <c r="K336" s="793"/>
      <c r="L336" s="793"/>
      <c r="M336" s="793"/>
      <c r="O336" s="202"/>
      <c r="P336" s="258" t="s">
        <v>545</v>
      </c>
      <c r="Q336" s="255"/>
      <c r="R336" s="255"/>
      <c r="S336" s="181" t="str">
        <f t="shared" si="21"/>
        <v/>
      </c>
      <c r="T336" s="686" t="str">
        <f>IFERROR(IF(AND(ISNUMBER(Helper!AY144), ISNUMBER(Helper!AZ144)), ROUND(Helper!AY144/Helper!AZ144,0) &amp; ":" &amp; 1, ""),"")</f>
        <v/>
      </c>
      <c r="U336" s="686"/>
      <c r="V336" s="202"/>
      <c r="W336" s="202"/>
      <c r="X336" s="202"/>
      <c r="Y336" s="202"/>
      <c r="Z336" s="202"/>
      <c r="AA336" s="202"/>
      <c r="AB336" s="202"/>
      <c r="AC336" s="202"/>
      <c r="AD336" s="202"/>
      <c r="AE336" s="202"/>
      <c r="AF336" s="202"/>
      <c r="AG336" s="202"/>
      <c r="AH336" s="202"/>
      <c r="AI336" s="202"/>
      <c r="AJ336" s="202"/>
      <c r="AK336" s="202"/>
      <c r="AL336" s="202"/>
      <c r="AM336" s="202"/>
      <c r="AN336" s="202"/>
      <c r="AO336" s="202"/>
      <c r="AP336" s="202"/>
      <c r="AQ336" s="202"/>
      <c r="AR336" s="202"/>
      <c r="AS336" s="202"/>
      <c r="AT336" s="202"/>
      <c r="AU336" s="202"/>
      <c r="AV336" s="202"/>
      <c r="AW336" s="202"/>
    </row>
    <row r="337" spans="1:49" s="137" customFormat="1" ht="19.5" hidden="1" customHeight="1">
      <c r="A337" s="202"/>
      <c r="D337" s="176"/>
      <c r="E337" s="176"/>
      <c r="G337" s="794"/>
      <c r="H337" s="794"/>
      <c r="I337" s="794"/>
      <c r="J337" s="794"/>
      <c r="K337" s="794"/>
      <c r="L337" s="794"/>
      <c r="M337" s="794"/>
      <c r="O337" s="202"/>
      <c r="P337" s="258" t="s">
        <v>546</v>
      </c>
      <c r="Q337" s="255"/>
      <c r="R337" s="255"/>
      <c r="S337" s="181" t="str">
        <f t="shared" si="21"/>
        <v/>
      </c>
      <c r="T337" s="686" t="str">
        <f>IFERROR(IF(AND(ISNUMBER(Helper!AY145), ISNUMBER(Helper!AZ145)), ROUND(Helper!AY145/Helper!AZ145,0) &amp; ":" &amp; 1, ""),"")</f>
        <v/>
      </c>
      <c r="U337" s="686"/>
      <c r="V337" s="202"/>
      <c r="W337" s="202"/>
      <c r="X337" s="202"/>
      <c r="Y337" s="202"/>
      <c r="Z337" s="202"/>
      <c r="AA337" s="202"/>
      <c r="AB337" s="202"/>
      <c r="AC337" s="202"/>
      <c r="AD337" s="202"/>
      <c r="AE337" s="202"/>
      <c r="AF337" s="202"/>
      <c r="AG337" s="202"/>
      <c r="AH337" s="202"/>
      <c r="AI337" s="202"/>
      <c r="AJ337" s="202"/>
      <c r="AK337" s="202"/>
      <c r="AL337" s="202"/>
      <c r="AM337" s="202"/>
      <c r="AN337" s="202"/>
      <c r="AO337" s="202"/>
      <c r="AP337" s="202"/>
      <c r="AQ337" s="202"/>
      <c r="AR337" s="202"/>
      <c r="AS337" s="202"/>
      <c r="AT337" s="202"/>
      <c r="AU337" s="202"/>
      <c r="AV337" s="202"/>
      <c r="AW337" s="202"/>
    </row>
    <row r="338" spans="1:49" s="137" customFormat="1" ht="15" hidden="1" customHeight="1">
      <c r="A338" s="202"/>
      <c r="C338" s="788"/>
      <c r="D338" s="788"/>
      <c r="E338" s="788"/>
      <c r="F338" s="788"/>
      <c r="G338" s="789"/>
      <c r="H338" s="789"/>
      <c r="I338" s="789"/>
      <c r="J338" s="789"/>
      <c r="K338" s="789"/>
      <c r="L338" s="789"/>
      <c r="M338" s="789"/>
      <c r="O338" s="202"/>
      <c r="P338" s="258" t="s">
        <v>547</v>
      </c>
      <c r="Q338" s="255"/>
      <c r="R338" s="255"/>
      <c r="S338" s="181" t="str">
        <f t="shared" si="21"/>
        <v/>
      </c>
      <c r="T338" s="686" t="str">
        <f>IFERROR(IF(AND(ISNUMBER(Helper!AY146), ISNUMBER(Helper!AZ146)), ROUND(Helper!AY146/Helper!AZ146,0) &amp; ":" &amp; 1, ""),"")</f>
        <v/>
      </c>
      <c r="U338" s="686"/>
      <c r="V338" s="202"/>
      <c r="W338" s="202"/>
      <c r="X338" s="202"/>
      <c r="Y338" s="202"/>
      <c r="Z338" s="202"/>
      <c r="AA338" s="202"/>
      <c r="AB338" s="202"/>
      <c r="AC338" s="202"/>
      <c r="AD338" s="202"/>
      <c r="AE338" s="202"/>
      <c r="AF338" s="202"/>
      <c r="AG338" s="202"/>
      <c r="AH338" s="202"/>
      <c r="AI338" s="202"/>
      <c r="AJ338" s="202"/>
      <c r="AK338" s="202"/>
      <c r="AL338" s="202"/>
      <c r="AM338" s="202"/>
      <c r="AN338" s="202"/>
      <c r="AO338" s="202"/>
      <c r="AP338" s="202"/>
      <c r="AQ338" s="202"/>
      <c r="AR338" s="202"/>
      <c r="AS338" s="202"/>
      <c r="AT338" s="202"/>
      <c r="AU338" s="202"/>
      <c r="AV338" s="202"/>
      <c r="AW338" s="202"/>
    </row>
    <row r="339" spans="1:49" s="137" customFormat="1" ht="15" hidden="1" customHeight="1">
      <c r="A339" s="202"/>
      <c r="C339" s="788"/>
      <c r="D339" s="788"/>
      <c r="E339" s="788"/>
      <c r="F339" s="788"/>
      <c r="G339" s="789"/>
      <c r="H339" s="789"/>
      <c r="I339" s="789"/>
      <c r="J339" s="789"/>
      <c r="K339" s="789"/>
      <c r="L339" s="789"/>
      <c r="M339" s="789"/>
      <c r="O339" s="202"/>
      <c r="P339" s="258" t="s">
        <v>548</v>
      </c>
      <c r="Q339" s="255"/>
      <c r="R339" s="255"/>
      <c r="S339" s="181" t="str">
        <f t="shared" si="21"/>
        <v/>
      </c>
      <c r="T339" s="686" t="str">
        <f>IFERROR(IF(AND(ISNUMBER(Helper!AY147), ISNUMBER(Helper!AZ147)), ROUND(Helper!AY147/Helper!AZ147,0) &amp; ":" &amp; 1, ""),"")</f>
        <v/>
      </c>
      <c r="U339" s="686"/>
      <c r="V339" s="202"/>
      <c r="W339" s="202"/>
      <c r="X339" s="202"/>
      <c r="Y339" s="202"/>
      <c r="Z339" s="202"/>
      <c r="AA339" s="202"/>
      <c r="AB339" s="202"/>
      <c r="AC339" s="202"/>
      <c r="AD339" s="202"/>
      <c r="AE339" s="202"/>
      <c r="AF339" s="202"/>
      <c r="AG339" s="202"/>
      <c r="AH339" s="202"/>
      <c r="AI339" s="202"/>
      <c r="AJ339" s="202"/>
      <c r="AK339" s="202"/>
      <c r="AL339" s="202"/>
      <c r="AM339" s="202"/>
      <c r="AN339" s="202"/>
      <c r="AO339" s="202"/>
      <c r="AP339" s="202"/>
      <c r="AQ339" s="202"/>
      <c r="AR339" s="202"/>
      <c r="AS339" s="202"/>
      <c r="AT339" s="202"/>
      <c r="AU339" s="202"/>
      <c r="AV339" s="202"/>
      <c r="AW339" s="202"/>
    </row>
    <row r="340" spans="1:49" s="137" customFormat="1" ht="15" hidden="1" customHeight="1">
      <c r="A340" s="202"/>
      <c r="C340" s="788"/>
      <c r="D340" s="788"/>
      <c r="E340" s="788"/>
      <c r="F340" s="788"/>
      <c r="G340" s="790"/>
      <c r="H340" s="790"/>
      <c r="I340" s="790"/>
      <c r="J340" s="790"/>
      <c r="K340" s="790"/>
      <c r="L340" s="790"/>
      <c r="M340" s="790"/>
      <c r="O340" s="202"/>
      <c r="P340" s="258" t="s">
        <v>549</v>
      </c>
      <c r="Q340" s="255"/>
      <c r="R340" s="255"/>
      <c r="S340" s="181" t="str">
        <f t="shared" si="21"/>
        <v/>
      </c>
      <c r="T340" s="686" t="str">
        <f>IFERROR(IF(AND(ISNUMBER(Helper!AY148), ISNUMBER(Helper!AZ148)), ROUND(Helper!AY148/Helper!AZ148,0) &amp; ":" &amp; 1, ""),"")</f>
        <v/>
      </c>
      <c r="U340" s="686"/>
      <c r="V340" s="202"/>
      <c r="W340" s="202"/>
      <c r="X340" s="202"/>
      <c r="Y340" s="202"/>
      <c r="Z340" s="202"/>
      <c r="AA340" s="202"/>
      <c r="AB340" s="202"/>
      <c r="AC340" s="202"/>
      <c r="AD340" s="202"/>
      <c r="AE340" s="202"/>
      <c r="AF340" s="202"/>
      <c r="AG340" s="202"/>
      <c r="AH340" s="202"/>
      <c r="AI340" s="202"/>
      <c r="AJ340" s="202"/>
      <c r="AK340" s="202"/>
      <c r="AL340" s="202"/>
      <c r="AM340" s="202"/>
      <c r="AN340" s="202"/>
      <c r="AO340" s="202"/>
      <c r="AP340" s="202"/>
      <c r="AQ340" s="202"/>
      <c r="AR340" s="202"/>
      <c r="AS340" s="202"/>
      <c r="AT340" s="202"/>
      <c r="AU340" s="202"/>
      <c r="AV340" s="202"/>
      <c r="AW340" s="202"/>
    </row>
    <row r="341" spans="1:49" s="137" customFormat="1" ht="15" hidden="1" customHeight="1">
      <c r="A341" s="202"/>
      <c r="O341" s="202"/>
      <c r="P341" s="258" t="s">
        <v>550</v>
      </c>
      <c r="Q341" s="255"/>
      <c r="R341" s="255"/>
      <c r="S341" s="181" t="str">
        <f t="shared" si="21"/>
        <v/>
      </c>
      <c r="T341" s="686" t="str">
        <f>IFERROR(IF(AND(ISNUMBER(Helper!AY149), ISNUMBER(Helper!AZ149)), ROUND(Helper!AY149/Helper!AZ149,0) &amp; ":" &amp; 1, ""),"")</f>
        <v/>
      </c>
      <c r="U341" s="686"/>
      <c r="V341" s="202"/>
      <c r="W341" s="202"/>
      <c r="X341" s="202"/>
      <c r="Y341" s="202"/>
      <c r="Z341" s="202"/>
      <c r="AA341" s="202"/>
      <c r="AB341" s="202"/>
      <c r="AC341" s="202"/>
      <c r="AD341" s="202"/>
      <c r="AE341" s="202"/>
      <c r="AF341" s="202"/>
      <c r="AG341" s="202"/>
      <c r="AH341" s="202"/>
      <c r="AI341" s="202"/>
      <c r="AJ341" s="202"/>
      <c r="AK341" s="202"/>
      <c r="AL341" s="202"/>
      <c r="AM341" s="202"/>
      <c r="AN341" s="202"/>
      <c r="AO341" s="202"/>
      <c r="AP341" s="202"/>
      <c r="AQ341" s="202"/>
      <c r="AR341" s="202"/>
      <c r="AS341" s="202"/>
      <c r="AT341" s="202"/>
      <c r="AU341" s="202"/>
      <c r="AV341" s="202"/>
      <c r="AW341" s="202"/>
    </row>
    <row r="342" spans="1:49" s="137" customFormat="1" ht="17.25" hidden="1" customHeight="1">
      <c r="A342" s="202"/>
      <c r="C342" s="177"/>
      <c r="D342" s="178"/>
      <c r="E342" s="178"/>
      <c r="F342" s="178"/>
      <c r="G342" s="178"/>
      <c r="H342" s="178"/>
      <c r="I342" s="178"/>
      <c r="J342" s="178"/>
      <c r="K342" s="178"/>
      <c r="O342" s="202"/>
      <c r="P342" s="258" t="s">
        <v>551</v>
      </c>
      <c r="Q342" s="255"/>
      <c r="R342" s="255"/>
      <c r="S342" s="181" t="str">
        <f t="shared" si="21"/>
        <v/>
      </c>
      <c r="T342" s="686" t="str">
        <f>IFERROR(IF(AND(ISNUMBER(Helper!AY150), ISNUMBER(Helper!AZ150)), ROUND(Helper!AY150/Helper!AZ150,0) &amp; ":" &amp; 1, ""),"")</f>
        <v/>
      </c>
      <c r="U342" s="686"/>
      <c r="V342" s="202"/>
      <c r="W342" s="202"/>
      <c r="X342" s="202"/>
      <c r="Y342" s="202"/>
      <c r="Z342" s="202"/>
      <c r="AA342" s="202"/>
      <c r="AB342" s="202"/>
      <c r="AC342" s="202"/>
      <c r="AD342" s="202"/>
      <c r="AE342" s="202"/>
      <c r="AF342" s="202"/>
      <c r="AG342" s="202"/>
      <c r="AH342" s="202"/>
      <c r="AI342" s="202"/>
      <c r="AJ342" s="202"/>
      <c r="AK342" s="202"/>
      <c r="AL342" s="202"/>
      <c r="AM342" s="202"/>
      <c r="AN342" s="202"/>
      <c r="AO342" s="202"/>
      <c r="AP342" s="202"/>
      <c r="AQ342" s="202"/>
      <c r="AR342" s="202"/>
      <c r="AS342" s="202"/>
      <c r="AT342" s="202"/>
      <c r="AU342" s="202"/>
      <c r="AV342" s="202"/>
      <c r="AW342" s="202"/>
    </row>
    <row r="343" spans="1:49" s="137" customFormat="1" ht="17.25" hidden="1" customHeight="1">
      <c r="A343" s="202"/>
      <c r="C343" s="180"/>
      <c r="D343" s="180"/>
      <c r="E343" s="180"/>
      <c r="F343" s="180"/>
      <c r="G343" s="179"/>
      <c r="H343" s="179"/>
      <c r="I343" s="791"/>
      <c r="J343" s="791"/>
      <c r="K343" s="791"/>
      <c r="L343" s="791"/>
      <c r="M343" s="791"/>
      <c r="O343" s="202"/>
      <c r="P343" s="258" t="s">
        <v>552</v>
      </c>
      <c r="Q343" s="255"/>
      <c r="R343" s="255"/>
      <c r="S343" s="181" t="str">
        <f t="shared" si="21"/>
        <v/>
      </c>
      <c r="T343" s="686" t="str">
        <f>IFERROR(IF(AND(ISNUMBER(Helper!AY151), ISNUMBER(Helper!AZ151)), ROUND(Helper!AY151/Helper!AZ151,0) &amp; ":" &amp; 1, ""),"")</f>
        <v/>
      </c>
      <c r="U343" s="686"/>
      <c r="V343" s="202"/>
      <c r="W343" s="202"/>
      <c r="X343" s="202"/>
      <c r="Y343" s="202"/>
      <c r="Z343" s="202"/>
      <c r="AA343" s="202"/>
      <c r="AB343" s="202"/>
      <c r="AC343" s="202"/>
      <c r="AD343" s="202"/>
      <c r="AE343" s="202"/>
      <c r="AF343" s="202"/>
      <c r="AG343" s="202"/>
      <c r="AH343" s="202"/>
      <c r="AI343" s="202"/>
      <c r="AJ343" s="202"/>
      <c r="AK343" s="202"/>
      <c r="AL343" s="202"/>
      <c r="AM343" s="202"/>
      <c r="AN343" s="202"/>
      <c r="AO343" s="202"/>
      <c r="AP343" s="202"/>
      <c r="AQ343" s="202"/>
      <c r="AR343" s="202"/>
      <c r="AS343" s="202"/>
      <c r="AT343" s="202"/>
      <c r="AU343" s="202"/>
      <c r="AV343" s="202"/>
      <c r="AW343" s="202"/>
    </row>
    <row r="344" spans="1:49" s="137" customFormat="1" ht="33" hidden="1" customHeight="1">
      <c r="A344" s="202"/>
      <c r="C344" s="795"/>
      <c r="D344" s="795"/>
      <c r="E344" s="795"/>
      <c r="F344" s="795"/>
      <c r="G344" s="163"/>
      <c r="H344" s="163"/>
      <c r="I344" s="676"/>
      <c r="J344" s="676"/>
      <c r="K344" s="676"/>
      <c r="L344" s="676"/>
      <c r="M344" s="676"/>
      <c r="O344" s="202"/>
      <c r="P344" s="258" t="s">
        <v>553</v>
      </c>
      <c r="Q344" s="255"/>
      <c r="R344" s="255"/>
      <c r="S344" s="181" t="str">
        <f t="shared" si="21"/>
        <v/>
      </c>
      <c r="T344" s="686" t="str">
        <f>IFERROR(IF(AND(ISNUMBER(Helper!AY152), ISNUMBER(Helper!AZ152)), ROUND(Helper!AY152/Helper!AZ152,0) &amp; ":" &amp; 1, ""),"")</f>
        <v/>
      </c>
      <c r="U344" s="686"/>
      <c r="V344" s="202"/>
      <c r="W344" s="202"/>
      <c r="X344" s="202"/>
      <c r="Y344" s="202"/>
      <c r="Z344" s="202"/>
      <c r="AA344" s="202"/>
      <c r="AB344" s="202"/>
      <c r="AC344" s="202"/>
      <c r="AD344" s="202"/>
      <c r="AE344" s="202"/>
      <c r="AF344" s="202"/>
      <c r="AG344" s="202"/>
      <c r="AH344" s="202"/>
      <c r="AI344" s="202"/>
      <c r="AJ344" s="202"/>
      <c r="AK344" s="202"/>
      <c r="AL344" s="202"/>
      <c r="AM344" s="202"/>
      <c r="AN344" s="202"/>
      <c r="AO344" s="202"/>
      <c r="AP344" s="202"/>
      <c r="AQ344" s="202"/>
      <c r="AR344" s="202"/>
      <c r="AS344" s="202"/>
      <c r="AT344" s="202"/>
      <c r="AU344" s="202"/>
      <c r="AV344" s="202"/>
      <c r="AW344" s="202"/>
    </row>
    <row r="345" spans="1:49" s="137" customFormat="1" ht="45" hidden="1" customHeight="1">
      <c r="A345" s="202"/>
      <c r="C345" s="795"/>
      <c r="D345" s="795"/>
      <c r="E345" s="795"/>
      <c r="F345" s="795"/>
      <c r="G345" s="163"/>
      <c r="H345" s="163"/>
      <c r="I345" s="676"/>
      <c r="J345" s="676"/>
      <c r="K345" s="676"/>
      <c r="L345" s="676"/>
      <c r="M345" s="676"/>
      <c r="O345" s="202"/>
      <c r="P345" s="258" t="s">
        <v>554</v>
      </c>
      <c r="Q345" s="255"/>
      <c r="R345" s="255"/>
      <c r="S345" s="181" t="str">
        <f t="shared" si="21"/>
        <v/>
      </c>
      <c r="T345" s="686" t="str">
        <f>IFERROR(IF(AND(ISNUMBER(Helper!AY153), ISNUMBER(Helper!AZ153)), ROUND(Helper!AY153/Helper!AZ153,0) &amp; ":" &amp; 1, ""),"")</f>
        <v/>
      </c>
      <c r="U345" s="686"/>
      <c r="V345" s="202"/>
      <c r="W345" s="202"/>
      <c r="X345" s="202"/>
      <c r="Y345" s="202"/>
      <c r="Z345" s="202"/>
      <c r="AA345" s="202"/>
      <c r="AB345" s="202"/>
      <c r="AC345" s="202"/>
      <c r="AD345" s="202"/>
      <c r="AE345" s="202"/>
      <c r="AF345" s="202"/>
      <c r="AG345" s="202"/>
      <c r="AH345" s="202"/>
      <c r="AI345" s="202"/>
      <c r="AJ345" s="202"/>
      <c r="AK345" s="202"/>
      <c r="AL345" s="202"/>
      <c r="AM345" s="202"/>
      <c r="AN345" s="202"/>
      <c r="AO345" s="202"/>
      <c r="AP345" s="202"/>
      <c r="AQ345" s="202"/>
      <c r="AR345" s="202"/>
      <c r="AS345" s="202"/>
      <c r="AT345" s="202"/>
      <c r="AU345" s="202"/>
      <c r="AV345" s="202"/>
      <c r="AW345" s="202"/>
    </row>
    <row r="346" spans="1:49" s="137" customFormat="1" ht="31.5" hidden="1" customHeight="1">
      <c r="A346" s="202"/>
      <c r="C346" s="795"/>
      <c r="D346" s="795"/>
      <c r="E346" s="795"/>
      <c r="F346" s="795"/>
      <c r="G346" s="163"/>
      <c r="H346" s="163"/>
      <c r="I346" s="676"/>
      <c r="J346" s="676"/>
      <c r="K346" s="676"/>
      <c r="L346" s="676"/>
      <c r="M346" s="676"/>
      <c r="O346" s="202"/>
      <c r="P346" s="258" t="s">
        <v>555</v>
      </c>
      <c r="Q346" s="255"/>
      <c r="R346" s="255"/>
      <c r="S346" s="181" t="str">
        <f t="shared" si="21"/>
        <v/>
      </c>
      <c r="T346" s="686" t="str">
        <f>IFERROR(IF(AND(ISNUMBER(Helper!AY154), ISNUMBER(Helper!AZ154)), ROUND(Helper!AY154/Helper!AZ154,0) &amp; ":" &amp; 1, ""),"")</f>
        <v/>
      </c>
      <c r="U346" s="686"/>
      <c r="V346" s="202"/>
      <c r="W346" s="202"/>
      <c r="X346" s="202"/>
      <c r="Y346" s="202"/>
      <c r="Z346" s="202"/>
      <c r="AA346" s="202"/>
      <c r="AB346" s="202"/>
      <c r="AC346" s="202"/>
      <c r="AD346" s="202"/>
      <c r="AE346" s="202"/>
      <c r="AF346" s="202"/>
      <c r="AG346" s="202"/>
      <c r="AH346" s="202"/>
      <c r="AI346" s="202"/>
      <c r="AJ346" s="202"/>
      <c r="AK346" s="202"/>
      <c r="AL346" s="202"/>
      <c r="AM346" s="202"/>
      <c r="AN346" s="202"/>
      <c r="AO346" s="202"/>
      <c r="AP346" s="202"/>
      <c r="AQ346" s="202"/>
      <c r="AR346" s="202"/>
      <c r="AS346" s="202"/>
      <c r="AT346" s="202"/>
      <c r="AU346" s="202"/>
      <c r="AV346" s="202"/>
      <c r="AW346" s="202"/>
    </row>
    <row r="347" spans="1:49" s="134" customFormat="1" ht="15" hidden="1" customHeight="1">
      <c r="A347" s="201"/>
      <c r="O347" s="201"/>
      <c r="P347" s="258" t="s">
        <v>556</v>
      </c>
      <c r="Q347" s="255"/>
      <c r="R347" s="255"/>
      <c r="S347" s="181" t="str">
        <f t="shared" si="21"/>
        <v/>
      </c>
      <c r="T347" s="686" t="str">
        <f>IFERROR(IF(AND(ISNUMBER(Helper!AY155), ISNUMBER(Helper!AZ155)), ROUND(Helper!AY155/Helper!AZ155,0) &amp; ":" &amp; 1, ""),"")</f>
        <v/>
      </c>
      <c r="U347" s="686"/>
      <c r="V347" s="201"/>
      <c r="W347" s="201"/>
      <c r="X347" s="201"/>
      <c r="Y347" s="201"/>
      <c r="Z347" s="201"/>
      <c r="AA347" s="201"/>
      <c r="AB347" s="201"/>
      <c r="AC347" s="201"/>
      <c r="AD347" s="201"/>
      <c r="AE347" s="201"/>
      <c r="AF347" s="201"/>
      <c r="AG347" s="201"/>
      <c r="AH347" s="201"/>
      <c r="AI347" s="201"/>
      <c r="AJ347" s="201"/>
      <c r="AK347" s="201"/>
      <c r="AL347" s="201"/>
      <c r="AM347" s="201"/>
      <c r="AN347" s="201"/>
      <c r="AO347" s="201"/>
      <c r="AP347" s="201"/>
      <c r="AQ347" s="201"/>
      <c r="AR347" s="201"/>
      <c r="AS347" s="201"/>
      <c r="AT347" s="201"/>
      <c r="AU347" s="201"/>
      <c r="AV347" s="201"/>
      <c r="AW347" s="201"/>
    </row>
    <row r="348" spans="1:49" s="134" customFormat="1" ht="15" hidden="1" customHeight="1">
      <c r="A348" s="201"/>
      <c r="O348" s="201"/>
      <c r="P348" s="258" t="s">
        <v>557</v>
      </c>
      <c r="Q348" s="255"/>
      <c r="R348" s="255"/>
      <c r="S348" s="181" t="str">
        <f t="shared" si="21"/>
        <v/>
      </c>
      <c r="T348" s="686" t="str">
        <f>IFERROR(IF(AND(ISNUMBER(Helper!AY156), ISNUMBER(Helper!AZ156)), ROUND(Helper!AY156/Helper!AZ156,0) &amp; ":" &amp; 1, ""),"")</f>
        <v/>
      </c>
      <c r="U348" s="686"/>
      <c r="V348" s="201"/>
      <c r="W348" s="201"/>
      <c r="X348" s="201"/>
      <c r="Y348" s="201"/>
      <c r="Z348" s="201"/>
      <c r="AA348" s="201"/>
      <c r="AB348" s="201"/>
      <c r="AC348" s="201"/>
      <c r="AD348" s="201"/>
      <c r="AE348" s="201"/>
      <c r="AF348" s="201"/>
      <c r="AG348" s="201"/>
      <c r="AH348" s="201"/>
      <c r="AI348" s="201"/>
      <c r="AJ348" s="201"/>
      <c r="AK348" s="201"/>
      <c r="AL348" s="201"/>
      <c r="AM348" s="201"/>
      <c r="AN348" s="201"/>
      <c r="AO348" s="201"/>
      <c r="AP348" s="201"/>
      <c r="AQ348" s="201"/>
      <c r="AR348" s="201"/>
      <c r="AS348" s="201"/>
      <c r="AT348" s="201"/>
      <c r="AU348" s="201"/>
      <c r="AV348" s="201"/>
      <c r="AW348" s="201"/>
    </row>
    <row r="349" spans="1:49" s="134" customFormat="1" ht="18.75" customHeight="1">
      <c r="A349" s="201"/>
      <c r="B349" s="417" t="s">
        <v>955</v>
      </c>
      <c r="C349" s="201"/>
      <c r="D349" s="201"/>
      <c r="E349" s="201"/>
      <c r="F349" s="201"/>
      <c r="G349" s="201"/>
      <c r="H349" s="201"/>
      <c r="I349" s="201"/>
      <c r="J349" s="201"/>
      <c r="K349" s="201"/>
      <c r="L349" s="201"/>
      <c r="M349" s="201"/>
      <c r="N349" s="201"/>
      <c r="O349" s="201"/>
      <c r="P349" s="258" t="s">
        <v>528</v>
      </c>
      <c r="Q349" s="256"/>
      <c r="R349" s="256"/>
      <c r="S349" s="181" t="str">
        <f t="shared" si="21"/>
        <v/>
      </c>
      <c r="T349" s="686" t="str">
        <f>IFERROR(IF(AND(ISNUMBER(Helper!AY157), ISNUMBER(Helper!AZ157)), ROUND(Helper!AY157/Helper!AZ157,0) &amp; ":" &amp; 1, ""),"")</f>
        <v/>
      </c>
      <c r="U349" s="686"/>
      <c r="V349" s="201"/>
      <c r="W349" s="201"/>
      <c r="X349" s="201"/>
      <c r="Y349" s="201"/>
      <c r="Z349" s="201"/>
      <c r="AA349" s="201"/>
      <c r="AB349" s="201"/>
      <c r="AC349" s="201"/>
      <c r="AD349" s="201"/>
      <c r="AE349" s="201"/>
      <c r="AF349" s="201"/>
      <c r="AG349" s="201"/>
      <c r="AH349" s="201"/>
      <c r="AI349" s="201"/>
      <c r="AJ349" s="201"/>
      <c r="AK349" s="201"/>
      <c r="AL349" s="201"/>
      <c r="AM349" s="201"/>
      <c r="AN349" s="201"/>
      <c r="AO349" s="201"/>
      <c r="AP349" s="201"/>
      <c r="AQ349" s="201"/>
      <c r="AR349" s="201"/>
      <c r="AS349" s="201"/>
      <c r="AT349" s="201"/>
      <c r="AU349" s="201"/>
      <c r="AV349" s="201"/>
      <c r="AW349" s="201"/>
    </row>
    <row r="350" spans="1:49" s="134" customFormat="1" ht="17.25" customHeight="1">
      <c r="A350" s="201"/>
      <c r="B350" s="687" t="s">
        <v>954</v>
      </c>
      <c r="C350" s="687"/>
      <c r="D350" s="687"/>
      <c r="E350" s="687"/>
      <c r="F350" s="687"/>
      <c r="G350" s="687"/>
      <c r="H350" s="687"/>
      <c r="I350" s="687"/>
      <c r="J350" s="687"/>
      <c r="K350" s="687"/>
      <c r="L350" s="687"/>
      <c r="M350" s="687"/>
      <c r="N350" s="201"/>
      <c r="O350" s="687" t="s">
        <v>523</v>
      </c>
      <c r="P350" s="687"/>
      <c r="Q350" s="687"/>
      <c r="R350" s="687"/>
      <c r="S350" s="687"/>
      <c r="T350" s="687"/>
      <c r="U350" s="687"/>
      <c r="V350" s="687"/>
      <c r="W350" s="687"/>
      <c r="X350" s="687"/>
      <c r="Y350" s="687"/>
      <c r="Z350" s="201"/>
      <c r="AA350" s="687" t="s">
        <v>524</v>
      </c>
      <c r="AB350" s="687"/>
      <c r="AC350" s="687"/>
      <c r="AD350" s="687"/>
      <c r="AE350" s="687"/>
      <c r="AF350" s="687"/>
      <c r="AG350" s="687"/>
      <c r="AH350" s="687"/>
      <c r="AI350" s="687"/>
      <c r="AJ350" s="687"/>
      <c r="AK350" s="687"/>
      <c r="AL350" s="201"/>
      <c r="AM350" s="201"/>
      <c r="AN350" s="201"/>
      <c r="AO350" s="201"/>
      <c r="AP350" s="201"/>
      <c r="AQ350" s="201"/>
      <c r="AR350" s="201"/>
      <c r="AS350" s="201"/>
      <c r="AT350" s="201"/>
      <c r="AU350" s="201"/>
      <c r="AV350" s="201"/>
      <c r="AW350" s="201"/>
    </row>
    <row r="351" spans="1:49" s="134" customFormat="1" ht="17.25" customHeight="1">
      <c r="A351" s="201"/>
      <c r="B351" s="688" t="s">
        <v>2</v>
      </c>
      <c r="C351" s="688"/>
      <c r="D351" s="689" t="s">
        <v>3</v>
      </c>
      <c r="E351" s="689"/>
      <c r="F351" s="688" t="s">
        <v>267</v>
      </c>
      <c r="G351" s="688"/>
      <c r="H351" s="688"/>
      <c r="I351" s="688"/>
      <c r="J351" s="688"/>
      <c r="K351" s="688"/>
      <c r="L351" s="688"/>
      <c r="M351" s="688"/>
      <c r="N351" s="201"/>
      <c r="O351" s="688" t="s">
        <v>2</v>
      </c>
      <c r="P351" s="689" t="s">
        <v>3</v>
      </c>
      <c r="Q351" s="689"/>
      <c r="R351" s="688" t="s">
        <v>267</v>
      </c>
      <c r="S351" s="688"/>
      <c r="T351" s="688"/>
      <c r="U351" s="688"/>
      <c r="V351" s="688"/>
      <c r="W351" s="688"/>
      <c r="X351" s="688"/>
      <c r="Y351" s="688"/>
      <c r="Z351" s="201"/>
      <c r="AA351" s="688" t="s">
        <v>2</v>
      </c>
      <c r="AB351" s="689" t="s">
        <v>3</v>
      </c>
      <c r="AC351" s="689"/>
      <c r="AD351" s="688" t="s">
        <v>267</v>
      </c>
      <c r="AE351" s="688"/>
      <c r="AF351" s="688"/>
      <c r="AG351" s="688"/>
      <c r="AH351" s="688"/>
      <c r="AI351" s="688"/>
      <c r="AJ351" s="688"/>
      <c r="AK351" s="688"/>
      <c r="AL351" s="201"/>
      <c r="AM351" s="201"/>
      <c r="AN351" s="201"/>
      <c r="AO351" s="201"/>
      <c r="AP351" s="201"/>
      <c r="AQ351" s="201"/>
      <c r="AR351" s="201"/>
      <c r="AS351" s="201"/>
      <c r="AT351" s="201"/>
      <c r="AU351" s="201"/>
      <c r="AV351" s="201"/>
      <c r="AW351" s="201"/>
    </row>
    <row r="352" spans="1:49" s="134" customFormat="1" ht="33.75" customHeight="1">
      <c r="A352" s="201"/>
      <c r="B352" s="688"/>
      <c r="C352" s="688"/>
      <c r="D352" s="689"/>
      <c r="E352" s="689"/>
      <c r="F352" s="91" t="s">
        <v>268</v>
      </c>
      <c r="G352" s="91" t="s">
        <v>269</v>
      </c>
      <c r="H352" s="91" t="s">
        <v>270</v>
      </c>
      <c r="I352" s="91" t="s">
        <v>946</v>
      </c>
      <c r="J352" s="193" t="s">
        <v>4</v>
      </c>
      <c r="K352" s="689" t="s">
        <v>240</v>
      </c>
      <c r="L352" s="689"/>
      <c r="M352" s="689"/>
      <c r="N352" s="201"/>
      <c r="O352" s="688"/>
      <c r="P352" s="689"/>
      <c r="Q352" s="689"/>
      <c r="R352" s="91" t="s">
        <v>268</v>
      </c>
      <c r="S352" s="91" t="s">
        <v>269</v>
      </c>
      <c r="T352" s="91" t="s">
        <v>270</v>
      </c>
      <c r="U352" s="91" t="s">
        <v>946</v>
      </c>
      <c r="V352" s="193" t="s">
        <v>4</v>
      </c>
      <c r="W352" s="689" t="s">
        <v>240</v>
      </c>
      <c r="X352" s="689"/>
      <c r="Y352" s="689"/>
      <c r="Z352" s="201"/>
      <c r="AA352" s="688"/>
      <c r="AB352" s="689"/>
      <c r="AC352" s="689"/>
      <c r="AD352" s="91" t="s">
        <v>268</v>
      </c>
      <c r="AE352" s="91" t="s">
        <v>269</v>
      </c>
      <c r="AF352" s="91" t="s">
        <v>270</v>
      </c>
      <c r="AG352" s="435" t="s">
        <v>946</v>
      </c>
      <c r="AH352" s="193" t="s">
        <v>4</v>
      </c>
      <c r="AI352" s="689" t="s">
        <v>240</v>
      </c>
      <c r="AJ352" s="689"/>
      <c r="AK352" s="689"/>
      <c r="AL352" s="201"/>
      <c r="AM352" s="201"/>
      <c r="AN352" s="201"/>
      <c r="AO352" s="201"/>
      <c r="AP352" s="201"/>
      <c r="AQ352" s="201"/>
      <c r="AR352" s="201"/>
      <c r="AS352" s="201"/>
      <c r="AT352" s="201"/>
      <c r="AU352" s="201"/>
      <c r="AV352" s="201"/>
      <c r="AW352" s="201"/>
    </row>
    <row r="353" spans="1:49" s="134" customFormat="1" ht="13.8">
      <c r="A353" s="201"/>
      <c r="B353" s="801" t="s">
        <v>5</v>
      </c>
      <c r="C353" s="801"/>
      <c r="D353" s="679" t="str">
        <f>IF(Helper!E194=0,"",Helper!E194)</f>
        <v/>
      </c>
      <c r="E353" s="679"/>
      <c r="F353" s="87"/>
      <c r="G353" s="87"/>
      <c r="H353" s="87"/>
      <c r="I353" s="87"/>
      <c r="J353" s="181" t="str">
        <f>IF(OR(ISNUMBER(F353),ISNUMBER(G353),ISNUMBER(H353)),SUM(F353:H353),"")</f>
        <v/>
      </c>
      <c r="K353" s="679" t="str">
        <f t="shared" ref="K353:K359" si="22">IFERROR(IF(AND(ISNUMBER(D353), ISNUMBER(J353)), ROUND(D353/J353,0) &amp; ":" &amp; 1, ""),"")</f>
        <v/>
      </c>
      <c r="L353" s="679"/>
      <c r="M353" s="679"/>
      <c r="N353" s="201"/>
      <c r="O353" s="185" t="s">
        <v>5</v>
      </c>
      <c r="P353" s="679" t="str">
        <f>IF(Helper!K194=0,"",Helper!K194)</f>
        <v/>
      </c>
      <c r="Q353" s="679"/>
      <c r="R353" s="87"/>
      <c r="S353" s="87"/>
      <c r="T353" s="87"/>
      <c r="U353" s="87"/>
      <c r="V353" s="181" t="str">
        <f>IF(OR(ISNUMBER(R353),ISNUMBER(S353),ISNUMBER(T353)),SUM(R353:T353),"")</f>
        <v/>
      </c>
      <c r="W353" s="679" t="str">
        <f>IFERROR(IF(AND(ISNUMBER(P353), ISNUMBER(V353)), ROUND(P353/V353,0) &amp; ":" &amp; 1, ""),"")</f>
        <v/>
      </c>
      <c r="X353" s="679"/>
      <c r="Y353" s="679"/>
      <c r="Z353" s="201"/>
      <c r="AA353" s="185" t="s">
        <v>5</v>
      </c>
      <c r="AB353" s="679" t="str">
        <f>IF(Helper!H194=0,"",Helper!H194)</f>
        <v/>
      </c>
      <c r="AC353" s="679"/>
      <c r="AD353" s="87"/>
      <c r="AE353" s="87"/>
      <c r="AF353" s="87"/>
      <c r="AG353" s="87"/>
      <c r="AH353" s="181" t="str">
        <f>IF(OR(ISNUMBER(AD353),ISNUMBER(AE353),ISNUMBER(AF353)),SUM(AD353:AF353),"")</f>
        <v/>
      </c>
      <c r="AI353" s="679" t="str">
        <f>IFERROR(IF(AND(ISNUMBER(AB353), ISNUMBER(AH353)), ROUND(AB353/AH353,0) &amp; ":" &amp; 1, ""),"")</f>
        <v/>
      </c>
      <c r="AJ353" s="679"/>
      <c r="AK353" s="679"/>
      <c r="AL353" s="201"/>
      <c r="AM353" s="201"/>
      <c r="AN353" s="201"/>
      <c r="AO353" s="201"/>
      <c r="AP353" s="201"/>
      <c r="AQ353" s="201"/>
      <c r="AR353" s="201"/>
      <c r="AS353" s="201"/>
      <c r="AT353" s="201"/>
      <c r="AU353" s="201"/>
      <c r="AV353" s="201"/>
      <c r="AW353" s="201"/>
    </row>
    <row r="354" spans="1:49" s="160" customFormat="1" ht="13.8">
      <c r="A354" s="201"/>
      <c r="B354" s="801" t="s">
        <v>6</v>
      </c>
      <c r="C354" s="801"/>
      <c r="D354" s="679" t="str">
        <f>IF(Helper!E195=0,"",Helper!E195)</f>
        <v/>
      </c>
      <c r="E354" s="679"/>
      <c r="F354" s="87"/>
      <c r="G354" s="87"/>
      <c r="H354" s="87"/>
      <c r="I354" s="87"/>
      <c r="J354" s="181" t="str">
        <f t="shared" ref="J354:J366" si="23">IF(OR(ISNUMBER(F354),ISNUMBER(G354),ISNUMBER(H354)),SUM(F354:H354),"")</f>
        <v/>
      </c>
      <c r="K354" s="679" t="str">
        <f t="shared" si="22"/>
        <v/>
      </c>
      <c r="L354" s="679"/>
      <c r="M354" s="679"/>
      <c r="N354" s="201"/>
      <c r="O354" s="185" t="s">
        <v>6</v>
      </c>
      <c r="P354" s="679" t="str">
        <f>IF(Helper!K195=0,"",Helper!K195)</f>
        <v/>
      </c>
      <c r="Q354" s="679"/>
      <c r="R354" s="87"/>
      <c r="S354" s="87"/>
      <c r="T354" s="87"/>
      <c r="U354" s="87"/>
      <c r="V354" s="181" t="str">
        <f t="shared" ref="V354:V366" si="24">IF(OR(ISNUMBER(R354),ISNUMBER(S354),ISNUMBER(T354)),SUM(R354:T354),"")</f>
        <v/>
      </c>
      <c r="W354" s="679" t="str">
        <f t="shared" ref="W354:W365" si="25">IFERROR(IF(AND(ISNUMBER(P354), ISNUMBER(V354)), ROUND(P354/V354,0) &amp; ":" &amp; 1, ""),"")</f>
        <v/>
      </c>
      <c r="X354" s="679"/>
      <c r="Y354" s="679"/>
      <c r="Z354" s="201"/>
      <c r="AA354" s="185" t="s">
        <v>6</v>
      </c>
      <c r="AB354" s="679" t="str">
        <f>IF(Helper!H195=0,"",Helper!H195)</f>
        <v/>
      </c>
      <c r="AC354" s="679"/>
      <c r="AD354" s="87"/>
      <c r="AE354" s="87"/>
      <c r="AF354" s="87"/>
      <c r="AG354" s="87"/>
      <c r="AH354" s="181" t="str">
        <f t="shared" ref="AH354:AH366" si="26">IF(OR(ISNUMBER(AD354),ISNUMBER(AE354),ISNUMBER(AF354)),SUM(AD354:AF354),"")</f>
        <v/>
      </c>
      <c r="AI354" s="679" t="str">
        <f t="shared" ref="AI354:AI366" si="27">IFERROR(IF(AND(ISNUMBER(AB354), ISNUMBER(AH354)), ROUND(AB354/AH354,0) &amp; ":" &amp; 1, ""),"")</f>
        <v/>
      </c>
      <c r="AJ354" s="679"/>
      <c r="AK354" s="679"/>
      <c r="AL354" s="201"/>
      <c r="AM354" s="201"/>
      <c r="AN354" s="201"/>
      <c r="AO354" s="201"/>
      <c r="AP354" s="201"/>
      <c r="AQ354" s="201"/>
      <c r="AR354" s="201"/>
      <c r="AS354" s="201"/>
      <c r="AT354" s="201"/>
      <c r="AU354" s="201"/>
      <c r="AV354" s="201"/>
      <c r="AW354" s="201"/>
    </row>
    <row r="355" spans="1:49" s="134" customFormat="1" ht="13.8">
      <c r="A355" s="201"/>
      <c r="B355" s="801" t="s">
        <v>7</v>
      </c>
      <c r="C355" s="801"/>
      <c r="D355" s="679" t="str">
        <f>IF(Helper!E196=0,"",Helper!E196)</f>
        <v/>
      </c>
      <c r="E355" s="679"/>
      <c r="F355" s="87"/>
      <c r="G355" s="87"/>
      <c r="H355" s="87"/>
      <c r="I355" s="87"/>
      <c r="J355" s="181" t="str">
        <f t="shared" si="23"/>
        <v/>
      </c>
      <c r="K355" s="679" t="str">
        <f t="shared" si="22"/>
        <v/>
      </c>
      <c r="L355" s="679"/>
      <c r="M355" s="679"/>
      <c r="N355" s="201"/>
      <c r="O355" s="185" t="s">
        <v>7</v>
      </c>
      <c r="P355" s="679" t="str">
        <f>IF(Helper!K196=0,"",Helper!K196)</f>
        <v/>
      </c>
      <c r="Q355" s="679"/>
      <c r="R355" s="87"/>
      <c r="S355" s="87"/>
      <c r="T355" s="87"/>
      <c r="U355" s="87"/>
      <c r="V355" s="181" t="str">
        <f t="shared" si="24"/>
        <v/>
      </c>
      <c r="W355" s="679" t="str">
        <f t="shared" si="25"/>
        <v/>
      </c>
      <c r="X355" s="679"/>
      <c r="Y355" s="679"/>
      <c r="Z355" s="201"/>
      <c r="AA355" s="185" t="s">
        <v>7</v>
      </c>
      <c r="AB355" s="679" t="str">
        <f>IF(Helper!H196=0,"",Helper!H196)</f>
        <v/>
      </c>
      <c r="AC355" s="679"/>
      <c r="AD355" s="87"/>
      <c r="AE355" s="87"/>
      <c r="AF355" s="87"/>
      <c r="AG355" s="87"/>
      <c r="AH355" s="181" t="str">
        <f t="shared" si="26"/>
        <v/>
      </c>
      <c r="AI355" s="679" t="str">
        <f t="shared" si="27"/>
        <v/>
      </c>
      <c r="AJ355" s="679"/>
      <c r="AK355" s="679"/>
      <c r="AL355" s="201"/>
      <c r="AM355" s="201"/>
      <c r="AN355" s="201"/>
      <c r="AO355" s="201"/>
      <c r="AP355" s="201"/>
      <c r="AQ355" s="201"/>
      <c r="AR355" s="201"/>
      <c r="AS355" s="201"/>
      <c r="AT355" s="201"/>
      <c r="AU355" s="201"/>
      <c r="AV355" s="201"/>
      <c r="AW355" s="201"/>
    </row>
    <row r="356" spans="1:49" s="134" customFormat="1" ht="13.8">
      <c r="A356" s="201"/>
      <c r="B356" s="801" t="s">
        <v>8</v>
      </c>
      <c r="C356" s="801"/>
      <c r="D356" s="679" t="str">
        <f>IF(Helper!E197=0,"",Helper!E197)</f>
        <v/>
      </c>
      <c r="E356" s="679"/>
      <c r="F356" s="87"/>
      <c r="G356" s="87"/>
      <c r="H356" s="87"/>
      <c r="I356" s="87"/>
      <c r="J356" s="181" t="str">
        <f t="shared" si="23"/>
        <v/>
      </c>
      <c r="K356" s="679" t="str">
        <f t="shared" si="22"/>
        <v/>
      </c>
      <c r="L356" s="679"/>
      <c r="M356" s="679"/>
      <c r="N356" s="201"/>
      <c r="O356" s="185" t="s">
        <v>8</v>
      </c>
      <c r="P356" s="679" t="str">
        <f>IF(Helper!K197=0,"",Helper!K197)</f>
        <v/>
      </c>
      <c r="Q356" s="679"/>
      <c r="R356" s="87"/>
      <c r="S356" s="87"/>
      <c r="T356" s="87"/>
      <c r="U356" s="87"/>
      <c r="V356" s="181" t="str">
        <f t="shared" si="24"/>
        <v/>
      </c>
      <c r="W356" s="679" t="str">
        <f t="shared" si="25"/>
        <v/>
      </c>
      <c r="X356" s="679"/>
      <c r="Y356" s="679"/>
      <c r="Z356" s="201"/>
      <c r="AA356" s="185" t="s">
        <v>8</v>
      </c>
      <c r="AB356" s="679" t="str">
        <f>IF(Helper!H197=0,"",Helper!H197)</f>
        <v/>
      </c>
      <c r="AC356" s="679"/>
      <c r="AD356" s="87"/>
      <c r="AE356" s="87"/>
      <c r="AF356" s="87"/>
      <c r="AG356" s="87"/>
      <c r="AH356" s="181" t="str">
        <f t="shared" si="26"/>
        <v/>
      </c>
      <c r="AI356" s="679" t="str">
        <f t="shared" si="27"/>
        <v/>
      </c>
      <c r="AJ356" s="679"/>
      <c r="AK356" s="679"/>
      <c r="AL356" s="201"/>
      <c r="AM356" s="201"/>
      <c r="AN356" s="201"/>
      <c r="AO356" s="201"/>
      <c r="AP356" s="201"/>
      <c r="AQ356" s="201"/>
      <c r="AR356" s="201"/>
      <c r="AS356" s="201"/>
      <c r="AT356" s="201"/>
      <c r="AU356" s="201"/>
      <c r="AV356" s="201"/>
      <c r="AW356" s="201"/>
    </row>
    <row r="357" spans="1:49" s="134" customFormat="1" ht="13.8">
      <c r="A357" s="201"/>
      <c r="B357" s="801" t="s">
        <v>9</v>
      </c>
      <c r="C357" s="801"/>
      <c r="D357" s="679" t="str">
        <f>IF(Helper!E198=0,"",Helper!E198)</f>
        <v/>
      </c>
      <c r="E357" s="679"/>
      <c r="F357" s="87"/>
      <c r="G357" s="87"/>
      <c r="H357" s="87"/>
      <c r="I357" s="87"/>
      <c r="J357" s="181" t="str">
        <f t="shared" si="23"/>
        <v/>
      </c>
      <c r="K357" s="679" t="str">
        <f t="shared" si="22"/>
        <v/>
      </c>
      <c r="L357" s="679"/>
      <c r="M357" s="679"/>
      <c r="N357" s="201"/>
      <c r="O357" s="185" t="s">
        <v>9</v>
      </c>
      <c r="P357" s="679" t="str">
        <f>IF(Helper!K198=0,"",Helper!K198)</f>
        <v/>
      </c>
      <c r="Q357" s="679"/>
      <c r="R357" s="87"/>
      <c r="S357" s="87"/>
      <c r="T357" s="87"/>
      <c r="U357" s="87"/>
      <c r="V357" s="181" t="str">
        <f t="shared" si="24"/>
        <v/>
      </c>
      <c r="W357" s="679" t="str">
        <f t="shared" si="25"/>
        <v/>
      </c>
      <c r="X357" s="679"/>
      <c r="Y357" s="679"/>
      <c r="Z357" s="201"/>
      <c r="AA357" s="185" t="s">
        <v>9</v>
      </c>
      <c r="AB357" s="679" t="str">
        <f>IF(Helper!H198=0,"",Helper!H198)</f>
        <v/>
      </c>
      <c r="AC357" s="679"/>
      <c r="AD357" s="87"/>
      <c r="AE357" s="87"/>
      <c r="AF357" s="87"/>
      <c r="AG357" s="87"/>
      <c r="AH357" s="181" t="str">
        <f t="shared" si="26"/>
        <v/>
      </c>
      <c r="AI357" s="679" t="str">
        <f t="shared" si="27"/>
        <v/>
      </c>
      <c r="AJ357" s="679"/>
      <c r="AK357" s="679"/>
      <c r="AL357" s="201"/>
      <c r="AM357" s="201"/>
      <c r="AN357" s="201"/>
      <c r="AO357" s="201"/>
      <c r="AP357" s="201"/>
      <c r="AQ357" s="201"/>
      <c r="AR357" s="201"/>
      <c r="AS357" s="201"/>
      <c r="AT357" s="201"/>
      <c r="AU357" s="201"/>
      <c r="AV357" s="201"/>
      <c r="AW357" s="201"/>
    </row>
    <row r="358" spans="1:49" s="134" customFormat="1" ht="13.8">
      <c r="A358" s="201"/>
      <c r="B358" s="801" t="s">
        <v>10</v>
      </c>
      <c r="C358" s="801"/>
      <c r="D358" s="679" t="str">
        <f>IF(Helper!E199=0,"",Helper!E199)</f>
        <v/>
      </c>
      <c r="E358" s="679"/>
      <c r="F358" s="87"/>
      <c r="G358" s="87"/>
      <c r="H358" s="87"/>
      <c r="I358" s="87"/>
      <c r="J358" s="181" t="str">
        <f t="shared" si="23"/>
        <v/>
      </c>
      <c r="K358" s="679" t="str">
        <f t="shared" si="22"/>
        <v/>
      </c>
      <c r="L358" s="679"/>
      <c r="M358" s="679"/>
      <c r="N358" s="201"/>
      <c r="O358" s="185" t="s">
        <v>10</v>
      </c>
      <c r="P358" s="679" t="str">
        <f>IF(Helper!K199=0,"",Helper!K199)</f>
        <v/>
      </c>
      <c r="Q358" s="679"/>
      <c r="R358" s="87"/>
      <c r="S358" s="87"/>
      <c r="T358" s="87"/>
      <c r="U358" s="87"/>
      <c r="V358" s="181" t="str">
        <f t="shared" si="24"/>
        <v/>
      </c>
      <c r="W358" s="679" t="str">
        <f t="shared" si="25"/>
        <v/>
      </c>
      <c r="X358" s="679"/>
      <c r="Y358" s="679"/>
      <c r="Z358" s="201"/>
      <c r="AA358" s="185" t="s">
        <v>10</v>
      </c>
      <c r="AB358" s="679" t="str">
        <f>IF(Helper!H199=0,"",Helper!H199)</f>
        <v/>
      </c>
      <c r="AC358" s="679"/>
      <c r="AD358" s="87"/>
      <c r="AE358" s="87"/>
      <c r="AF358" s="87"/>
      <c r="AG358" s="87"/>
      <c r="AH358" s="181" t="str">
        <f t="shared" si="26"/>
        <v/>
      </c>
      <c r="AI358" s="679" t="str">
        <f t="shared" si="27"/>
        <v/>
      </c>
      <c r="AJ358" s="679"/>
      <c r="AK358" s="679"/>
      <c r="AL358" s="201"/>
      <c r="AM358" s="201"/>
      <c r="AN358" s="201"/>
      <c r="AO358" s="201"/>
      <c r="AP358" s="201"/>
      <c r="AQ358" s="201"/>
      <c r="AR358" s="201"/>
      <c r="AS358" s="201"/>
      <c r="AT358" s="201"/>
      <c r="AU358" s="201"/>
      <c r="AV358" s="201"/>
      <c r="AW358" s="201"/>
    </row>
    <row r="359" spans="1:49" s="134" customFormat="1" ht="13.8">
      <c r="A359" s="201"/>
      <c r="B359" s="801" t="s">
        <v>11</v>
      </c>
      <c r="C359" s="801"/>
      <c r="D359" s="679" t="str">
        <f>IF(Helper!E200=0,"",Helper!E200)</f>
        <v/>
      </c>
      <c r="E359" s="679"/>
      <c r="F359" s="87"/>
      <c r="G359" s="87"/>
      <c r="H359" s="87"/>
      <c r="I359" s="87"/>
      <c r="J359" s="181" t="str">
        <f t="shared" si="23"/>
        <v/>
      </c>
      <c r="K359" s="679" t="str">
        <f t="shared" si="22"/>
        <v/>
      </c>
      <c r="L359" s="679"/>
      <c r="M359" s="679"/>
      <c r="N359" s="201"/>
      <c r="O359" s="185" t="s">
        <v>11</v>
      </c>
      <c r="P359" s="679" t="str">
        <f>IF(Helper!K200=0,"",Helper!K200)</f>
        <v/>
      </c>
      <c r="Q359" s="679"/>
      <c r="R359" s="87"/>
      <c r="S359" s="87"/>
      <c r="T359" s="87"/>
      <c r="U359" s="87"/>
      <c r="V359" s="181" t="str">
        <f t="shared" si="24"/>
        <v/>
      </c>
      <c r="W359" s="679" t="str">
        <f t="shared" si="25"/>
        <v/>
      </c>
      <c r="X359" s="679"/>
      <c r="Y359" s="679"/>
      <c r="Z359" s="201"/>
      <c r="AA359" s="185" t="s">
        <v>11</v>
      </c>
      <c r="AB359" s="679" t="str">
        <f>IF(Helper!H200=0,"",Helper!H200)</f>
        <v/>
      </c>
      <c r="AC359" s="679"/>
      <c r="AD359" s="87"/>
      <c r="AE359" s="87"/>
      <c r="AF359" s="87"/>
      <c r="AG359" s="87"/>
      <c r="AH359" s="181" t="str">
        <f t="shared" si="26"/>
        <v/>
      </c>
      <c r="AI359" s="679" t="str">
        <f t="shared" si="27"/>
        <v/>
      </c>
      <c r="AJ359" s="679"/>
      <c r="AK359" s="679"/>
      <c r="AL359" s="201"/>
      <c r="AM359" s="201"/>
      <c r="AN359" s="201"/>
      <c r="AO359" s="201"/>
      <c r="AP359" s="201"/>
      <c r="AQ359" s="201"/>
      <c r="AR359" s="201"/>
      <c r="AS359" s="201"/>
      <c r="AT359" s="201"/>
      <c r="AU359" s="201"/>
      <c r="AV359" s="201"/>
      <c r="AW359" s="201"/>
    </row>
    <row r="360" spans="1:49" s="134" customFormat="1" ht="13.8">
      <c r="A360" s="201"/>
      <c r="B360" s="801" t="s">
        <v>12</v>
      </c>
      <c r="C360" s="801"/>
      <c r="D360" s="679">
        <f>IF(Helper!E201=0,"",Helper!E201)</f>
        <v>364</v>
      </c>
      <c r="E360" s="679"/>
      <c r="F360" s="87">
        <v>6</v>
      </c>
      <c r="G360" s="87"/>
      <c r="H360" s="87"/>
      <c r="I360" s="87"/>
      <c r="J360" s="181">
        <f t="shared" si="23"/>
        <v>6</v>
      </c>
      <c r="K360" s="679" t="str">
        <f t="shared" ref="K360:K366" si="28">IFERROR(IF(AND(ISNUMBER(D360), ISNUMBER(J360)), ROUND(D360/J360,0) &amp; ":" &amp; 1, ""),"")</f>
        <v>61:1</v>
      </c>
      <c r="L360" s="679"/>
      <c r="M360" s="679"/>
      <c r="N360" s="201"/>
      <c r="O360" s="185" t="s">
        <v>12</v>
      </c>
      <c r="P360" s="679" t="str">
        <f>IF(Helper!K201=0,"",Helper!K201)</f>
        <v/>
      </c>
      <c r="Q360" s="679"/>
      <c r="R360" s="87"/>
      <c r="S360" s="87"/>
      <c r="T360" s="87"/>
      <c r="U360" s="87"/>
      <c r="V360" s="181" t="str">
        <f t="shared" si="24"/>
        <v/>
      </c>
      <c r="W360" s="679" t="str">
        <f t="shared" si="25"/>
        <v/>
      </c>
      <c r="X360" s="679"/>
      <c r="Y360" s="679"/>
      <c r="Z360" s="201"/>
      <c r="AA360" s="185" t="s">
        <v>12</v>
      </c>
      <c r="AB360" s="679" t="str">
        <f>IF(Helper!H201=0,"",Helper!H201)</f>
        <v/>
      </c>
      <c r="AC360" s="679"/>
      <c r="AD360" s="87"/>
      <c r="AE360" s="87"/>
      <c r="AF360" s="87"/>
      <c r="AG360" s="87"/>
      <c r="AH360" s="181" t="str">
        <f t="shared" si="26"/>
        <v/>
      </c>
      <c r="AI360" s="679" t="str">
        <f t="shared" si="27"/>
        <v/>
      </c>
      <c r="AJ360" s="679"/>
      <c r="AK360" s="679"/>
      <c r="AL360" s="201"/>
      <c r="AM360" s="201"/>
      <c r="AN360" s="201"/>
      <c r="AO360" s="201"/>
      <c r="AP360" s="201"/>
      <c r="AQ360" s="201"/>
      <c r="AR360" s="201"/>
      <c r="AS360" s="201"/>
      <c r="AT360" s="201"/>
      <c r="AU360" s="201"/>
      <c r="AV360" s="201"/>
      <c r="AW360" s="201"/>
    </row>
    <row r="361" spans="1:49" s="134" customFormat="1" ht="13.8">
      <c r="A361" s="201"/>
      <c r="B361" s="801" t="s">
        <v>13</v>
      </c>
      <c r="C361" s="801"/>
      <c r="D361" s="679">
        <f>IF(Helper!E202=0,"",Helper!E202)</f>
        <v>305</v>
      </c>
      <c r="E361" s="679"/>
      <c r="F361" s="87">
        <v>6</v>
      </c>
      <c r="G361" s="87"/>
      <c r="H361" s="87"/>
      <c r="I361" s="87"/>
      <c r="J361" s="181">
        <f t="shared" si="23"/>
        <v>6</v>
      </c>
      <c r="K361" s="679" t="str">
        <f t="shared" si="28"/>
        <v>51:1</v>
      </c>
      <c r="L361" s="679"/>
      <c r="M361" s="679"/>
      <c r="N361" s="201"/>
      <c r="O361" s="185" t="s">
        <v>13</v>
      </c>
      <c r="P361" s="679" t="str">
        <f>IF(Helper!K202=0,"",Helper!K202)</f>
        <v/>
      </c>
      <c r="Q361" s="679"/>
      <c r="R361" s="87"/>
      <c r="S361" s="87"/>
      <c r="T361" s="87"/>
      <c r="U361" s="87"/>
      <c r="V361" s="181" t="str">
        <f t="shared" si="24"/>
        <v/>
      </c>
      <c r="W361" s="679" t="str">
        <f t="shared" si="25"/>
        <v/>
      </c>
      <c r="X361" s="679"/>
      <c r="Y361" s="679"/>
      <c r="Z361" s="201"/>
      <c r="AA361" s="185" t="s">
        <v>13</v>
      </c>
      <c r="AB361" s="679" t="str">
        <f>IF(Helper!H202=0,"",Helper!H202)</f>
        <v/>
      </c>
      <c r="AC361" s="679"/>
      <c r="AD361" s="87"/>
      <c r="AE361" s="87"/>
      <c r="AF361" s="87"/>
      <c r="AG361" s="87"/>
      <c r="AH361" s="181" t="str">
        <f t="shared" si="26"/>
        <v/>
      </c>
      <c r="AI361" s="679" t="str">
        <f t="shared" si="27"/>
        <v/>
      </c>
      <c r="AJ361" s="679"/>
      <c r="AK361" s="679"/>
      <c r="AL361" s="201"/>
      <c r="AM361" s="201"/>
      <c r="AN361" s="201"/>
      <c r="AO361" s="201"/>
      <c r="AP361" s="201"/>
      <c r="AQ361" s="201"/>
      <c r="AR361" s="201"/>
      <c r="AS361" s="201"/>
      <c r="AT361" s="201"/>
      <c r="AU361" s="201"/>
      <c r="AV361" s="201"/>
      <c r="AW361" s="201"/>
    </row>
    <row r="362" spans="1:49" s="134" customFormat="1" ht="13.8">
      <c r="A362" s="201"/>
      <c r="B362" s="801" t="s">
        <v>14</v>
      </c>
      <c r="C362" s="801"/>
      <c r="D362" s="679">
        <f>IF(Helper!E203=0,"",Helper!E203)</f>
        <v>247</v>
      </c>
      <c r="E362" s="679"/>
      <c r="F362" s="87">
        <v>5</v>
      </c>
      <c r="G362" s="87"/>
      <c r="H362" s="87"/>
      <c r="I362" s="87"/>
      <c r="J362" s="181">
        <f t="shared" si="23"/>
        <v>5</v>
      </c>
      <c r="K362" s="679" t="str">
        <f t="shared" si="28"/>
        <v>49:1</v>
      </c>
      <c r="L362" s="679"/>
      <c r="M362" s="679"/>
      <c r="N362" s="201"/>
      <c r="O362" s="185" t="s">
        <v>14</v>
      </c>
      <c r="P362" s="679" t="str">
        <f>IF(Helper!K203=0,"",Helper!K203)</f>
        <v/>
      </c>
      <c r="Q362" s="679"/>
      <c r="R362" s="87"/>
      <c r="S362" s="87"/>
      <c r="T362" s="87"/>
      <c r="U362" s="87"/>
      <c r="V362" s="181" t="str">
        <f t="shared" si="24"/>
        <v/>
      </c>
      <c r="W362" s="679" t="str">
        <f t="shared" si="25"/>
        <v/>
      </c>
      <c r="X362" s="679"/>
      <c r="Y362" s="679"/>
      <c r="Z362" s="201"/>
      <c r="AA362" s="185" t="s">
        <v>14</v>
      </c>
      <c r="AB362" s="679" t="str">
        <f>IF(Helper!H203=0,"",Helper!H203)</f>
        <v/>
      </c>
      <c r="AC362" s="679"/>
      <c r="AD362" s="87"/>
      <c r="AE362" s="87"/>
      <c r="AF362" s="87"/>
      <c r="AG362" s="87"/>
      <c r="AH362" s="181" t="str">
        <f t="shared" si="26"/>
        <v/>
      </c>
      <c r="AI362" s="679" t="str">
        <f t="shared" si="27"/>
        <v/>
      </c>
      <c r="AJ362" s="679"/>
      <c r="AK362" s="679"/>
      <c r="AL362" s="201"/>
      <c r="AM362" s="201"/>
      <c r="AN362" s="201"/>
      <c r="AO362" s="201"/>
      <c r="AP362" s="201"/>
      <c r="AQ362" s="201"/>
      <c r="AR362" s="201"/>
      <c r="AS362" s="201"/>
      <c r="AT362" s="201"/>
      <c r="AU362" s="201"/>
      <c r="AV362" s="201"/>
      <c r="AW362" s="201"/>
    </row>
    <row r="363" spans="1:49" s="134" customFormat="1" ht="13.8">
      <c r="A363" s="201"/>
      <c r="B363" s="801" t="s">
        <v>15</v>
      </c>
      <c r="C363" s="801"/>
      <c r="D363" s="679">
        <f>IF(Helper!E204=0,"",Helper!E204)</f>
        <v>221</v>
      </c>
      <c r="E363" s="679"/>
      <c r="F363" s="87">
        <v>5</v>
      </c>
      <c r="G363" s="87"/>
      <c r="H363" s="87"/>
      <c r="I363" s="87"/>
      <c r="J363" s="181">
        <f t="shared" si="23"/>
        <v>5</v>
      </c>
      <c r="K363" s="679" t="str">
        <f t="shared" si="28"/>
        <v>44:1</v>
      </c>
      <c r="L363" s="679"/>
      <c r="M363" s="679"/>
      <c r="N363" s="201"/>
      <c r="O363" s="260" t="s">
        <v>15</v>
      </c>
      <c r="P363" s="679" t="str">
        <f>IF(Helper!K204=0,"",Helper!K204)</f>
        <v/>
      </c>
      <c r="Q363" s="679"/>
      <c r="R363" s="87"/>
      <c r="S363" s="87"/>
      <c r="T363" s="87"/>
      <c r="U363" s="87"/>
      <c r="V363" s="181" t="str">
        <f t="shared" si="24"/>
        <v/>
      </c>
      <c r="W363" s="679" t="str">
        <f t="shared" si="25"/>
        <v/>
      </c>
      <c r="X363" s="679"/>
      <c r="Y363" s="679"/>
      <c r="Z363" s="201"/>
      <c r="AA363" s="260" t="s">
        <v>15</v>
      </c>
      <c r="AB363" s="679" t="str">
        <f>IF(Helper!H204=0,"",Helper!H204)</f>
        <v/>
      </c>
      <c r="AC363" s="679"/>
      <c r="AD363" s="87"/>
      <c r="AE363" s="87"/>
      <c r="AF363" s="87"/>
      <c r="AG363" s="87"/>
      <c r="AH363" s="181" t="str">
        <f t="shared" si="26"/>
        <v/>
      </c>
      <c r="AI363" s="679" t="str">
        <f t="shared" si="27"/>
        <v/>
      </c>
      <c r="AJ363" s="679"/>
      <c r="AK363" s="679"/>
      <c r="AL363" s="201"/>
      <c r="AM363" s="201"/>
      <c r="AN363" s="201"/>
      <c r="AO363" s="201"/>
      <c r="AP363" s="201"/>
      <c r="AQ363" s="201"/>
      <c r="AR363" s="201"/>
      <c r="AS363" s="201"/>
      <c r="AT363" s="201"/>
      <c r="AU363" s="201"/>
      <c r="AV363" s="201"/>
      <c r="AW363" s="201"/>
    </row>
    <row r="364" spans="1:49" s="134" customFormat="1" ht="13.8">
      <c r="A364" s="201"/>
      <c r="B364" s="801" t="s">
        <v>16</v>
      </c>
      <c r="C364" s="801"/>
      <c r="D364" s="679">
        <f>IF(Helper!E205=0,"",Helper!E205)</f>
        <v>207</v>
      </c>
      <c r="E364" s="679"/>
      <c r="F364" s="87">
        <v>4</v>
      </c>
      <c r="G364" s="87"/>
      <c r="H364" s="87"/>
      <c r="I364" s="87"/>
      <c r="J364" s="181">
        <f t="shared" si="23"/>
        <v>4</v>
      </c>
      <c r="K364" s="679" t="str">
        <f t="shared" si="28"/>
        <v>52:1</v>
      </c>
      <c r="L364" s="679"/>
      <c r="M364" s="679"/>
      <c r="N364" s="201"/>
      <c r="O364" s="260" t="s">
        <v>16</v>
      </c>
      <c r="P364" s="679" t="str">
        <f>IF(Helper!K205=0,"",Helper!K205)</f>
        <v/>
      </c>
      <c r="Q364" s="679"/>
      <c r="R364" s="87"/>
      <c r="S364" s="87"/>
      <c r="T364" s="87"/>
      <c r="U364" s="87"/>
      <c r="V364" s="181" t="str">
        <f t="shared" si="24"/>
        <v/>
      </c>
      <c r="W364" s="679" t="str">
        <f t="shared" si="25"/>
        <v/>
      </c>
      <c r="X364" s="679"/>
      <c r="Y364" s="679"/>
      <c r="Z364" s="201"/>
      <c r="AA364" s="260" t="s">
        <v>16</v>
      </c>
      <c r="AB364" s="679" t="str">
        <f>IF(Helper!H205=0,"",Helper!H205)</f>
        <v/>
      </c>
      <c r="AC364" s="679"/>
      <c r="AD364" s="87"/>
      <c r="AE364" s="87"/>
      <c r="AF364" s="87"/>
      <c r="AG364" s="87"/>
      <c r="AH364" s="181" t="str">
        <f t="shared" si="26"/>
        <v/>
      </c>
      <c r="AI364" s="679" t="str">
        <f t="shared" si="27"/>
        <v/>
      </c>
      <c r="AJ364" s="679"/>
      <c r="AK364" s="679"/>
      <c r="AL364" s="201"/>
      <c r="AM364" s="201"/>
      <c r="AN364" s="201"/>
      <c r="AO364" s="201"/>
      <c r="AP364" s="201"/>
      <c r="AQ364" s="201"/>
      <c r="AR364" s="201"/>
      <c r="AS364" s="201"/>
      <c r="AT364" s="201"/>
      <c r="AU364" s="201"/>
      <c r="AV364" s="201"/>
      <c r="AW364" s="201"/>
    </row>
    <row r="365" spans="1:49" s="134" customFormat="1" ht="17.25" customHeight="1">
      <c r="A365" s="201"/>
      <c r="B365" s="801" t="s">
        <v>17</v>
      </c>
      <c r="C365" s="801"/>
      <c r="D365" s="679">
        <f>IF(Helper!E206=0,"",Helper!E206)</f>
        <v>161</v>
      </c>
      <c r="E365" s="679"/>
      <c r="F365" s="87">
        <v>4</v>
      </c>
      <c r="G365" s="87"/>
      <c r="H365" s="87"/>
      <c r="I365" s="87"/>
      <c r="J365" s="181">
        <f t="shared" si="23"/>
        <v>4</v>
      </c>
      <c r="K365" s="679" t="str">
        <f t="shared" si="28"/>
        <v>40:1</v>
      </c>
      <c r="L365" s="679"/>
      <c r="M365" s="679"/>
      <c r="N365" s="201"/>
      <c r="O365" s="260" t="s">
        <v>17</v>
      </c>
      <c r="P365" s="679" t="str">
        <f>IF(Helper!K206=0,"",Helper!K206)</f>
        <v/>
      </c>
      <c r="Q365" s="679"/>
      <c r="R365" s="87"/>
      <c r="S365" s="87"/>
      <c r="T365" s="87"/>
      <c r="U365" s="87"/>
      <c r="V365" s="181" t="str">
        <f t="shared" si="24"/>
        <v/>
      </c>
      <c r="W365" s="679" t="str">
        <f t="shared" si="25"/>
        <v/>
      </c>
      <c r="X365" s="679"/>
      <c r="Y365" s="679"/>
      <c r="Z365" s="201"/>
      <c r="AA365" s="260" t="s">
        <v>17</v>
      </c>
      <c r="AB365" s="679" t="str">
        <f>IF(Helper!H206=0,"",Helper!H206)</f>
        <v/>
      </c>
      <c r="AC365" s="679"/>
      <c r="AD365" s="87"/>
      <c r="AE365" s="87"/>
      <c r="AF365" s="87"/>
      <c r="AG365" s="87"/>
      <c r="AH365" s="181" t="str">
        <f t="shared" si="26"/>
        <v/>
      </c>
      <c r="AI365" s="679" t="str">
        <f t="shared" si="27"/>
        <v/>
      </c>
      <c r="AJ365" s="679"/>
      <c r="AK365" s="679"/>
      <c r="AL365" s="201"/>
      <c r="AM365" s="201"/>
      <c r="AN365" s="201"/>
      <c r="AO365" s="201"/>
      <c r="AP365" s="201"/>
      <c r="AQ365" s="201"/>
      <c r="AR365" s="201"/>
      <c r="AS365" s="201"/>
      <c r="AT365" s="201"/>
      <c r="AU365" s="201"/>
      <c r="AV365" s="201"/>
      <c r="AW365" s="201"/>
    </row>
    <row r="366" spans="1:49" s="134" customFormat="1" ht="17.25" customHeight="1">
      <c r="A366" s="201"/>
      <c r="B366" s="813" t="s">
        <v>18</v>
      </c>
      <c r="C366" s="813"/>
      <c r="D366" s="690">
        <f>IF(COUNT(D353:E365)&gt;0, SUM(D353:E365), "")</f>
        <v>1505</v>
      </c>
      <c r="E366" s="690"/>
      <c r="F366" s="191">
        <f>IF(COUNT(F353:F365)&gt;0, SUM(F353:F365), "")</f>
        <v>30</v>
      </c>
      <c r="G366" s="191" t="str">
        <f>IF(COUNT(G353:G365)&gt;0, SUM(G353:G365), "")</f>
        <v/>
      </c>
      <c r="H366" s="191" t="str">
        <f>IF(COUNT(H353:H365)&gt;0, SUM(H353:H365), "")</f>
        <v/>
      </c>
      <c r="I366" s="191" t="str">
        <f>IF(COUNT(I353:I365)&gt;0, SUM(I353:I365), "")</f>
        <v/>
      </c>
      <c r="J366" s="181">
        <f t="shared" si="23"/>
        <v>30</v>
      </c>
      <c r="K366" s="688" t="str">
        <f t="shared" si="28"/>
        <v>50:1</v>
      </c>
      <c r="L366" s="688"/>
      <c r="M366" s="688"/>
      <c r="N366" s="201"/>
      <c r="O366" s="268" t="s">
        <v>18</v>
      </c>
      <c r="P366" s="690" t="str">
        <f>IF(COUNT(P353:Q365)&gt;0, SUM(P353:Q365), "")</f>
        <v/>
      </c>
      <c r="Q366" s="690"/>
      <c r="R366" s="191" t="str">
        <f>IF(COUNT(R353:R365)&gt;0, SUM(R353:R365), "")</f>
        <v/>
      </c>
      <c r="S366" s="191" t="str">
        <f>IF(COUNT(S353:S365)&gt;0, SUM(S353:S365), "")</f>
        <v/>
      </c>
      <c r="T366" s="191" t="str">
        <f>IF(COUNT(T353:T365)&gt;0, SUM(T353:T365), "")</f>
        <v/>
      </c>
      <c r="U366" s="191" t="str">
        <f>IF(COUNT(U353:U365)&gt;0, SUM(U353:U365), "")</f>
        <v/>
      </c>
      <c r="V366" s="191" t="str">
        <f t="shared" si="24"/>
        <v/>
      </c>
      <c r="W366" s="688" t="str">
        <f>IFERROR(IF(AND(ISNUMBER(P366), ISNUMBER(V366)), ROUND(P366/V366,0) &amp; ":" &amp; 1, ""),"")</f>
        <v/>
      </c>
      <c r="X366" s="688"/>
      <c r="Y366" s="688"/>
      <c r="Z366" s="201"/>
      <c r="AA366" s="260" t="s">
        <v>526</v>
      </c>
      <c r="AB366" s="679" t="str">
        <f>IF(Helper!N193=0,"",Helper!N193)</f>
        <v/>
      </c>
      <c r="AC366" s="679"/>
      <c r="AD366" s="87"/>
      <c r="AE366" s="87"/>
      <c r="AF366" s="87"/>
      <c r="AG366" s="87"/>
      <c r="AH366" s="181" t="str">
        <f t="shared" si="26"/>
        <v/>
      </c>
      <c r="AI366" s="679" t="str">
        <f t="shared" si="27"/>
        <v/>
      </c>
      <c r="AJ366" s="679"/>
      <c r="AK366" s="679"/>
      <c r="AL366" s="201"/>
      <c r="AM366" s="201"/>
      <c r="AN366" s="201"/>
      <c r="AO366" s="201"/>
      <c r="AP366" s="201"/>
      <c r="AQ366" s="201"/>
      <c r="AR366" s="201"/>
      <c r="AS366" s="201"/>
      <c r="AT366" s="201"/>
      <c r="AU366" s="201"/>
      <c r="AV366" s="201"/>
      <c r="AW366" s="201"/>
    </row>
    <row r="367" spans="1:49" s="134" customFormat="1" ht="1.5" customHeight="1">
      <c r="A367" s="201"/>
      <c r="B367" s="201"/>
      <c r="C367" s="204"/>
      <c r="D367" s="201"/>
      <c r="E367" s="201"/>
      <c r="F367" s="201"/>
      <c r="G367" s="201"/>
      <c r="H367" s="201"/>
      <c r="I367" s="201"/>
      <c r="J367" s="201"/>
      <c r="K367" s="201"/>
      <c r="L367" s="201"/>
      <c r="M367" s="201"/>
      <c r="N367" s="201"/>
      <c r="O367" s="204"/>
      <c r="P367" s="201"/>
      <c r="Q367" s="201"/>
      <c r="R367" s="201"/>
      <c r="S367" s="201"/>
      <c r="T367" s="201"/>
      <c r="U367" s="201"/>
      <c r="V367" s="201"/>
      <c r="W367" s="201"/>
      <c r="X367" s="201"/>
      <c r="Y367" s="201"/>
      <c r="Z367" s="202"/>
      <c r="AA367" s="261" t="s">
        <v>18</v>
      </c>
      <c r="AB367" s="684" t="str">
        <f>IF(COUNT(AB353:AC366)&gt;0, SUM(AB353:AC366), "")</f>
        <v/>
      </c>
      <c r="AC367" s="684"/>
      <c r="AD367" s="262" t="str">
        <f>IF(COUNT(AD353:AD366)&gt;0, SUM(AD353:AD366), "")</f>
        <v/>
      </c>
      <c r="AE367" s="262" t="str">
        <f>IF(COUNT(AE353:AE366)&gt;0, SUM(AE353:AE366), "")</f>
        <v/>
      </c>
      <c r="AF367" s="262" t="str">
        <f>IF(COUNT(AF353:AF366)&gt;0, SUM(AF353:AF366), "")</f>
        <v/>
      </c>
      <c r="AG367" s="262" t="str">
        <f>IF(COUNT(AG353:AG366)&gt;0, SUM(AG353:AG366), "")</f>
        <v/>
      </c>
      <c r="AH367" s="262" t="str">
        <f>IF(COUNT(AH353:AH366)&gt;0, SUM(AH353:AH366), "")</f>
        <v/>
      </c>
      <c r="AI367" s="685" t="str">
        <f>IFERROR(IF(AND(ISNUMBER(AB367), ISNUMBER(AH367)), ROUND(AB367/AH367,0) &amp; ":" &amp; 1, ""),"")</f>
        <v/>
      </c>
      <c r="AJ367" s="685"/>
      <c r="AK367" s="685"/>
      <c r="AL367" s="202"/>
      <c r="AM367" s="202"/>
      <c r="AN367" s="202"/>
      <c r="AO367" s="202"/>
      <c r="AP367" s="201"/>
      <c r="AQ367" s="201"/>
      <c r="AR367" s="201"/>
      <c r="AS367" s="201"/>
      <c r="AT367" s="201"/>
      <c r="AU367" s="201"/>
      <c r="AV367" s="201"/>
      <c r="AW367" s="201"/>
    </row>
    <row r="368" spans="1:49" s="134" customFormat="1" ht="1.5" customHeight="1">
      <c r="A368" s="201"/>
      <c r="B368" s="201"/>
      <c r="C368" s="201"/>
      <c r="D368" s="201"/>
      <c r="E368" s="201"/>
      <c r="F368" s="201"/>
      <c r="G368" s="201"/>
      <c r="H368" s="201"/>
      <c r="I368" s="201"/>
      <c r="J368" s="201"/>
      <c r="K368" s="201"/>
      <c r="L368" s="201"/>
      <c r="M368" s="201"/>
      <c r="N368" s="201"/>
      <c r="O368" s="201"/>
      <c r="P368" s="201"/>
      <c r="Q368" s="201"/>
      <c r="R368" s="201"/>
      <c r="S368" s="201"/>
      <c r="T368" s="201"/>
      <c r="U368" s="201"/>
      <c r="V368" s="201"/>
      <c r="W368" s="201"/>
      <c r="X368" s="201"/>
      <c r="Y368" s="201"/>
      <c r="Z368" s="202"/>
      <c r="AA368" s="202"/>
      <c r="AB368" s="202"/>
      <c r="AC368" s="202"/>
      <c r="AD368" s="202"/>
      <c r="AE368" s="202"/>
      <c r="AF368" s="202"/>
      <c r="AG368" s="202"/>
      <c r="AH368" s="202"/>
      <c r="AI368" s="202"/>
      <c r="AJ368" s="202"/>
      <c r="AK368" s="202"/>
      <c r="AL368" s="202"/>
      <c r="AM368" s="201"/>
      <c r="AN368" s="201"/>
      <c r="AO368" s="201"/>
      <c r="AP368" s="201"/>
      <c r="AQ368" s="201"/>
      <c r="AR368" s="201"/>
      <c r="AS368" s="201"/>
      <c r="AT368" s="201"/>
      <c r="AU368" s="201"/>
      <c r="AV368" s="201"/>
      <c r="AW368" s="201"/>
    </row>
    <row r="369" spans="1:49" s="134" customFormat="1" ht="17.25" customHeight="1">
      <c r="A369" s="201"/>
      <c r="B369" s="201"/>
      <c r="C369" s="201" t="s">
        <v>767</v>
      </c>
      <c r="D369" s="201"/>
      <c r="E369" s="201"/>
      <c r="F369" s="201"/>
      <c r="G369" s="201"/>
      <c r="H369" s="201"/>
      <c r="I369" s="201"/>
      <c r="J369" s="201"/>
      <c r="K369" s="201"/>
      <c r="L369" s="201"/>
      <c r="M369" s="201"/>
      <c r="N369" s="201"/>
      <c r="O369" s="201"/>
      <c r="P369" s="201"/>
      <c r="Q369" s="201"/>
      <c r="R369" s="201"/>
      <c r="S369" s="201"/>
      <c r="T369" s="201"/>
      <c r="U369" s="201"/>
      <c r="V369" s="201"/>
      <c r="W369" s="201"/>
      <c r="X369" s="201"/>
      <c r="Y369" s="201"/>
      <c r="Z369" s="201"/>
      <c r="AA369" s="201"/>
      <c r="AB369" s="201"/>
      <c r="AC369" s="201"/>
      <c r="AD369" s="201"/>
      <c r="AE369" s="201"/>
      <c r="AF369" s="201"/>
      <c r="AG369" s="201"/>
      <c r="AH369" s="201"/>
      <c r="AI369" s="201"/>
      <c r="AJ369" s="201"/>
      <c r="AK369" s="201"/>
      <c r="AL369" s="201"/>
      <c r="AM369" s="201"/>
      <c r="AN369" s="201"/>
      <c r="AO369" s="201"/>
      <c r="AP369" s="201"/>
      <c r="AQ369" s="201"/>
      <c r="AR369" s="201"/>
      <c r="AS369" s="201"/>
      <c r="AT369" s="201"/>
      <c r="AU369" s="201"/>
      <c r="AV369" s="201"/>
      <c r="AW369" s="201"/>
    </row>
    <row r="370" spans="1:49" s="134" customFormat="1" ht="40.5" customHeight="1">
      <c r="A370" s="201"/>
      <c r="B370" s="201"/>
      <c r="C370" s="252" t="s">
        <v>759</v>
      </c>
      <c r="D370" s="253" t="s">
        <v>266</v>
      </c>
      <c r="E370" s="91" t="s">
        <v>264</v>
      </c>
      <c r="F370" s="91" t="s">
        <v>761</v>
      </c>
      <c r="G370" s="91" t="s">
        <v>265</v>
      </c>
      <c r="H370" s="91" t="s">
        <v>760</v>
      </c>
      <c r="I370" s="214"/>
      <c r="J370" s="214"/>
      <c r="K370" s="214"/>
      <c r="L370" s="201"/>
      <c r="M370" s="201"/>
      <c r="N370" s="201"/>
      <c r="O370" s="201"/>
      <c r="P370" s="201"/>
      <c r="Q370" s="201"/>
      <c r="R370" s="201"/>
      <c r="S370" s="201"/>
      <c r="T370" s="201"/>
      <c r="U370" s="201"/>
      <c r="V370" s="201"/>
      <c r="W370" s="201"/>
      <c r="X370" s="201"/>
      <c r="Y370" s="201"/>
      <c r="Z370" s="201"/>
      <c r="AA370" s="201"/>
      <c r="AB370" s="201"/>
      <c r="AC370" s="201"/>
      <c r="AD370" s="201"/>
      <c r="AE370" s="201"/>
      <c r="AF370" s="201"/>
      <c r="AG370" s="201"/>
      <c r="AH370" s="201"/>
      <c r="AI370" s="201"/>
      <c r="AJ370" s="201"/>
      <c r="AK370" s="201"/>
      <c r="AL370" s="201"/>
      <c r="AM370" s="201"/>
      <c r="AN370" s="201"/>
      <c r="AO370" s="201"/>
      <c r="AP370" s="201"/>
      <c r="AQ370" s="201"/>
      <c r="AR370" s="201"/>
      <c r="AS370" s="201"/>
      <c r="AT370" s="201"/>
      <c r="AU370" s="201"/>
      <c r="AV370" s="201"/>
      <c r="AW370" s="201"/>
    </row>
    <row r="371" spans="1:49" s="134" customFormat="1" ht="17.25" customHeight="1">
      <c r="A371" s="201"/>
      <c r="B371" s="201"/>
      <c r="C371" s="87">
        <v>1520</v>
      </c>
      <c r="D371" s="288" t="str">
        <f>IFERROR(IF(Helper!AN215=0,"",IF(AND(ISNUMBER(Helper!AJ217),ISNUMBER(Helper!AN215)),ROUND(Helper!AJ217/Helper!AN215,2)&amp;":"&amp;1,"")),"")</f>
        <v>0.99:1</v>
      </c>
      <c r="E371" s="87"/>
      <c r="F371" s="87"/>
      <c r="G371" s="87"/>
      <c r="H371" s="87"/>
      <c r="I371" s="201"/>
      <c r="J371" s="201"/>
      <c r="K371" s="201"/>
      <c r="L371" s="201"/>
      <c r="M371" s="201"/>
      <c r="N371" s="201"/>
      <c r="O371" s="201"/>
      <c r="P371" s="201"/>
      <c r="Q371" s="201"/>
      <c r="R371" s="201"/>
      <c r="S371" s="201"/>
      <c r="T371" s="201"/>
      <c r="U371" s="201"/>
      <c r="V371" s="201"/>
      <c r="W371" s="201"/>
      <c r="X371" s="201"/>
      <c r="Y371" s="201"/>
      <c r="Z371" s="201"/>
      <c r="AA371" s="201"/>
      <c r="AB371" s="201"/>
      <c r="AC371" s="201"/>
      <c r="AD371" s="201"/>
      <c r="AE371" s="201"/>
      <c r="AF371" s="201"/>
      <c r="AG371" s="201"/>
      <c r="AH371" s="201"/>
      <c r="AI371" s="201"/>
      <c r="AJ371" s="201"/>
      <c r="AK371" s="201"/>
      <c r="AL371" s="201"/>
      <c r="AM371" s="201"/>
      <c r="AN371" s="201"/>
      <c r="AO371" s="201"/>
      <c r="AP371" s="201"/>
      <c r="AQ371" s="201"/>
      <c r="AR371" s="201"/>
      <c r="AS371" s="201"/>
      <c r="AT371" s="201"/>
      <c r="AU371" s="201"/>
      <c r="AV371" s="201"/>
      <c r="AW371" s="201"/>
    </row>
    <row r="372" spans="1:49" s="134" customFormat="1" ht="8.25" hidden="1" customHeight="1">
      <c r="A372" s="201"/>
      <c r="B372" s="201"/>
      <c r="C372" s="182"/>
      <c r="D372" s="170"/>
      <c r="E372" s="170"/>
      <c r="F372" s="170"/>
      <c r="G372" s="170"/>
      <c r="H372" s="170"/>
      <c r="I372" s="184"/>
      <c r="J372" s="184"/>
      <c r="K372" s="184"/>
      <c r="L372" s="184"/>
      <c r="M372" s="184"/>
      <c r="N372" s="184"/>
      <c r="O372" s="184"/>
      <c r="P372" s="184"/>
      <c r="Q372" s="184"/>
      <c r="R372" s="184"/>
      <c r="S372" s="184"/>
      <c r="T372" s="184"/>
      <c r="U372" s="184"/>
      <c r="V372" s="184"/>
      <c r="W372" s="184"/>
      <c r="X372" s="184"/>
      <c r="Y372" s="184"/>
      <c r="Z372" s="201"/>
      <c r="AA372" s="184"/>
      <c r="AB372" s="184"/>
      <c r="AC372" s="184"/>
      <c r="AD372" s="184"/>
      <c r="AE372" s="184"/>
      <c r="AF372" s="184"/>
      <c r="AG372" s="184"/>
      <c r="AH372" s="184"/>
      <c r="AI372" s="184"/>
      <c r="AJ372" s="184"/>
      <c r="AK372" s="184"/>
      <c r="AL372" s="201"/>
      <c r="AM372" s="201"/>
      <c r="AN372" s="201"/>
      <c r="AO372" s="201"/>
      <c r="AP372" s="201"/>
      <c r="AQ372" s="201"/>
      <c r="AR372" s="201"/>
      <c r="AS372" s="201"/>
      <c r="AT372" s="201"/>
      <c r="AU372" s="201"/>
      <c r="AV372" s="201"/>
      <c r="AW372" s="201"/>
    </row>
    <row r="373" spans="1:49" s="134" customFormat="1" ht="6" customHeight="1">
      <c r="A373" s="201"/>
      <c r="B373" s="201"/>
      <c r="C373" s="201"/>
      <c r="D373" s="201"/>
      <c r="E373" s="201"/>
      <c r="F373" s="201"/>
      <c r="G373" s="201"/>
      <c r="H373" s="201"/>
      <c r="I373" s="201"/>
      <c r="J373" s="201"/>
      <c r="K373" s="201"/>
      <c r="L373" s="201"/>
      <c r="M373" s="201"/>
      <c r="N373" s="201"/>
      <c r="O373" s="201"/>
      <c r="P373" s="201"/>
      <c r="Q373" s="201"/>
      <c r="R373" s="201"/>
      <c r="S373" s="201"/>
      <c r="T373" s="201"/>
      <c r="U373" s="201"/>
      <c r="V373" s="201"/>
      <c r="W373" s="201"/>
      <c r="X373" s="201"/>
      <c r="Y373" s="201"/>
      <c r="Z373" s="201"/>
      <c r="AA373" s="201"/>
      <c r="AB373" s="201"/>
      <c r="AC373" s="201"/>
      <c r="AD373" s="201"/>
      <c r="AE373" s="201"/>
      <c r="AF373" s="201"/>
      <c r="AG373" s="201"/>
      <c r="AH373" s="201"/>
      <c r="AI373" s="201"/>
      <c r="AJ373" s="201"/>
      <c r="AK373" s="201"/>
      <c r="AL373" s="201"/>
      <c r="AM373" s="201"/>
      <c r="AN373" s="201"/>
      <c r="AO373" s="201"/>
      <c r="AP373" s="201"/>
      <c r="AQ373" s="201"/>
      <c r="AR373" s="201"/>
      <c r="AS373" s="201"/>
      <c r="AT373" s="201"/>
      <c r="AU373" s="201"/>
      <c r="AV373" s="201"/>
      <c r="AW373" s="201"/>
    </row>
    <row r="374" spans="1:49" s="134" customFormat="1" ht="13.8">
      <c r="A374" s="201"/>
      <c r="B374" s="201"/>
      <c r="C374" s="201" t="s">
        <v>238</v>
      </c>
      <c r="D374" s="201"/>
      <c r="E374" s="201"/>
      <c r="F374" s="201"/>
      <c r="G374" s="201"/>
      <c r="H374" s="201" t="s">
        <v>238</v>
      </c>
      <c r="I374" s="201"/>
      <c r="J374" s="201"/>
      <c r="K374" s="201"/>
      <c r="L374" s="201"/>
      <c r="M374" s="201"/>
      <c r="N374" s="201"/>
      <c r="O374" s="201"/>
      <c r="P374" s="201"/>
      <c r="Q374" s="201"/>
      <c r="R374" s="201"/>
      <c r="S374" s="201"/>
      <c r="T374" s="201"/>
      <c r="U374" s="201"/>
      <c r="V374" s="201"/>
      <c r="W374" s="201"/>
      <c r="X374" s="201"/>
      <c r="Y374" s="201"/>
      <c r="Z374" s="201"/>
      <c r="AA374" s="201"/>
      <c r="AB374" s="201"/>
      <c r="AC374" s="201"/>
      <c r="AD374" s="201"/>
      <c r="AE374" s="201"/>
      <c r="AF374" s="201"/>
      <c r="AG374" s="201"/>
      <c r="AH374" s="201"/>
      <c r="AI374" s="201"/>
      <c r="AJ374" s="201"/>
      <c r="AK374" s="201"/>
      <c r="AL374" s="201"/>
      <c r="AM374" s="201"/>
      <c r="AN374" s="201"/>
      <c r="AO374" s="201"/>
      <c r="AP374" s="201"/>
      <c r="AQ374" s="201"/>
      <c r="AR374" s="201"/>
      <c r="AS374" s="201"/>
      <c r="AT374" s="201"/>
      <c r="AU374" s="201"/>
      <c r="AV374" s="201"/>
      <c r="AW374" s="201"/>
    </row>
    <row r="375" spans="1:49" s="134" customFormat="1" ht="13.8">
      <c r="A375" s="201"/>
      <c r="B375" s="201"/>
      <c r="C375" s="802" t="s">
        <v>23</v>
      </c>
      <c r="D375" s="803"/>
      <c r="E375" s="802" t="s">
        <v>24</v>
      </c>
      <c r="F375" s="803"/>
      <c r="G375" s="201"/>
      <c r="H375" s="804" t="s">
        <v>263</v>
      </c>
      <c r="I375" s="804"/>
      <c r="J375" s="749"/>
      <c r="K375" s="749"/>
      <c r="L375" s="201"/>
      <c r="M375" s="201"/>
      <c r="N375" s="201"/>
      <c r="O375" s="201"/>
      <c r="P375" s="201"/>
      <c r="Q375" s="201"/>
      <c r="R375" s="201"/>
      <c r="S375" s="201"/>
      <c r="T375" s="201"/>
      <c r="U375" s="201"/>
      <c r="V375" s="201"/>
      <c r="W375" s="201"/>
      <c r="X375" s="201"/>
      <c r="Y375" s="201"/>
      <c r="Z375" s="201"/>
      <c r="AA375" s="201"/>
      <c r="AB375" s="201"/>
      <c r="AC375" s="201"/>
      <c r="AD375" s="201"/>
      <c r="AE375" s="201"/>
      <c r="AF375" s="201"/>
      <c r="AG375" s="201"/>
      <c r="AH375" s="201"/>
      <c r="AI375" s="201"/>
      <c r="AJ375" s="201"/>
      <c r="AK375" s="201"/>
      <c r="AL375" s="201"/>
      <c r="AM375" s="201"/>
      <c r="AN375" s="201"/>
      <c r="AO375" s="201"/>
      <c r="AP375" s="201"/>
      <c r="AQ375" s="201"/>
      <c r="AR375" s="201"/>
      <c r="AS375" s="201"/>
      <c r="AT375" s="201"/>
      <c r="AU375" s="201"/>
      <c r="AV375" s="201"/>
      <c r="AW375" s="201"/>
    </row>
    <row r="376" spans="1:49" s="134" customFormat="1" ht="13.8">
      <c r="A376" s="201"/>
      <c r="B376" s="201"/>
      <c r="C376" s="277" t="s">
        <v>20</v>
      </c>
      <c r="D376" s="277" t="s">
        <v>239</v>
      </c>
      <c r="E376" s="277" t="s">
        <v>20</v>
      </c>
      <c r="F376" s="277" t="s">
        <v>239</v>
      </c>
      <c r="G376" s="201"/>
      <c r="H376" s="802" t="s">
        <v>20</v>
      </c>
      <c r="I376" s="803"/>
      <c r="J376" s="236"/>
      <c r="K376" s="210"/>
      <c r="L376" s="201"/>
      <c r="M376" s="201"/>
      <c r="N376" s="201"/>
      <c r="O376" s="201"/>
      <c r="P376" s="201"/>
      <c r="Q376" s="201"/>
      <c r="R376" s="201"/>
      <c r="S376" s="201"/>
      <c r="T376" s="201"/>
      <c r="U376" s="201"/>
      <c r="V376" s="201"/>
      <c r="W376" s="201"/>
      <c r="X376" s="201"/>
      <c r="Y376" s="201"/>
      <c r="Z376" s="201"/>
      <c r="AA376" s="201"/>
      <c r="AB376" s="201"/>
      <c r="AC376" s="201"/>
      <c r="AD376" s="201"/>
      <c r="AE376" s="201"/>
      <c r="AF376" s="201"/>
      <c r="AG376" s="201"/>
      <c r="AH376" s="201"/>
      <c r="AI376" s="201"/>
      <c r="AJ376" s="201"/>
      <c r="AK376" s="201"/>
      <c r="AL376" s="201"/>
      <c r="AM376" s="201"/>
      <c r="AN376" s="201"/>
      <c r="AO376" s="201"/>
      <c r="AP376" s="201"/>
      <c r="AQ376" s="201"/>
      <c r="AR376" s="201"/>
      <c r="AS376" s="201"/>
      <c r="AT376" s="201"/>
      <c r="AU376" s="201"/>
      <c r="AV376" s="201"/>
      <c r="AW376" s="201"/>
    </row>
    <row r="377" spans="1:49" s="134" customFormat="1" ht="17.25" customHeight="1">
      <c r="A377" s="201"/>
      <c r="B377" s="201"/>
      <c r="C377" s="87">
        <v>3</v>
      </c>
      <c r="D377" s="181" t="str">
        <f>IFERROR(IF(AND(ISNUMBER(Helper!AH217), ISNUMBER(Data!C377)), ROUND(Helper!AH217/Data!C377,0) &amp; ":" &amp; 1, ""),"")</f>
        <v>257:1</v>
      </c>
      <c r="E377" s="87">
        <v>3</v>
      </c>
      <c r="F377" s="181" t="str">
        <f>IFERROR(IF(AND(ISNUMBER(Helper!AI217), ISNUMBER(Data!E377)), ROUND(Helper!AI217/E377,0) &amp; ":" &amp; 1, ""),"")</f>
        <v>244:1</v>
      </c>
      <c r="G377" s="235"/>
      <c r="H377" s="805">
        <v>12</v>
      </c>
      <c r="I377" s="806"/>
      <c r="J377" s="205"/>
      <c r="K377" s="205"/>
      <c r="L377" s="201"/>
      <c r="M377" s="201"/>
      <c r="N377" s="201"/>
      <c r="O377" s="201"/>
      <c r="P377" s="201"/>
      <c r="Q377" s="201"/>
      <c r="R377" s="201"/>
      <c r="S377" s="201"/>
      <c r="T377" s="201"/>
      <c r="U377" s="201"/>
      <c r="V377" s="201"/>
      <c r="W377" s="201"/>
      <c r="X377" s="201"/>
      <c r="Y377" s="201"/>
      <c r="Z377" s="201"/>
      <c r="AA377" s="201"/>
      <c r="AB377" s="201"/>
      <c r="AC377" s="201"/>
      <c r="AD377" s="201"/>
      <c r="AE377" s="201"/>
      <c r="AF377" s="201"/>
      <c r="AG377" s="201"/>
      <c r="AH377" s="201"/>
      <c r="AI377" s="201"/>
      <c r="AJ377" s="201"/>
      <c r="AK377" s="201"/>
      <c r="AL377" s="201"/>
      <c r="AM377" s="201"/>
      <c r="AN377" s="201"/>
      <c r="AO377" s="201"/>
      <c r="AP377" s="201"/>
      <c r="AQ377" s="201"/>
      <c r="AR377" s="201"/>
      <c r="AS377" s="201"/>
      <c r="AT377" s="201"/>
      <c r="AU377" s="201"/>
      <c r="AV377" s="201"/>
      <c r="AW377" s="201"/>
    </row>
    <row r="378" spans="1:49" s="134" customFormat="1" ht="2.25" customHeight="1">
      <c r="A378" s="201"/>
      <c r="B378" s="201"/>
      <c r="C378" s="211"/>
      <c r="D378" s="211"/>
      <c r="E378" s="211"/>
      <c r="F378" s="211"/>
      <c r="G378" s="201"/>
      <c r="H378" s="211"/>
      <c r="I378" s="211"/>
      <c r="J378" s="201"/>
      <c r="K378" s="201"/>
      <c r="L378" s="201"/>
      <c r="M378" s="201"/>
      <c r="N378" s="201"/>
      <c r="O378" s="201"/>
      <c r="P378" s="201"/>
      <c r="Q378" s="201"/>
      <c r="R378" s="201"/>
      <c r="S378" s="201"/>
      <c r="T378" s="201"/>
      <c r="U378" s="201"/>
      <c r="V378" s="201"/>
      <c r="W378" s="201"/>
      <c r="X378" s="201"/>
      <c r="Y378" s="201"/>
      <c r="Z378" s="201"/>
      <c r="AA378" s="201"/>
      <c r="AB378" s="201"/>
      <c r="AC378" s="201"/>
      <c r="AD378" s="201"/>
      <c r="AE378" s="201"/>
      <c r="AF378" s="201"/>
      <c r="AG378" s="201"/>
      <c r="AH378" s="201"/>
      <c r="AI378" s="201"/>
      <c r="AJ378" s="201"/>
      <c r="AK378" s="201"/>
      <c r="AL378" s="201"/>
      <c r="AM378" s="201"/>
      <c r="AN378" s="201"/>
      <c r="AO378" s="201"/>
      <c r="AP378" s="201"/>
      <c r="AQ378" s="201"/>
      <c r="AR378" s="201"/>
      <c r="AS378" s="201"/>
      <c r="AT378" s="201"/>
      <c r="AU378" s="201"/>
      <c r="AV378" s="201"/>
      <c r="AW378" s="201"/>
    </row>
    <row r="379" spans="1:49" s="134" customFormat="1" ht="17.25" customHeight="1">
      <c r="A379" s="201" t="s">
        <v>812</v>
      </c>
      <c r="B379" s="201"/>
      <c r="C379" s="201"/>
      <c r="D379" s="201"/>
      <c r="E379" s="201"/>
      <c r="F379" s="201"/>
      <c r="G379" s="201"/>
      <c r="H379" s="201"/>
      <c r="I379" s="201"/>
      <c r="J379" s="201"/>
      <c r="K379" s="201"/>
      <c r="L379" s="201"/>
      <c r="M379" s="201"/>
      <c r="N379" s="201"/>
      <c r="O379" s="201"/>
      <c r="P379" s="201"/>
      <c r="Q379" s="201"/>
      <c r="R379" s="201"/>
      <c r="S379" s="201"/>
      <c r="T379" s="201"/>
      <c r="U379" s="201"/>
      <c r="V379" s="201"/>
      <c r="W379" s="201"/>
      <c r="X379" s="201"/>
      <c r="Y379" s="201"/>
      <c r="Z379" s="201"/>
      <c r="AA379" s="201"/>
      <c r="AB379" s="201"/>
      <c r="AC379" s="201"/>
      <c r="AD379" s="201"/>
      <c r="AE379" s="201"/>
      <c r="AF379" s="201"/>
      <c r="AG379" s="201"/>
      <c r="AH379" s="201"/>
      <c r="AI379" s="201"/>
      <c r="AJ379" s="201"/>
      <c r="AK379" s="201"/>
      <c r="AL379" s="201"/>
      <c r="AM379" s="201"/>
      <c r="AN379" s="201"/>
      <c r="AO379" s="201"/>
      <c r="AP379" s="201"/>
      <c r="AQ379" s="201"/>
      <c r="AR379" s="201"/>
      <c r="AS379" s="201"/>
      <c r="AT379" s="201"/>
      <c r="AU379" s="201"/>
      <c r="AV379" s="201"/>
      <c r="AW379" s="201"/>
    </row>
    <row r="380" spans="1:49" s="134" customFormat="1" ht="2.25" customHeight="1">
      <c r="A380" s="211"/>
      <c r="B380" s="211"/>
      <c r="C380" s="211"/>
      <c r="D380" s="211"/>
      <c r="E380" s="211"/>
      <c r="F380" s="211"/>
      <c r="G380" s="211"/>
      <c r="H380" s="211"/>
      <c r="I380" s="211"/>
      <c r="J380" s="211"/>
      <c r="K380" s="211"/>
      <c r="L380" s="201"/>
      <c r="M380" s="201"/>
      <c r="N380" s="201"/>
      <c r="O380" s="201"/>
      <c r="P380" s="201"/>
      <c r="Q380" s="201"/>
      <c r="R380" s="201"/>
      <c r="S380" s="201"/>
      <c r="T380" s="201"/>
      <c r="U380" s="201"/>
      <c r="V380" s="201"/>
      <c r="W380" s="201"/>
      <c r="X380" s="201"/>
      <c r="Y380" s="201"/>
      <c r="Z380" s="201"/>
      <c r="AA380" s="201"/>
      <c r="AB380" s="201"/>
      <c r="AC380" s="201"/>
      <c r="AD380" s="201"/>
      <c r="AE380" s="201"/>
      <c r="AF380" s="201"/>
      <c r="AG380" s="201"/>
      <c r="AH380" s="201"/>
      <c r="AI380" s="201"/>
      <c r="AJ380" s="201"/>
      <c r="AK380" s="201"/>
      <c r="AL380" s="201"/>
      <c r="AM380" s="201"/>
      <c r="AN380" s="201"/>
      <c r="AO380" s="201"/>
      <c r="AP380" s="201"/>
      <c r="AQ380" s="201"/>
      <c r="AR380" s="201"/>
      <c r="AS380" s="201"/>
      <c r="AT380" s="201"/>
      <c r="AU380" s="201"/>
      <c r="AV380" s="201"/>
      <c r="AW380" s="201"/>
    </row>
    <row r="381" spans="1:49" s="134" customFormat="1" ht="13.8">
      <c r="A381" s="799" t="s">
        <v>248</v>
      </c>
      <c r="B381" s="807" t="s">
        <v>249</v>
      </c>
      <c r="C381" s="808"/>
      <c r="D381" s="808"/>
      <c r="E381" s="809"/>
      <c r="F381" s="802" t="s">
        <v>823</v>
      </c>
      <c r="G381" s="803"/>
      <c r="H381" s="688" t="s">
        <v>821</v>
      </c>
      <c r="I381" s="688" t="s">
        <v>822</v>
      </c>
      <c r="J381" s="688"/>
      <c r="K381" s="688"/>
      <c r="L381" s="201"/>
      <c r="M381" s="201"/>
      <c r="N381" s="201"/>
      <c r="O381" s="201"/>
      <c r="P381" s="201"/>
      <c r="Q381" s="201"/>
      <c r="R381" s="201"/>
      <c r="S381" s="201"/>
      <c r="T381" s="201"/>
      <c r="U381" s="201"/>
      <c r="V381" s="201"/>
      <c r="W381" s="201"/>
      <c r="X381" s="201"/>
      <c r="Y381" s="201"/>
      <c r="Z381" s="201"/>
      <c r="AA381" s="201"/>
      <c r="AB381" s="201"/>
      <c r="AC381" s="201"/>
      <c r="AD381" s="201"/>
      <c r="AE381" s="201"/>
      <c r="AF381" s="201"/>
      <c r="AG381" s="201"/>
      <c r="AH381" s="201"/>
      <c r="AI381" s="201"/>
      <c r="AJ381" s="201"/>
      <c r="AK381" s="201"/>
      <c r="AL381" s="201"/>
      <c r="AM381" s="201"/>
      <c r="AN381" s="201"/>
      <c r="AO381" s="201"/>
      <c r="AP381" s="201"/>
      <c r="AQ381" s="201"/>
      <c r="AR381" s="201"/>
      <c r="AS381" s="201"/>
      <c r="AT381" s="201"/>
      <c r="AU381" s="201"/>
      <c r="AV381" s="201"/>
      <c r="AW381" s="201"/>
    </row>
    <row r="382" spans="1:49" s="134" customFormat="1" ht="13.8">
      <c r="A382" s="800"/>
      <c r="B382" s="810"/>
      <c r="C382" s="811"/>
      <c r="D382" s="811"/>
      <c r="E382" s="812"/>
      <c r="F382" s="281" t="s">
        <v>825</v>
      </c>
      <c r="G382" s="293" t="s">
        <v>824</v>
      </c>
      <c r="H382" s="688"/>
      <c r="I382" s="688"/>
      <c r="J382" s="688"/>
      <c r="K382" s="688"/>
      <c r="L382" s="201"/>
      <c r="M382" s="201"/>
      <c r="N382" s="201"/>
      <c r="O382" s="201"/>
      <c r="P382" s="201"/>
      <c r="Q382" s="201"/>
      <c r="R382" s="201"/>
      <c r="S382" s="201"/>
      <c r="T382" s="201"/>
      <c r="U382" s="201"/>
      <c r="V382" s="201"/>
      <c r="W382" s="201"/>
      <c r="X382" s="201"/>
      <c r="Y382" s="201"/>
      <c r="Z382" s="201"/>
      <c r="AA382" s="201"/>
      <c r="AB382" s="201"/>
      <c r="AC382" s="201"/>
      <c r="AD382" s="201"/>
      <c r="AE382" s="201"/>
      <c r="AF382" s="201"/>
      <c r="AG382" s="201"/>
      <c r="AH382" s="201"/>
      <c r="AI382" s="201"/>
      <c r="AJ382" s="201"/>
      <c r="AK382" s="201"/>
      <c r="AL382" s="201"/>
      <c r="AM382" s="201"/>
      <c r="AN382" s="201"/>
      <c r="AO382" s="201"/>
      <c r="AP382" s="201"/>
      <c r="AQ382" s="201"/>
      <c r="AR382" s="201"/>
      <c r="AS382" s="201"/>
      <c r="AT382" s="201"/>
      <c r="AU382" s="201"/>
      <c r="AV382" s="201"/>
      <c r="AW382" s="201"/>
    </row>
    <row r="383" spans="1:49" s="134" customFormat="1" ht="16.5" customHeight="1">
      <c r="A383" s="286" t="s">
        <v>1019</v>
      </c>
      <c r="B383" s="681" t="s">
        <v>697</v>
      </c>
      <c r="C383" s="682"/>
      <c r="D383" s="682"/>
      <c r="E383" s="683"/>
      <c r="F383" s="294">
        <v>2000</v>
      </c>
      <c r="G383" s="284" t="s">
        <v>72</v>
      </c>
      <c r="H383" s="285" t="s">
        <v>819</v>
      </c>
      <c r="I383" s="680" t="s">
        <v>1020</v>
      </c>
      <c r="J383" s="680"/>
      <c r="K383" s="680"/>
      <c r="L383" s="201"/>
      <c r="M383" s="237"/>
      <c r="N383" s="201"/>
      <c r="O383" s="201"/>
      <c r="P383" s="201"/>
      <c r="Q383" s="201"/>
      <c r="R383" s="201"/>
      <c r="S383" s="201"/>
      <c r="T383" s="201"/>
      <c r="U383" s="201"/>
      <c r="V383" s="201"/>
      <c r="W383" s="201"/>
      <c r="X383" s="201"/>
      <c r="Y383" s="201"/>
      <c r="Z383" s="201"/>
      <c r="AA383" s="201"/>
      <c r="AB383" s="201"/>
      <c r="AC383" s="201"/>
      <c r="AD383" s="201"/>
      <c r="AE383" s="201"/>
      <c r="AF383" s="201"/>
      <c r="AG383" s="201"/>
      <c r="AH383" s="201"/>
      <c r="AI383" s="201"/>
      <c r="AJ383" s="201"/>
      <c r="AK383" s="201"/>
      <c r="AL383" s="201"/>
      <c r="AM383" s="201"/>
      <c r="AN383" s="201"/>
      <c r="AO383" s="201"/>
      <c r="AP383" s="201"/>
      <c r="AQ383" s="201"/>
      <c r="AR383" s="201"/>
      <c r="AS383" s="201"/>
      <c r="AT383" s="201"/>
      <c r="AU383" s="201"/>
      <c r="AV383" s="201"/>
      <c r="AW383" s="201"/>
    </row>
    <row r="384" spans="1:49" s="134" customFormat="1" ht="15" customHeight="1">
      <c r="A384" s="286" t="s">
        <v>1022</v>
      </c>
      <c r="B384" s="681" t="s">
        <v>1021</v>
      </c>
      <c r="C384" s="682"/>
      <c r="D384" s="682"/>
      <c r="E384" s="683"/>
      <c r="F384" s="294">
        <v>500</v>
      </c>
      <c r="G384" s="284" t="s">
        <v>47</v>
      </c>
      <c r="H384" s="285" t="s">
        <v>820</v>
      </c>
      <c r="I384" s="680" t="s">
        <v>1023</v>
      </c>
      <c r="J384" s="680"/>
      <c r="K384" s="680"/>
      <c r="L384" s="201"/>
      <c r="M384" s="201"/>
      <c r="N384" s="201"/>
      <c r="O384" s="201"/>
      <c r="P384" s="201"/>
      <c r="Q384" s="201"/>
      <c r="R384" s="201"/>
      <c r="S384" s="201"/>
      <c r="T384" s="201"/>
      <c r="U384" s="201"/>
      <c r="V384" s="201"/>
      <c r="W384" s="201"/>
      <c r="X384" s="201"/>
      <c r="Y384" s="201"/>
      <c r="Z384" s="201"/>
      <c r="AA384" s="201"/>
      <c r="AB384" s="201"/>
      <c r="AC384" s="201"/>
      <c r="AD384" s="201"/>
      <c r="AE384" s="201"/>
      <c r="AF384" s="201"/>
      <c r="AG384" s="201"/>
      <c r="AH384" s="201"/>
      <c r="AI384" s="201"/>
      <c r="AJ384" s="201"/>
      <c r="AK384" s="201"/>
      <c r="AL384" s="201"/>
      <c r="AM384" s="201"/>
      <c r="AN384" s="201"/>
      <c r="AO384" s="201"/>
      <c r="AP384" s="201"/>
      <c r="AQ384" s="201"/>
      <c r="AR384" s="201"/>
      <c r="AS384" s="201"/>
      <c r="AT384" s="201"/>
      <c r="AU384" s="201"/>
      <c r="AV384" s="201"/>
      <c r="AW384" s="201"/>
    </row>
    <row r="385" spans="1:49" s="134" customFormat="1" ht="15" customHeight="1">
      <c r="A385" s="286" t="s">
        <v>1019</v>
      </c>
      <c r="B385" s="681" t="s">
        <v>1018</v>
      </c>
      <c r="C385" s="682"/>
      <c r="D385" s="682"/>
      <c r="E385" s="683"/>
      <c r="F385" s="294">
        <v>10000</v>
      </c>
      <c r="G385" s="284" t="s">
        <v>47</v>
      </c>
      <c r="H385" s="285" t="s">
        <v>819</v>
      </c>
      <c r="I385" s="680" t="s">
        <v>1020</v>
      </c>
      <c r="J385" s="680"/>
      <c r="K385" s="680"/>
      <c r="L385" s="201"/>
      <c r="M385" s="201"/>
      <c r="N385" s="201"/>
      <c r="O385" s="201"/>
      <c r="P385" s="201"/>
      <c r="Q385" s="201"/>
      <c r="R385" s="201"/>
      <c r="S385" s="201"/>
      <c r="T385" s="201"/>
      <c r="U385" s="201"/>
      <c r="V385" s="201"/>
      <c r="W385" s="201"/>
      <c r="X385" s="201"/>
      <c r="Y385" s="201"/>
      <c r="Z385" s="201"/>
      <c r="AA385" s="201"/>
      <c r="AB385" s="201"/>
      <c r="AC385" s="201"/>
      <c r="AD385" s="201"/>
      <c r="AE385" s="201"/>
      <c r="AF385" s="201"/>
      <c r="AG385" s="201"/>
      <c r="AH385" s="201"/>
      <c r="AI385" s="201"/>
      <c r="AJ385" s="201"/>
      <c r="AK385" s="201"/>
      <c r="AL385" s="201"/>
      <c r="AM385" s="201"/>
      <c r="AN385" s="201"/>
      <c r="AO385" s="201"/>
      <c r="AP385" s="201"/>
      <c r="AQ385" s="201"/>
      <c r="AR385" s="201"/>
      <c r="AS385" s="201"/>
      <c r="AT385" s="201"/>
      <c r="AU385" s="201"/>
      <c r="AV385" s="201"/>
      <c r="AW385" s="201"/>
    </row>
    <row r="386" spans="1:49" s="134" customFormat="1" ht="13.8">
      <c r="A386" s="286" t="s">
        <v>1019</v>
      </c>
      <c r="B386" s="681" t="s">
        <v>1024</v>
      </c>
      <c r="C386" s="682"/>
      <c r="D386" s="682"/>
      <c r="E386" s="683"/>
      <c r="F386" s="294">
        <v>5000</v>
      </c>
      <c r="G386" s="284" t="s">
        <v>72</v>
      </c>
      <c r="H386" s="285" t="s">
        <v>818</v>
      </c>
      <c r="I386" s="680" t="s">
        <v>1025</v>
      </c>
      <c r="J386" s="680"/>
      <c r="K386" s="680"/>
      <c r="L386" s="201"/>
      <c r="M386" s="201"/>
      <c r="N386" s="201"/>
      <c r="O386" s="201"/>
      <c r="P386" s="201"/>
      <c r="Q386" s="201"/>
      <c r="R386" s="201"/>
      <c r="S386" s="201"/>
      <c r="T386" s="201"/>
      <c r="U386" s="201"/>
      <c r="V386" s="201"/>
      <c r="W386" s="201"/>
      <c r="X386" s="201"/>
      <c r="Y386" s="201"/>
      <c r="Z386" s="201"/>
      <c r="AA386" s="201"/>
      <c r="AB386" s="201"/>
      <c r="AC386" s="201"/>
      <c r="AD386" s="201"/>
      <c r="AE386" s="201"/>
      <c r="AF386" s="201"/>
      <c r="AG386" s="201"/>
      <c r="AH386" s="201"/>
      <c r="AI386" s="201"/>
      <c r="AJ386" s="201"/>
      <c r="AK386" s="201"/>
      <c r="AL386" s="201"/>
      <c r="AM386" s="201"/>
      <c r="AN386" s="201"/>
      <c r="AO386" s="201"/>
      <c r="AP386" s="201"/>
      <c r="AQ386" s="201"/>
      <c r="AR386" s="201"/>
      <c r="AS386" s="201"/>
      <c r="AT386" s="201"/>
      <c r="AU386" s="201"/>
      <c r="AV386" s="201"/>
      <c r="AW386" s="201"/>
    </row>
    <row r="387" spans="1:49" s="134" customFormat="1" ht="13.8">
      <c r="A387" s="286" t="s">
        <v>1019</v>
      </c>
      <c r="B387" s="681" t="s">
        <v>1026</v>
      </c>
      <c r="C387" s="682"/>
      <c r="D387" s="682"/>
      <c r="E387" s="683"/>
      <c r="F387" s="294">
        <v>50000</v>
      </c>
      <c r="G387" s="284" t="s">
        <v>72</v>
      </c>
      <c r="H387" s="285" t="s">
        <v>818</v>
      </c>
      <c r="I387" s="680" t="s">
        <v>1027</v>
      </c>
      <c r="J387" s="680"/>
      <c r="K387" s="680"/>
      <c r="L387" s="201"/>
      <c r="M387" s="201"/>
      <c r="N387" s="201"/>
      <c r="O387" s="201"/>
      <c r="P387" s="201"/>
      <c r="Q387" s="201"/>
      <c r="R387" s="201"/>
      <c r="S387" s="201"/>
      <c r="T387" s="201"/>
      <c r="U387" s="201"/>
      <c r="V387" s="201"/>
      <c r="W387" s="201"/>
      <c r="X387" s="201"/>
      <c r="Y387" s="201"/>
      <c r="Z387" s="201"/>
      <c r="AA387" s="201"/>
      <c r="AB387" s="201"/>
      <c r="AC387" s="201"/>
      <c r="AD387" s="201"/>
      <c r="AE387" s="201"/>
      <c r="AF387" s="201"/>
      <c r="AG387" s="201"/>
      <c r="AH387" s="201"/>
      <c r="AI387" s="201"/>
      <c r="AJ387" s="201"/>
      <c r="AK387" s="201"/>
      <c r="AL387" s="201"/>
      <c r="AM387" s="201"/>
      <c r="AN387" s="201"/>
      <c r="AO387" s="201"/>
      <c r="AP387" s="201"/>
      <c r="AQ387" s="201"/>
      <c r="AR387" s="201"/>
      <c r="AS387" s="201"/>
      <c r="AT387" s="201"/>
      <c r="AU387" s="201"/>
      <c r="AV387" s="201"/>
      <c r="AW387" s="201"/>
    </row>
    <row r="388" spans="1:49" s="134" customFormat="1" ht="13.8">
      <c r="A388" s="286" t="s">
        <v>1019</v>
      </c>
      <c r="B388" s="681" t="s">
        <v>1028</v>
      </c>
      <c r="C388" s="682"/>
      <c r="D388" s="682"/>
      <c r="E388" s="683"/>
      <c r="F388" s="294">
        <v>12500</v>
      </c>
      <c r="G388" s="284" t="s">
        <v>47</v>
      </c>
      <c r="H388" s="285" t="s">
        <v>818</v>
      </c>
      <c r="I388" s="680" t="s">
        <v>1029</v>
      </c>
      <c r="J388" s="680"/>
      <c r="K388" s="680"/>
      <c r="L388" s="201"/>
      <c r="M388" s="201"/>
      <c r="N388" s="201"/>
      <c r="O388" s="201"/>
      <c r="P388" s="201"/>
      <c r="Q388" s="201"/>
      <c r="R388" s="201"/>
      <c r="S388" s="201"/>
      <c r="T388" s="201"/>
      <c r="U388" s="201"/>
      <c r="V388" s="201"/>
      <c r="W388" s="201"/>
      <c r="X388" s="201"/>
      <c r="Y388" s="201"/>
      <c r="Z388" s="201"/>
      <c r="AA388" s="201"/>
      <c r="AB388" s="201"/>
      <c r="AC388" s="201"/>
      <c r="AD388" s="201"/>
      <c r="AE388" s="201"/>
      <c r="AF388" s="201"/>
      <c r="AG388" s="201"/>
      <c r="AH388" s="201"/>
      <c r="AI388" s="201"/>
      <c r="AJ388" s="201"/>
      <c r="AK388" s="201"/>
      <c r="AL388" s="201"/>
      <c r="AM388" s="201"/>
      <c r="AN388" s="201"/>
      <c r="AO388" s="201"/>
      <c r="AP388" s="201"/>
      <c r="AQ388" s="201"/>
      <c r="AR388" s="201"/>
      <c r="AS388" s="201"/>
      <c r="AT388" s="201"/>
      <c r="AU388" s="201"/>
      <c r="AV388" s="201"/>
      <c r="AW388" s="201"/>
    </row>
    <row r="389" spans="1:49" s="134" customFormat="1" ht="13.8">
      <c r="A389" s="286" t="s">
        <v>1019</v>
      </c>
      <c r="B389" s="681" t="s">
        <v>1030</v>
      </c>
      <c r="C389" s="682"/>
      <c r="D389" s="682"/>
      <c r="E389" s="683"/>
      <c r="F389" s="294">
        <v>2000</v>
      </c>
      <c r="G389" s="284" t="s">
        <v>72</v>
      </c>
      <c r="H389" s="285" t="s">
        <v>818</v>
      </c>
      <c r="I389" s="680" t="s">
        <v>1031</v>
      </c>
      <c r="J389" s="680"/>
      <c r="K389" s="680"/>
      <c r="L389" s="201"/>
      <c r="M389" s="201"/>
      <c r="N389" s="201"/>
      <c r="O389" s="201"/>
      <c r="P389" s="201"/>
      <c r="Q389" s="201"/>
      <c r="R389" s="201"/>
      <c r="S389" s="201"/>
      <c r="T389" s="201"/>
      <c r="U389" s="201"/>
      <c r="V389" s="201"/>
      <c r="W389" s="201"/>
      <c r="X389" s="201"/>
      <c r="Y389" s="201"/>
      <c r="Z389" s="201"/>
      <c r="AA389" s="201"/>
      <c r="AB389" s="201"/>
      <c r="AC389" s="201"/>
      <c r="AD389" s="201"/>
      <c r="AE389" s="201"/>
      <c r="AF389" s="201"/>
      <c r="AG389" s="201"/>
      <c r="AH389" s="201"/>
      <c r="AI389" s="201"/>
      <c r="AJ389" s="201"/>
      <c r="AK389" s="201"/>
      <c r="AL389" s="201"/>
      <c r="AM389" s="201"/>
      <c r="AN389" s="201"/>
      <c r="AO389" s="201"/>
      <c r="AP389" s="201"/>
      <c r="AQ389" s="201"/>
      <c r="AR389" s="201"/>
      <c r="AS389" s="201"/>
      <c r="AT389" s="201"/>
      <c r="AU389" s="201"/>
      <c r="AV389" s="201"/>
      <c r="AW389" s="201"/>
    </row>
    <row r="390" spans="1:49" s="134" customFormat="1" ht="16.5" customHeight="1">
      <c r="A390" s="286" t="s">
        <v>1019</v>
      </c>
      <c r="B390" s="681" t="s">
        <v>1032</v>
      </c>
      <c r="C390" s="682"/>
      <c r="D390" s="682"/>
      <c r="E390" s="683"/>
      <c r="F390" s="294">
        <v>30000</v>
      </c>
      <c r="G390" s="284" t="s">
        <v>47</v>
      </c>
      <c r="H390" s="285" t="s">
        <v>818</v>
      </c>
      <c r="I390" s="680" t="s">
        <v>1031</v>
      </c>
      <c r="J390" s="680"/>
      <c r="K390" s="680"/>
      <c r="L390" s="201"/>
      <c r="M390" s="201"/>
      <c r="N390" s="201"/>
      <c r="O390" s="201"/>
      <c r="P390" s="201"/>
      <c r="Q390" s="201"/>
      <c r="R390" s="201"/>
      <c r="S390" s="201"/>
      <c r="T390" s="201"/>
      <c r="U390" s="201"/>
      <c r="V390" s="201"/>
      <c r="W390" s="201"/>
      <c r="X390" s="201"/>
      <c r="Y390" s="201"/>
      <c r="Z390" s="201"/>
      <c r="AA390" s="201"/>
      <c r="AB390" s="201"/>
      <c r="AC390" s="201"/>
      <c r="AD390" s="201"/>
      <c r="AE390" s="201"/>
      <c r="AF390" s="201"/>
      <c r="AG390" s="201"/>
      <c r="AH390" s="201"/>
      <c r="AI390" s="201"/>
      <c r="AJ390" s="201"/>
      <c r="AK390" s="201"/>
      <c r="AL390" s="201"/>
      <c r="AM390" s="201"/>
      <c r="AN390" s="201"/>
      <c r="AO390" s="201"/>
      <c r="AP390" s="201"/>
      <c r="AQ390" s="201"/>
      <c r="AR390" s="201"/>
      <c r="AS390" s="201"/>
      <c r="AT390" s="201"/>
      <c r="AU390" s="201"/>
      <c r="AV390" s="201"/>
      <c r="AW390" s="201"/>
    </row>
    <row r="391" spans="1:49" s="134" customFormat="1" ht="16.5" customHeight="1">
      <c r="A391" s="286" t="s">
        <v>1019</v>
      </c>
      <c r="B391" s="681" t="s">
        <v>1033</v>
      </c>
      <c r="C391" s="682"/>
      <c r="D391" s="682"/>
      <c r="E391" s="683"/>
      <c r="F391" s="294">
        <v>3000</v>
      </c>
      <c r="G391" s="284" t="s">
        <v>72</v>
      </c>
      <c r="H391" s="285" t="s">
        <v>818</v>
      </c>
      <c r="I391" s="680" t="s">
        <v>1031</v>
      </c>
      <c r="J391" s="680"/>
      <c r="K391" s="680"/>
      <c r="L391" s="201"/>
      <c r="M391" s="201"/>
      <c r="N391" s="201"/>
      <c r="O391" s="201"/>
      <c r="P391" s="201"/>
      <c r="Q391" s="201"/>
      <c r="R391" s="201"/>
      <c r="S391" s="201"/>
      <c r="T391" s="201"/>
      <c r="U391" s="201"/>
      <c r="V391" s="201"/>
      <c r="W391" s="201"/>
      <c r="X391" s="201"/>
      <c r="Y391" s="201"/>
      <c r="Z391" s="201"/>
      <c r="AA391" s="201"/>
      <c r="AB391" s="201"/>
      <c r="AC391" s="201"/>
      <c r="AD391" s="201"/>
      <c r="AE391" s="201"/>
      <c r="AF391" s="201"/>
      <c r="AG391" s="201"/>
      <c r="AH391" s="201"/>
      <c r="AI391" s="201"/>
      <c r="AJ391" s="201"/>
      <c r="AK391" s="201"/>
      <c r="AL391" s="201"/>
      <c r="AM391" s="201"/>
      <c r="AN391" s="201"/>
      <c r="AO391" s="201"/>
      <c r="AP391" s="201"/>
      <c r="AQ391" s="201"/>
      <c r="AR391" s="201"/>
      <c r="AS391" s="201"/>
      <c r="AT391" s="201"/>
      <c r="AU391" s="201"/>
      <c r="AV391" s="201"/>
      <c r="AW391" s="201"/>
    </row>
    <row r="392" spans="1:49" s="134" customFormat="1" ht="16.5" customHeight="1">
      <c r="A392" s="286" t="s">
        <v>1019</v>
      </c>
      <c r="B392" s="681" t="s">
        <v>1034</v>
      </c>
      <c r="C392" s="682"/>
      <c r="D392" s="682"/>
      <c r="E392" s="683"/>
      <c r="F392" s="295"/>
      <c r="G392" s="284" t="s">
        <v>47</v>
      </c>
      <c r="H392" s="285" t="s">
        <v>818</v>
      </c>
      <c r="I392" s="680" t="s">
        <v>1031</v>
      </c>
      <c r="J392" s="680"/>
      <c r="K392" s="680"/>
      <c r="L392" s="201"/>
      <c r="M392" s="201"/>
      <c r="N392" s="201"/>
      <c r="O392" s="201"/>
      <c r="P392" s="201"/>
      <c r="Q392" s="201"/>
      <c r="R392" s="201"/>
      <c r="S392" s="201"/>
      <c r="T392" s="201"/>
      <c r="U392" s="201"/>
      <c r="V392" s="201"/>
      <c r="W392" s="201"/>
      <c r="X392" s="201"/>
      <c r="Y392" s="201"/>
      <c r="Z392" s="201"/>
      <c r="AA392" s="201"/>
      <c r="AB392" s="201"/>
      <c r="AC392" s="201"/>
      <c r="AD392" s="201"/>
      <c r="AE392" s="201"/>
      <c r="AF392" s="201"/>
      <c r="AG392" s="201"/>
      <c r="AH392" s="201"/>
      <c r="AI392" s="201"/>
      <c r="AJ392" s="201"/>
      <c r="AK392" s="201"/>
      <c r="AL392" s="201"/>
      <c r="AM392" s="201"/>
      <c r="AN392" s="201"/>
      <c r="AO392" s="201"/>
      <c r="AP392" s="201"/>
      <c r="AQ392" s="201"/>
      <c r="AR392" s="201"/>
      <c r="AS392" s="201"/>
      <c r="AT392" s="201"/>
      <c r="AU392" s="201"/>
      <c r="AV392" s="201"/>
      <c r="AW392" s="201"/>
    </row>
    <row r="393" spans="1:49" s="134" customFormat="1" ht="16.5" customHeight="1">
      <c r="A393" s="286" t="s">
        <v>1019</v>
      </c>
      <c r="B393" s="681" t="s">
        <v>1035</v>
      </c>
      <c r="C393" s="682"/>
      <c r="D393" s="682"/>
      <c r="E393" s="683"/>
      <c r="F393" s="295"/>
      <c r="G393" s="284" t="s">
        <v>72</v>
      </c>
      <c r="H393" s="285" t="s">
        <v>818</v>
      </c>
      <c r="I393" s="680" t="s">
        <v>1031</v>
      </c>
      <c r="J393" s="680"/>
      <c r="K393" s="680"/>
      <c r="L393" s="201"/>
      <c r="M393" s="201"/>
      <c r="N393" s="201"/>
      <c r="O393" s="201"/>
      <c r="P393" s="201"/>
      <c r="Q393" s="201"/>
      <c r="R393" s="201"/>
      <c r="S393" s="201"/>
      <c r="T393" s="201"/>
      <c r="U393" s="201"/>
      <c r="V393" s="201"/>
      <c r="W393" s="201"/>
      <c r="X393" s="201"/>
      <c r="Y393" s="201"/>
      <c r="Z393" s="201"/>
      <c r="AA393" s="201"/>
      <c r="AB393" s="201"/>
      <c r="AC393" s="201"/>
      <c r="AD393" s="201"/>
      <c r="AE393" s="201"/>
      <c r="AF393" s="201"/>
      <c r="AG393" s="201"/>
      <c r="AH393" s="201"/>
      <c r="AI393" s="201"/>
      <c r="AJ393" s="201"/>
      <c r="AK393" s="201"/>
      <c r="AL393" s="201"/>
      <c r="AM393" s="201"/>
      <c r="AN393" s="201"/>
      <c r="AO393" s="201"/>
      <c r="AP393" s="201"/>
      <c r="AQ393" s="201"/>
      <c r="AR393" s="201"/>
      <c r="AS393" s="201"/>
      <c r="AT393" s="201"/>
      <c r="AU393" s="201"/>
      <c r="AV393" s="201"/>
      <c r="AW393" s="201"/>
    </row>
    <row r="394" spans="1:49" s="134" customFormat="1" ht="16.5" customHeight="1">
      <c r="A394" s="286" t="s">
        <v>1019</v>
      </c>
      <c r="B394" s="681" t="s">
        <v>1036</v>
      </c>
      <c r="C394" s="682"/>
      <c r="D394" s="682"/>
      <c r="E394" s="683"/>
      <c r="F394" s="295"/>
      <c r="G394" s="284" t="s">
        <v>72</v>
      </c>
      <c r="H394" s="285" t="s">
        <v>817</v>
      </c>
      <c r="I394" s="680" t="s">
        <v>1031</v>
      </c>
      <c r="J394" s="680"/>
      <c r="K394" s="680"/>
      <c r="L394" s="201"/>
      <c r="M394" s="201"/>
      <c r="N394" s="201"/>
      <c r="O394" s="201"/>
      <c r="P394" s="201"/>
      <c r="Q394" s="201"/>
      <c r="R394" s="201"/>
      <c r="S394" s="201"/>
      <c r="T394" s="201"/>
      <c r="U394" s="201"/>
      <c r="V394" s="201"/>
      <c r="W394" s="201"/>
      <c r="X394" s="201"/>
      <c r="Y394" s="201"/>
      <c r="Z394" s="201"/>
      <c r="AA394" s="201"/>
      <c r="AB394" s="201"/>
      <c r="AC394" s="201"/>
      <c r="AD394" s="201"/>
      <c r="AE394" s="201"/>
      <c r="AF394" s="201"/>
      <c r="AG394" s="201"/>
      <c r="AH394" s="201"/>
      <c r="AI394" s="201"/>
      <c r="AJ394" s="201"/>
      <c r="AK394" s="201"/>
      <c r="AL394" s="201"/>
      <c r="AM394" s="201"/>
      <c r="AN394" s="201"/>
      <c r="AO394" s="201"/>
      <c r="AP394" s="201"/>
      <c r="AQ394" s="201"/>
      <c r="AR394" s="201"/>
      <c r="AS394" s="201"/>
      <c r="AT394" s="201"/>
      <c r="AU394" s="201"/>
      <c r="AV394" s="201"/>
      <c r="AW394" s="201"/>
    </row>
    <row r="395" spans="1:49" s="134" customFormat="1" ht="16.5" customHeight="1">
      <c r="A395" s="286" t="s">
        <v>1019</v>
      </c>
      <c r="B395" s="681" t="s">
        <v>1037</v>
      </c>
      <c r="C395" s="682"/>
      <c r="D395" s="682"/>
      <c r="E395" s="683"/>
      <c r="F395" s="295"/>
      <c r="G395" s="284" t="s">
        <v>72</v>
      </c>
      <c r="H395" s="285" t="s">
        <v>818</v>
      </c>
      <c r="I395" s="680" t="s">
        <v>1031</v>
      </c>
      <c r="J395" s="680"/>
      <c r="K395" s="680"/>
      <c r="L395" s="201"/>
      <c r="M395" s="201"/>
      <c r="N395" s="201"/>
      <c r="O395" s="201"/>
      <c r="P395" s="201"/>
      <c r="Q395" s="201"/>
      <c r="R395" s="201"/>
      <c r="S395" s="201"/>
      <c r="T395" s="201"/>
      <c r="U395" s="201"/>
      <c r="V395" s="201"/>
      <c r="W395" s="201"/>
      <c r="X395" s="201"/>
      <c r="Y395" s="201"/>
      <c r="Z395" s="201"/>
      <c r="AA395" s="201"/>
      <c r="AB395" s="201"/>
      <c r="AC395" s="201"/>
      <c r="AD395" s="201"/>
      <c r="AE395" s="201"/>
      <c r="AF395" s="201"/>
      <c r="AG395" s="201"/>
      <c r="AH395" s="201"/>
      <c r="AI395" s="201"/>
      <c r="AJ395" s="201"/>
      <c r="AK395" s="201"/>
      <c r="AL395" s="201"/>
      <c r="AM395" s="201"/>
      <c r="AN395" s="201"/>
      <c r="AO395" s="201"/>
      <c r="AP395" s="201"/>
      <c r="AQ395" s="201"/>
      <c r="AR395" s="201"/>
      <c r="AS395" s="201"/>
      <c r="AT395" s="201"/>
      <c r="AU395" s="201"/>
      <c r="AV395" s="201"/>
      <c r="AW395" s="201"/>
    </row>
    <row r="396" spans="1:49" s="134" customFormat="1" ht="16.5" customHeight="1">
      <c r="A396" s="286" t="s">
        <v>1019</v>
      </c>
      <c r="B396" s="681" t="s">
        <v>1038</v>
      </c>
      <c r="C396" s="682"/>
      <c r="D396" s="682"/>
      <c r="E396" s="683"/>
      <c r="F396" s="295"/>
      <c r="G396" s="284" t="s">
        <v>828</v>
      </c>
      <c r="H396" s="285" t="s">
        <v>818</v>
      </c>
      <c r="I396" s="680" t="s">
        <v>1031</v>
      </c>
      <c r="J396" s="680"/>
      <c r="K396" s="680"/>
      <c r="L396" s="201"/>
      <c r="M396" s="201"/>
      <c r="N396" s="201"/>
      <c r="O396" s="201"/>
      <c r="P396" s="201"/>
      <c r="Q396" s="201"/>
      <c r="R396" s="201"/>
      <c r="S396" s="201"/>
      <c r="T396" s="201"/>
      <c r="U396" s="201"/>
      <c r="V396" s="201"/>
      <c r="W396" s="201"/>
      <c r="X396" s="201"/>
      <c r="Y396" s="201"/>
      <c r="Z396" s="201"/>
      <c r="AA396" s="201"/>
      <c r="AB396" s="201"/>
      <c r="AC396" s="201"/>
      <c r="AD396" s="201"/>
      <c r="AE396" s="201"/>
      <c r="AF396" s="201"/>
      <c r="AG396" s="201"/>
      <c r="AH396" s="201"/>
      <c r="AI396" s="201"/>
      <c r="AJ396" s="201"/>
      <c r="AK396" s="201"/>
      <c r="AL396" s="201"/>
      <c r="AM396" s="201"/>
      <c r="AN396" s="201"/>
      <c r="AO396" s="201"/>
      <c r="AP396" s="201"/>
      <c r="AQ396" s="201"/>
      <c r="AR396" s="201"/>
      <c r="AS396" s="201"/>
      <c r="AT396" s="201"/>
      <c r="AU396" s="201"/>
      <c r="AV396" s="201"/>
      <c r="AW396" s="201"/>
    </row>
    <row r="397" spans="1:49" s="134" customFormat="1" ht="16.5" customHeight="1">
      <c r="A397" s="286" t="s">
        <v>1019</v>
      </c>
      <c r="B397" s="681" t="s">
        <v>1039</v>
      </c>
      <c r="C397" s="682"/>
      <c r="D397" s="682"/>
      <c r="E397" s="683"/>
      <c r="F397" s="295"/>
      <c r="G397" s="284" t="s">
        <v>47</v>
      </c>
      <c r="H397" s="285" t="s">
        <v>818</v>
      </c>
      <c r="I397" s="680" t="s">
        <v>1031</v>
      </c>
      <c r="J397" s="680"/>
      <c r="K397" s="680"/>
      <c r="L397" s="201"/>
      <c r="M397" s="201"/>
      <c r="N397" s="201"/>
      <c r="O397" s="201"/>
      <c r="P397" s="201"/>
      <c r="Q397" s="201"/>
      <c r="R397" s="201"/>
      <c r="S397" s="201"/>
      <c r="T397" s="201"/>
      <c r="U397" s="201"/>
      <c r="V397" s="201"/>
      <c r="W397" s="201"/>
      <c r="X397" s="201"/>
      <c r="Y397" s="201"/>
      <c r="Z397" s="201"/>
      <c r="AA397" s="201"/>
      <c r="AB397" s="201"/>
      <c r="AC397" s="201"/>
      <c r="AD397" s="201"/>
      <c r="AE397" s="201"/>
      <c r="AF397" s="201"/>
      <c r="AG397" s="201"/>
      <c r="AH397" s="201"/>
      <c r="AI397" s="201"/>
      <c r="AJ397" s="201"/>
      <c r="AK397" s="201"/>
      <c r="AL397" s="201"/>
      <c r="AM397" s="201"/>
      <c r="AN397" s="201"/>
      <c r="AO397" s="201"/>
      <c r="AP397" s="201"/>
      <c r="AQ397" s="201"/>
      <c r="AR397" s="201"/>
      <c r="AS397" s="201"/>
      <c r="AT397" s="201"/>
      <c r="AU397" s="201"/>
      <c r="AV397" s="201"/>
      <c r="AW397" s="201"/>
    </row>
    <row r="398" spans="1:49" s="134" customFormat="1" ht="1.5" customHeight="1">
      <c r="A398" s="201"/>
      <c r="B398" s="201"/>
      <c r="C398" s="201"/>
      <c r="D398" s="201"/>
      <c r="E398" s="201"/>
      <c r="F398" s="201"/>
      <c r="G398" s="201"/>
      <c r="H398" s="201"/>
      <c r="I398" s="201"/>
      <c r="J398" s="201"/>
      <c r="K398" s="201"/>
      <c r="L398" s="201"/>
      <c r="M398" s="201"/>
      <c r="N398" s="201"/>
      <c r="O398" s="201"/>
      <c r="P398" s="201"/>
      <c r="Q398" s="201"/>
      <c r="R398" s="201"/>
      <c r="S398" s="201"/>
      <c r="T398" s="201"/>
      <c r="U398" s="201"/>
      <c r="V398" s="201"/>
      <c r="W398" s="201"/>
      <c r="X398" s="201"/>
      <c r="Y398" s="201"/>
      <c r="Z398" s="201"/>
      <c r="AA398" s="201"/>
      <c r="AB398" s="201"/>
      <c r="AC398" s="201"/>
      <c r="AD398" s="201"/>
      <c r="AE398" s="201"/>
      <c r="AF398" s="201"/>
      <c r="AG398" s="201"/>
      <c r="AH398" s="201"/>
      <c r="AI398" s="201"/>
      <c r="AJ398" s="201"/>
      <c r="AK398" s="201"/>
      <c r="AL398" s="201"/>
      <c r="AM398" s="201"/>
      <c r="AN398" s="201"/>
      <c r="AO398" s="201"/>
      <c r="AP398" s="201"/>
      <c r="AQ398" s="201"/>
      <c r="AR398" s="201"/>
      <c r="AS398" s="201"/>
      <c r="AT398" s="201"/>
      <c r="AU398" s="201"/>
      <c r="AV398" s="201"/>
      <c r="AW398" s="201"/>
    </row>
    <row r="399" spans="1:49" s="160" customFormat="1" ht="13.8" hidden="1">
      <c r="A399" s="291"/>
      <c r="B399" s="291"/>
      <c r="C399" s="291"/>
      <c r="D399" s="291"/>
      <c r="E399" s="291"/>
      <c r="F399" s="291"/>
      <c r="G399" s="291"/>
      <c r="H399" s="291"/>
      <c r="I399" s="291"/>
      <c r="J399" s="291"/>
      <c r="K399" s="291"/>
      <c r="L399" s="291"/>
      <c r="M399" s="291"/>
      <c r="N399" s="291"/>
      <c r="O399" s="291"/>
      <c r="P399" s="291"/>
      <c r="Q399" s="291"/>
      <c r="R399" s="291"/>
      <c r="S399" s="291"/>
      <c r="T399" s="291"/>
      <c r="U399" s="291"/>
      <c r="V399" s="291"/>
      <c r="W399" s="291"/>
      <c r="X399" s="291"/>
      <c r="Y399" s="291"/>
      <c r="Z399" s="291"/>
      <c r="AA399" s="291"/>
      <c r="AB399" s="291"/>
      <c r="AC399" s="291"/>
      <c r="AD399" s="291"/>
      <c r="AE399" s="291"/>
      <c r="AF399" s="291"/>
      <c r="AG399" s="291"/>
      <c r="AH399" s="291"/>
      <c r="AI399" s="291"/>
      <c r="AJ399" s="291"/>
      <c r="AK399" s="291"/>
      <c r="AL399" s="291"/>
      <c r="AM399" s="291"/>
      <c r="AN399" s="291"/>
      <c r="AO399" s="291"/>
      <c r="AP399" s="291"/>
      <c r="AQ399" s="291"/>
      <c r="AR399" s="291"/>
      <c r="AS399" s="291"/>
      <c r="AT399" s="291"/>
      <c r="AU399" s="291"/>
      <c r="AV399" s="291"/>
      <c r="AW399" s="291"/>
    </row>
    <row r="400" spans="1:49" s="160" customFormat="1" ht="13.8" hidden="1">
      <c r="A400" s="291"/>
      <c r="B400" s="291"/>
      <c r="C400" s="291"/>
      <c r="D400" s="291"/>
      <c r="E400" s="291"/>
      <c r="F400" s="291"/>
      <c r="G400" s="291"/>
      <c r="H400" s="291"/>
      <c r="I400" s="291"/>
      <c r="J400" s="291"/>
      <c r="K400" s="291"/>
      <c r="L400" s="291"/>
      <c r="M400" s="291"/>
      <c r="N400" s="291"/>
      <c r="O400" s="291"/>
      <c r="P400" s="291"/>
      <c r="Q400" s="291"/>
      <c r="R400" s="291"/>
      <c r="S400" s="291"/>
      <c r="T400" s="291"/>
      <c r="U400" s="291"/>
      <c r="V400" s="291"/>
      <c r="W400" s="291"/>
      <c r="X400" s="291"/>
      <c r="Y400" s="291"/>
      <c r="Z400" s="291"/>
      <c r="AA400" s="291"/>
      <c r="AB400" s="291"/>
      <c r="AC400" s="291"/>
      <c r="AD400" s="291"/>
      <c r="AE400" s="291"/>
      <c r="AF400" s="291"/>
      <c r="AG400" s="291"/>
      <c r="AH400" s="291"/>
      <c r="AI400" s="291"/>
      <c r="AJ400" s="291"/>
      <c r="AK400" s="291"/>
      <c r="AL400" s="291"/>
      <c r="AM400" s="291"/>
      <c r="AN400" s="291"/>
      <c r="AO400" s="291"/>
      <c r="AP400" s="291"/>
      <c r="AQ400" s="291"/>
      <c r="AR400" s="291"/>
      <c r="AS400" s="291"/>
      <c r="AT400" s="291"/>
      <c r="AU400" s="291"/>
      <c r="AV400" s="291"/>
      <c r="AW400" s="291"/>
    </row>
    <row r="401" spans="1:49" s="160" customFormat="1" ht="13.8" hidden="1">
      <c r="A401" s="291"/>
      <c r="B401" s="291"/>
      <c r="C401" s="291"/>
      <c r="D401" s="291"/>
      <c r="E401" s="291"/>
      <c r="F401" s="291"/>
      <c r="G401" s="291"/>
      <c r="H401" s="291"/>
      <c r="I401" s="291"/>
      <c r="J401" s="291"/>
      <c r="K401" s="291"/>
      <c r="L401" s="291"/>
      <c r="M401" s="291"/>
      <c r="N401" s="291"/>
      <c r="O401" s="291"/>
      <c r="P401" s="291"/>
      <c r="Q401" s="291"/>
      <c r="R401" s="291"/>
      <c r="S401" s="291"/>
      <c r="T401" s="291"/>
      <c r="U401" s="291"/>
      <c r="V401" s="291"/>
      <c r="W401" s="291"/>
      <c r="X401" s="291"/>
      <c r="Y401" s="291"/>
      <c r="Z401" s="291"/>
      <c r="AA401" s="291"/>
      <c r="AB401" s="291"/>
      <c r="AC401" s="291"/>
      <c r="AD401" s="291"/>
      <c r="AE401" s="291"/>
      <c r="AF401" s="291"/>
      <c r="AG401" s="291"/>
      <c r="AH401" s="291"/>
      <c r="AI401" s="291"/>
      <c r="AJ401" s="291"/>
      <c r="AK401" s="291"/>
      <c r="AL401" s="291"/>
      <c r="AM401" s="291"/>
      <c r="AN401" s="291"/>
      <c r="AO401" s="291"/>
      <c r="AP401" s="291"/>
      <c r="AQ401" s="291"/>
      <c r="AR401" s="291"/>
      <c r="AS401" s="291"/>
      <c r="AT401" s="291"/>
      <c r="AU401" s="291"/>
      <c r="AV401" s="291"/>
      <c r="AW401" s="291"/>
    </row>
    <row r="402" spans="1:49" s="160" customFormat="1" ht="13.8" hidden="1">
      <c r="A402" s="291"/>
      <c r="B402" s="291"/>
      <c r="C402" s="291"/>
      <c r="D402" s="291"/>
      <c r="E402" s="291"/>
      <c r="F402" s="291"/>
      <c r="G402" s="291"/>
      <c r="H402" s="291"/>
      <c r="I402" s="291"/>
      <c r="J402" s="291"/>
      <c r="K402" s="291"/>
      <c r="L402" s="291"/>
      <c r="M402" s="291"/>
      <c r="N402" s="291"/>
      <c r="O402" s="291"/>
      <c r="P402" s="291"/>
      <c r="Q402" s="291"/>
      <c r="R402" s="291"/>
      <c r="S402" s="291"/>
      <c r="T402" s="291"/>
      <c r="U402" s="291"/>
      <c r="V402" s="291"/>
      <c r="W402" s="291"/>
      <c r="X402" s="291"/>
      <c r="Y402" s="291"/>
      <c r="Z402" s="291"/>
      <c r="AA402" s="291"/>
      <c r="AB402" s="291"/>
      <c r="AC402" s="291"/>
      <c r="AD402" s="291"/>
      <c r="AE402" s="291"/>
      <c r="AF402" s="291"/>
      <c r="AG402" s="291"/>
      <c r="AH402" s="291"/>
      <c r="AI402" s="291"/>
      <c r="AJ402" s="291"/>
      <c r="AK402" s="291"/>
      <c r="AL402" s="291"/>
      <c r="AM402" s="291"/>
      <c r="AN402" s="291"/>
      <c r="AO402" s="291"/>
      <c r="AP402" s="291"/>
      <c r="AQ402" s="291"/>
      <c r="AR402" s="291"/>
      <c r="AS402" s="291"/>
      <c r="AT402" s="291"/>
      <c r="AU402" s="291"/>
      <c r="AV402" s="291"/>
      <c r="AW402" s="291"/>
    </row>
    <row r="403" spans="1:49" s="134" customFormat="1" ht="17.25" customHeight="1">
      <c r="A403" s="201" t="s">
        <v>330</v>
      </c>
      <c r="B403" s="201"/>
      <c r="C403" s="201"/>
      <c r="D403" s="201"/>
      <c r="E403" s="201"/>
      <c r="F403" s="201"/>
      <c r="G403" s="201"/>
      <c r="H403" s="201"/>
      <c r="I403" s="201"/>
      <c r="J403" s="201"/>
      <c r="K403" s="201"/>
      <c r="L403" s="201"/>
      <c r="M403" s="201"/>
      <c r="N403" s="201"/>
      <c r="O403" s="201"/>
      <c r="P403" s="201"/>
      <c r="Q403" s="201"/>
      <c r="R403" s="201"/>
      <c r="S403" s="201"/>
      <c r="T403" s="201"/>
      <c r="U403" s="201"/>
      <c r="V403" s="201"/>
      <c r="W403" s="201"/>
      <c r="X403" s="201"/>
      <c r="Y403" s="201"/>
      <c r="Z403" s="201"/>
      <c r="AA403" s="201"/>
      <c r="AB403" s="201"/>
      <c r="AC403" s="201"/>
      <c r="AD403" s="201"/>
      <c r="AE403" s="201"/>
      <c r="AF403" s="201"/>
      <c r="AG403" s="201"/>
      <c r="AH403" s="201"/>
      <c r="AI403" s="201"/>
      <c r="AJ403" s="201"/>
      <c r="AK403" s="201"/>
      <c r="AL403" s="201"/>
      <c r="AM403" s="201"/>
      <c r="AN403" s="201"/>
      <c r="AO403" s="201"/>
      <c r="AP403" s="201"/>
      <c r="AQ403" s="201"/>
      <c r="AR403" s="201"/>
      <c r="AS403" s="201"/>
      <c r="AT403" s="201"/>
      <c r="AU403" s="201"/>
      <c r="AV403" s="201"/>
      <c r="AW403" s="201"/>
    </row>
    <row r="404" spans="1:49" s="134" customFormat="1" ht="13.8" hidden="1">
      <c r="A404" s="161"/>
      <c r="B404" s="170"/>
      <c r="C404" s="170"/>
      <c r="D404" s="170"/>
      <c r="E404" s="170"/>
      <c r="F404" s="170"/>
      <c r="G404" s="170"/>
      <c r="H404" s="170"/>
      <c r="I404" s="171"/>
      <c r="J404" s="171"/>
      <c r="K404" s="171"/>
      <c r="L404" s="184"/>
      <c r="M404" s="184"/>
      <c r="N404" s="184"/>
      <c r="O404" s="184"/>
      <c r="P404" s="184"/>
      <c r="Q404" s="184"/>
      <c r="R404" s="184"/>
      <c r="S404" s="184"/>
      <c r="T404" s="184"/>
      <c r="U404" s="184"/>
      <c r="V404" s="184"/>
      <c r="W404" s="184"/>
      <c r="X404" s="184"/>
      <c r="Y404" s="184"/>
      <c r="Z404" s="201"/>
      <c r="AA404" s="184"/>
      <c r="AB404" s="184"/>
      <c r="AC404" s="184"/>
      <c r="AD404" s="184"/>
      <c r="AE404" s="184"/>
      <c r="AF404" s="184"/>
      <c r="AG404" s="184"/>
      <c r="AH404" s="184"/>
      <c r="AI404" s="184"/>
      <c r="AJ404" s="184"/>
      <c r="AK404" s="184"/>
      <c r="AL404" s="201"/>
      <c r="AM404" s="201"/>
      <c r="AN404" s="201"/>
      <c r="AO404" s="201"/>
      <c r="AP404" s="201"/>
      <c r="AQ404" s="201"/>
      <c r="AR404" s="201"/>
      <c r="AS404" s="201"/>
      <c r="AT404" s="201"/>
      <c r="AU404" s="201"/>
      <c r="AV404" s="201"/>
      <c r="AW404" s="201"/>
    </row>
    <row r="405" spans="1:49" s="134" customFormat="1" ht="13.8" hidden="1">
      <c r="A405" s="161"/>
      <c r="B405" s="170"/>
      <c r="C405" s="170"/>
      <c r="D405" s="170"/>
      <c r="E405" s="170"/>
      <c r="F405" s="170"/>
      <c r="G405" s="170"/>
      <c r="H405" s="170"/>
      <c r="I405" s="171"/>
      <c r="J405" s="171"/>
      <c r="K405" s="171"/>
      <c r="L405" s="184"/>
      <c r="M405" s="184"/>
      <c r="N405" s="184"/>
      <c r="O405" s="184"/>
      <c r="P405" s="184"/>
      <c r="Q405" s="184"/>
      <c r="R405" s="184"/>
      <c r="S405" s="184"/>
      <c r="T405" s="184"/>
      <c r="U405" s="184"/>
      <c r="V405" s="184"/>
      <c r="W405" s="184"/>
      <c r="X405" s="184"/>
      <c r="Y405" s="184"/>
      <c r="Z405" s="201"/>
      <c r="AA405" s="184"/>
      <c r="AB405" s="184"/>
      <c r="AC405" s="184"/>
      <c r="AD405" s="184"/>
      <c r="AE405" s="184"/>
      <c r="AF405" s="184"/>
      <c r="AG405" s="184"/>
      <c r="AH405" s="184"/>
      <c r="AI405" s="184"/>
      <c r="AJ405" s="184"/>
      <c r="AK405" s="184"/>
      <c r="AL405" s="201"/>
      <c r="AM405" s="201"/>
      <c r="AN405" s="201"/>
      <c r="AO405" s="201"/>
      <c r="AP405" s="201"/>
      <c r="AQ405" s="201"/>
      <c r="AR405" s="201"/>
      <c r="AS405" s="201"/>
      <c r="AT405" s="201"/>
      <c r="AU405" s="201"/>
      <c r="AV405" s="201"/>
      <c r="AW405" s="201"/>
    </row>
    <row r="406" spans="1:49" s="160" customFormat="1" ht="13.8" hidden="1">
      <c r="A406" s="791"/>
      <c r="B406" s="791"/>
      <c r="C406" s="798"/>
      <c r="D406" s="798"/>
      <c r="E406" s="798"/>
      <c r="F406" s="311"/>
      <c r="G406" s="311"/>
      <c r="H406" s="311"/>
      <c r="I406" s="311"/>
      <c r="J406" s="311"/>
      <c r="K406" s="311"/>
      <c r="L406" s="291"/>
      <c r="M406" s="291"/>
      <c r="N406" s="291"/>
      <c r="O406" s="291"/>
      <c r="P406" s="291"/>
      <c r="Q406" s="291"/>
      <c r="R406" s="291"/>
      <c r="S406" s="291"/>
      <c r="T406" s="291"/>
      <c r="U406" s="291"/>
      <c r="V406" s="291"/>
      <c r="W406" s="291"/>
      <c r="X406" s="291"/>
      <c r="Y406" s="291"/>
      <c r="Z406" s="291"/>
      <c r="AA406" s="291"/>
      <c r="AB406" s="291"/>
      <c r="AC406" s="291"/>
      <c r="AD406" s="291"/>
      <c r="AE406" s="291"/>
      <c r="AF406" s="291"/>
      <c r="AG406" s="291"/>
      <c r="AH406" s="291"/>
      <c r="AI406" s="291"/>
      <c r="AJ406" s="291"/>
      <c r="AK406" s="291"/>
      <c r="AL406" s="291"/>
      <c r="AM406" s="291"/>
      <c r="AN406" s="291"/>
      <c r="AO406" s="291"/>
      <c r="AP406" s="291"/>
      <c r="AQ406" s="291"/>
      <c r="AR406" s="291"/>
      <c r="AS406" s="291"/>
      <c r="AT406" s="291"/>
      <c r="AU406" s="291"/>
      <c r="AV406" s="291"/>
      <c r="AW406" s="291"/>
    </row>
    <row r="407" spans="1:49" s="160" customFormat="1" ht="13.8" hidden="1">
      <c r="A407" s="791"/>
      <c r="B407" s="791"/>
      <c r="C407" s="304"/>
      <c r="D407" s="289"/>
      <c r="E407" s="289"/>
      <c r="F407" s="312"/>
      <c r="G407" s="312"/>
      <c r="H407" s="313"/>
      <c r="I407" s="313"/>
      <c r="J407" s="313"/>
      <c r="K407" s="313"/>
      <c r="L407" s="291"/>
      <c r="M407" s="291"/>
      <c r="N407" s="291"/>
      <c r="O407" s="291"/>
      <c r="P407" s="291"/>
      <c r="Q407" s="291"/>
      <c r="R407" s="291"/>
      <c r="S407" s="291"/>
      <c r="T407" s="291"/>
      <c r="U407" s="291"/>
      <c r="V407" s="291"/>
      <c r="W407" s="291"/>
      <c r="X407" s="291"/>
      <c r="Y407" s="291"/>
      <c r="Z407" s="291"/>
      <c r="AA407" s="291"/>
      <c r="AB407" s="291"/>
      <c r="AC407" s="291"/>
      <c r="AD407" s="291"/>
      <c r="AE407" s="291"/>
      <c r="AF407" s="291"/>
      <c r="AG407" s="291"/>
      <c r="AH407" s="291"/>
      <c r="AI407" s="291"/>
      <c r="AJ407" s="291"/>
      <c r="AK407" s="291"/>
      <c r="AL407" s="291"/>
      <c r="AM407" s="291"/>
      <c r="AN407" s="291"/>
      <c r="AO407" s="291"/>
      <c r="AP407" s="291"/>
      <c r="AQ407" s="291"/>
      <c r="AR407" s="291"/>
      <c r="AS407" s="291"/>
      <c r="AT407" s="291"/>
      <c r="AU407" s="291"/>
      <c r="AV407" s="291"/>
      <c r="AW407" s="291"/>
    </row>
    <row r="408" spans="1:49" s="160" customFormat="1" hidden="1">
      <c r="A408" s="305"/>
      <c r="B408" s="306"/>
      <c r="C408" s="307"/>
      <c r="D408" s="307"/>
      <c r="E408" s="307"/>
      <c r="F408" s="314"/>
      <c r="G408" s="314"/>
      <c r="H408" s="315"/>
      <c r="I408" s="315"/>
      <c r="J408" s="315"/>
      <c r="K408" s="315"/>
      <c r="L408" s="291"/>
      <c r="M408" s="291"/>
      <c r="N408" s="291"/>
      <c r="O408" s="291"/>
      <c r="P408" s="291"/>
      <c r="Q408" s="291"/>
      <c r="R408" s="291"/>
      <c r="S408" s="291"/>
      <c r="T408" s="291"/>
      <c r="U408" s="291"/>
      <c r="V408" s="291"/>
      <c r="W408" s="291"/>
      <c r="X408" s="291"/>
      <c r="Y408" s="291"/>
      <c r="Z408" s="291"/>
      <c r="AA408" s="291"/>
      <c r="AB408" s="291"/>
      <c r="AC408" s="291"/>
      <c r="AD408" s="291"/>
      <c r="AE408" s="291"/>
      <c r="AF408" s="291"/>
      <c r="AG408" s="291"/>
      <c r="AH408" s="291"/>
      <c r="AI408" s="291"/>
      <c r="AJ408" s="291"/>
      <c r="AK408" s="291"/>
      <c r="AL408" s="291"/>
      <c r="AM408" s="291"/>
      <c r="AN408" s="291"/>
      <c r="AO408" s="291"/>
      <c r="AP408" s="291"/>
      <c r="AQ408" s="291"/>
      <c r="AR408" s="291"/>
      <c r="AS408" s="291"/>
      <c r="AT408" s="291"/>
      <c r="AU408" s="291"/>
      <c r="AV408" s="291"/>
      <c r="AW408" s="291"/>
    </row>
    <row r="409" spans="1:49" s="160" customFormat="1" ht="13.8" hidden="1">
      <c r="A409" s="797"/>
      <c r="B409" s="797"/>
      <c r="C409" s="303"/>
      <c r="D409" s="308"/>
      <c r="E409" s="302"/>
      <c r="F409" s="316"/>
      <c r="G409" s="316"/>
      <c r="H409" s="317"/>
      <c r="I409" s="317"/>
      <c r="J409" s="317"/>
      <c r="K409" s="317"/>
      <c r="L409" s="291"/>
      <c r="M409" s="291"/>
      <c r="N409" s="291"/>
      <c r="O409" s="291"/>
      <c r="P409" s="291"/>
      <c r="Q409" s="291"/>
      <c r="R409" s="291"/>
      <c r="S409" s="291"/>
      <c r="T409" s="291"/>
      <c r="U409" s="291"/>
      <c r="V409" s="291"/>
      <c r="W409" s="291"/>
      <c r="X409" s="291"/>
      <c r="Y409" s="291"/>
      <c r="Z409" s="291"/>
      <c r="AA409" s="291"/>
      <c r="AB409" s="291"/>
      <c r="AC409" s="291"/>
      <c r="AD409" s="291"/>
      <c r="AE409" s="291"/>
      <c r="AF409" s="291"/>
      <c r="AG409" s="291"/>
      <c r="AH409" s="291"/>
      <c r="AI409" s="291"/>
      <c r="AJ409" s="291"/>
      <c r="AK409" s="291"/>
      <c r="AL409" s="291"/>
      <c r="AM409" s="291"/>
      <c r="AN409" s="291"/>
      <c r="AO409" s="291"/>
      <c r="AP409" s="291"/>
      <c r="AQ409" s="291"/>
      <c r="AR409" s="291"/>
      <c r="AS409" s="291"/>
      <c r="AT409" s="291"/>
      <c r="AU409" s="291"/>
      <c r="AV409" s="291"/>
      <c r="AW409" s="291"/>
    </row>
    <row r="410" spans="1:49" s="160" customFormat="1" ht="13.8" hidden="1">
      <c r="A410" s="309"/>
      <c r="B410" s="310"/>
      <c r="C410" s="307"/>
      <c r="D410" s="307"/>
      <c r="E410" s="307"/>
      <c r="F410" s="318"/>
      <c r="G410" s="318"/>
      <c r="H410" s="317"/>
      <c r="I410" s="317"/>
      <c r="J410" s="317"/>
      <c r="K410" s="317"/>
      <c r="L410" s="291"/>
      <c r="M410" s="291"/>
      <c r="N410" s="291"/>
      <c r="O410" s="291"/>
      <c r="P410" s="291"/>
      <c r="Q410" s="291"/>
      <c r="R410" s="291"/>
      <c r="S410" s="291"/>
      <c r="T410" s="291"/>
      <c r="U410" s="291"/>
      <c r="V410" s="291"/>
      <c r="W410" s="291"/>
      <c r="X410" s="291"/>
      <c r="Y410" s="291"/>
      <c r="Z410" s="291"/>
      <c r="AA410" s="291"/>
      <c r="AB410" s="291"/>
      <c r="AC410" s="291"/>
      <c r="AD410" s="291"/>
      <c r="AE410" s="291"/>
      <c r="AF410" s="291"/>
      <c r="AG410" s="291"/>
      <c r="AH410" s="291"/>
      <c r="AI410" s="291"/>
      <c r="AJ410" s="291"/>
      <c r="AK410" s="291"/>
      <c r="AL410" s="291"/>
      <c r="AM410" s="291"/>
      <c r="AN410" s="291"/>
      <c r="AO410" s="291"/>
      <c r="AP410" s="291"/>
      <c r="AQ410" s="291"/>
      <c r="AR410" s="291"/>
      <c r="AS410" s="291"/>
      <c r="AT410" s="291"/>
      <c r="AU410" s="291"/>
      <c r="AV410" s="291"/>
      <c r="AW410" s="291"/>
    </row>
    <row r="411" spans="1:49" s="160" customFormat="1" ht="13.8" hidden="1">
      <c r="A411" s="797"/>
      <c r="B411" s="797"/>
      <c r="C411" s="303"/>
      <c r="D411" s="308"/>
      <c r="E411" s="302"/>
      <c r="F411" s="316"/>
      <c r="G411" s="316"/>
      <c r="H411" s="317"/>
      <c r="I411" s="317"/>
      <c r="J411" s="317"/>
      <c r="K411" s="317"/>
      <c r="L411" s="291"/>
      <c r="M411" s="291"/>
      <c r="N411" s="291"/>
      <c r="O411" s="291"/>
      <c r="P411" s="291"/>
      <c r="Q411" s="291"/>
      <c r="R411" s="291"/>
      <c r="S411" s="291"/>
      <c r="T411" s="291"/>
      <c r="U411" s="291"/>
      <c r="V411" s="291"/>
      <c r="W411" s="291"/>
      <c r="X411" s="291"/>
      <c r="Y411" s="291"/>
      <c r="Z411" s="291"/>
      <c r="AA411" s="291"/>
      <c r="AB411" s="291"/>
      <c r="AC411" s="291"/>
      <c r="AD411" s="291"/>
      <c r="AE411" s="291"/>
      <c r="AF411" s="291"/>
      <c r="AG411" s="291"/>
      <c r="AH411" s="291"/>
      <c r="AI411" s="291"/>
      <c r="AJ411" s="291"/>
      <c r="AK411" s="291"/>
      <c r="AL411" s="291"/>
      <c r="AM411" s="291"/>
      <c r="AN411" s="291"/>
      <c r="AO411" s="291"/>
      <c r="AP411" s="291"/>
      <c r="AQ411" s="291"/>
      <c r="AR411" s="291"/>
      <c r="AS411" s="291"/>
      <c r="AT411" s="291"/>
      <c r="AU411" s="291"/>
      <c r="AV411" s="291"/>
      <c r="AW411" s="291"/>
    </row>
    <row r="412" spans="1:49" s="160" customFormat="1" ht="13.8" hidden="1">
      <c r="A412" s="797"/>
      <c r="B412" s="797"/>
      <c r="C412" s="303"/>
      <c r="D412" s="308"/>
      <c r="E412" s="302"/>
      <c r="F412" s="316"/>
      <c r="G412" s="316"/>
      <c r="H412" s="317"/>
      <c r="I412" s="317"/>
      <c r="J412" s="317"/>
      <c r="K412" s="317"/>
      <c r="L412" s="291"/>
      <c r="M412" s="291"/>
      <c r="N412" s="291"/>
      <c r="O412" s="291"/>
      <c r="P412" s="291"/>
      <c r="Q412" s="291"/>
      <c r="R412" s="291"/>
      <c r="S412" s="291"/>
      <c r="T412" s="291"/>
      <c r="U412" s="291"/>
      <c r="V412" s="291"/>
      <c r="W412" s="291"/>
      <c r="X412" s="291"/>
      <c r="Y412" s="291"/>
      <c r="Z412" s="291"/>
      <c r="AA412" s="291"/>
      <c r="AB412" s="291"/>
      <c r="AC412" s="291"/>
      <c r="AD412" s="291"/>
      <c r="AE412" s="291"/>
      <c r="AF412" s="291"/>
      <c r="AG412" s="291"/>
      <c r="AH412" s="291"/>
      <c r="AI412" s="291"/>
      <c r="AJ412" s="291"/>
      <c r="AK412" s="291"/>
      <c r="AL412" s="291"/>
      <c r="AM412" s="291"/>
      <c r="AN412" s="291"/>
      <c r="AO412" s="291"/>
      <c r="AP412" s="291"/>
      <c r="AQ412" s="291"/>
      <c r="AR412" s="291"/>
      <c r="AS412" s="291"/>
      <c r="AT412" s="291"/>
      <c r="AU412" s="291"/>
      <c r="AV412" s="291"/>
      <c r="AW412" s="291"/>
    </row>
    <row r="413" spans="1:49" s="160" customFormat="1" ht="13.8" hidden="1">
      <c r="A413" s="797"/>
      <c r="B413" s="797"/>
      <c r="C413" s="303"/>
      <c r="D413" s="308"/>
      <c r="E413" s="302"/>
      <c r="F413" s="316"/>
      <c r="G413" s="316"/>
      <c r="H413" s="317"/>
      <c r="I413" s="317"/>
      <c r="J413" s="317"/>
      <c r="K413" s="317"/>
      <c r="L413" s="291"/>
      <c r="M413" s="291"/>
      <c r="N413" s="291"/>
      <c r="O413" s="291"/>
      <c r="P413" s="291"/>
      <c r="Q413" s="291"/>
      <c r="R413" s="291"/>
      <c r="S413" s="291"/>
      <c r="T413" s="291"/>
      <c r="U413" s="291"/>
      <c r="V413" s="291"/>
      <c r="W413" s="291"/>
      <c r="X413" s="291"/>
      <c r="Y413" s="291"/>
      <c r="Z413" s="291"/>
      <c r="AA413" s="291"/>
      <c r="AB413" s="291"/>
      <c r="AC413" s="291"/>
      <c r="AD413" s="291"/>
      <c r="AE413" s="291"/>
      <c r="AF413" s="291"/>
      <c r="AG413" s="291"/>
      <c r="AH413" s="291"/>
      <c r="AI413" s="291"/>
      <c r="AJ413" s="291"/>
      <c r="AK413" s="291"/>
      <c r="AL413" s="291"/>
      <c r="AM413" s="291"/>
      <c r="AN413" s="291"/>
      <c r="AO413" s="291"/>
      <c r="AP413" s="291"/>
      <c r="AQ413" s="291"/>
      <c r="AR413" s="291"/>
      <c r="AS413" s="291"/>
      <c r="AT413" s="291"/>
      <c r="AU413" s="291"/>
      <c r="AV413" s="291"/>
      <c r="AW413" s="291"/>
    </row>
    <row r="414" spans="1:49" s="160" customFormat="1" ht="13.8" hidden="1">
      <c r="A414" s="817"/>
      <c r="B414" s="817"/>
      <c r="C414" s="303"/>
      <c r="D414" s="308"/>
      <c r="E414" s="302"/>
      <c r="F414" s="316"/>
      <c r="G414" s="316"/>
      <c r="H414" s="317"/>
      <c r="I414" s="317"/>
      <c r="J414" s="317"/>
      <c r="K414" s="317"/>
      <c r="L414" s="291"/>
      <c r="M414" s="291"/>
      <c r="N414" s="291"/>
      <c r="O414" s="291"/>
      <c r="P414" s="291"/>
      <c r="Q414" s="291"/>
      <c r="R414" s="291"/>
      <c r="S414" s="291"/>
      <c r="T414" s="291"/>
      <c r="U414" s="291"/>
      <c r="V414" s="291"/>
      <c r="W414" s="291"/>
      <c r="X414" s="291"/>
      <c r="Y414" s="291"/>
      <c r="Z414" s="291"/>
      <c r="AA414" s="291"/>
      <c r="AB414" s="291"/>
      <c r="AC414" s="291"/>
      <c r="AD414" s="291"/>
      <c r="AE414" s="291"/>
      <c r="AF414" s="291"/>
      <c r="AG414" s="291"/>
      <c r="AH414" s="291"/>
      <c r="AI414" s="291"/>
      <c r="AJ414" s="291"/>
      <c r="AK414" s="291"/>
      <c r="AL414" s="291"/>
      <c r="AM414" s="291"/>
      <c r="AN414" s="291"/>
      <c r="AO414" s="291"/>
      <c r="AP414" s="291"/>
      <c r="AQ414" s="291"/>
      <c r="AR414" s="291"/>
      <c r="AS414" s="291"/>
      <c r="AT414" s="291"/>
      <c r="AU414" s="291"/>
      <c r="AV414" s="291"/>
      <c r="AW414" s="291"/>
    </row>
    <row r="415" spans="1:49" s="160" customFormat="1" ht="13.8" hidden="1">
      <c r="A415" s="834"/>
      <c r="B415" s="834"/>
      <c r="C415" s="307"/>
      <c r="D415" s="307"/>
      <c r="E415" s="307"/>
      <c r="F415" s="318"/>
      <c r="G415" s="318"/>
      <c r="H415" s="317"/>
      <c r="I415" s="317"/>
      <c r="J415" s="317"/>
      <c r="K415" s="317"/>
      <c r="L415" s="291"/>
      <c r="M415" s="291"/>
      <c r="N415" s="291"/>
      <c r="O415" s="291"/>
      <c r="P415" s="291"/>
      <c r="Q415" s="291"/>
      <c r="R415" s="291"/>
      <c r="S415" s="291"/>
      <c r="T415" s="291"/>
      <c r="U415" s="291"/>
      <c r="V415" s="291"/>
      <c r="W415" s="291"/>
      <c r="X415" s="291"/>
      <c r="Y415" s="291"/>
      <c r="Z415" s="291"/>
      <c r="AA415" s="291"/>
      <c r="AB415" s="291"/>
      <c r="AC415" s="291"/>
      <c r="AD415" s="291"/>
      <c r="AE415" s="291"/>
      <c r="AF415" s="291"/>
      <c r="AG415" s="291"/>
      <c r="AH415" s="291"/>
      <c r="AI415" s="291"/>
      <c r="AJ415" s="291"/>
      <c r="AK415" s="291"/>
      <c r="AL415" s="291"/>
      <c r="AM415" s="291"/>
      <c r="AN415" s="291"/>
      <c r="AO415" s="291"/>
      <c r="AP415" s="291"/>
      <c r="AQ415" s="291"/>
      <c r="AR415" s="291"/>
      <c r="AS415" s="291"/>
      <c r="AT415" s="291"/>
      <c r="AU415" s="291"/>
      <c r="AV415" s="291"/>
      <c r="AW415" s="291"/>
    </row>
    <row r="416" spans="1:49" s="160" customFormat="1" ht="13.8" hidden="1">
      <c r="A416" s="797"/>
      <c r="B416" s="797"/>
      <c r="C416" s="303"/>
      <c r="D416" s="308"/>
      <c r="E416" s="302"/>
      <c r="F416" s="316"/>
      <c r="G416" s="316"/>
      <c r="H416" s="317"/>
      <c r="I416" s="317"/>
      <c r="J416" s="317"/>
      <c r="K416" s="317"/>
      <c r="L416" s="291"/>
      <c r="M416" s="291"/>
      <c r="N416" s="291"/>
      <c r="O416" s="291"/>
      <c r="P416" s="291"/>
      <c r="Q416" s="291"/>
      <c r="R416" s="291"/>
      <c r="S416" s="291"/>
      <c r="T416" s="291"/>
      <c r="U416" s="291"/>
      <c r="V416" s="291"/>
      <c r="W416" s="291"/>
      <c r="X416" s="291"/>
      <c r="Y416" s="291"/>
      <c r="Z416" s="291"/>
      <c r="AA416" s="291"/>
      <c r="AB416" s="291"/>
      <c r="AC416" s="291"/>
      <c r="AD416" s="291"/>
      <c r="AE416" s="291"/>
      <c r="AF416" s="291"/>
      <c r="AG416" s="291"/>
      <c r="AH416" s="291"/>
      <c r="AI416" s="291"/>
      <c r="AJ416" s="291"/>
      <c r="AK416" s="291"/>
      <c r="AL416" s="291"/>
      <c r="AM416" s="291"/>
      <c r="AN416" s="291"/>
      <c r="AO416" s="291"/>
      <c r="AP416" s="291"/>
      <c r="AQ416" s="291"/>
      <c r="AR416" s="291"/>
      <c r="AS416" s="291"/>
      <c r="AT416" s="291"/>
      <c r="AU416" s="291"/>
      <c r="AV416" s="291"/>
      <c r="AW416" s="291"/>
    </row>
    <row r="417" spans="1:50" s="160" customFormat="1" ht="13.8" hidden="1">
      <c r="A417" s="834"/>
      <c r="B417" s="834"/>
      <c r="C417" s="307"/>
      <c r="D417" s="307"/>
      <c r="E417" s="307"/>
      <c r="F417" s="318"/>
      <c r="G417" s="318"/>
      <c r="H417" s="317"/>
      <c r="I417" s="317"/>
      <c r="J417" s="317"/>
      <c r="K417" s="317"/>
      <c r="L417" s="291"/>
      <c r="M417" s="291"/>
      <c r="N417" s="291"/>
      <c r="O417" s="291"/>
      <c r="P417" s="291"/>
      <c r="Q417" s="291"/>
      <c r="R417" s="291"/>
      <c r="S417" s="291"/>
      <c r="T417" s="291"/>
      <c r="U417" s="291"/>
      <c r="V417" s="291"/>
      <c r="W417" s="291"/>
      <c r="X417" s="291"/>
      <c r="Y417" s="291"/>
      <c r="Z417" s="291"/>
      <c r="AA417" s="291"/>
      <c r="AB417" s="291"/>
      <c r="AC417" s="291"/>
      <c r="AD417" s="291"/>
      <c r="AE417" s="291"/>
      <c r="AF417" s="291"/>
      <c r="AG417" s="291"/>
      <c r="AH417" s="291"/>
      <c r="AI417" s="291"/>
      <c r="AJ417" s="291"/>
      <c r="AK417" s="291"/>
      <c r="AL417" s="291"/>
      <c r="AM417" s="291"/>
      <c r="AN417" s="291"/>
      <c r="AO417" s="291"/>
      <c r="AP417" s="291"/>
      <c r="AQ417" s="291"/>
      <c r="AR417" s="291"/>
      <c r="AS417" s="291"/>
      <c r="AT417" s="291"/>
      <c r="AU417" s="291"/>
      <c r="AV417" s="291"/>
      <c r="AW417" s="291"/>
    </row>
    <row r="418" spans="1:50" s="160" customFormat="1" ht="13.8" hidden="1">
      <c r="A418" s="797"/>
      <c r="B418" s="797"/>
      <c r="C418" s="303"/>
      <c r="D418" s="308"/>
      <c r="E418" s="302"/>
      <c r="F418" s="316"/>
      <c r="G418" s="316"/>
      <c r="H418" s="317"/>
      <c r="I418" s="317"/>
      <c r="J418" s="317"/>
      <c r="K418" s="317"/>
      <c r="L418" s="291"/>
      <c r="M418" s="291"/>
      <c r="N418" s="291"/>
      <c r="O418" s="291"/>
      <c r="P418" s="291"/>
      <c r="Q418" s="291"/>
      <c r="R418" s="291"/>
      <c r="S418" s="291"/>
      <c r="T418" s="291"/>
      <c r="U418" s="291"/>
      <c r="V418" s="291"/>
      <c r="W418" s="291"/>
      <c r="X418" s="291"/>
      <c r="Y418" s="291"/>
      <c r="Z418" s="291"/>
      <c r="AA418" s="291"/>
      <c r="AB418" s="291"/>
      <c r="AC418" s="291"/>
      <c r="AD418" s="291"/>
      <c r="AE418" s="291"/>
      <c r="AF418" s="291"/>
      <c r="AG418" s="291"/>
      <c r="AH418" s="291"/>
      <c r="AI418" s="291"/>
      <c r="AJ418" s="291"/>
      <c r="AK418" s="291"/>
      <c r="AL418" s="291"/>
      <c r="AM418" s="291"/>
      <c r="AN418" s="291"/>
      <c r="AO418" s="291"/>
      <c r="AP418" s="291"/>
      <c r="AQ418" s="291"/>
      <c r="AR418" s="291"/>
      <c r="AS418" s="291"/>
      <c r="AT418" s="291"/>
      <c r="AU418" s="291"/>
      <c r="AV418" s="291"/>
      <c r="AW418" s="291"/>
    </row>
    <row r="419" spans="1:50" s="160" customFormat="1" ht="13.8" hidden="1">
      <c r="A419" s="791"/>
      <c r="B419" s="791"/>
      <c r="C419" s="307"/>
      <c r="D419" s="307"/>
      <c r="E419" s="307"/>
      <c r="F419" s="318"/>
      <c r="G419" s="318"/>
      <c r="H419" s="317"/>
      <c r="I419" s="317"/>
      <c r="J419" s="317"/>
      <c r="K419" s="317"/>
      <c r="L419" s="291"/>
      <c r="M419" s="291"/>
      <c r="N419" s="291"/>
      <c r="O419" s="291"/>
      <c r="P419" s="291"/>
      <c r="Q419" s="291"/>
      <c r="R419" s="291"/>
      <c r="S419" s="291"/>
      <c r="T419" s="291"/>
      <c r="U419" s="291"/>
      <c r="V419" s="291"/>
      <c r="W419" s="291"/>
      <c r="X419" s="291"/>
      <c r="Y419" s="291"/>
      <c r="Z419" s="291"/>
      <c r="AA419" s="291"/>
      <c r="AB419" s="291"/>
      <c r="AC419" s="291"/>
      <c r="AD419" s="291"/>
      <c r="AE419" s="291"/>
      <c r="AF419" s="291"/>
      <c r="AG419" s="291"/>
      <c r="AH419" s="291"/>
      <c r="AI419" s="291"/>
      <c r="AJ419" s="291"/>
      <c r="AK419" s="291"/>
      <c r="AL419" s="291"/>
      <c r="AM419" s="291"/>
      <c r="AN419" s="291"/>
      <c r="AO419" s="291"/>
      <c r="AP419" s="291"/>
      <c r="AQ419" s="291"/>
      <c r="AR419" s="291"/>
      <c r="AS419" s="291"/>
      <c r="AT419" s="291"/>
      <c r="AU419" s="291"/>
      <c r="AV419" s="291"/>
      <c r="AW419" s="291"/>
    </row>
    <row r="420" spans="1:50" s="160" customFormat="1" ht="13.8" hidden="1">
      <c r="A420" s="817"/>
      <c r="B420" s="817"/>
      <c r="C420" s="303"/>
      <c r="D420" s="308"/>
      <c r="E420" s="302"/>
      <c r="F420" s="316"/>
      <c r="G420" s="316"/>
      <c r="H420" s="317"/>
      <c r="I420" s="317"/>
      <c r="J420" s="317"/>
      <c r="K420" s="317"/>
      <c r="L420" s="291"/>
      <c r="M420" s="291"/>
      <c r="N420" s="291"/>
      <c r="O420" s="291"/>
      <c r="P420" s="291"/>
      <c r="Q420" s="291"/>
      <c r="R420" s="291"/>
      <c r="S420" s="291"/>
      <c r="T420" s="291"/>
      <c r="U420" s="291"/>
      <c r="V420" s="291"/>
      <c r="W420" s="291"/>
      <c r="X420" s="291"/>
      <c r="Y420" s="291"/>
      <c r="Z420" s="291"/>
      <c r="AA420" s="291"/>
      <c r="AB420" s="291"/>
      <c r="AC420" s="291"/>
      <c r="AD420" s="291"/>
      <c r="AE420" s="291"/>
      <c r="AF420" s="291"/>
      <c r="AG420" s="291"/>
      <c r="AH420" s="291"/>
      <c r="AI420" s="291"/>
      <c r="AJ420" s="291"/>
      <c r="AK420" s="291"/>
      <c r="AL420" s="291"/>
      <c r="AM420" s="291"/>
      <c r="AN420" s="291"/>
      <c r="AO420" s="291"/>
      <c r="AP420" s="291"/>
      <c r="AQ420" s="291"/>
      <c r="AR420" s="291"/>
      <c r="AS420" s="291"/>
      <c r="AT420" s="291"/>
      <c r="AU420" s="291"/>
      <c r="AV420" s="291"/>
      <c r="AW420" s="291"/>
    </row>
    <row r="421" spans="1:50" s="160" customFormat="1" ht="13.8" hidden="1">
      <c r="A421" s="319"/>
      <c r="B421" s="319"/>
      <c r="C421" s="320"/>
      <c r="D421" s="320"/>
      <c r="E421" s="320"/>
      <c r="F421" s="321"/>
      <c r="G421" s="321"/>
      <c r="H421" s="818"/>
      <c r="I421" s="818"/>
      <c r="J421" s="818"/>
      <c r="K421" s="818"/>
      <c r="L421" s="291"/>
      <c r="M421" s="291"/>
      <c r="N421" s="291"/>
      <c r="O421" s="291"/>
      <c r="P421" s="291"/>
      <c r="Q421" s="291"/>
      <c r="R421" s="291"/>
      <c r="S421" s="291"/>
      <c r="T421" s="291"/>
      <c r="U421" s="291"/>
      <c r="V421" s="291"/>
      <c r="W421" s="291"/>
      <c r="X421" s="291"/>
      <c r="Y421" s="291"/>
      <c r="Z421" s="291"/>
      <c r="AA421" s="291"/>
      <c r="AB421" s="291"/>
      <c r="AC421" s="291"/>
      <c r="AD421" s="291"/>
      <c r="AE421" s="291"/>
      <c r="AF421" s="291"/>
      <c r="AG421" s="291"/>
      <c r="AH421" s="291"/>
      <c r="AI421" s="291"/>
      <c r="AJ421" s="291"/>
      <c r="AK421" s="291"/>
      <c r="AL421" s="291"/>
      <c r="AM421" s="291"/>
      <c r="AN421" s="291"/>
      <c r="AO421" s="291"/>
      <c r="AP421" s="291"/>
      <c r="AQ421" s="291"/>
      <c r="AR421" s="291"/>
      <c r="AS421" s="291"/>
      <c r="AT421" s="291"/>
      <c r="AU421" s="291"/>
      <c r="AV421" s="291"/>
      <c r="AW421" s="291"/>
    </row>
    <row r="422" spans="1:50" s="134" customFormat="1" ht="34.5" customHeight="1">
      <c r="A422" s="838" t="s">
        <v>480</v>
      </c>
      <c r="B422" s="838"/>
      <c r="C422" s="838"/>
      <c r="D422" s="837" t="s">
        <v>484</v>
      </c>
      <c r="E422" s="837"/>
      <c r="F422" s="837"/>
      <c r="G422" s="837"/>
      <c r="H422" s="837"/>
      <c r="I422" s="839" t="s">
        <v>487</v>
      </c>
      <c r="J422" s="839"/>
      <c r="K422" s="839"/>
      <c r="L422" s="836" t="s">
        <v>488</v>
      </c>
      <c r="M422" s="836"/>
      <c r="N422" s="836"/>
      <c r="O422" s="836"/>
      <c r="P422" s="836"/>
      <c r="Q422" s="840" t="s">
        <v>489</v>
      </c>
      <c r="R422" s="840"/>
      <c r="S422" s="840"/>
      <c r="T422" s="322"/>
      <c r="U422" s="322"/>
      <c r="V422" s="322"/>
      <c r="W422" s="322"/>
      <c r="X422" s="322"/>
      <c r="Y422" s="322"/>
      <c r="Z422" s="322"/>
      <c r="AA422" s="322"/>
      <c r="AB422" s="322"/>
      <c r="AC422" s="322"/>
      <c r="AD422" s="322"/>
      <c r="AE422" s="322"/>
      <c r="AF422" s="322"/>
      <c r="AG422" s="322"/>
      <c r="AH422" s="322"/>
      <c r="AI422" s="322"/>
      <c r="AJ422" s="322"/>
      <c r="AK422" s="322"/>
      <c r="AL422" s="322"/>
      <c r="AM422" s="322"/>
      <c r="AN422" s="322"/>
      <c r="AO422" s="322"/>
      <c r="AP422" s="322"/>
      <c r="AQ422" s="322"/>
      <c r="AR422" s="322"/>
      <c r="AS422" s="322"/>
      <c r="AT422" s="322"/>
      <c r="AU422" s="322"/>
      <c r="AV422" s="322"/>
      <c r="AW422" s="322"/>
      <c r="AX422" s="160"/>
    </row>
    <row r="423" spans="1:50" s="134" customFormat="1" ht="15.6">
      <c r="A423" s="828" t="s">
        <v>481</v>
      </c>
      <c r="B423" s="828"/>
      <c r="C423" s="828"/>
      <c r="D423" s="829" t="s">
        <v>485</v>
      </c>
      <c r="E423" s="829"/>
      <c r="F423" s="829"/>
      <c r="G423" s="829"/>
      <c r="H423" s="829"/>
      <c r="I423" s="827" t="s">
        <v>748</v>
      </c>
      <c r="J423" s="827"/>
      <c r="K423" s="827"/>
      <c r="L423" s="835" t="s">
        <v>47</v>
      </c>
      <c r="M423" s="835"/>
      <c r="N423" s="835"/>
      <c r="O423" s="835"/>
      <c r="P423" s="835"/>
      <c r="Q423" s="830"/>
      <c r="R423" s="830"/>
      <c r="S423" s="830"/>
      <c r="T423" s="322"/>
      <c r="U423" s="322"/>
      <c r="V423" s="322"/>
      <c r="W423" s="322"/>
      <c r="X423" s="322"/>
      <c r="Y423" s="322"/>
      <c r="Z423" s="322"/>
      <c r="AA423" s="322"/>
      <c r="AB423" s="322"/>
      <c r="AC423" s="322"/>
      <c r="AD423" s="322"/>
      <c r="AE423" s="322"/>
      <c r="AF423" s="322"/>
      <c r="AG423" s="322"/>
      <c r="AH423" s="322"/>
      <c r="AI423" s="322"/>
      <c r="AJ423" s="322"/>
      <c r="AK423" s="322"/>
      <c r="AL423" s="322"/>
      <c r="AM423" s="322"/>
      <c r="AN423" s="322"/>
      <c r="AO423" s="322"/>
      <c r="AP423" s="322"/>
      <c r="AQ423" s="322"/>
      <c r="AR423" s="322"/>
      <c r="AS423" s="322"/>
      <c r="AT423" s="322"/>
      <c r="AU423" s="322"/>
      <c r="AV423" s="322"/>
      <c r="AW423" s="322"/>
      <c r="AX423" s="160"/>
    </row>
    <row r="424" spans="1:50" s="129" customFormat="1" ht="15.6">
      <c r="A424" s="828" t="s">
        <v>482</v>
      </c>
      <c r="B424" s="828"/>
      <c r="C424" s="828"/>
      <c r="D424" s="829" t="s">
        <v>47</v>
      </c>
      <c r="E424" s="829"/>
      <c r="F424" s="829"/>
      <c r="G424" s="829"/>
      <c r="H424" s="829"/>
      <c r="I424" s="827" t="s">
        <v>747</v>
      </c>
      <c r="J424" s="827"/>
      <c r="K424" s="827"/>
      <c r="L424" s="835" t="s">
        <v>47</v>
      </c>
      <c r="M424" s="835"/>
      <c r="N424" s="835"/>
      <c r="O424" s="835"/>
      <c r="P424" s="835"/>
      <c r="Q424" s="830"/>
      <c r="R424" s="830"/>
      <c r="S424" s="830"/>
      <c r="T424" s="323"/>
      <c r="U424" s="323"/>
      <c r="V424" s="323"/>
      <c r="W424" s="323"/>
      <c r="X424" s="323"/>
      <c r="Y424" s="323"/>
      <c r="Z424" s="323"/>
      <c r="AA424" s="323"/>
      <c r="AB424" s="323"/>
      <c r="AC424" s="323"/>
      <c r="AD424" s="323"/>
      <c r="AE424" s="323"/>
      <c r="AF424" s="323"/>
      <c r="AG424" s="323"/>
      <c r="AH424" s="323"/>
      <c r="AI424" s="323"/>
      <c r="AJ424" s="323"/>
      <c r="AK424" s="323"/>
      <c r="AL424" s="323"/>
      <c r="AM424" s="323"/>
      <c r="AN424" s="323"/>
      <c r="AO424" s="323"/>
      <c r="AP424" s="323"/>
      <c r="AQ424" s="323"/>
      <c r="AR424" s="323"/>
      <c r="AS424" s="323"/>
      <c r="AT424" s="323"/>
      <c r="AU424" s="323"/>
      <c r="AV424" s="323"/>
      <c r="AW424" s="323"/>
      <c r="AX424" s="137"/>
    </row>
    <row r="425" spans="1:50" s="129" customFormat="1" ht="15.6">
      <c r="A425" s="828" t="s">
        <v>483</v>
      </c>
      <c r="B425" s="828"/>
      <c r="C425" s="828"/>
      <c r="D425" s="829" t="s">
        <v>842</v>
      </c>
      <c r="E425" s="829"/>
      <c r="F425" s="829"/>
      <c r="G425" s="829"/>
      <c r="H425" s="829"/>
      <c r="I425" s="827" t="s">
        <v>362</v>
      </c>
      <c r="J425" s="827"/>
      <c r="K425" s="827"/>
      <c r="L425" s="835"/>
      <c r="M425" s="835"/>
      <c r="N425" s="835"/>
      <c r="O425" s="835"/>
      <c r="P425" s="835"/>
      <c r="Q425" s="830"/>
      <c r="R425" s="830"/>
      <c r="S425" s="830"/>
      <c r="T425" s="323"/>
      <c r="U425" s="323"/>
      <c r="V425" s="323"/>
      <c r="W425" s="323"/>
      <c r="X425" s="323"/>
      <c r="Y425" s="323"/>
      <c r="Z425" s="323"/>
      <c r="AA425" s="323"/>
      <c r="AB425" s="323"/>
      <c r="AC425" s="323"/>
      <c r="AD425" s="323"/>
      <c r="AE425" s="323"/>
      <c r="AF425" s="323"/>
      <c r="AG425" s="323"/>
      <c r="AH425" s="323"/>
      <c r="AI425" s="323"/>
      <c r="AJ425" s="323"/>
      <c r="AK425" s="323"/>
      <c r="AL425" s="323"/>
      <c r="AM425" s="323"/>
      <c r="AN425" s="323"/>
      <c r="AO425" s="323"/>
      <c r="AP425" s="323"/>
      <c r="AQ425" s="323"/>
      <c r="AR425" s="323"/>
      <c r="AS425" s="323"/>
      <c r="AT425" s="323"/>
      <c r="AU425" s="323"/>
      <c r="AV425" s="323"/>
      <c r="AW425" s="323"/>
      <c r="AX425" s="137"/>
    </row>
    <row r="426" spans="1:50" s="129" customFormat="1" ht="15.6">
      <c r="A426" s="828" t="s">
        <v>66</v>
      </c>
      <c r="B426" s="828"/>
      <c r="C426" s="828"/>
      <c r="D426" s="829"/>
      <c r="E426" s="829"/>
      <c r="F426" s="829"/>
      <c r="G426" s="829"/>
      <c r="H426" s="829"/>
      <c r="I426" s="827" t="s">
        <v>362</v>
      </c>
      <c r="J426" s="827"/>
      <c r="K426" s="827"/>
      <c r="L426" s="835"/>
      <c r="M426" s="835"/>
      <c r="N426" s="835"/>
      <c r="O426" s="835"/>
      <c r="P426" s="835"/>
      <c r="Q426" s="830"/>
      <c r="R426" s="830"/>
      <c r="S426" s="830"/>
      <c r="T426" s="323"/>
      <c r="U426" s="323"/>
      <c r="V426" s="323"/>
      <c r="W426" s="323"/>
      <c r="X426" s="323"/>
      <c r="Y426" s="323"/>
      <c r="Z426" s="323"/>
      <c r="AA426" s="323"/>
      <c r="AB426" s="323"/>
      <c r="AC426" s="323"/>
      <c r="AD426" s="323"/>
      <c r="AE426" s="323"/>
      <c r="AF426" s="323"/>
      <c r="AG426" s="323"/>
      <c r="AH426" s="323"/>
      <c r="AI426" s="323"/>
      <c r="AJ426" s="323"/>
      <c r="AK426" s="323"/>
      <c r="AL426" s="323"/>
      <c r="AM426" s="323"/>
      <c r="AN426" s="323"/>
      <c r="AO426" s="323"/>
      <c r="AP426" s="323"/>
      <c r="AQ426" s="323"/>
      <c r="AR426" s="323"/>
      <c r="AS426" s="323"/>
      <c r="AT426" s="323"/>
      <c r="AU426" s="323"/>
      <c r="AV426" s="323"/>
      <c r="AW426" s="323"/>
      <c r="AX426" s="137"/>
    </row>
    <row r="427" spans="1:50" s="129" customFormat="1" ht="15.6">
      <c r="A427" s="828"/>
      <c r="B427" s="828"/>
      <c r="C427" s="828"/>
      <c r="D427" s="829"/>
      <c r="E427" s="829"/>
      <c r="F427" s="829"/>
      <c r="G427" s="829"/>
      <c r="H427" s="829"/>
      <c r="I427" s="827" t="s">
        <v>750</v>
      </c>
      <c r="J427" s="827"/>
      <c r="K427" s="827"/>
      <c r="L427" s="835"/>
      <c r="M427" s="835"/>
      <c r="N427" s="835"/>
      <c r="O427" s="835"/>
      <c r="P427" s="835"/>
      <c r="Q427" s="830"/>
      <c r="R427" s="830"/>
      <c r="S427" s="830"/>
      <c r="T427" s="323"/>
      <c r="U427" s="323"/>
      <c r="V427" s="323"/>
      <c r="W427" s="323"/>
      <c r="X427" s="323"/>
      <c r="Y427" s="323"/>
      <c r="Z427" s="323"/>
      <c r="AA427" s="323"/>
      <c r="AB427" s="323"/>
      <c r="AC427" s="323"/>
      <c r="AD427" s="323"/>
      <c r="AE427" s="323"/>
      <c r="AF427" s="323"/>
      <c r="AG427" s="323"/>
      <c r="AH427" s="323"/>
      <c r="AI427" s="323"/>
      <c r="AJ427" s="323"/>
      <c r="AK427" s="323"/>
      <c r="AL427" s="323"/>
      <c r="AM427" s="323"/>
      <c r="AN427" s="323"/>
      <c r="AO427" s="323"/>
      <c r="AP427" s="323"/>
      <c r="AQ427" s="323"/>
      <c r="AR427" s="323"/>
      <c r="AS427" s="323"/>
      <c r="AT427" s="323"/>
      <c r="AU427" s="323"/>
      <c r="AV427" s="323"/>
      <c r="AW427" s="323"/>
      <c r="AX427" s="137"/>
    </row>
    <row r="428" spans="1:50" s="129" customFormat="1" ht="15.6">
      <c r="A428" s="828"/>
      <c r="B428" s="828"/>
      <c r="C428" s="828"/>
      <c r="D428" s="829"/>
      <c r="E428" s="829"/>
      <c r="F428" s="829"/>
      <c r="G428" s="829"/>
      <c r="H428" s="829"/>
      <c r="I428" s="827" t="s">
        <v>354</v>
      </c>
      <c r="J428" s="827"/>
      <c r="K428" s="827"/>
      <c r="L428" s="835"/>
      <c r="M428" s="835"/>
      <c r="N428" s="835"/>
      <c r="O428" s="835"/>
      <c r="P428" s="835"/>
      <c r="Q428" s="830"/>
      <c r="R428" s="830"/>
      <c r="S428" s="830"/>
      <c r="T428" s="323"/>
      <c r="U428" s="323"/>
      <c r="V428" s="323"/>
      <c r="W428" s="323"/>
      <c r="X428" s="323"/>
      <c r="Y428" s="323"/>
      <c r="Z428" s="323"/>
      <c r="AA428" s="323"/>
      <c r="AB428" s="323"/>
      <c r="AC428" s="323"/>
      <c r="AD428" s="323"/>
      <c r="AE428" s="323"/>
      <c r="AF428" s="323"/>
      <c r="AG428" s="323"/>
      <c r="AH428" s="323"/>
      <c r="AI428" s="323"/>
      <c r="AJ428" s="323"/>
      <c r="AK428" s="323"/>
      <c r="AL428" s="323"/>
      <c r="AM428" s="323"/>
      <c r="AN428" s="323"/>
      <c r="AO428" s="323"/>
      <c r="AP428" s="323"/>
      <c r="AQ428" s="323"/>
      <c r="AR428" s="323"/>
      <c r="AS428" s="323"/>
      <c r="AT428" s="323"/>
      <c r="AU428" s="323"/>
      <c r="AV428" s="323"/>
      <c r="AW428" s="323"/>
      <c r="AX428" s="137"/>
    </row>
    <row r="429" spans="1:50" s="129" customFormat="1" ht="15.6">
      <c r="A429" s="828"/>
      <c r="B429" s="828"/>
      <c r="C429" s="828"/>
      <c r="D429" s="829"/>
      <c r="E429" s="829"/>
      <c r="F429" s="829"/>
      <c r="G429" s="829"/>
      <c r="H429" s="829"/>
      <c r="I429" s="827" t="s">
        <v>360</v>
      </c>
      <c r="J429" s="827"/>
      <c r="K429" s="827"/>
      <c r="L429" s="835"/>
      <c r="M429" s="835"/>
      <c r="N429" s="835"/>
      <c r="O429" s="835"/>
      <c r="P429" s="835"/>
      <c r="Q429" s="830"/>
      <c r="R429" s="830"/>
      <c r="S429" s="830"/>
      <c r="T429" s="323"/>
      <c r="U429" s="323"/>
      <c r="V429" s="323"/>
      <c r="W429" s="323"/>
      <c r="X429" s="323"/>
      <c r="Y429" s="323"/>
      <c r="Z429" s="323"/>
      <c r="AA429" s="323"/>
      <c r="AB429" s="323"/>
      <c r="AC429" s="323"/>
      <c r="AD429" s="323"/>
      <c r="AE429" s="323"/>
      <c r="AF429" s="323"/>
      <c r="AG429" s="323"/>
      <c r="AH429" s="323"/>
      <c r="AI429" s="323"/>
      <c r="AJ429" s="323"/>
      <c r="AK429" s="323"/>
      <c r="AL429" s="323"/>
      <c r="AM429" s="323"/>
      <c r="AN429" s="323"/>
      <c r="AO429" s="323"/>
      <c r="AP429" s="323"/>
      <c r="AQ429" s="323"/>
      <c r="AR429" s="323"/>
      <c r="AS429" s="323"/>
      <c r="AT429" s="323"/>
      <c r="AU429" s="323"/>
      <c r="AV429" s="323"/>
      <c r="AW429" s="323"/>
      <c r="AX429" s="137"/>
    </row>
    <row r="430" spans="1:50" s="129" customFormat="1" ht="15.6">
      <c r="A430" s="828"/>
      <c r="B430" s="828"/>
      <c r="C430" s="828"/>
      <c r="D430" s="829"/>
      <c r="E430" s="829"/>
      <c r="F430" s="829"/>
      <c r="G430" s="829"/>
      <c r="H430" s="829"/>
      <c r="I430" s="827" t="s">
        <v>750</v>
      </c>
      <c r="J430" s="827"/>
      <c r="K430" s="827"/>
      <c r="L430" s="835"/>
      <c r="M430" s="835"/>
      <c r="N430" s="835"/>
      <c r="O430" s="835"/>
      <c r="P430" s="835"/>
      <c r="Q430" s="830"/>
      <c r="R430" s="830"/>
      <c r="S430" s="830"/>
      <c r="T430" s="323"/>
      <c r="U430" s="323"/>
      <c r="V430" s="323"/>
      <c r="W430" s="323"/>
      <c r="X430" s="323"/>
      <c r="Y430" s="323"/>
      <c r="Z430" s="323"/>
      <c r="AA430" s="323"/>
      <c r="AB430" s="323"/>
      <c r="AC430" s="323"/>
      <c r="AD430" s="323"/>
      <c r="AE430" s="323"/>
      <c r="AF430" s="323"/>
      <c r="AG430" s="323"/>
      <c r="AH430" s="323"/>
      <c r="AI430" s="323"/>
      <c r="AJ430" s="323"/>
      <c r="AK430" s="323"/>
      <c r="AL430" s="323"/>
      <c r="AM430" s="323"/>
      <c r="AN430" s="323"/>
      <c r="AO430" s="323"/>
      <c r="AP430" s="323"/>
      <c r="AQ430" s="323"/>
      <c r="AR430" s="323"/>
      <c r="AS430" s="323"/>
      <c r="AT430" s="323"/>
      <c r="AU430" s="323"/>
      <c r="AV430" s="323"/>
      <c r="AW430" s="323"/>
      <c r="AX430" s="137"/>
    </row>
    <row r="431" spans="1:50" s="129" customFormat="1" ht="15.6">
      <c r="A431" s="828"/>
      <c r="B431" s="828"/>
      <c r="C431" s="828"/>
      <c r="D431" s="829"/>
      <c r="E431" s="829"/>
      <c r="F431" s="829"/>
      <c r="G431" s="829"/>
      <c r="H431" s="829"/>
      <c r="I431" s="827" t="s">
        <v>751</v>
      </c>
      <c r="J431" s="827"/>
      <c r="K431" s="827"/>
      <c r="L431" s="835"/>
      <c r="M431" s="835"/>
      <c r="N431" s="835"/>
      <c r="O431" s="835"/>
      <c r="P431" s="835"/>
      <c r="Q431" s="830"/>
      <c r="R431" s="830"/>
      <c r="S431" s="830"/>
      <c r="T431" s="323"/>
      <c r="U431" s="323"/>
      <c r="V431" s="323"/>
      <c r="W431" s="323"/>
      <c r="X431" s="323"/>
      <c r="Y431" s="323"/>
      <c r="Z431" s="323"/>
      <c r="AA431" s="323"/>
      <c r="AB431" s="323"/>
      <c r="AC431" s="323"/>
      <c r="AD431" s="323"/>
      <c r="AE431" s="323"/>
      <c r="AF431" s="323"/>
      <c r="AG431" s="323"/>
      <c r="AH431" s="323"/>
      <c r="AI431" s="323"/>
      <c r="AJ431" s="323"/>
      <c r="AK431" s="323"/>
      <c r="AL431" s="323"/>
      <c r="AM431" s="323"/>
      <c r="AN431" s="323"/>
      <c r="AO431" s="323"/>
      <c r="AP431" s="323"/>
      <c r="AQ431" s="323"/>
      <c r="AR431" s="323"/>
      <c r="AS431" s="323"/>
      <c r="AT431" s="323"/>
      <c r="AU431" s="323"/>
      <c r="AV431" s="323"/>
      <c r="AW431" s="323"/>
      <c r="AX431" s="137"/>
    </row>
    <row r="432" spans="1:50" s="129" customFormat="1" ht="15.6">
      <c r="A432" s="828"/>
      <c r="B432" s="828"/>
      <c r="C432" s="828"/>
      <c r="D432" s="829"/>
      <c r="E432" s="829"/>
      <c r="F432" s="829"/>
      <c r="G432" s="829"/>
      <c r="H432" s="829"/>
      <c r="I432" s="827" t="s">
        <v>752</v>
      </c>
      <c r="J432" s="827"/>
      <c r="K432" s="827"/>
      <c r="L432" s="835"/>
      <c r="M432" s="835"/>
      <c r="N432" s="835"/>
      <c r="O432" s="835"/>
      <c r="P432" s="835"/>
      <c r="Q432" s="830"/>
      <c r="R432" s="830"/>
      <c r="S432" s="830"/>
      <c r="T432" s="323"/>
      <c r="U432" s="323"/>
      <c r="V432" s="323"/>
      <c r="W432" s="323"/>
      <c r="X432" s="323"/>
      <c r="Y432" s="323"/>
      <c r="Z432" s="323"/>
      <c r="AA432" s="323"/>
      <c r="AB432" s="323"/>
      <c r="AC432" s="323"/>
      <c r="AD432" s="323"/>
      <c r="AE432" s="323"/>
      <c r="AF432" s="323"/>
      <c r="AG432" s="323"/>
      <c r="AH432" s="323"/>
      <c r="AI432" s="323"/>
      <c r="AJ432" s="323"/>
      <c r="AK432" s="323"/>
      <c r="AL432" s="323"/>
      <c r="AM432" s="323"/>
      <c r="AN432" s="323"/>
      <c r="AO432" s="323"/>
      <c r="AP432" s="323"/>
      <c r="AQ432" s="323"/>
      <c r="AR432" s="323"/>
      <c r="AS432" s="323"/>
      <c r="AT432" s="323"/>
      <c r="AU432" s="323"/>
      <c r="AV432" s="323"/>
      <c r="AW432" s="323"/>
      <c r="AX432" s="137"/>
    </row>
    <row r="433" spans="1:50" s="129" customFormat="1" ht="15.6">
      <c r="A433" s="828"/>
      <c r="B433" s="828"/>
      <c r="C433" s="828"/>
      <c r="D433" s="829"/>
      <c r="E433" s="829"/>
      <c r="F433" s="829"/>
      <c r="G433" s="829"/>
      <c r="H433" s="829"/>
      <c r="I433" s="827"/>
      <c r="J433" s="827"/>
      <c r="K433" s="827"/>
      <c r="L433" s="835"/>
      <c r="M433" s="835"/>
      <c r="N433" s="835"/>
      <c r="O433" s="835"/>
      <c r="P433" s="835"/>
      <c r="Q433" s="830"/>
      <c r="R433" s="830"/>
      <c r="S433" s="830"/>
      <c r="T433" s="323"/>
      <c r="U433" s="323"/>
      <c r="V433" s="323"/>
      <c r="W433" s="323"/>
      <c r="X433" s="323"/>
      <c r="Y433" s="323"/>
      <c r="Z433" s="323"/>
      <c r="AA433" s="323"/>
      <c r="AB433" s="323"/>
      <c r="AC433" s="323"/>
      <c r="AD433" s="323"/>
      <c r="AE433" s="323"/>
      <c r="AF433" s="323"/>
      <c r="AG433" s="323"/>
      <c r="AH433" s="323"/>
      <c r="AI433" s="323"/>
      <c r="AJ433" s="323"/>
      <c r="AK433" s="323"/>
      <c r="AL433" s="323"/>
      <c r="AM433" s="323"/>
      <c r="AN433" s="323"/>
      <c r="AO433" s="323"/>
      <c r="AP433" s="323"/>
      <c r="AQ433" s="323"/>
      <c r="AR433" s="323"/>
      <c r="AS433" s="323"/>
      <c r="AT433" s="323"/>
      <c r="AU433" s="323"/>
      <c r="AV433" s="323"/>
      <c r="AW433" s="323"/>
      <c r="AX433" s="137"/>
    </row>
    <row r="434" spans="1:50" s="129" customFormat="1" ht="15.6">
      <c r="A434" s="828"/>
      <c r="B434" s="828"/>
      <c r="C434" s="828"/>
      <c r="D434" s="829"/>
      <c r="E434" s="829"/>
      <c r="F434" s="829"/>
      <c r="G434" s="829"/>
      <c r="H434" s="829"/>
      <c r="I434" s="827"/>
      <c r="J434" s="827"/>
      <c r="K434" s="827"/>
      <c r="L434" s="835"/>
      <c r="M434" s="835"/>
      <c r="N434" s="835"/>
      <c r="O434" s="835"/>
      <c r="P434" s="835"/>
      <c r="Q434" s="830"/>
      <c r="R434" s="830"/>
      <c r="S434" s="830"/>
      <c r="T434" s="323"/>
      <c r="U434" s="323"/>
      <c r="V434" s="323"/>
      <c r="W434" s="323"/>
      <c r="X434" s="323"/>
      <c r="Y434" s="323"/>
      <c r="Z434" s="323"/>
      <c r="AA434" s="323"/>
      <c r="AB434" s="323"/>
      <c r="AC434" s="323"/>
      <c r="AD434" s="323"/>
      <c r="AE434" s="323"/>
      <c r="AF434" s="323"/>
      <c r="AG434" s="323"/>
      <c r="AH434" s="323"/>
      <c r="AI434" s="323"/>
      <c r="AJ434" s="323"/>
      <c r="AK434" s="323"/>
      <c r="AL434" s="323"/>
      <c r="AM434" s="323"/>
      <c r="AN434" s="323"/>
      <c r="AO434" s="323"/>
      <c r="AP434" s="323"/>
      <c r="AQ434" s="323"/>
      <c r="AR434" s="323"/>
      <c r="AS434" s="323"/>
      <c r="AT434" s="323"/>
      <c r="AU434" s="323"/>
      <c r="AV434" s="323"/>
      <c r="AW434" s="323"/>
      <c r="AX434" s="137"/>
    </row>
    <row r="435" spans="1:50" s="129" customFormat="1" ht="15.6">
      <c r="A435" s="828"/>
      <c r="B435" s="828"/>
      <c r="C435" s="828"/>
      <c r="D435" s="829"/>
      <c r="E435" s="829"/>
      <c r="F435" s="829"/>
      <c r="G435" s="829"/>
      <c r="H435" s="829"/>
      <c r="I435" s="827"/>
      <c r="J435" s="827"/>
      <c r="K435" s="827"/>
      <c r="L435" s="835"/>
      <c r="M435" s="835"/>
      <c r="N435" s="835"/>
      <c r="O435" s="835"/>
      <c r="P435" s="835"/>
      <c r="Q435" s="830"/>
      <c r="R435" s="830"/>
      <c r="S435" s="830"/>
      <c r="T435" s="323"/>
      <c r="U435" s="323"/>
      <c r="V435" s="323"/>
      <c r="W435" s="323"/>
      <c r="X435" s="323"/>
      <c r="Y435" s="323"/>
      <c r="Z435" s="323"/>
      <c r="AA435" s="323"/>
      <c r="AB435" s="323"/>
      <c r="AC435" s="323"/>
      <c r="AD435" s="323"/>
      <c r="AE435" s="323"/>
      <c r="AF435" s="323"/>
      <c r="AG435" s="323"/>
      <c r="AH435" s="323"/>
      <c r="AI435" s="323"/>
      <c r="AJ435" s="323"/>
      <c r="AK435" s="323"/>
      <c r="AL435" s="323"/>
      <c r="AM435" s="323"/>
      <c r="AN435" s="323"/>
      <c r="AO435" s="323"/>
      <c r="AP435" s="323"/>
      <c r="AQ435" s="323"/>
      <c r="AR435" s="323"/>
      <c r="AS435" s="323"/>
      <c r="AT435" s="323"/>
      <c r="AU435" s="323"/>
      <c r="AV435" s="323"/>
      <c r="AW435" s="323"/>
      <c r="AX435" s="137"/>
    </row>
    <row r="436" spans="1:50" s="129" customFormat="1" ht="15.6">
      <c r="A436" s="828"/>
      <c r="B436" s="828"/>
      <c r="C436" s="828"/>
      <c r="D436" s="829"/>
      <c r="E436" s="829"/>
      <c r="F436" s="829"/>
      <c r="G436" s="829"/>
      <c r="H436" s="829"/>
      <c r="I436" s="827"/>
      <c r="J436" s="827"/>
      <c r="K436" s="827"/>
      <c r="L436" s="835"/>
      <c r="M436" s="835"/>
      <c r="N436" s="835"/>
      <c r="O436" s="835"/>
      <c r="P436" s="835"/>
      <c r="Q436" s="830"/>
      <c r="R436" s="830"/>
      <c r="S436" s="830"/>
      <c r="T436" s="323"/>
      <c r="U436" s="323"/>
      <c r="V436" s="323"/>
      <c r="W436" s="323"/>
      <c r="X436" s="323"/>
      <c r="Y436" s="323"/>
      <c r="Z436" s="323"/>
      <c r="AA436" s="323"/>
      <c r="AB436" s="323"/>
      <c r="AC436" s="323"/>
      <c r="AD436" s="323"/>
      <c r="AE436" s="323"/>
      <c r="AF436" s="323"/>
      <c r="AG436" s="323"/>
      <c r="AH436" s="323"/>
      <c r="AI436" s="323"/>
      <c r="AJ436" s="323"/>
      <c r="AK436" s="323"/>
      <c r="AL436" s="323"/>
      <c r="AM436" s="323"/>
      <c r="AN436" s="323"/>
      <c r="AO436" s="323"/>
      <c r="AP436" s="323"/>
      <c r="AQ436" s="323"/>
      <c r="AR436" s="323"/>
      <c r="AS436" s="323"/>
      <c r="AT436" s="323"/>
      <c r="AU436" s="323"/>
      <c r="AV436" s="323"/>
      <c r="AW436" s="323"/>
      <c r="AX436" s="137"/>
    </row>
    <row r="437" spans="1:50" s="129" customFormat="1" ht="15.6">
      <c r="A437" s="828"/>
      <c r="B437" s="828"/>
      <c r="C437" s="828"/>
      <c r="D437" s="829"/>
      <c r="E437" s="829"/>
      <c r="F437" s="829"/>
      <c r="G437" s="829"/>
      <c r="H437" s="829"/>
      <c r="I437" s="827"/>
      <c r="J437" s="827"/>
      <c r="K437" s="827"/>
      <c r="L437" s="835"/>
      <c r="M437" s="835"/>
      <c r="N437" s="835"/>
      <c r="O437" s="835"/>
      <c r="P437" s="835"/>
      <c r="Q437" s="830"/>
      <c r="R437" s="830"/>
      <c r="S437" s="830"/>
      <c r="T437" s="323"/>
      <c r="U437" s="323"/>
      <c r="V437" s="323"/>
      <c r="W437" s="323"/>
      <c r="X437" s="323"/>
      <c r="Y437" s="323"/>
      <c r="Z437" s="323"/>
      <c r="AA437" s="323"/>
      <c r="AB437" s="323"/>
      <c r="AC437" s="323"/>
      <c r="AD437" s="323"/>
      <c r="AE437" s="323"/>
      <c r="AF437" s="323"/>
      <c r="AG437" s="323"/>
      <c r="AH437" s="323"/>
      <c r="AI437" s="323"/>
      <c r="AJ437" s="323"/>
      <c r="AK437" s="323"/>
      <c r="AL437" s="323"/>
      <c r="AM437" s="323"/>
      <c r="AN437" s="323"/>
      <c r="AO437" s="323"/>
      <c r="AP437" s="323"/>
      <c r="AQ437" s="323"/>
      <c r="AR437" s="323"/>
      <c r="AS437" s="323"/>
      <c r="AT437" s="323"/>
      <c r="AU437" s="323"/>
      <c r="AV437" s="323"/>
      <c r="AW437" s="323"/>
      <c r="AX437" s="137"/>
    </row>
    <row r="438" spans="1:50" s="39" customFormat="1" ht="15.6">
      <c r="A438" s="828"/>
      <c r="B438" s="828"/>
      <c r="C438" s="828"/>
      <c r="D438" s="829"/>
      <c r="E438" s="829"/>
      <c r="F438" s="829"/>
      <c r="G438" s="829"/>
      <c r="H438" s="829"/>
      <c r="I438" s="827"/>
      <c r="J438" s="827"/>
      <c r="K438" s="827"/>
      <c r="L438" s="835"/>
      <c r="M438" s="835"/>
      <c r="N438" s="835"/>
      <c r="O438" s="835"/>
      <c r="P438" s="835"/>
      <c r="Q438" s="830"/>
      <c r="R438" s="830"/>
      <c r="S438" s="830"/>
      <c r="T438" s="323"/>
      <c r="U438" s="323"/>
      <c r="V438" s="323"/>
      <c r="W438" s="323"/>
      <c r="X438" s="323"/>
      <c r="Y438" s="323"/>
      <c r="Z438" s="323"/>
      <c r="AA438" s="323"/>
      <c r="AB438" s="323"/>
      <c r="AC438" s="323"/>
      <c r="AD438" s="323"/>
      <c r="AE438" s="323"/>
      <c r="AF438" s="323"/>
      <c r="AG438" s="323"/>
      <c r="AH438" s="323"/>
      <c r="AI438" s="323"/>
      <c r="AJ438" s="323"/>
      <c r="AK438" s="323"/>
      <c r="AL438" s="323"/>
      <c r="AM438" s="323"/>
      <c r="AN438" s="323"/>
      <c r="AO438" s="323"/>
      <c r="AP438" s="323"/>
      <c r="AQ438" s="323"/>
      <c r="AR438" s="323"/>
      <c r="AS438" s="323"/>
      <c r="AT438" s="323"/>
      <c r="AU438" s="323"/>
      <c r="AV438" s="323"/>
      <c r="AW438" s="323"/>
      <c r="AX438" s="13"/>
    </row>
    <row r="439" spans="1:50" s="39" customFormat="1" ht="15.6">
      <c r="A439" s="828"/>
      <c r="B439" s="828"/>
      <c r="C439" s="828"/>
      <c r="D439" s="829"/>
      <c r="E439" s="829"/>
      <c r="F439" s="829"/>
      <c r="G439" s="829"/>
      <c r="H439" s="829"/>
      <c r="I439" s="827"/>
      <c r="J439" s="827"/>
      <c r="K439" s="827"/>
      <c r="L439" s="835"/>
      <c r="M439" s="835"/>
      <c r="N439" s="835"/>
      <c r="O439" s="835"/>
      <c r="P439" s="835"/>
      <c r="Q439" s="830"/>
      <c r="R439" s="830"/>
      <c r="S439" s="830"/>
      <c r="T439" s="323"/>
      <c r="U439" s="323"/>
      <c r="V439" s="323"/>
      <c r="W439" s="323"/>
      <c r="X439" s="323"/>
      <c r="Y439" s="323"/>
      <c r="Z439" s="323"/>
      <c r="AA439" s="323"/>
      <c r="AB439" s="323"/>
      <c r="AC439" s="323"/>
      <c r="AD439" s="323"/>
      <c r="AE439" s="323"/>
      <c r="AF439" s="323"/>
      <c r="AG439" s="323"/>
      <c r="AH439" s="323"/>
      <c r="AI439" s="323"/>
      <c r="AJ439" s="323"/>
      <c r="AK439" s="323"/>
      <c r="AL439" s="323"/>
      <c r="AM439" s="323"/>
      <c r="AN439" s="323"/>
      <c r="AO439" s="323"/>
      <c r="AP439" s="323"/>
      <c r="AQ439" s="323"/>
      <c r="AR439" s="323"/>
      <c r="AS439" s="323"/>
      <c r="AT439" s="323"/>
      <c r="AU439" s="323"/>
      <c r="AV439" s="323"/>
      <c r="AW439" s="323"/>
      <c r="AX439" s="13"/>
    </row>
    <row r="440" spans="1:50" s="39" customFormat="1" ht="15.6">
      <c r="A440" s="828"/>
      <c r="B440" s="828"/>
      <c r="C440" s="828"/>
      <c r="D440" s="829"/>
      <c r="E440" s="829"/>
      <c r="F440" s="829"/>
      <c r="G440" s="829"/>
      <c r="H440" s="829"/>
      <c r="I440" s="827"/>
      <c r="J440" s="827"/>
      <c r="K440" s="827"/>
      <c r="L440" s="835"/>
      <c r="M440" s="835"/>
      <c r="N440" s="835"/>
      <c r="O440" s="835"/>
      <c r="P440" s="835"/>
      <c r="Q440" s="830"/>
      <c r="R440" s="830"/>
      <c r="S440" s="830"/>
      <c r="T440" s="323"/>
      <c r="U440" s="323"/>
      <c r="V440" s="323"/>
      <c r="W440" s="323"/>
      <c r="X440" s="323"/>
      <c r="Y440" s="323"/>
      <c r="Z440" s="323"/>
      <c r="AA440" s="323"/>
      <c r="AB440" s="323"/>
      <c r="AC440" s="323"/>
      <c r="AD440" s="323"/>
      <c r="AE440" s="323"/>
      <c r="AF440" s="323"/>
      <c r="AG440" s="323"/>
      <c r="AH440" s="323"/>
      <c r="AI440" s="323"/>
      <c r="AJ440" s="323"/>
      <c r="AK440" s="323"/>
      <c r="AL440" s="323"/>
      <c r="AM440" s="323"/>
      <c r="AN440" s="323"/>
      <c r="AO440" s="323"/>
      <c r="AP440" s="323"/>
      <c r="AQ440" s="323"/>
      <c r="AR440" s="323"/>
      <c r="AS440" s="323"/>
      <c r="AT440" s="323"/>
      <c r="AU440" s="323"/>
      <c r="AV440" s="323"/>
      <c r="AW440" s="323"/>
      <c r="AX440" s="13"/>
    </row>
    <row r="441" spans="1:50" s="39" customFormat="1" ht="15.6">
      <c r="A441" s="828"/>
      <c r="B441" s="828"/>
      <c r="C441" s="828"/>
      <c r="D441" s="829"/>
      <c r="E441" s="829"/>
      <c r="F441" s="829"/>
      <c r="G441" s="829"/>
      <c r="H441" s="829"/>
      <c r="I441" s="827"/>
      <c r="J441" s="827"/>
      <c r="K441" s="827"/>
      <c r="L441" s="835"/>
      <c r="M441" s="835"/>
      <c r="N441" s="835"/>
      <c r="O441" s="835"/>
      <c r="P441" s="835"/>
      <c r="Q441" s="830"/>
      <c r="R441" s="830"/>
      <c r="S441" s="830"/>
      <c r="T441" s="323"/>
      <c r="U441" s="323"/>
      <c r="V441" s="323"/>
      <c r="W441" s="323"/>
      <c r="X441" s="323"/>
      <c r="Y441" s="323"/>
      <c r="Z441" s="323"/>
      <c r="AA441" s="323"/>
      <c r="AB441" s="323"/>
      <c r="AC441" s="323"/>
      <c r="AD441" s="323"/>
      <c r="AE441" s="323"/>
      <c r="AF441" s="323"/>
      <c r="AG441" s="323"/>
      <c r="AH441" s="323"/>
      <c r="AI441" s="323"/>
      <c r="AJ441" s="323"/>
      <c r="AK441" s="323"/>
      <c r="AL441" s="323"/>
      <c r="AM441" s="323"/>
      <c r="AN441" s="323"/>
      <c r="AO441" s="323"/>
      <c r="AP441" s="323"/>
      <c r="AQ441" s="323"/>
      <c r="AR441" s="323"/>
      <c r="AS441" s="323"/>
      <c r="AT441" s="323"/>
      <c r="AU441" s="323"/>
      <c r="AV441" s="323"/>
      <c r="AW441" s="323"/>
      <c r="AX441" s="13"/>
    </row>
    <row r="442" spans="1:50" s="39" customFormat="1" ht="15.6">
      <c r="A442" s="828"/>
      <c r="B442" s="828"/>
      <c r="C442" s="828"/>
      <c r="D442" s="829"/>
      <c r="E442" s="829"/>
      <c r="F442" s="829"/>
      <c r="G442" s="829"/>
      <c r="H442" s="829"/>
      <c r="I442" s="827"/>
      <c r="J442" s="827"/>
      <c r="K442" s="827"/>
      <c r="L442" s="835"/>
      <c r="M442" s="835"/>
      <c r="N442" s="835"/>
      <c r="O442" s="835"/>
      <c r="P442" s="835"/>
      <c r="Q442" s="830"/>
      <c r="R442" s="830"/>
      <c r="S442" s="830"/>
      <c r="T442" s="323"/>
      <c r="U442" s="323"/>
      <c r="V442" s="323"/>
      <c r="W442" s="323"/>
      <c r="X442" s="323"/>
      <c r="Y442" s="323"/>
      <c r="Z442" s="323"/>
      <c r="AA442" s="323"/>
      <c r="AB442" s="323"/>
      <c r="AC442" s="323"/>
      <c r="AD442" s="323"/>
      <c r="AE442" s="323"/>
      <c r="AF442" s="323"/>
      <c r="AG442" s="323"/>
      <c r="AH442" s="323"/>
      <c r="AI442" s="323"/>
      <c r="AJ442" s="323"/>
      <c r="AK442" s="323"/>
      <c r="AL442" s="323"/>
      <c r="AM442" s="323"/>
      <c r="AN442" s="323"/>
      <c r="AO442" s="323"/>
      <c r="AP442" s="323"/>
      <c r="AQ442" s="323"/>
      <c r="AR442" s="323"/>
      <c r="AS442" s="323"/>
      <c r="AT442" s="323"/>
      <c r="AU442" s="323"/>
      <c r="AV442" s="323"/>
      <c r="AW442" s="323"/>
      <c r="AX442" s="13"/>
    </row>
    <row r="443" spans="1:50" s="39" customFormat="1" ht="15.6">
      <c r="A443" s="828"/>
      <c r="B443" s="828"/>
      <c r="C443" s="828"/>
      <c r="D443" s="829"/>
      <c r="E443" s="829"/>
      <c r="F443" s="829"/>
      <c r="G443" s="829"/>
      <c r="H443" s="829"/>
      <c r="I443" s="827"/>
      <c r="J443" s="827"/>
      <c r="K443" s="827"/>
      <c r="L443" s="835"/>
      <c r="M443" s="835"/>
      <c r="N443" s="835"/>
      <c r="O443" s="835"/>
      <c r="P443" s="835"/>
      <c r="Q443" s="830"/>
      <c r="R443" s="830"/>
      <c r="S443" s="830"/>
      <c r="T443" s="323"/>
      <c r="U443" s="323"/>
      <c r="V443" s="323"/>
      <c r="W443" s="323"/>
      <c r="X443" s="323"/>
      <c r="Y443" s="323"/>
      <c r="Z443" s="323"/>
      <c r="AA443" s="323"/>
      <c r="AB443" s="323"/>
      <c r="AC443" s="323"/>
      <c r="AD443" s="323"/>
      <c r="AE443" s="323"/>
      <c r="AF443" s="323"/>
      <c r="AG443" s="323"/>
      <c r="AH443" s="323"/>
      <c r="AI443" s="323"/>
      <c r="AJ443" s="323"/>
      <c r="AK443" s="323"/>
      <c r="AL443" s="323"/>
      <c r="AM443" s="323"/>
      <c r="AN443" s="323"/>
      <c r="AO443" s="323"/>
      <c r="AP443" s="323"/>
      <c r="AQ443" s="323"/>
      <c r="AR443" s="323"/>
      <c r="AS443" s="323"/>
      <c r="AT443" s="323"/>
      <c r="AU443" s="323"/>
      <c r="AV443" s="323"/>
      <c r="AW443" s="323"/>
      <c r="AX443" s="13"/>
    </row>
    <row r="444" spans="1:50" s="13" customFormat="1" ht="15.6">
      <c r="A444" s="828"/>
      <c r="B444" s="828"/>
      <c r="C444" s="828"/>
      <c r="D444" s="829"/>
      <c r="E444" s="829"/>
      <c r="F444" s="829"/>
      <c r="G444" s="829"/>
      <c r="H444" s="829"/>
      <c r="I444" s="827"/>
      <c r="J444" s="827"/>
      <c r="K444" s="827"/>
      <c r="L444" s="835"/>
      <c r="M444" s="835"/>
      <c r="N444" s="835"/>
      <c r="O444" s="835"/>
      <c r="P444" s="835"/>
      <c r="Q444" s="830"/>
      <c r="R444" s="830"/>
      <c r="S444" s="830"/>
      <c r="T444" s="323"/>
      <c r="U444" s="323"/>
      <c r="V444" s="323"/>
      <c r="W444" s="323"/>
      <c r="X444" s="323"/>
      <c r="Y444" s="323"/>
      <c r="Z444" s="323"/>
      <c r="AA444" s="323"/>
      <c r="AB444" s="323"/>
      <c r="AC444" s="323"/>
      <c r="AD444" s="323"/>
      <c r="AE444" s="323"/>
      <c r="AF444" s="323"/>
      <c r="AG444" s="323"/>
      <c r="AH444" s="323"/>
      <c r="AI444" s="323"/>
      <c r="AJ444" s="323"/>
      <c r="AK444" s="323"/>
      <c r="AL444" s="323"/>
      <c r="AM444" s="323"/>
      <c r="AN444" s="323"/>
      <c r="AO444" s="323"/>
      <c r="AP444" s="323"/>
      <c r="AQ444" s="323"/>
      <c r="AR444" s="323"/>
      <c r="AS444" s="323"/>
      <c r="AT444" s="323"/>
      <c r="AU444" s="323"/>
      <c r="AV444" s="323"/>
      <c r="AW444" s="323"/>
    </row>
    <row r="445" spans="1:50" s="13" customFormat="1" ht="15.6">
      <c r="A445" s="828"/>
      <c r="B445" s="828"/>
      <c r="C445" s="828"/>
      <c r="D445" s="829"/>
      <c r="E445" s="829"/>
      <c r="F445" s="829"/>
      <c r="G445" s="829"/>
      <c r="H445" s="829"/>
      <c r="I445" s="827"/>
      <c r="J445" s="827"/>
      <c r="K445" s="827"/>
      <c r="L445" s="835"/>
      <c r="M445" s="835"/>
      <c r="N445" s="835"/>
      <c r="O445" s="835"/>
      <c r="P445" s="835"/>
      <c r="Q445" s="830"/>
      <c r="R445" s="830"/>
      <c r="S445" s="830"/>
      <c r="T445" s="323"/>
      <c r="U445" s="323"/>
      <c r="V445" s="323"/>
      <c r="W445" s="323"/>
      <c r="X445" s="323"/>
      <c r="Y445" s="323"/>
      <c r="Z445" s="323"/>
      <c r="AA445" s="323"/>
      <c r="AB445" s="323"/>
      <c r="AC445" s="323"/>
      <c r="AD445" s="323"/>
      <c r="AE445" s="323"/>
      <c r="AF445" s="323"/>
      <c r="AG445" s="323"/>
      <c r="AH445" s="323"/>
      <c r="AI445" s="323"/>
      <c r="AJ445" s="323"/>
      <c r="AK445" s="323"/>
      <c r="AL445" s="323"/>
      <c r="AM445" s="323"/>
      <c r="AN445" s="323"/>
      <c r="AO445" s="323"/>
      <c r="AP445" s="323"/>
      <c r="AQ445" s="323"/>
      <c r="AR445" s="323"/>
      <c r="AS445" s="323"/>
      <c r="AT445" s="323"/>
      <c r="AU445" s="323"/>
      <c r="AV445" s="323"/>
      <c r="AW445" s="323"/>
    </row>
    <row r="446" spans="1:50" s="13" customFormat="1" ht="15.6">
      <c r="A446" s="828"/>
      <c r="B446" s="828"/>
      <c r="C446" s="828"/>
      <c r="D446" s="829"/>
      <c r="E446" s="829"/>
      <c r="F446" s="829"/>
      <c r="G446" s="829"/>
      <c r="H446" s="829"/>
      <c r="I446" s="827"/>
      <c r="J446" s="827"/>
      <c r="K446" s="827"/>
      <c r="L446" s="835"/>
      <c r="M446" s="835"/>
      <c r="N446" s="835"/>
      <c r="O446" s="835"/>
      <c r="P446" s="835"/>
      <c r="Q446" s="830"/>
      <c r="R446" s="830"/>
      <c r="S446" s="830"/>
      <c r="T446" s="323"/>
      <c r="U446" s="323"/>
      <c r="V446" s="323"/>
      <c r="W446" s="323"/>
      <c r="X446" s="323"/>
      <c r="Y446" s="323"/>
      <c r="Z446" s="323"/>
      <c r="AA446" s="323"/>
      <c r="AB446" s="323"/>
      <c r="AC446" s="323"/>
      <c r="AD446" s="323"/>
      <c r="AE446" s="323"/>
      <c r="AF446" s="323"/>
      <c r="AG446" s="323"/>
      <c r="AH446" s="323"/>
      <c r="AI446" s="323"/>
      <c r="AJ446" s="323"/>
      <c r="AK446" s="323"/>
      <c r="AL446" s="323"/>
      <c r="AM446" s="323"/>
      <c r="AN446" s="323"/>
      <c r="AO446" s="323"/>
      <c r="AP446" s="323"/>
      <c r="AQ446" s="323"/>
      <c r="AR446" s="323"/>
      <c r="AS446" s="323"/>
      <c r="AT446" s="323"/>
      <c r="AU446" s="323"/>
      <c r="AV446" s="323"/>
      <c r="AW446" s="323"/>
    </row>
    <row r="447" spans="1:50" s="13" customFormat="1" ht="15.6">
      <c r="A447" s="828"/>
      <c r="B447" s="828"/>
      <c r="C447" s="828"/>
      <c r="D447" s="829"/>
      <c r="E447" s="829"/>
      <c r="F447" s="829"/>
      <c r="G447" s="829"/>
      <c r="H447" s="829"/>
      <c r="I447" s="827"/>
      <c r="J447" s="827"/>
      <c r="K447" s="827"/>
      <c r="L447" s="835"/>
      <c r="M447" s="835"/>
      <c r="N447" s="835"/>
      <c r="O447" s="835"/>
      <c r="P447" s="835"/>
      <c r="Q447" s="830"/>
      <c r="R447" s="830"/>
      <c r="S447" s="830"/>
      <c r="T447" s="323"/>
      <c r="U447" s="323"/>
      <c r="V447" s="323"/>
      <c r="W447" s="323"/>
      <c r="X447" s="323"/>
      <c r="Y447" s="323"/>
      <c r="Z447" s="323"/>
      <c r="AA447" s="323"/>
      <c r="AB447" s="323"/>
      <c r="AC447" s="323"/>
      <c r="AD447" s="323"/>
      <c r="AE447" s="323"/>
      <c r="AF447" s="323"/>
      <c r="AG447" s="323"/>
      <c r="AH447" s="323"/>
      <c r="AI447" s="323"/>
      <c r="AJ447" s="323"/>
      <c r="AK447" s="323"/>
      <c r="AL447" s="323"/>
      <c r="AM447" s="323"/>
      <c r="AN447" s="323"/>
      <c r="AO447" s="323"/>
      <c r="AP447" s="323"/>
      <c r="AQ447" s="323"/>
      <c r="AR447" s="323"/>
      <c r="AS447" s="323"/>
      <c r="AT447" s="323"/>
      <c r="AU447" s="323"/>
      <c r="AV447" s="323"/>
      <c r="AW447" s="323"/>
    </row>
    <row r="448" spans="1:50" s="13" customFormat="1" ht="15.6">
      <c r="A448" s="828"/>
      <c r="B448" s="828"/>
      <c r="C448" s="828"/>
      <c r="D448" s="829"/>
      <c r="E448" s="829"/>
      <c r="F448" s="829"/>
      <c r="G448" s="829"/>
      <c r="H448" s="829"/>
      <c r="I448" s="827"/>
      <c r="J448" s="827"/>
      <c r="K448" s="827"/>
      <c r="L448" s="835"/>
      <c r="M448" s="835"/>
      <c r="N448" s="835"/>
      <c r="O448" s="835"/>
      <c r="P448" s="835"/>
      <c r="Q448" s="830"/>
      <c r="R448" s="830"/>
      <c r="S448" s="830"/>
      <c r="T448" s="323"/>
      <c r="U448" s="323"/>
      <c r="V448" s="323"/>
      <c r="W448" s="323"/>
      <c r="X448" s="323"/>
      <c r="Y448" s="323"/>
      <c r="Z448" s="323"/>
      <c r="AA448" s="323"/>
      <c r="AB448" s="323"/>
      <c r="AC448" s="323"/>
      <c r="AD448" s="323"/>
      <c r="AE448" s="323"/>
      <c r="AF448" s="323"/>
      <c r="AG448" s="323"/>
      <c r="AH448" s="323"/>
      <c r="AI448" s="323"/>
      <c r="AJ448" s="323"/>
      <c r="AK448" s="323"/>
      <c r="AL448" s="323"/>
      <c r="AM448" s="323"/>
      <c r="AN448" s="323"/>
      <c r="AO448" s="323"/>
      <c r="AP448" s="323"/>
      <c r="AQ448" s="323"/>
      <c r="AR448" s="323"/>
      <c r="AS448" s="323"/>
      <c r="AT448" s="323"/>
      <c r="AU448" s="323"/>
      <c r="AV448" s="323"/>
      <c r="AW448" s="323"/>
    </row>
    <row r="449" spans="1:49" s="13" customFormat="1" ht="15.6">
      <c r="A449" s="828"/>
      <c r="B449" s="828"/>
      <c r="C449" s="828"/>
      <c r="D449" s="829"/>
      <c r="E449" s="829"/>
      <c r="F449" s="829"/>
      <c r="G449" s="829"/>
      <c r="H449" s="829"/>
      <c r="I449" s="827"/>
      <c r="J449" s="827"/>
      <c r="K449" s="827"/>
      <c r="L449" s="835"/>
      <c r="M449" s="835"/>
      <c r="N449" s="835"/>
      <c r="O449" s="835"/>
      <c r="P449" s="835"/>
      <c r="Q449" s="830"/>
      <c r="R449" s="830"/>
      <c r="S449" s="830"/>
      <c r="T449" s="323"/>
      <c r="U449" s="323"/>
      <c r="V449" s="323"/>
      <c r="W449" s="323"/>
      <c r="X449" s="323"/>
      <c r="Y449" s="323"/>
      <c r="Z449" s="323"/>
      <c r="AA449" s="323"/>
      <c r="AB449" s="323"/>
      <c r="AC449" s="323"/>
      <c r="AD449" s="323"/>
      <c r="AE449" s="323"/>
      <c r="AF449" s="323"/>
      <c r="AG449" s="323"/>
      <c r="AH449" s="323"/>
      <c r="AI449" s="323"/>
      <c r="AJ449" s="323"/>
      <c r="AK449" s="323"/>
      <c r="AL449" s="323"/>
      <c r="AM449" s="323"/>
      <c r="AN449" s="323"/>
      <c r="AO449" s="323"/>
      <c r="AP449" s="323"/>
      <c r="AQ449" s="323"/>
      <c r="AR449" s="323"/>
      <c r="AS449" s="323"/>
      <c r="AT449" s="323"/>
      <c r="AU449" s="323"/>
      <c r="AV449" s="323"/>
      <c r="AW449" s="323"/>
    </row>
    <row r="450" spans="1:49" s="13" customFormat="1" ht="15.6">
      <c r="A450" s="828"/>
      <c r="B450" s="828"/>
      <c r="C450" s="828"/>
      <c r="D450" s="829"/>
      <c r="E450" s="829"/>
      <c r="F450" s="829"/>
      <c r="G450" s="829"/>
      <c r="H450" s="829"/>
      <c r="I450" s="827"/>
      <c r="J450" s="827"/>
      <c r="K450" s="827"/>
      <c r="L450" s="835"/>
      <c r="M450" s="835"/>
      <c r="N450" s="835"/>
      <c r="O450" s="835"/>
      <c r="P450" s="835"/>
      <c r="Q450" s="830"/>
      <c r="R450" s="830"/>
      <c r="S450" s="830"/>
      <c r="T450" s="323"/>
      <c r="U450" s="323"/>
      <c r="V450" s="323"/>
      <c r="W450" s="323"/>
      <c r="X450" s="323"/>
      <c r="Y450" s="323"/>
      <c r="Z450" s="323"/>
      <c r="AA450" s="323"/>
      <c r="AB450" s="323"/>
      <c r="AC450" s="323"/>
      <c r="AD450" s="323"/>
      <c r="AE450" s="323"/>
      <c r="AF450" s="323"/>
      <c r="AG450" s="323"/>
      <c r="AH450" s="323"/>
      <c r="AI450" s="323"/>
      <c r="AJ450" s="323"/>
      <c r="AK450" s="323"/>
      <c r="AL450" s="323"/>
      <c r="AM450" s="323"/>
      <c r="AN450" s="323"/>
      <c r="AO450" s="323"/>
      <c r="AP450" s="323"/>
      <c r="AQ450" s="323"/>
      <c r="AR450" s="323"/>
      <c r="AS450" s="323"/>
      <c r="AT450" s="323"/>
      <c r="AU450" s="323"/>
      <c r="AV450" s="323"/>
      <c r="AW450" s="323"/>
    </row>
    <row r="451" spans="1:49" s="13" customFormat="1" ht="15.6">
      <c r="A451" s="828"/>
      <c r="B451" s="828"/>
      <c r="C451" s="828"/>
      <c r="D451" s="829"/>
      <c r="E451" s="829"/>
      <c r="F451" s="829"/>
      <c r="G451" s="829"/>
      <c r="H451" s="829"/>
      <c r="I451" s="827"/>
      <c r="J451" s="827"/>
      <c r="K451" s="827"/>
      <c r="L451" s="835"/>
      <c r="M451" s="835"/>
      <c r="N451" s="835"/>
      <c r="O451" s="835"/>
      <c r="P451" s="835"/>
      <c r="Q451" s="830"/>
      <c r="R451" s="830"/>
      <c r="S451" s="830"/>
      <c r="T451" s="323"/>
      <c r="U451" s="323"/>
      <c r="V451" s="323"/>
      <c r="W451" s="323"/>
      <c r="X451" s="323"/>
      <c r="Y451" s="323"/>
      <c r="Z451" s="323"/>
      <c r="AA451" s="323"/>
      <c r="AB451" s="323"/>
      <c r="AC451" s="323"/>
      <c r="AD451" s="323"/>
      <c r="AE451" s="323"/>
      <c r="AF451" s="323"/>
      <c r="AG451" s="323"/>
      <c r="AH451" s="323"/>
      <c r="AI451" s="323"/>
      <c r="AJ451" s="323"/>
      <c r="AK451" s="323"/>
      <c r="AL451" s="323"/>
      <c r="AM451" s="323"/>
      <c r="AN451" s="323"/>
      <c r="AO451" s="323"/>
      <c r="AP451" s="323"/>
      <c r="AQ451" s="323"/>
      <c r="AR451" s="323"/>
      <c r="AS451" s="323"/>
      <c r="AT451" s="323"/>
      <c r="AU451" s="323"/>
      <c r="AV451" s="323"/>
      <c r="AW451" s="323"/>
    </row>
    <row r="452" spans="1:49" s="13" customFormat="1" ht="15.6">
      <c r="A452" s="828"/>
      <c r="B452" s="828"/>
      <c r="C452" s="828"/>
      <c r="D452" s="829"/>
      <c r="E452" s="829"/>
      <c r="F452" s="829"/>
      <c r="G452" s="829"/>
      <c r="H452" s="829"/>
      <c r="I452" s="827"/>
      <c r="J452" s="827"/>
      <c r="K452" s="827"/>
      <c r="L452" s="835"/>
      <c r="M452" s="835"/>
      <c r="N452" s="835"/>
      <c r="O452" s="835"/>
      <c r="P452" s="835"/>
      <c r="Q452" s="830"/>
      <c r="R452" s="830"/>
      <c r="S452" s="830"/>
      <c r="T452" s="323"/>
      <c r="U452" s="323"/>
      <c r="V452" s="323"/>
      <c r="W452" s="323"/>
      <c r="X452" s="323"/>
      <c r="Y452" s="323"/>
      <c r="Z452" s="323"/>
      <c r="AA452" s="323"/>
      <c r="AB452" s="323"/>
      <c r="AC452" s="323"/>
      <c r="AD452" s="323"/>
      <c r="AE452" s="323"/>
      <c r="AF452" s="323"/>
      <c r="AG452" s="323"/>
      <c r="AH452" s="323"/>
      <c r="AI452" s="323"/>
      <c r="AJ452" s="323"/>
      <c r="AK452" s="323"/>
      <c r="AL452" s="323"/>
      <c r="AM452" s="323"/>
      <c r="AN452" s="323"/>
      <c r="AO452" s="323"/>
      <c r="AP452" s="323"/>
      <c r="AQ452" s="323"/>
      <c r="AR452" s="323"/>
      <c r="AS452" s="323"/>
      <c r="AT452" s="323"/>
      <c r="AU452" s="323"/>
      <c r="AV452" s="323"/>
      <c r="AW452" s="323"/>
    </row>
    <row r="453" spans="1:49" s="13" customFormat="1" ht="15.6">
      <c r="A453" s="828"/>
      <c r="B453" s="828"/>
      <c r="C453" s="828"/>
      <c r="D453" s="829"/>
      <c r="E453" s="829"/>
      <c r="F453" s="829"/>
      <c r="G453" s="829"/>
      <c r="H453" s="829"/>
      <c r="I453" s="827"/>
      <c r="J453" s="827"/>
      <c r="K453" s="827"/>
      <c r="L453" s="835"/>
      <c r="M453" s="835"/>
      <c r="N453" s="835"/>
      <c r="O453" s="835"/>
      <c r="P453" s="835"/>
      <c r="Q453" s="830"/>
      <c r="R453" s="830"/>
      <c r="S453" s="830"/>
      <c r="T453" s="323"/>
      <c r="U453" s="323"/>
      <c r="V453" s="323"/>
      <c r="W453" s="323"/>
      <c r="X453" s="323"/>
      <c r="Y453" s="323"/>
      <c r="Z453" s="323"/>
      <c r="AA453" s="323"/>
      <c r="AB453" s="323"/>
      <c r="AC453" s="323"/>
      <c r="AD453" s="323"/>
      <c r="AE453" s="323"/>
      <c r="AF453" s="323"/>
      <c r="AG453" s="323"/>
      <c r="AH453" s="323"/>
      <c r="AI453" s="323"/>
      <c r="AJ453" s="323"/>
      <c r="AK453" s="323"/>
      <c r="AL453" s="323"/>
      <c r="AM453" s="323"/>
      <c r="AN453" s="323"/>
      <c r="AO453" s="323"/>
      <c r="AP453" s="323"/>
      <c r="AQ453" s="323"/>
      <c r="AR453" s="323"/>
      <c r="AS453" s="323"/>
      <c r="AT453" s="323"/>
      <c r="AU453" s="323"/>
      <c r="AV453" s="323"/>
      <c r="AW453" s="323"/>
    </row>
    <row r="454" spans="1:49" s="13" customFormat="1" ht="15.6">
      <c r="A454" s="828"/>
      <c r="B454" s="828"/>
      <c r="C454" s="828"/>
      <c r="D454" s="829"/>
      <c r="E454" s="829"/>
      <c r="F454" s="829"/>
      <c r="G454" s="829"/>
      <c r="H454" s="829"/>
      <c r="I454" s="827"/>
      <c r="J454" s="827"/>
      <c r="K454" s="827"/>
      <c r="L454" s="835"/>
      <c r="M454" s="835"/>
      <c r="N454" s="835"/>
      <c r="O454" s="835"/>
      <c r="P454" s="835"/>
      <c r="Q454" s="830"/>
      <c r="R454" s="830"/>
      <c r="S454" s="830"/>
      <c r="T454" s="323"/>
      <c r="U454" s="323"/>
      <c r="V454" s="323"/>
      <c r="W454" s="323"/>
      <c r="X454" s="323"/>
      <c r="Y454" s="323"/>
      <c r="Z454" s="323"/>
      <c r="AA454" s="323"/>
      <c r="AB454" s="323"/>
      <c r="AC454" s="323"/>
      <c r="AD454" s="323"/>
      <c r="AE454" s="323"/>
      <c r="AF454" s="323"/>
      <c r="AG454" s="323"/>
      <c r="AH454" s="323"/>
      <c r="AI454" s="323"/>
      <c r="AJ454" s="323"/>
      <c r="AK454" s="323"/>
      <c r="AL454" s="323"/>
      <c r="AM454" s="323"/>
      <c r="AN454" s="323"/>
      <c r="AO454" s="323"/>
      <c r="AP454" s="323"/>
      <c r="AQ454" s="323"/>
      <c r="AR454" s="323"/>
      <c r="AS454" s="323"/>
      <c r="AT454" s="323"/>
      <c r="AU454" s="323"/>
      <c r="AV454" s="323"/>
      <c r="AW454" s="323"/>
    </row>
    <row r="455" spans="1:49" s="13" customFormat="1" ht="15.6">
      <c r="A455" s="828"/>
      <c r="B455" s="828"/>
      <c r="C455" s="828"/>
      <c r="D455" s="829"/>
      <c r="E455" s="829"/>
      <c r="F455" s="829"/>
      <c r="G455" s="829"/>
      <c r="H455" s="829"/>
      <c r="I455" s="827"/>
      <c r="J455" s="827"/>
      <c r="K455" s="827"/>
      <c r="L455" s="835"/>
      <c r="M455" s="835"/>
      <c r="N455" s="835"/>
      <c r="O455" s="835"/>
      <c r="P455" s="835"/>
      <c r="Q455" s="830"/>
      <c r="R455" s="830"/>
      <c r="S455" s="830"/>
      <c r="T455" s="323"/>
      <c r="U455" s="323"/>
      <c r="V455" s="323"/>
      <c r="W455" s="323"/>
      <c r="X455" s="323"/>
      <c r="Y455" s="323"/>
      <c r="Z455" s="323"/>
      <c r="AA455" s="323"/>
      <c r="AB455" s="323"/>
      <c r="AC455" s="323"/>
      <c r="AD455" s="323"/>
      <c r="AE455" s="323"/>
      <c r="AF455" s="323"/>
      <c r="AG455" s="323"/>
      <c r="AH455" s="323"/>
      <c r="AI455" s="323"/>
      <c r="AJ455" s="323"/>
      <c r="AK455" s="323"/>
      <c r="AL455" s="323"/>
      <c r="AM455" s="323"/>
      <c r="AN455" s="323"/>
      <c r="AO455" s="323"/>
      <c r="AP455" s="323"/>
      <c r="AQ455" s="323"/>
      <c r="AR455" s="323"/>
      <c r="AS455" s="323"/>
      <c r="AT455" s="323"/>
      <c r="AU455" s="323"/>
      <c r="AV455" s="323"/>
      <c r="AW455" s="323"/>
    </row>
    <row r="456" spans="1:49" s="13" customFormat="1" ht="15.6">
      <c r="A456" s="828"/>
      <c r="B456" s="828"/>
      <c r="C456" s="828"/>
      <c r="D456" s="829"/>
      <c r="E456" s="829"/>
      <c r="F456" s="829"/>
      <c r="G456" s="829"/>
      <c r="H456" s="829"/>
      <c r="I456" s="827"/>
      <c r="J456" s="827"/>
      <c r="K456" s="827"/>
      <c r="L456" s="835"/>
      <c r="M456" s="835"/>
      <c r="N456" s="835"/>
      <c r="O456" s="835"/>
      <c r="P456" s="835"/>
      <c r="Q456" s="830"/>
      <c r="R456" s="830"/>
      <c r="S456" s="830"/>
      <c r="T456" s="323"/>
      <c r="U456" s="323"/>
      <c r="V456" s="323"/>
      <c r="W456" s="323"/>
      <c r="X456" s="323"/>
      <c r="Y456" s="323"/>
      <c r="Z456" s="323"/>
      <c r="AA456" s="323"/>
      <c r="AB456" s="323"/>
      <c r="AC456" s="323"/>
      <c r="AD456" s="323"/>
      <c r="AE456" s="323"/>
      <c r="AF456" s="323"/>
      <c r="AG456" s="323"/>
      <c r="AH456" s="323"/>
      <c r="AI456" s="323"/>
      <c r="AJ456" s="323"/>
      <c r="AK456" s="323"/>
      <c r="AL456" s="323"/>
      <c r="AM456" s="323"/>
      <c r="AN456" s="323"/>
      <c r="AO456" s="323"/>
      <c r="AP456" s="323"/>
      <c r="AQ456" s="323"/>
      <c r="AR456" s="323"/>
      <c r="AS456" s="323"/>
      <c r="AT456" s="323"/>
      <c r="AU456" s="323"/>
      <c r="AV456" s="323"/>
      <c r="AW456" s="323"/>
    </row>
    <row r="457" spans="1:49" s="13" customFormat="1" ht="15.6">
      <c r="A457" s="828"/>
      <c r="B457" s="828"/>
      <c r="C457" s="828"/>
      <c r="D457" s="829"/>
      <c r="E457" s="829"/>
      <c r="F457" s="829"/>
      <c r="G457" s="829"/>
      <c r="H457" s="829"/>
      <c r="I457" s="827"/>
      <c r="J457" s="827"/>
      <c r="K457" s="827"/>
      <c r="L457" s="835"/>
      <c r="M457" s="835"/>
      <c r="N457" s="835"/>
      <c r="O457" s="835"/>
      <c r="P457" s="835"/>
      <c r="Q457" s="830"/>
      <c r="R457" s="830"/>
      <c r="S457" s="830"/>
      <c r="T457" s="323"/>
      <c r="U457" s="323"/>
      <c r="V457" s="323"/>
      <c r="W457" s="323"/>
      <c r="X457" s="323"/>
      <c r="Y457" s="323"/>
      <c r="Z457" s="323"/>
      <c r="AA457" s="323"/>
      <c r="AB457" s="323"/>
      <c r="AC457" s="323"/>
      <c r="AD457" s="323"/>
      <c r="AE457" s="323"/>
      <c r="AF457" s="323"/>
      <c r="AG457" s="323"/>
      <c r="AH457" s="323"/>
      <c r="AI457" s="323"/>
      <c r="AJ457" s="323"/>
      <c r="AK457" s="323"/>
      <c r="AL457" s="323"/>
      <c r="AM457" s="323"/>
      <c r="AN457" s="323"/>
      <c r="AO457" s="323"/>
      <c r="AP457" s="323"/>
      <c r="AQ457" s="323"/>
      <c r="AR457" s="323"/>
      <c r="AS457" s="323"/>
      <c r="AT457" s="323"/>
      <c r="AU457" s="323"/>
      <c r="AV457" s="323"/>
      <c r="AW457" s="323"/>
    </row>
    <row r="458" spans="1:49" s="13" customFormat="1" ht="15.6">
      <c r="A458" s="828"/>
      <c r="B458" s="828"/>
      <c r="C458" s="828"/>
      <c r="D458" s="829"/>
      <c r="E458" s="829"/>
      <c r="F458" s="829"/>
      <c r="G458" s="829"/>
      <c r="H458" s="829"/>
      <c r="I458" s="827"/>
      <c r="J458" s="827"/>
      <c r="K458" s="827"/>
      <c r="L458" s="835"/>
      <c r="M458" s="835"/>
      <c r="N458" s="835"/>
      <c r="O458" s="835"/>
      <c r="P458" s="835"/>
      <c r="Q458" s="830"/>
      <c r="R458" s="830"/>
      <c r="S458" s="830"/>
      <c r="T458" s="323"/>
      <c r="U458" s="323"/>
      <c r="V458" s="323"/>
      <c r="W458" s="323"/>
      <c r="X458" s="323"/>
      <c r="Y458" s="323"/>
      <c r="Z458" s="323"/>
      <c r="AA458" s="323"/>
      <c r="AB458" s="323"/>
      <c r="AC458" s="323"/>
      <c r="AD458" s="323"/>
      <c r="AE458" s="323"/>
      <c r="AF458" s="323"/>
      <c r="AG458" s="323"/>
      <c r="AH458" s="323"/>
      <c r="AI458" s="323"/>
      <c r="AJ458" s="323"/>
      <c r="AK458" s="323"/>
      <c r="AL458" s="323"/>
      <c r="AM458" s="323"/>
      <c r="AN458" s="323"/>
      <c r="AO458" s="323"/>
      <c r="AP458" s="323"/>
      <c r="AQ458" s="323"/>
      <c r="AR458" s="323"/>
      <c r="AS458" s="323"/>
      <c r="AT458" s="323"/>
      <c r="AU458" s="323"/>
      <c r="AV458" s="323"/>
      <c r="AW458" s="323"/>
    </row>
    <row r="459" spans="1:49" s="13" customFormat="1" ht="15.6">
      <c r="A459" s="828"/>
      <c r="B459" s="828"/>
      <c r="C459" s="828"/>
      <c r="D459" s="829"/>
      <c r="E459" s="829"/>
      <c r="F459" s="829"/>
      <c r="G459" s="829"/>
      <c r="H459" s="829"/>
      <c r="I459" s="827"/>
      <c r="J459" s="827"/>
      <c r="K459" s="827"/>
      <c r="L459" s="835"/>
      <c r="M459" s="835"/>
      <c r="N459" s="835"/>
      <c r="O459" s="835"/>
      <c r="P459" s="835"/>
      <c r="Q459" s="830"/>
      <c r="R459" s="830"/>
      <c r="S459" s="830"/>
      <c r="T459" s="323"/>
      <c r="U459" s="323"/>
      <c r="V459" s="323"/>
      <c r="W459" s="323"/>
      <c r="X459" s="323"/>
      <c r="Y459" s="323"/>
      <c r="Z459" s="323"/>
      <c r="AA459" s="323"/>
      <c r="AB459" s="323"/>
      <c r="AC459" s="323"/>
      <c r="AD459" s="323"/>
      <c r="AE459" s="323"/>
      <c r="AF459" s="323"/>
      <c r="AG459" s="323"/>
      <c r="AH459" s="323"/>
      <c r="AI459" s="323"/>
      <c r="AJ459" s="323"/>
      <c r="AK459" s="323"/>
      <c r="AL459" s="323"/>
      <c r="AM459" s="323"/>
      <c r="AN459" s="323"/>
      <c r="AO459" s="323"/>
      <c r="AP459" s="323"/>
      <c r="AQ459" s="323"/>
      <c r="AR459" s="323"/>
      <c r="AS459" s="323"/>
      <c r="AT459" s="323"/>
      <c r="AU459" s="323"/>
      <c r="AV459" s="323"/>
      <c r="AW459" s="323"/>
    </row>
    <row r="460" spans="1:49" s="13" customFormat="1" ht="15.6">
      <c r="A460" s="828"/>
      <c r="B460" s="828"/>
      <c r="C460" s="828"/>
      <c r="D460" s="829"/>
      <c r="E460" s="829"/>
      <c r="F460" s="829"/>
      <c r="G460" s="829"/>
      <c r="H460" s="829"/>
      <c r="I460" s="827"/>
      <c r="J460" s="827"/>
      <c r="K460" s="827"/>
      <c r="L460" s="835"/>
      <c r="M460" s="835"/>
      <c r="N460" s="835"/>
      <c r="O460" s="835"/>
      <c r="P460" s="835"/>
      <c r="Q460" s="830"/>
      <c r="R460" s="830"/>
      <c r="S460" s="830"/>
      <c r="T460" s="323"/>
      <c r="U460" s="323"/>
      <c r="V460" s="323"/>
      <c r="W460" s="323"/>
      <c r="X460" s="323"/>
      <c r="Y460" s="323"/>
      <c r="Z460" s="323"/>
      <c r="AA460" s="323"/>
      <c r="AB460" s="323"/>
      <c r="AC460" s="323"/>
      <c r="AD460" s="323"/>
      <c r="AE460" s="323"/>
      <c r="AF460" s="323"/>
      <c r="AG460" s="323"/>
      <c r="AH460" s="323"/>
      <c r="AI460" s="323"/>
      <c r="AJ460" s="323"/>
      <c r="AK460" s="323"/>
      <c r="AL460" s="323"/>
      <c r="AM460" s="323"/>
      <c r="AN460" s="323"/>
      <c r="AO460" s="323"/>
      <c r="AP460" s="323"/>
      <c r="AQ460" s="323"/>
      <c r="AR460" s="323"/>
      <c r="AS460" s="323"/>
      <c r="AT460" s="323"/>
      <c r="AU460" s="323"/>
      <c r="AV460" s="323"/>
      <c r="AW460" s="323"/>
    </row>
    <row r="461" spans="1:49" s="13" customFormat="1" ht="15.6">
      <c r="A461" s="828"/>
      <c r="B461" s="828"/>
      <c r="C461" s="828"/>
      <c r="D461" s="829"/>
      <c r="E461" s="829"/>
      <c r="F461" s="829"/>
      <c r="G461" s="829"/>
      <c r="H461" s="829"/>
      <c r="I461" s="827"/>
      <c r="J461" s="827"/>
      <c r="K461" s="827"/>
      <c r="L461" s="835"/>
      <c r="M461" s="835"/>
      <c r="N461" s="835"/>
      <c r="O461" s="835"/>
      <c r="P461" s="835"/>
      <c r="Q461" s="830"/>
      <c r="R461" s="830"/>
      <c r="S461" s="830"/>
      <c r="T461" s="323"/>
      <c r="U461" s="323"/>
      <c r="V461" s="323"/>
      <c r="W461" s="323"/>
      <c r="X461" s="323"/>
      <c r="Y461" s="323"/>
      <c r="Z461" s="323"/>
      <c r="AA461" s="323"/>
      <c r="AB461" s="323"/>
      <c r="AC461" s="323"/>
      <c r="AD461" s="323"/>
      <c r="AE461" s="323"/>
      <c r="AF461" s="323"/>
      <c r="AG461" s="323"/>
      <c r="AH461" s="323"/>
      <c r="AI461" s="323"/>
      <c r="AJ461" s="323"/>
      <c r="AK461" s="323"/>
      <c r="AL461" s="323"/>
      <c r="AM461" s="323"/>
      <c r="AN461" s="323"/>
      <c r="AO461" s="323"/>
      <c r="AP461" s="323"/>
      <c r="AQ461" s="323"/>
      <c r="AR461" s="323"/>
      <c r="AS461" s="323"/>
      <c r="AT461" s="323"/>
      <c r="AU461" s="323"/>
      <c r="AV461" s="323"/>
      <c r="AW461" s="323"/>
    </row>
    <row r="462" spans="1:49" s="13" customFormat="1" ht="15.6">
      <c r="A462" s="828"/>
      <c r="B462" s="828"/>
      <c r="C462" s="828"/>
      <c r="D462" s="829"/>
      <c r="E462" s="829"/>
      <c r="F462" s="829"/>
      <c r="G462" s="829"/>
      <c r="H462" s="829"/>
      <c r="I462" s="827"/>
      <c r="J462" s="827"/>
      <c r="K462" s="827"/>
      <c r="L462" s="835"/>
      <c r="M462" s="835"/>
      <c r="N462" s="835"/>
      <c r="O462" s="835"/>
      <c r="P462" s="835"/>
      <c r="Q462" s="830"/>
      <c r="R462" s="830"/>
      <c r="S462" s="830"/>
      <c r="T462" s="323"/>
      <c r="U462" s="323"/>
      <c r="V462" s="323"/>
      <c r="W462" s="323"/>
      <c r="X462" s="323"/>
      <c r="Y462" s="323"/>
      <c r="Z462" s="323"/>
      <c r="AA462" s="323"/>
      <c r="AB462" s="323"/>
      <c r="AC462" s="323"/>
      <c r="AD462" s="323"/>
      <c r="AE462" s="323"/>
      <c r="AF462" s="323"/>
      <c r="AG462" s="323"/>
      <c r="AH462" s="323"/>
      <c r="AI462" s="323"/>
      <c r="AJ462" s="323"/>
      <c r="AK462" s="323"/>
      <c r="AL462" s="323"/>
      <c r="AM462" s="323"/>
      <c r="AN462" s="323"/>
      <c r="AO462" s="323"/>
      <c r="AP462" s="323"/>
      <c r="AQ462" s="323"/>
      <c r="AR462" s="323"/>
      <c r="AS462" s="323"/>
      <c r="AT462" s="323"/>
      <c r="AU462" s="323"/>
      <c r="AV462" s="323"/>
      <c r="AW462" s="323"/>
    </row>
    <row r="463" spans="1:49" s="13" customFormat="1" ht="15.6">
      <c r="A463" s="828"/>
      <c r="B463" s="828"/>
      <c r="C463" s="828"/>
      <c r="D463" s="829"/>
      <c r="E463" s="829"/>
      <c r="F463" s="829"/>
      <c r="G463" s="829"/>
      <c r="H463" s="829"/>
      <c r="I463" s="827"/>
      <c r="J463" s="827"/>
      <c r="K463" s="827"/>
      <c r="L463" s="835"/>
      <c r="M463" s="835"/>
      <c r="N463" s="835"/>
      <c r="O463" s="835"/>
      <c r="P463" s="835"/>
      <c r="Q463" s="830"/>
      <c r="R463" s="830"/>
      <c r="S463" s="830"/>
      <c r="T463" s="323"/>
      <c r="U463" s="323"/>
      <c r="V463" s="323"/>
      <c r="W463" s="323"/>
      <c r="X463" s="323"/>
      <c r="Y463" s="323"/>
      <c r="Z463" s="323"/>
      <c r="AA463" s="323"/>
      <c r="AB463" s="323"/>
      <c r="AC463" s="323"/>
      <c r="AD463" s="323"/>
      <c r="AE463" s="323"/>
      <c r="AF463" s="323"/>
      <c r="AG463" s="323"/>
      <c r="AH463" s="323"/>
      <c r="AI463" s="323"/>
      <c r="AJ463" s="323"/>
      <c r="AK463" s="323"/>
      <c r="AL463" s="323"/>
      <c r="AM463" s="323"/>
      <c r="AN463" s="323"/>
      <c r="AO463" s="323"/>
      <c r="AP463" s="323"/>
      <c r="AQ463" s="323"/>
      <c r="AR463" s="323"/>
      <c r="AS463" s="323"/>
      <c r="AT463" s="323"/>
      <c r="AU463" s="323"/>
      <c r="AV463" s="323"/>
      <c r="AW463" s="323"/>
    </row>
    <row r="464" spans="1:49" s="13" customFormat="1" ht="15.6">
      <c r="A464" s="828"/>
      <c r="B464" s="828"/>
      <c r="C464" s="828"/>
      <c r="D464" s="829"/>
      <c r="E464" s="829"/>
      <c r="F464" s="829"/>
      <c r="G464" s="829"/>
      <c r="H464" s="829"/>
      <c r="I464" s="827"/>
      <c r="J464" s="827"/>
      <c r="K464" s="827"/>
      <c r="L464" s="835"/>
      <c r="M464" s="835"/>
      <c r="N464" s="835"/>
      <c r="O464" s="835"/>
      <c r="P464" s="835"/>
      <c r="Q464" s="830"/>
      <c r="R464" s="830"/>
      <c r="S464" s="830"/>
      <c r="T464" s="323"/>
      <c r="U464" s="323"/>
      <c r="V464" s="323"/>
      <c r="W464" s="323"/>
      <c r="X464" s="323"/>
      <c r="Y464" s="323"/>
      <c r="Z464" s="323"/>
      <c r="AA464" s="323"/>
      <c r="AB464" s="323"/>
      <c r="AC464" s="323"/>
      <c r="AD464" s="323"/>
      <c r="AE464" s="323"/>
      <c r="AF464" s="323"/>
      <c r="AG464" s="323"/>
      <c r="AH464" s="323"/>
      <c r="AI464" s="323"/>
      <c r="AJ464" s="323"/>
      <c r="AK464" s="323"/>
      <c r="AL464" s="323"/>
      <c r="AM464" s="323"/>
      <c r="AN464" s="323"/>
      <c r="AO464" s="323"/>
      <c r="AP464" s="323"/>
      <c r="AQ464" s="323"/>
      <c r="AR464" s="323"/>
      <c r="AS464" s="323"/>
      <c r="AT464" s="323"/>
      <c r="AU464" s="323"/>
      <c r="AV464" s="323"/>
      <c r="AW464" s="323"/>
    </row>
    <row r="465" spans="1:49" s="13" customFormat="1" ht="15.6">
      <c r="A465" s="828"/>
      <c r="B465" s="828"/>
      <c r="C465" s="828"/>
      <c r="D465" s="829"/>
      <c r="E465" s="829"/>
      <c r="F465" s="829"/>
      <c r="G465" s="829"/>
      <c r="H465" s="829"/>
      <c r="I465" s="827"/>
      <c r="J465" s="827"/>
      <c r="K465" s="827"/>
      <c r="L465" s="835"/>
      <c r="M465" s="835"/>
      <c r="N465" s="835"/>
      <c r="O465" s="835"/>
      <c r="P465" s="835"/>
      <c r="Q465" s="830"/>
      <c r="R465" s="830"/>
      <c r="S465" s="830"/>
      <c r="T465" s="323"/>
      <c r="U465" s="323"/>
      <c r="V465" s="323"/>
      <c r="W465" s="323"/>
      <c r="X465" s="323"/>
      <c r="Y465" s="323"/>
      <c r="Z465" s="323"/>
      <c r="AA465" s="323"/>
      <c r="AB465" s="323"/>
      <c r="AC465" s="323"/>
      <c r="AD465" s="323"/>
      <c r="AE465" s="323"/>
      <c r="AF465" s="323"/>
      <c r="AG465" s="323"/>
      <c r="AH465" s="323"/>
      <c r="AI465" s="323"/>
      <c r="AJ465" s="323"/>
      <c r="AK465" s="323"/>
      <c r="AL465" s="323"/>
      <c r="AM465" s="323"/>
      <c r="AN465" s="323"/>
      <c r="AO465" s="323"/>
      <c r="AP465" s="323"/>
      <c r="AQ465" s="323"/>
      <c r="AR465" s="323"/>
      <c r="AS465" s="323"/>
      <c r="AT465" s="323"/>
      <c r="AU465" s="323"/>
      <c r="AV465" s="323"/>
      <c r="AW465" s="323"/>
    </row>
    <row r="466" spans="1:49" s="13" customFormat="1" ht="15.6">
      <c r="A466" s="828"/>
      <c r="B466" s="828"/>
      <c r="C466" s="828"/>
      <c r="D466" s="829"/>
      <c r="E466" s="829"/>
      <c r="F466" s="829"/>
      <c r="G466" s="829"/>
      <c r="H466" s="829"/>
      <c r="I466" s="827"/>
      <c r="J466" s="827"/>
      <c r="K466" s="827"/>
      <c r="L466" s="835"/>
      <c r="M466" s="835"/>
      <c r="N466" s="835"/>
      <c r="O466" s="835"/>
      <c r="P466" s="835"/>
      <c r="Q466" s="830"/>
      <c r="R466" s="830"/>
      <c r="S466" s="830"/>
      <c r="T466" s="323"/>
      <c r="U466" s="323"/>
      <c r="V466" s="323"/>
      <c r="W466" s="323"/>
      <c r="X466" s="323"/>
      <c r="Y466" s="323"/>
      <c r="Z466" s="323"/>
      <c r="AA466" s="323"/>
      <c r="AB466" s="323"/>
      <c r="AC466" s="323"/>
      <c r="AD466" s="323"/>
      <c r="AE466" s="323"/>
      <c r="AF466" s="323"/>
      <c r="AG466" s="323"/>
      <c r="AH466" s="323"/>
      <c r="AI466" s="323"/>
      <c r="AJ466" s="323"/>
      <c r="AK466" s="323"/>
      <c r="AL466" s="323"/>
      <c r="AM466" s="323"/>
      <c r="AN466" s="323"/>
      <c r="AO466" s="323"/>
      <c r="AP466" s="323"/>
      <c r="AQ466" s="323"/>
      <c r="AR466" s="323"/>
      <c r="AS466" s="323"/>
      <c r="AT466" s="323"/>
      <c r="AU466" s="323"/>
      <c r="AV466" s="323"/>
      <c r="AW466" s="323"/>
    </row>
    <row r="467" spans="1:49" s="13" customFormat="1" ht="15.6">
      <c r="A467" s="828"/>
      <c r="B467" s="828"/>
      <c r="C467" s="828"/>
      <c r="D467" s="829"/>
      <c r="E467" s="829"/>
      <c r="F467" s="829"/>
      <c r="G467" s="829"/>
      <c r="H467" s="829"/>
      <c r="I467" s="827"/>
      <c r="J467" s="827"/>
      <c r="K467" s="827"/>
      <c r="L467" s="835"/>
      <c r="M467" s="835"/>
      <c r="N467" s="835"/>
      <c r="O467" s="835"/>
      <c r="P467" s="835"/>
      <c r="Q467" s="830"/>
      <c r="R467" s="830"/>
      <c r="S467" s="830"/>
      <c r="T467" s="323"/>
      <c r="U467" s="323"/>
      <c r="V467" s="323"/>
      <c r="W467" s="323"/>
      <c r="X467" s="323"/>
      <c r="Y467" s="323"/>
      <c r="Z467" s="323"/>
      <c r="AA467" s="323"/>
      <c r="AB467" s="323"/>
      <c r="AC467" s="323"/>
      <c r="AD467" s="323"/>
      <c r="AE467" s="323"/>
      <c r="AF467" s="323"/>
      <c r="AG467" s="323"/>
      <c r="AH467" s="323"/>
      <c r="AI467" s="323"/>
      <c r="AJ467" s="323"/>
      <c r="AK467" s="323"/>
      <c r="AL467" s="323"/>
      <c r="AM467" s="323"/>
      <c r="AN467" s="323"/>
      <c r="AO467" s="323"/>
      <c r="AP467" s="323"/>
      <c r="AQ467" s="323"/>
      <c r="AR467" s="323"/>
      <c r="AS467" s="323"/>
      <c r="AT467" s="323"/>
      <c r="AU467" s="323"/>
      <c r="AV467" s="323"/>
      <c r="AW467" s="323"/>
    </row>
    <row r="468" spans="1:49" s="13" customFormat="1" ht="15.6">
      <c r="A468" s="828"/>
      <c r="B468" s="828"/>
      <c r="C468" s="828"/>
      <c r="D468" s="829"/>
      <c r="E468" s="829"/>
      <c r="F468" s="829"/>
      <c r="G468" s="829"/>
      <c r="H468" s="829"/>
      <c r="I468" s="827"/>
      <c r="J468" s="827"/>
      <c r="K468" s="827"/>
      <c r="L468" s="835"/>
      <c r="M468" s="835"/>
      <c r="N468" s="835"/>
      <c r="O468" s="835"/>
      <c r="P468" s="835"/>
      <c r="Q468" s="830"/>
      <c r="R468" s="830"/>
      <c r="S468" s="830"/>
      <c r="T468" s="323"/>
      <c r="U468" s="323"/>
      <c r="V468" s="323"/>
      <c r="W468" s="323"/>
      <c r="X468" s="323"/>
      <c r="Y468" s="323"/>
      <c r="Z468" s="323"/>
      <c r="AA468" s="323"/>
      <c r="AB468" s="323"/>
      <c r="AC468" s="323"/>
      <c r="AD468" s="323"/>
      <c r="AE468" s="323"/>
      <c r="AF468" s="323"/>
      <c r="AG468" s="323"/>
      <c r="AH468" s="323"/>
      <c r="AI468" s="323"/>
      <c r="AJ468" s="323"/>
      <c r="AK468" s="323"/>
      <c r="AL468" s="323"/>
      <c r="AM468" s="323"/>
      <c r="AN468" s="323"/>
      <c r="AO468" s="323"/>
      <c r="AP468" s="323"/>
      <c r="AQ468" s="323"/>
      <c r="AR468" s="323"/>
      <c r="AS468" s="323"/>
      <c r="AT468" s="323"/>
      <c r="AU468" s="323"/>
      <c r="AV468" s="323"/>
      <c r="AW468" s="323"/>
    </row>
    <row r="469" spans="1:49" s="13" customFormat="1" ht="15.6">
      <c r="A469" s="828"/>
      <c r="B469" s="828"/>
      <c r="C469" s="828"/>
      <c r="D469" s="829"/>
      <c r="E469" s="829"/>
      <c r="F469" s="829"/>
      <c r="G469" s="829"/>
      <c r="H469" s="829"/>
      <c r="I469" s="827"/>
      <c r="J469" s="827"/>
      <c r="K469" s="827"/>
      <c r="L469" s="835"/>
      <c r="M469" s="835"/>
      <c r="N469" s="835"/>
      <c r="O469" s="835"/>
      <c r="P469" s="835"/>
      <c r="Q469" s="830"/>
      <c r="R469" s="830"/>
      <c r="S469" s="830"/>
      <c r="T469" s="323"/>
      <c r="U469" s="323"/>
      <c r="V469" s="323"/>
      <c r="W469" s="323"/>
      <c r="X469" s="323"/>
      <c r="Y469" s="323"/>
      <c r="Z469" s="323"/>
      <c r="AA469" s="323"/>
      <c r="AB469" s="323"/>
      <c r="AC469" s="323"/>
      <c r="AD469" s="323"/>
      <c r="AE469" s="323"/>
      <c r="AF469" s="323"/>
      <c r="AG469" s="323"/>
      <c r="AH469" s="323"/>
      <c r="AI469" s="323"/>
      <c r="AJ469" s="323"/>
      <c r="AK469" s="323"/>
      <c r="AL469" s="323"/>
      <c r="AM469" s="323"/>
      <c r="AN469" s="323"/>
      <c r="AO469" s="323"/>
      <c r="AP469" s="323"/>
      <c r="AQ469" s="323"/>
      <c r="AR469" s="323"/>
      <c r="AS469" s="323"/>
      <c r="AT469" s="323"/>
      <c r="AU469" s="323"/>
      <c r="AV469" s="323"/>
      <c r="AW469" s="323"/>
    </row>
    <row r="470" spans="1:49" s="13" customFormat="1" ht="15.6">
      <c r="A470" s="828"/>
      <c r="B470" s="828"/>
      <c r="C470" s="828"/>
      <c r="D470" s="829"/>
      <c r="E470" s="829"/>
      <c r="F470" s="829"/>
      <c r="G470" s="829"/>
      <c r="H470" s="829"/>
      <c r="I470" s="827"/>
      <c r="J470" s="827"/>
      <c r="K470" s="827"/>
      <c r="L470" s="835"/>
      <c r="M470" s="835"/>
      <c r="N470" s="835"/>
      <c r="O470" s="835"/>
      <c r="P470" s="835"/>
      <c r="Q470" s="830"/>
      <c r="R470" s="830"/>
      <c r="S470" s="830"/>
      <c r="T470" s="323"/>
      <c r="U470" s="323"/>
      <c r="V470" s="323"/>
      <c r="W470" s="323"/>
      <c r="X470" s="323"/>
      <c r="Y470" s="323"/>
      <c r="Z470" s="323"/>
      <c r="AA470" s="323"/>
      <c r="AB470" s="323"/>
      <c r="AC470" s="323"/>
      <c r="AD470" s="323"/>
      <c r="AE470" s="323"/>
      <c r="AF470" s="323"/>
      <c r="AG470" s="323"/>
      <c r="AH470" s="323"/>
      <c r="AI470" s="323"/>
      <c r="AJ470" s="323"/>
      <c r="AK470" s="323"/>
      <c r="AL470" s="323"/>
      <c r="AM470" s="323"/>
      <c r="AN470" s="323"/>
      <c r="AO470" s="323"/>
      <c r="AP470" s="323"/>
      <c r="AQ470" s="323"/>
      <c r="AR470" s="323"/>
      <c r="AS470" s="323"/>
      <c r="AT470" s="323"/>
      <c r="AU470" s="323"/>
      <c r="AV470" s="323"/>
      <c r="AW470" s="323"/>
    </row>
    <row r="471" spans="1:49" s="13" customFormat="1" ht="15.6">
      <c r="A471" s="828"/>
      <c r="B471" s="828"/>
      <c r="C471" s="828"/>
      <c r="D471" s="829"/>
      <c r="E471" s="829"/>
      <c r="F471" s="829"/>
      <c r="G471" s="829"/>
      <c r="H471" s="829"/>
      <c r="I471" s="827"/>
      <c r="J471" s="827"/>
      <c r="K471" s="827"/>
      <c r="L471" s="835"/>
      <c r="M471" s="835"/>
      <c r="N471" s="835"/>
      <c r="O471" s="835"/>
      <c r="P471" s="835"/>
      <c r="Q471" s="830"/>
      <c r="R471" s="830"/>
      <c r="S471" s="830"/>
      <c r="T471" s="323"/>
      <c r="U471" s="323"/>
      <c r="V471" s="323"/>
      <c r="W471" s="323"/>
      <c r="X471" s="323"/>
      <c r="Y471" s="323"/>
      <c r="Z471" s="323"/>
      <c r="AA471" s="323"/>
      <c r="AB471" s="323"/>
      <c r="AC471" s="323"/>
      <c r="AD471" s="323"/>
      <c r="AE471" s="323"/>
      <c r="AF471" s="323"/>
      <c r="AG471" s="323"/>
      <c r="AH471" s="323"/>
      <c r="AI471" s="323"/>
      <c r="AJ471" s="323"/>
      <c r="AK471" s="323"/>
      <c r="AL471" s="323"/>
      <c r="AM471" s="323"/>
      <c r="AN471" s="323"/>
      <c r="AO471" s="323"/>
      <c r="AP471" s="323"/>
      <c r="AQ471" s="323"/>
      <c r="AR471" s="323"/>
      <c r="AS471" s="323"/>
      <c r="AT471" s="323"/>
      <c r="AU471" s="323"/>
      <c r="AV471" s="323"/>
      <c r="AW471" s="323"/>
    </row>
    <row r="472" spans="1:49" s="13" customFormat="1" ht="15.6">
      <c r="A472" s="828"/>
      <c r="B472" s="828"/>
      <c r="C472" s="828"/>
      <c r="D472" s="829"/>
      <c r="E472" s="829"/>
      <c r="F472" s="829"/>
      <c r="G472" s="829"/>
      <c r="H472" s="829"/>
      <c r="I472" s="827"/>
      <c r="J472" s="827"/>
      <c r="K472" s="827"/>
      <c r="L472" s="835"/>
      <c r="M472" s="835"/>
      <c r="N472" s="835"/>
      <c r="O472" s="835"/>
      <c r="P472" s="835"/>
      <c r="Q472" s="830"/>
      <c r="R472" s="830"/>
      <c r="S472" s="830"/>
      <c r="T472" s="323"/>
      <c r="U472" s="323"/>
      <c r="V472" s="323"/>
      <c r="W472" s="323"/>
      <c r="X472" s="323"/>
      <c r="Y472" s="323"/>
      <c r="Z472" s="323"/>
      <c r="AA472" s="323"/>
      <c r="AB472" s="323"/>
      <c r="AC472" s="323"/>
      <c r="AD472" s="323"/>
      <c r="AE472" s="323"/>
      <c r="AF472" s="323"/>
      <c r="AG472" s="323"/>
      <c r="AH472" s="323"/>
      <c r="AI472" s="323"/>
      <c r="AJ472" s="323"/>
      <c r="AK472" s="323"/>
      <c r="AL472" s="323"/>
      <c r="AM472" s="323"/>
      <c r="AN472" s="323"/>
      <c r="AO472" s="323"/>
      <c r="AP472" s="323"/>
      <c r="AQ472" s="323"/>
      <c r="AR472" s="323"/>
      <c r="AS472" s="323"/>
      <c r="AT472" s="323"/>
      <c r="AU472" s="323"/>
      <c r="AV472" s="323"/>
      <c r="AW472" s="323"/>
    </row>
    <row r="473" spans="1:49" s="13" customFormat="1" ht="15.6">
      <c r="A473" s="828"/>
      <c r="B473" s="828"/>
      <c r="C473" s="828"/>
      <c r="D473" s="829"/>
      <c r="E473" s="829"/>
      <c r="F473" s="829"/>
      <c r="G473" s="829"/>
      <c r="H473" s="829"/>
      <c r="I473" s="827"/>
      <c r="J473" s="827"/>
      <c r="K473" s="827"/>
      <c r="L473" s="835"/>
      <c r="M473" s="835"/>
      <c r="N473" s="835"/>
      <c r="O473" s="835"/>
      <c r="P473" s="835"/>
      <c r="Q473" s="830"/>
      <c r="R473" s="830"/>
      <c r="S473" s="830"/>
      <c r="T473" s="323"/>
      <c r="U473" s="323"/>
      <c r="V473" s="323"/>
      <c r="W473" s="323"/>
      <c r="X473" s="323"/>
      <c r="Y473" s="323"/>
      <c r="Z473" s="323"/>
      <c r="AA473" s="323"/>
      <c r="AB473" s="323"/>
      <c r="AC473" s="323"/>
      <c r="AD473" s="323"/>
      <c r="AE473" s="323"/>
      <c r="AF473" s="323"/>
      <c r="AG473" s="323"/>
      <c r="AH473" s="323"/>
      <c r="AI473" s="323"/>
      <c r="AJ473" s="323"/>
      <c r="AK473" s="323"/>
      <c r="AL473" s="323"/>
      <c r="AM473" s="323"/>
      <c r="AN473" s="323"/>
      <c r="AO473" s="323"/>
      <c r="AP473" s="323"/>
      <c r="AQ473" s="323"/>
      <c r="AR473" s="323"/>
      <c r="AS473" s="323"/>
      <c r="AT473" s="323"/>
      <c r="AU473" s="323"/>
      <c r="AV473" s="323"/>
      <c r="AW473" s="323"/>
    </row>
    <row r="474" spans="1:49" s="13" customFormat="1" ht="15.6">
      <c r="A474" s="828"/>
      <c r="B474" s="828"/>
      <c r="C474" s="828"/>
      <c r="D474" s="829"/>
      <c r="E474" s="829"/>
      <c r="F474" s="829"/>
      <c r="G474" s="829"/>
      <c r="H474" s="829"/>
      <c r="I474" s="827"/>
      <c r="J474" s="827"/>
      <c r="K474" s="827"/>
      <c r="L474" s="835"/>
      <c r="M474" s="835"/>
      <c r="N474" s="835"/>
      <c r="O474" s="835"/>
      <c r="P474" s="835"/>
      <c r="Q474" s="830"/>
      <c r="R474" s="830"/>
      <c r="S474" s="830"/>
      <c r="T474" s="323"/>
      <c r="U474" s="323"/>
      <c r="V474" s="323"/>
      <c r="W474" s="323"/>
      <c r="X474" s="323"/>
      <c r="Y474" s="323"/>
      <c r="Z474" s="323"/>
      <c r="AA474" s="323"/>
      <c r="AB474" s="323"/>
      <c r="AC474" s="323"/>
      <c r="AD474" s="323"/>
      <c r="AE474" s="323"/>
      <c r="AF474" s="323"/>
      <c r="AG474" s="323"/>
      <c r="AH474" s="323"/>
      <c r="AI474" s="323"/>
      <c r="AJ474" s="323"/>
      <c r="AK474" s="323"/>
      <c r="AL474" s="323"/>
      <c r="AM474" s="323"/>
      <c r="AN474" s="323"/>
      <c r="AO474" s="323"/>
      <c r="AP474" s="323"/>
      <c r="AQ474" s="323"/>
      <c r="AR474" s="323"/>
      <c r="AS474" s="323"/>
      <c r="AT474" s="323"/>
      <c r="AU474" s="323"/>
      <c r="AV474" s="323"/>
      <c r="AW474" s="323"/>
    </row>
    <row r="475" spans="1:49" s="13" customFormat="1" ht="15.6">
      <c r="A475" s="828"/>
      <c r="B475" s="828"/>
      <c r="C475" s="828"/>
      <c r="D475" s="829"/>
      <c r="E475" s="829"/>
      <c r="F475" s="829"/>
      <c r="G475" s="829"/>
      <c r="H475" s="829"/>
      <c r="I475" s="827"/>
      <c r="J475" s="827"/>
      <c r="K475" s="827"/>
      <c r="L475" s="835"/>
      <c r="M475" s="835"/>
      <c r="N475" s="835"/>
      <c r="O475" s="835"/>
      <c r="P475" s="835"/>
      <c r="Q475" s="830"/>
      <c r="R475" s="830"/>
      <c r="S475" s="830"/>
      <c r="T475" s="323"/>
      <c r="U475" s="323"/>
      <c r="V475" s="323"/>
      <c r="W475" s="323"/>
      <c r="X475" s="323"/>
      <c r="Y475" s="323"/>
      <c r="Z475" s="323"/>
      <c r="AA475" s="323"/>
      <c r="AB475" s="323"/>
      <c r="AC475" s="323"/>
      <c r="AD475" s="323"/>
      <c r="AE475" s="323"/>
      <c r="AF475" s="323"/>
      <c r="AG475" s="323"/>
      <c r="AH475" s="323"/>
      <c r="AI475" s="323"/>
      <c r="AJ475" s="323"/>
      <c r="AK475" s="323"/>
      <c r="AL475" s="323"/>
      <c r="AM475" s="323"/>
      <c r="AN475" s="323"/>
      <c r="AO475" s="323"/>
      <c r="AP475" s="323"/>
      <c r="AQ475" s="323"/>
      <c r="AR475" s="323"/>
      <c r="AS475" s="323"/>
      <c r="AT475" s="323"/>
      <c r="AU475" s="323"/>
      <c r="AV475" s="323"/>
      <c r="AW475" s="323"/>
    </row>
    <row r="476" spans="1:49" s="13" customFormat="1" ht="15.6">
      <c r="A476" s="828"/>
      <c r="B476" s="828"/>
      <c r="C476" s="828"/>
      <c r="D476" s="829"/>
      <c r="E476" s="829"/>
      <c r="F476" s="829"/>
      <c r="G476" s="829"/>
      <c r="H476" s="829"/>
      <c r="I476" s="827"/>
      <c r="J476" s="827"/>
      <c r="K476" s="827"/>
      <c r="L476" s="835"/>
      <c r="M476" s="835"/>
      <c r="N476" s="835"/>
      <c r="O476" s="835"/>
      <c r="P476" s="835"/>
      <c r="Q476" s="830"/>
      <c r="R476" s="830"/>
      <c r="S476" s="830"/>
      <c r="T476" s="323"/>
      <c r="U476" s="323"/>
      <c r="V476" s="323"/>
      <c r="W476" s="323"/>
      <c r="X476" s="323"/>
      <c r="Y476" s="323"/>
      <c r="Z476" s="323"/>
      <c r="AA476" s="323"/>
      <c r="AB476" s="323"/>
      <c r="AC476" s="323"/>
      <c r="AD476" s="323"/>
      <c r="AE476" s="323"/>
      <c r="AF476" s="323"/>
      <c r="AG476" s="323"/>
      <c r="AH476" s="323"/>
      <c r="AI476" s="323"/>
      <c r="AJ476" s="323"/>
      <c r="AK476" s="323"/>
      <c r="AL476" s="323"/>
      <c r="AM476" s="323"/>
      <c r="AN476" s="323"/>
      <c r="AO476" s="323"/>
      <c r="AP476" s="323"/>
      <c r="AQ476" s="323"/>
      <c r="AR476" s="323"/>
      <c r="AS476" s="323"/>
      <c r="AT476" s="323"/>
      <c r="AU476" s="323"/>
      <c r="AV476" s="323"/>
      <c r="AW476" s="323"/>
    </row>
    <row r="477" spans="1:49" s="13" customFormat="1" ht="15.6">
      <c r="A477" s="828"/>
      <c r="B477" s="828"/>
      <c r="C477" s="828"/>
      <c r="D477" s="829"/>
      <c r="E477" s="829"/>
      <c r="F477" s="829"/>
      <c r="G477" s="829"/>
      <c r="H477" s="829"/>
      <c r="I477" s="827"/>
      <c r="J477" s="827"/>
      <c r="K477" s="827"/>
      <c r="L477" s="835"/>
      <c r="M477" s="835"/>
      <c r="N477" s="835"/>
      <c r="O477" s="835"/>
      <c r="P477" s="835"/>
      <c r="Q477" s="830"/>
      <c r="R477" s="830"/>
      <c r="S477" s="830"/>
      <c r="T477" s="323"/>
      <c r="U477" s="323"/>
      <c r="V477" s="323"/>
      <c r="W477" s="323"/>
      <c r="X477" s="323"/>
      <c r="Y477" s="323"/>
      <c r="Z477" s="323"/>
      <c r="AA477" s="323"/>
      <c r="AB477" s="323"/>
      <c r="AC477" s="323"/>
      <c r="AD477" s="323"/>
      <c r="AE477" s="323"/>
      <c r="AF477" s="323"/>
      <c r="AG477" s="323"/>
      <c r="AH477" s="323"/>
      <c r="AI477" s="323"/>
      <c r="AJ477" s="323"/>
      <c r="AK477" s="323"/>
      <c r="AL477" s="323"/>
      <c r="AM477" s="323"/>
      <c r="AN477" s="323"/>
      <c r="AO477" s="323"/>
      <c r="AP477" s="323"/>
      <c r="AQ477" s="323"/>
      <c r="AR477" s="323"/>
      <c r="AS477" s="323"/>
      <c r="AT477" s="323"/>
      <c r="AU477" s="323"/>
      <c r="AV477" s="323"/>
      <c r="AW477" s="323"/>
    </row>
    <row r="478" spans="1:49" s="13" customFormat="1" ht="15.6">
      <c r="A478" s="828"/>
      <c r="B478" s="828"/>
      <c r="C478" s="828"/>
      <c r="D478" s="829"/>
      <c r="E478" s="829"/>
      <c r="F478" s="829"/>
      <c r="G478" s="829"/>
      <c r="H478" s="829"/>
      <c r="I478" s="827"/>
      <c r="J478" s="827"/>
      <c r="K478" s="827"/>
      <c r="L478" s="835"/>
      <c r="M478" s="835"/>
      <c r="N478" s="835"/>
      <c r="O478" s="835"/>
      <c r="P478" s="835"/>
      <c r="Q478" s="830"/>
      <c r="R478" s="830"/>
      <c r="S478" s="830"/>
      <c r="T478" s="323"/>
      <c r="U478" s="323"/>
      <c r="V478" s="323"/>
      <c r="W478" s="323"/>
      <c r="X478" s="323"/>
      <c r="Y478" s="323"/>
      <c r="Z478" s="323"/>
      <c r="AA478" s="323"/>
      <c r="AB478" s="323"/>
      <c r="AC478" s="323"/>
      <c r="AD478" s="323"/>
      <c r="AE478" s="323"/>
      <c r="AF478" s="323"/>
      <c r="AG478" s="323"/>
      <c r="AH478" s="323"/>
      <c r="AI478" s="323"/>
      <c r="AJ478" s="323"/>
      <c r="AK478" s="323"/>
      <c r="AL478" s="323"/>
      <c r="AM478" s="323"/>
      <c r="AN478" s="323"/>
      <c r="AO478" s="323"/>
      <c r="AP478" s="323"/>
      <c r="AQ478" s="323"/>
      <c r="AR478" s="323"/>
      <c r="AS478" s="323"/>
      <c r="AT478" s="323"/>
      <c r="AU478" s="323"/>
      <c r="AV478" s="323"/>
      <c r="AW478" s="323"/>
    </row>
    <row r="479" spans="1:49" s="13" customFormat="1" ht="15.6">
      <c r="A479" s="828"/>
      <c r="B479" s="828"/>
      <c r="C479" s="828"/>
      <c r="D479" s="829"/>
      <c r="E479" s="829"/>
      <c r="F479" s="829"/>
      <c r="G479" s="829"/>
      <c r="H479" s="829"/>
      <c r="I479" s="827"/>
      <c r="J479" s="827"/>
      <c r="K479" s="827"/>
      <c r="L479" s="835"/>
      <c r="M479" s="835"/>
      <c r="N479" s="835"/>
      <c r="O479" s="835"/>
      <c r="P479" s="835"/>
      <c r="Q479" s="830"/>
      <c r="R479" s="830"/>
      <c r="S479" s="830"/>
      <c r="T479" s="323"/>
      <c r="U479" s="323"/>
      <c r="V479" s="323"/>
      <c r="W479" s="323"/>
      <c r="X479" s="323"/>
      <c r="Y479" s="323"/>
      <c r="Z479" s="323"/>
      <c r="AA479" s="323"/>
      <c r="AB479" s="323"/>
      <c r="AC479" s="323"/>
      <c r="AD479" s="323"/>
      <c r="AE479" s="323"/>
      <c r="AF479" s="323"/>
      <c r="AG479" s="323"/>
      <c r="AH479" s="323"/>
      <c r="AI479" s="323"/>
      <c r="AJ479" s="323"/>
      <c r="AK479" s="323"/>
      <c r="AL479" s="323"/>
      <c r="AM479" s="323"/>
      <c r="AN479" s="323"/>
      <c r="AO479" s="323"/>
      <c r="AP479" s="323"/>
      <c r="AQ479" s="323"/>
      <c r="AR479" s="323"/>
      <c r="AS479" s="323"/>
      <c r="AT479" s="323"/>
      <c r="AU479" s="323"/>
      <c r="AV479" s="323"/>
      <c r="AW479" s="323"/>
    </row>
    <row r="480" spans="1:49" s="13" customFormat="1" ht="15.6">
      <c r="A480" s="828"/>
      <c r="B480" s="828"/>
      <c r="C480" s="828"/>
      <c r="D480" s="829"/>
      <c r="E480" s="829"/>
      <c r="F480" s="829"/>
      <c r="G480" s="829"/>
      <c r="H480" s="829"/>
      <c r="I480" s="827"/>
      <c r="J480" s="827"/>
      <c r="K480" s="827"/>
      <c r="L480" s="835"/>
      <c r="M480" s="835"/>
      <c r="N480" s="835"/>
      <c r="O480" s="835"/>
      <c r="P480" s="835"/>
      <c r="Q480" s="830"/>
      <c r="R480" s="830"/>
      <c r="S480" s="830"/>
      <c r="T480" s="323"/>
      <c r="U480" s="323"/>
      <c r="V480" s="323"/>
      <c r="W480" s="323"/>
      <c r="X480" s="323"/>
      <c r="Y480" s="323"/>
      <c r="Z480" s="323"/>
      <c r="AA480" s="323"/>
      <c r="AB480" s="323"/>
      <c r="AC480" s="323"/>
      <c r="AD480" s="323"/>
      <c r="AE480" s="323"/>
      <c r="AF480" s="323"/>
      <c r="AG480" s="323"/>
      <c r="AH480" s="323"/>
      <c r="AI480" s="323"/>
      <c r="AJ480" s="323"/>
      <c r="AK480" s="323"/>
      <c r="AL480" s="323"/>
      <c r="AM480" s="323"/>
      <c r="AN480" s="323"/>
      <c r="AO480" s="323"/>
      <c r="AP480" s="323"/>
      <c r="AQ480" s="323"/>
      <c r="AR480" s="323"/>
      <c r="AS480" s="323"/>
      <c r="AT480" s="323"/>
      <c r="AU480" s="323"/>
      <c r="AV480" s="323"/>
      <c r="AW480" s="323"/>
    </row>
    <row r="481" spans="1:49" s="13" customFormat="1" ht="15.6">
      <c r="A481" s="828"/>
      <c r="B481" s="828"/>
      <c r="C481" s="828"/>
      <c r="D481" s="829"/>
      <c r="E481" s="829"/>
      <c r="F481" s="829"/>
      <c r="G481" s="829"/>
      <c r="H481" s="829"/>
      <c r="I481" s="827"/>
      <c r="J481" s="827"/>
      <c r="K481" s="827"/>
      <c r="L481" s="835"/>
      <c r="M481" s="835"/>
      <c r="N481" s="835"/>
      <c r="O481" s="835"/>
      <c r="P481" s="835"/>
      <c r="Q481" s="830"/>
      <c r="R481" s="830"/>
      <c r="S481" s="830"/>
      <c r="T481" s="323"/>
      <c r="U481" s="323"/>
      <c r="V481" s="323"/>
      <c r="W481" s="323"/>
      <c r="X481" s="323"/>
      <c r="Y481" s="323"/>
      <c r="Z481" s="323"/>
      <c r="AA481" s="323"/>
      <c r="AB481" s="323"/>
      <c r="AC481" s="323"/>
      <c r="AD481" s="323"/>
      <c r="AE481" s="323"/>
      <c r="AF481" s="323"/>
      <c r="AG481" s="323"/>
      <c r="AH481" s="323"/>
      <c r="AI481" s="323"/>
      <c r="AJ481" s="323"/>
      <c r="AK481" s="323"/>
      <c r="AL481" s="323"/>
      <c r="AM481" s="323"/>
      <c r="AN481" s="323"/>
      <c r="AO481" s="323"/>
      <c r="AP481" s="323"/>
      <c r="AQ481" s="323"/>
      <c r="AR481" s="323"/>
      <c r="AS481" s="323"/>
      <c r="AT481" s="323"/>
      <c r="AU481" s="323"/>
      <c r="AV481" s="323"/>
      <c r="AW481" s="323"/>
    </row>
    <row r="482" spans="1:49" s="13" customFormat="1" ht="15.6">
      <c r="A482" s="828"/>
      <c r="B482" s="828"/>
      <c r="C482" s="828"/>
      <c r="D482" s="829"/>
      <c r="E482" s="829"/>
      <c r="F482" s="829"/>
      <c r="G482" s="829"/>
      <c r="H482" s="829"/>
      <c r="I482" s="827"/>
      <c r="J482" s="827"/>
      <c r="K482" s="827"/>
      <c r="L482" s="835"/>
      <c r="M482" s="835"/>
      <c r="N482" s="835"/>
      <c r="O482" s="835"/>
      <c r="P482" s="835"/>
      <c r="Q482" s="830"/>
      <c r="R482" s="830"/>
      <c r="S482" s="830"/>
      <c r="T482" s="323"/>
      <c r="U482" s="323"/>
      <c r="V482" s="323"/>
      <c r="W482" s="323"/>
      <c r="X482" s="323"/>
      <c r="Y482" s="323"/>
      <c r="Z482" s="323"/>
      <c r="AA482" s="323"/>
      <c r="AB482" s="323"/>
      <c r="AC482" s="323"/>
      <c r="AD482" s="323"/>
      <c r="AE482" s="323"/>
      <c r="AF482" s="323"/>
      <c r="AG482" s="323"/>
      <c r="AH482" s="323"/>
      <c r="AI482" s="323"/>
      <c r="AJ482" s="323"/>
      <c r="AK482" s="323"/>
      <c r="AL482" s="323"/>
      <c r="AM482" s="323"/>
      <c r="AN482" s="323"/>
      <c r="AO482" s="323"/>
      <c r="AP482" s="323"/>
      <c r="AQ482" s="323"/>
      <c r="AR482" s="323"/>
      <c r="AS482" s="323"/>
      <c r="AT482" s="323"/>
      <c r="AU482" s="323"/>
      <c r="AV482" s="323"/>
      <c r="AW482" s="323"/>
    </row>
    <row r="483" spans="1:49" s="13" customFormat="1" ht="15.6">
      <c r="A483" s="828"/>
      <c r="B483" s="828"/>
      <c r="C483" s="828"/>
      <c r="D483" s="829"/>
      <c r="E483" s="829"/>
      <c r="F483" s="829"/>
      <c r="G483" s="829"/>
      <c r="H483" s="829"/>
      <c r="I483" s="827"/>
      <c r="J483" s="827"/>
      <c r="K483" s="827"/>
      <c r="L483" s="835"/>
      <c r="M483" s="835"/>
      <c r="N483" s="835"/>
      <c r="O483" s="835"/>
      <c r="P483" s="835"/>
      <c r="Q483" s="830"/>
      <c r="R483" s="830"/>
      <c r="S483" s="830"/>
      <c r="T483" s="323"/>
      <c r="U483" s="323"/>
      <c r="V483" s="323"/>
      <c r="W483" s="323"/>
      <c r="X483" s="323"/>
      <c r="Y483" s="323"/>
      <c r="Z483" s="323"/>
      <c r="AA483" s="323"/>
      <c r="AB483" s="323"/>
      <c r="AC483" s="323"/>
      <c r="AD483" s="323"/>
      <c r="AE483" s="323"/>
      <c r="AF483" s="323"/>
      <c r="AG483" s="323"/>
      <c r="AH483" s="323"/>
      <c r="AI483" s="323"/>
      <c r="AJ483" s="323"/>
      <c r="AK483" s="323"/>
      <c r="AL483" s="323"/>
      <c r="AM483" s="323"/>
      <c r="AN483" s="323"/>
      <c r="AO483" s="323"/>
      <c r="AP483" s="323"/>
      <c r="AQ483" s="323"/>
      <c r="AR483" s="323"/>
      <c r="AS483" s="323"/>
      <c r="AT483" s="323"/>
      <c r="AU483" s="323"/>
      <c r="AV483" s="323"/>
      <c r="AW483" s="323"/>
    </row>
    <row r="484" spans="1:49" s="13" customFormat="1" ht="15.6">
      <c r="A484" s="828"/>
      <c r="B484" s="828"/>
      <c r="C484" s="828"/>
      <c r="D484" s="829"/>
      <c r="E484" s="829"/>
      <c r="F484" s="829"/>
      <c r="G484" s="829"/>
      <c r="H484" s="829"/>
      <c r="I484" s="827"/>
      <c r="J484" s="827"/>
      <c r="K484" s="827"/>
      <c r="L484" s="835"/>
      <c r="M484" s="835"/>
      <c r="N484" s="835"/>
      <c r="O484" s="835"/>
      <c r="P484" s="835"/>
      <c r="Q484" s="830"/>
      <c r="R484" s="830"/>
      <c r="S484" s="830"/>
      <c r="T484" s="323"/>
      <c r="U484" s="323"/>
      <c r="V484" s="323"/>
      <c r="W484" s="323"/>
      <c r="X484" s="323"/>
      <c r="Y484" s="323"/>
      <c r="Z484" s="323"/>
      <c r="AA484" s="323"/>
      <c r="AB484" s="323"/>
      <c r="AC484" s="323"/>
      <c r="AD484" s="323"/>
      <c r="AE484" s="323"/>
      <c r="AF484" s="323"/>
      <c r="AG484" s="323"/>
      <c r="AH484" s="323"/>
      <c r="AI484" s="323"/>
      <c r="AJ484" s="323"/>
      <c r="AK484" s="323"/>
      <c r="AL484" s="323"/>
      <c r="AM484" s="323"/>
      <c r="AN484" s="323"/>
      <c r="AO484" s="323"/>
      <c r="AP484" s="323"/>
      <c r="AQ484" s="323"/>
      <c r="AR484" s="323"/>
      <c r="AS484" s="323"/>
      <c r="AT484" s="323"/>
      <c r="AU484" s="323"/>
      <c r="AV484" s="323"/>
      <c r="AW484" s="323"/>
    </row>
    <row r="485" spans="1:49" s="13" customFormat="1" ht="15.6">
      <c r="A485" s="828"/>
      <c r="B485" s="828"/>
      <c r="C485" s="828"/>
      <c r="D485" s="829"/>
      <c r="E485" s="829"/>
      <c r="F485" s="829"/>
      <c r="G485" s="829"/>
      <c r="H485" s="829"/>
      <c r="I485" s="827"/>
      <c r="J485" s="827"/>
      <c r="K485" s="827"/>
      <c r="L485" s="835"/>
      <c r="M485" s="835"/>
      <c r="N485" s="835"/>
      <c r="O485" s="835"/>
      <c r="P485" s="835"/>
      <c r="Q485" s="830"/>
      <c r="R485" s="830"/>
      <c r="S485" s="830"/>
      <c r="T485" s="323"/>
      <c r="U485" s="323"/>
      <c r="V485" s="323"/>
      <c r="W485" s="323"/>
      <c r="X485" s="323"/>
      <c r="Y485" s="323"/>
      <c r="Z485" s="323"/>
      <c r="AA485" s="323"/>
      <c r="AB485" s="323"/>
      <c r="AC485" s="323"/>
      <c r="AD485" s="323"/>
      <c r="AE485" s="323"/>
      <c r="AF485" s="323"/>
      <c r="AG485" s="323"/>
      <c r="AH485" s="323"/>
      <c r="AI485" s="323"/>
      <c r="AJ485" s="323"/>
      <c r="AK485" s="323"/>
      <c r="AL485" s="323"/>
      <c r="AM485" s="323"/>
      <c r="AN485" s="323"/>
      <c r="AO485" s="323"/>
      <c r="AP485" s="323"/>
      <c r="AQ485" s="323"/>
      <c r="AR485" s="323"/>
      <c r="AS485" s="323"/>
      <c r="AT485" s="323"/>
      <c r="AU485" s="323"/>
      <c r="AV485" s="323"/>
      <c r="AW485" s="323"/>
    </row>
    <row r="486" spans="1:49" s="13" customFormat="1" ht="15.6">
      <c r="A486" s="828"/>
      <c r="B486" s="828"/>
      <c r="C486" s="828"/>
      <c r="D486" s="829"/>
      <c r="E486" s="829"/>
      <c r="F486" s="829"/>
      <c r="G486" s="829"/>
      <c r="H486" s="829"/>
      <c r="I486" s="827"/>
      <c r="J486" s="827"/>
      <c r="K486" s="827"/>
      <c r="L486" s="835"/>
      <c r="M486" s="835"/>
      <c r="N486" s="835"/>
      <c r="O486" s="835"/>
      <c r="P486" s="835"/>
      <c r="Q486" s="830"/>
      <c r="R486" s="830"/>
      <c r="S486" s="830"/>
      <c r="T486" s="323"/>
      <c r="U486" s="323"/>
      <c r="V486" s="323"/>
      <c r="W486" s="323"/>
      <c r="X486" s="323"/>
      <c r="Y486" s="323"/>
      <c r="Z486" s="323"/>
      <c r="AA486" s="323"/>
      <c r="AB486" s="323"/>
      <c r="AC486" s="323"/>
      <c r="AD486" s="323"/>
      <c r="AE486" s="323"/>
      <c r="AF486" s="323"/>
      <c r="AG486" s="323"/>
      <c r="AH486" s="323"/>
      <c r="AI486" s="323"/>
      <c r="AJ486" s="323"/>
      <c r="AK486" s="323"/>
      <c r="AL486" s="323"/>
      <c r="AM486" s="323"/>
      <c r="AN486" s="323"/>
      <c r="AO486" s="323"/>
      <c r="AP486" s="323"/>
      <c r="AQ486" s="323"/>
      <c r="AR486" s="323"/>
      <c r="AS486" s="323"/>
      <c r="AT486" s="323"/>
      <c r="AU486" s="323"/>
      <c r="AV486" s="323"/>
      <c r="AW486" s="323"/>
    </row>
    <row r="487" spans="1:49" s="13" customFormat="1" ht="15.6">
      <c r="A487" s="828"/>
      <c r="B487" s="828"/>
      <c r="C487" s="828"/>
      <c r="D487" s="829"/>
      <c r="E487" s="829"/>
      <c r="F487" s="829"/>
      <c r="G487" s="829"/>
      <c r="H487" s="829"/>
      <c r="I487" s="827"/>
      <c r="J487" s="827"/>
      <c r="K487" s="827"/>
      <c r="L487" s="835"/>
      <c r="M487" s="835"/>
      <c r="N487" s="835"/>
      <c r="O487" s="835"/>
      <c r="P487" s="835"/>
      <c r="Q487" s="830"/>
      <c r="R487" s="830"/>
      <c r="S487" s="830"/>
      <c r="T487" s="323"/>
      <c r="U487" s="323"/>
      <c r="V487" s="323"/>
      <c r="W487" s="323"/>
      <c r="X487" s="323"/>
      <c r="Y487" s="323"/>
      <c r="Z487" s="323"/>
      <c r="AA487" s="323"/>
      <c r="AB487" s="323"/>
      <c r="AC487" s="323"/>
      <c r="AD487" s="323"/>
      <c r="AE487" s="323"/>
      <c r="AF487" s="323"/>
      <c r="AG487" s="323"/>
      <c r="AH487" s="323"/>
      <c r="AI487" s="323"/>
      <c r="AJ487" s="323"/>
      <c r="AK487" s="323"/>
      <c r="AL487" s="323"/>
      <c r="AM487" s="323"/>
      <c r="AN487" s="323"/>
      <c r="AO487" s="323"/>
      <c r="AP487" s="323"/>
      <c r="AQ487" s="323"/>
      <c r="AR487" s="323"/>
      <c r="AS487" s="323"/>
      <c r="AT487" s="323"/>
      <c r="AU487" s="323"/>
      <c r="AV487" s="323"/>
      <c r="AW487" s="323"/>
    </row>
    <row r="488" spans="1:49" s="13" customFormat="1" ht="15.6">
      <c r="A488" s="828"/>
      <c r="B488" s="828"/>
      <c r="C488" s="828"/>
      <c r="D488" s="829"/>
      <c r="E488" s="829"/>
      <c r="F488" s="829"/>
      <c r="G488" s="829"/>
      <c r="H488" s="829"/>
      <c r="I488" s="827"/>
      <c r="J488" s="827"/>
      <c r="K488" s="827"/>
      <c r="L488" s="835"/>
      <c r="M488" s="835"/>
      <c r="N488" s="835"/>
      <c r="O488" s="835"/>
      <c r="P488" s="835"/>
      <c r="Q488" s="830"/>
      <c r="R488" s="830"/>
      <c r="S488" s="830"/>
      <c r="T488" s="323"/>
      <c r="U488" s="323"/>
      <c r="V488" s="323"/>
      <c r="W488" s="323"/>
      <c r="X488" s="323"/>
      <c r="Y488" s="323"/>
      <c r="Z488" s="323"/>
      <c r="AA488" s="323"/>
      <c r="AB488" s="323"/>
      <c r="AC488" s="323"/>
      <c r="AD488" s="323"/>
      <c r="AE488" s="323"/>
      <c r="AF488" s="323"/>
      <c r="AG488" s="323"/>
      <c r="AH488" s="323"/>
      <c r="AI488" s="323"/>
      <c r="AJ488" s="323"/>
      <c r="AK488" s="323"/>
      <c r="AL488" s="323"/>
      <c r="AM488" s="323"/>
      <c r="AN488" s="323"/>
      <c r="AO488" s="323"/>
      <c r="AP488" s="323"/>
      <c r="AQ488" s="323"/>
      <c r="AR488" s="323"/>
      <c r="AS488" s="323"/>
      <c r="AT488" s="323"/>
      <c r="AU488" s="323"/>
      <c r="AV488" s="323"/>
      <c r="AW488" s="323"/>
    </row>
    <row r="489" spans="1:49" s="13" customFormat="1" ht="15.6">
      <c r="A489" s="828"/>
      <c r="B489" s="828"/>
      <c r="C489" s="828"/>
      <c r="D489" s="829"/>
      <c r="E489" s="829"/>
      <c r="F489" s="829"/>
      <c r="G489" s="829"/>
      <c r="H489" s="829"/>
      <c r="I489" s="827"/>
      <c r="J489" s="827"/>
      <c r="K489" s="827"/>
      <c r="L489" s="835"/>
      <c r="M489" s="835"/>
      <c r="N489" s="835"/>
      <c r="O489" s="835"/>
      <c r="P489" s="835"/>
      <c r="Q489" s="830"/>
      <c r="R489" s="830"/>
      <c r="S489" s="830"/>
      <c r="T489" s="323"/>
      <c r="U489" s="323"/>
      <c r="V489" s="323"/>
      <c r="W489" s="323"/>
      <c r="X489" s="323"/>
      <c r="Y489" s="323"/>
      <c r="Z489" s="323"/>
      <c r="AA489" s="323"/>
      <c r="AB489" s="323"/>
      <c r="AC489" s="323"/>
      <c r="AD489" s="323"/>
      <c r="AE489" s="323"/>
      <c r="AF489" s="323"/>
      <c r="AG489" s="323"/>
      <c r="AH489" s="323"/>
      <c r="AI489" s="323"/>
      <c r="AJ489" s="323"/>
      <c r="AK489" s="323"/>
      <c r="AL489" s="323"/>
      <c r="AM489" s="323"/>
      <c r="AN489" s="323"/>
      <c r="AO489" s="323"/>
      <c r="AP489" s="323"/>
      <c r="AQ489" s="323"/>
      <c r="AR489" s="323"/>
      <c r="AS489" s="323"/>
      <c r="AT489" s="323"/>
      <c r="AU489" s="323"/>
      <c r="AV489" s="323"/>
      <c r="AW489" s="323"/>
    </row>
    <row r="490" spans="1:49" s="13" customFormat="1" ht="15.6">
      <c r="A490" s="828"/>
      <c r="B490" s="828"/>
      <c r="C490" s="828"/>
      <c r="D490" s="829"/>
      <c r="E490" s="829"/>
      <c r="F490" s="829"/>
      <c r="G490" s="829"/>
      <c r="H490" s="829"/>
      <c r="I490" s="827"/>
      <c r="J490" s="827"/>
      <c r="K490" s="827"/>
      <c r="L490" s="835"/>
      <c r="M490" s="835"/>
      <c r="N490" s="835"/>
      <c r="O490" s="835"/>
      <c r="P490" s="835"/>
      <c r="Q490" s="830"/>
      <c r="R490" s="830"/>
      <c r="S490" s="830"/>
      <c r="T490" s="323"/>
      <c r="U490" s="323"/>
      <c r="V490" s="323"/>
      <c r="W490" s="323"/>
      <c r="X490" s="323"/>
      <c r="Y490" s="323"/>
      <c r="Z490" s="323"/>
      <c r="AA490" s="323"/>
      <c r="AB490" s="323"/>
      <c r="AC490" s="323"/>
      <c r="AD490" s="323"/>
      <c r="AE490" s="323"/>
      <c r="AF490" s="323"/>
      <c r="AG490" s="323"/>
      <c r="AH490" s="323"/>
      <c r="AI490" s="323"/>
      <c r="AJ490" s="323"/>
      <c r="AK490" s="323"/>
      <c r="AL490" s="323"/>
      <c r="AM490" s="323"/>
      <c r="AN490" s="323"/>
      <c r="AO490" s="323"/>
      <c r="AP490" s="323"/>
      <c r="AQ490" s="323"/>
      <c r="AR490" s="323"/>
      <c r="AS490" s="323"/>
      <c r="AT490" s="323"/>
      <c r="AU490" s="323"/>
      <c r="AV490" s="323"/>
      <c r="AW490" s="323"/>
    </row>
    <row r="491" spans="1:49" s="13" customFormat="1" ht="15.6">
      <c r="A491" s="828"/>
      <c r="B491" s="828"/>
      <c r="C491" s="828"/>
      <c r="D491" s="829"/>
      <c r="E491" s="829"/>
      <c r="F491" s="829"/>
      <c r="G491" s="829"/>
      <c r="H491" s="829"/>
      <c r="I491" s="827"/>
      <c r="J491" s="827"/>
      <c r="K491" s="827"/>
      <c r="L491" s="835"/>
      <c r="M491" s="835"/>
      <c r="N491" s="835"/>
      <c r="O491" s="835"/>
      <c r="P491" s="835"/>
      <c r="Q491" s="830"/>
      <c r="R491" s="830"/>
      <c r="S491" s="830"/>
      <c r="T491" s="323"/>
      <c r="U491" s="323"/>
      <c r="V491" s="323"/>
      <c r="W491" s="323"/>
      <c r="X491" s="323"/>
      <c r="Y491" s="323"/>
      <c r="Z491" s="323"/>
      <c r="AA491" s="323"/>
      <c r="AB491" s="323"/>
      <c r="AC491" s="323"/>
      <c r="AD491" s="323"/>
      <c r="AE491" s="323"/>
      <c r="AF491" s="323"/>
      <c r="AG491" s="323"/>
      <c r="AH491" s="323"/>
      <c r="AI491" s="323"/>
      <c r="AJ491" s="323"/>
      <c r="AK491" s="323"/>
      <c r="AL491" s="323"/>
      <c r="AM491" s="323"/>
      <c r="AN491" s="323"/>
      <c r="AO491" s="323"/>
      <c r="AP491" s="323"/>
      <c r="AQ491" s="323"/>
      <c r="AR491" s="323"/>
      <c r="AS491" s="323"/>
      <c r="AT491" s="323"/>
      <c r="AU491" s="323"/>
      <c r="AV491" s="323"/>
      <c r="AW491" s="323"/>
    </row>
    <row r="492" spans="1:49" s="13" customFormat="1" ht="15.6">
      <c r="A492" s="828"/>
      <c r="B492" s="828"/>
      <c r="C492" s="828"/>
      <c r="D492" s="829"/>
      <c r="E492" s="829"/>
      <c r="F492" s="829"/>
      <c r="G492" s="829"/>
      <c r="H492" s="829"/>
      <c r="I492" s="827"/>
      <c r="J492" s="827"/>
      <c r="K492" s="827"/>
      <c r="L492" s="835"/>
      <c r="M492" s="835"/>
      <c r="N492" s="835"/>
      <c r="O492" s="835"/>
      <c r="P492" s="835"/>
      <c r="Q492" s="830"/>
      <c r="R492" s="830"/>
      <c r="S492" s="830"/>
      <c r="T492" s="323"/>
      <c r="U492" s="323"/>
      <c r="V492" s="323"/>
      <c r="W492" s="323"/>
      <c r="X492" s="323"/>
      <c r="Y492" s="323"/>
      <c r="Z492" s="323"/>
      <c r="AA492" s="323"/>
      <c r="AB492" s="323"/>
      <c r="AC492" s="323"/>
      <c r="AD492" s="323"/>
      <c r="AE492" s="323"/>
      <c r="AF492" s="323"/>
      <c r="AG492" s="323"/>
      <c r="AH492" s="323"/>
      <c r="AI492" s="323"/>
      <c r="AJ492" s="323"/>
      <c r="AK492" s="323"/>
      <c r="AL492" s="323"/>
      <c r="AM492" s="323"/>
      <c r="AN492" s="323"/>
      <c r="AO492" s="323"/>
      <c r="AP492" s="323"/>
      <c r="AQ492" s="323"/>
      <c r="AR492" s="323"/>
      <c r="AS492" s="323"/>
      <c r="AT492" s="323"/>
      <c r="AU492" s="323"/>
      <c r="AV492" s="323"/>
      <c r="AW492" s="323"/>
    </row>
    <row r="493" spans="1:49" s="13" customFormat="1" ht="15.6">
      <c r="A493" s="828"/>
      <c r="B493" s="828"/>
      <c r="C493" s="828"/>
      <c r="D493" s="829"/>
      <c r="E493" s="829"/>
      <c r="F493" s="829"/>
      <c r="G493" s="829"/>
      <c r="H493" s="829"/>
      <c r="I493" s="827"/>
      <c r="J493" s="827"/>
      <c r="K493" s="827"/>
      <c r="L493" s="835"/>
      <c r="M493" s="835"/>
      <c r="N493" s="835"/>
      <c r="O493" s="835"/>
      <c r="P493" s="835"/>
      <c r="Q493" s="830"/>
      <c r="R493" s="830"/>
      <c r="S493" s="830"/>
      <c r="T493" s="323"/>
      <c r="U493" s="323"/>
      <c r="V493" s="323"/>
      <c r="W493" s="323"/>
      <c r="X493" s="323"/>
      <c r="Y493" s="323"/>
      <c r="Z493" s="323"/>
      <c r="AA493" s="323"/>
      <c r="AB493" s="323"/>
      <c r="AC493" s="323"/>
      <c r="AD493" s="323"/>
      <c r="AE493" s="323"/>
      <c r="AF493" s="323"/>
      <c r="AG493" s="323"/>
      <c r="AH493" s="323"/>
      <c r="AI493" s="323"/>
      <c r="AJ493" s="323"/>
      <c r="AK493" s="323"/>
      <c r="AL493" s="323"/>
      <c r="AM493" s="323"/>
      <c r="AN493" s="323"/>
      <c r="AO493" s="323"/>
      <c r="AP493" s="323"/>
      <c r="AQ493" s="323"/>
      <c r="AR493" s="323"/>
      <c r="AS493" s="323"/>
      <c r="AT493" s="323"/>
      <c r="AU493" s="323"/>
      <c r="AV493" s="323"/>
      <c r="AW493" s="323"/>
    </row>
    <row r="494" spans="1:49" s="13" customFormat="1" ht="15.6">
      <c r="A494" s="828"/>
      <c r="B494" s="828"/>
      <c r="C494" s="828"/>
      <c r="D494" s="829"/>
      <c r="E494" s="829"/>
      <c r="F494" s="829"/>
      <c r="G494" s="829"/>
      <c r="H494" s="829"/>
      <c r="I494" s="827"/>
      <c r="J494" s="827"/>
      <c r="K494" s="827"/>
      <c r="L494" s="835"/>
      <c r="M494" s="835"/>
      <c r="N494" s="835"/>
      <c r="O494" s="835"/>
      <c r="P494" s="835"/>
      <c r="Q494" s="830"/>
      <c r="R494" s="830"/>
      <c r="S494" s="830"/>
      <c r="T494" s="323"/>
      <c r="U494" s="323"/>
      <c r="V494" s="323"/>
      <c r="W494" s="323"/>
      <c r="X494" s="323"/>
      <c r="Y494" s="323"/>
      <c r="Z494" s="323"/>
      <c r="AA494" s="323"/>
      <c r="AB494" s="323"/>
      <c r="AC494" s="323"/>
      <c r="AD494" s="323"/>
      <c r="AE494" s="323"/>
      <c r="AF494" s="323"/>
      <c r="AG494" s="323"/>
      <c r="AH494" s="323"/>
      <c r="AI494" s="323"/>
      <c r="AJ494" s="323"/>
      <c r="AK494" s="323"/>
      <c r="AL494" s="323"/>
      <c r="AM494" s="323"/>
      <c r="AN494" s="323"/>
      <c r="AO494" s="323"/>
      <c r="AP494" s="323"/>
      <c r="AQ494" s="323"/>
      <c r="AR494" s="323"/>
      <c r="AS494" s="323"/>
      <c r="AT494" s="323"/>
      <c r="AU494" s="323"/>
      <c r="AV494" s="323"/>
      <c r="AW494" s="323"/>
    </row>
    <row r="495" spans="1:49" s="13" customFormat="1" ht="15.6">
      <c r="A495" s="828"/>
      <c r="B495" s="828"/>
      <c r="C495" s="828"/>
      <c r="D495" s="829"/>
      <c r="E495" s="829"/>
      <c r="F495" s="829"/>
      <c r="G495" s="829"/>
      <c r="H495" s="829"/>
      <c r="I495" s="827"/>
      <c r="J495" s="827"/>
      <c r="K495" s="827"/>
      <c r="L495" s="835"/>
      <c r="M495" s="835"/>
      <c r="N495" s="835"/>
      <c r="O495" s="835"/>
      <c r="P495" s="835"/>
      <c r="Q495" s="830"/>
      <c r="R495" s="830"/>
      <c r="S495" s="830"/>
      <c r="T495" s="323"/>
      <c r="U495" s="323"/>
      <c r="V495" s="323"/>
      <c r="W495" s="323"/>
      <c r="X495" s="323"/>
      <c r="Y495" s="323"/>
      <c r="Z495" s="323"/>
      <c r="AA495" s="323"/>
      <c r="AB495" s="323"/>
      <c r="AC495" s="323"/>
      <c r="AD495" s="323"/>
      <c r="AE495" s="323"/>
      <c r="AF495" s="323"/>
      <c r="AG495" s="323"/>
      <c r="AH495" s="323"/>
      <c r="AI495" s="323"/>
      <c r="AJ495" s="323"/>
      <c r="AK495" s="323"/>
      <c r="AL495" s="323"/>
      <c r="AM495" s="323"/>
      <c r="AN495" s="323"/>
      <c r="AO495" s="323"/>
      <c r="AP495" s="323"/>
      <c r="AQ495" s="323"/>
      <c r="AR495" s="323"/>
      <c r="AS495" s="323"/>
      <c r="AT495" s="323"/>
      <c r="AU495" s="323"/>
      <c r="AV495" s="323"/>
      <c r="AW495" s="323"/>
    </row>
    <row r="496" spans="1:49" s="13" customFormat="1" ht="15.6">
      <c r="A496" s="828"/>
      <c r="B496" s="828"/>
      <c r="C496" s="828"/>
      <c r="D496" s="829"/>
      <c r="E496" s="829"/>
      <c r="F496" s="829"/>
      <c r="G496" s="829"/>
      <c r="H496" s="829"/>
      <c r="I496" s="827"/>
      <c r="J496" s="827"/>
      <c r="K496" s="827"/>
      <c r="L496" s="835"/>
      <c r="M496" s="835"/>
      <c r="N496" s="835"/>
      <c r="O496" s="835"/>
      <c r="P496" s="835"/>
      <c r="Q496" s="830"/>
      <c r="R496" s="830"/>
      <c r="S496" s="830"/>
      <c r="T496" s="323"/>
      <c r="U496" s="323"/>
      <c r="V496" s="323"/>
      <c r="W496" s="323"/>
      <c r="X496" s="323"/>
      <c r="Y496" s="323"/>
      <c r="Z496" s="323"/>
      <c r="AA496" s="323"/>
      <c r="AB496" s="323"/>
      <c r="AC496" s="323"/>
      <c r="AD496" s="323"/>
      <c r="AE496" s="323"/>
      <c r="AF496" s="323"/>
      <c r="AG496" s="323"/>
      <c r="AH496" s="323"/>
      <c r="AI496" s="323"/>
      <c r="AJ496" s="323"/>
      <c r="AK496" s="323"/>
      <c r="AL496" s="323"/>
      <c r="AM496" s="323"/>
      <c r="AN496" s="323"/>
      <c r="AO496" s="323"/>
      <c r="AP496" s="323"/>
      <c r="AQ496" s="323"/>
      <c r="AR496" s="323"/>
      <c r="AS496" s="323"/>
      <c r="AT496" s="323"/>
      <c r="AU496" s="323"/>
      <c r="AV496" s="323"/>
      <c r="AW496" s="323"/>
    </row>
    <row r="497" spans="1:49" s="13" customFormat="1" ht="15.6">
      <c r="A497" s="828"/>
      <c r="B497" s="828"/>
      <c r="C497" s="828"/>
      <c r="D497" s="829"/>
      <c r="E497" s="829"/>
      <c r="F497" s="829"/>
      <c r="G497" s="829"/>
      <c r="H497" s="829"/>
      <c r="I497" s="827"/>
      <c r="J497" s="827"/>
      <c r="K497" s="827"/>
      <c r="L497" s="835"/>
      <c r="M497" s="835"/>
      <c r="N497" s="835"/>
      <c r="O497" s="835"/>
      <c r="P497" s="835"/>
      <c r="Q497" s="830"/>
      <c r="R497" s="830"/>
      <c r="S497" s="830"/>
      <c r="T497" s="323"/>
      <c r="U497" s="323"/>
      <c r="V497" s="323"/>
      <c r="W497" s="323"/>
      <c r="X497" s="323"/>
      <c r="Y497" s="323"/>
      <c r="Z497" s="323"/>
      <c r="AA497" s="323"/>
      <c r="AB497" s="323"/>
      <c r="AC497" s="323"/>
      <c r="AD497" s="323"/>
      <c r="AE497" s="323"/>
      <c r="AF497" s="323"/>
      <c r="AG497" s="323"/>
      <c r="AH497" s="323"/>
      <c r="AI497" s="323"/>
      <c r="AJ497" s="323"/>
      <c r="AK497" s="323"/>
      <c r="AL497" s="323"/>
      <c r="AM497" s="323"/>
      <c r="AN497" s="323"/>
      <c r="AO497" s="323"/>
      <c r="AP497" s="323"/>
      <c r="AQ497" s="323"/>
      <c r="AR497" s="323"/>
      <c r="AS497" s="323"/>
      <c r="AT497" s="323"/>
      <c r="AU497" s="323"/>
      <c r="AV497" s="323"/>
      <c r="AW497" s="323"/>
    </row>
    <row r="498" spans="1:49" s="13" customFormat="1" ht="15.6">
      <c r="A498" s="828"/>
      <c r="B498" s="828"/>
      <c r="C498" s="828"/>
      <c r="D498" s="829"/>
      <c r="E498" s="829"/>
      <c r="F498" s="829"/>
      <c r="G498" s="829"/>
      <c r="H498" s="829"/>
      <c r="I498" s="827"/>
      <c r="J498" s="827"/>
      <c r="K498" s="827"/>
      <c r="L498" s="835"/>
      <c r="M498" s="835"/>
      <c r="N498" s="835"/>
      <c r="O498" s="835"/>
      <c r="P498" s="835"/>
      <c r="Q498" s="830"/>
      <c r="R498" s="830"/>
      <c r="S498" s="830"/>
      <c r="T498" s="323"/>
      <c r="U498" s="323"/>
      <c r="V498" s="323"/>
      <c r="W498" s="323"/>
      <c r="X498" s="323"/>
      <c r="Y498" s="323"/>
      <c r="Z498" s="323"/>
      <c r="AA498" s="323"/>
      <c r="AB498" s="323"/>
      <c r="AC498" s="323"/>
      <c r="AD498" s="323"/>
      <c r="AE498" s="323"/>
      <c r="AF498" s="323"/>
      <c r="AG498" s="323"/>
      <c r="AH498" s="323"/>
      <c r="AI498" s="323"/>
      <c r="AJ498" s="323"/>
      <c r="AK498" s="323"/>
      <c r="AL498" s="323"/>
      <c r="AM498" s="323"/>
      <c r="AN498" s="323"/>
      <c r="AO498" s="323"/>
      <c r="AP498" s="323"/>
      <c r="AQ498" s="323"/>
      <c r="AR498" s="323"/>
      <c r="AS498" s="323"/>
      <c r="AT498" s="323"/>
      <c r="AU498" s="323"/>
      <c r="AV498" s="323"/>
      <c r="AW498" s="323"/>
    </row>
    <row r="499" spans="1:49" s="13" customFormat="1" ht="15.6">
      <c r="A499" s="828"/>
      <c r="B499" s="828"/>
      <c r="C499" s="828"/>
      <c r="D499" s="829"/>
      <c r="E499" s="829"/>
      <c r="F499" s="829"/>
      <c r="G499" s="829"/>
      <c r="H499" s="829"/>
      <c r="I499" s="827"/>
      <c r="J499" s="827"/>
      <c r="K499" s="827"/>
      <c r="L499" s="835"/>
      <c r="M499" s="835"/>
      <c r="N499" s="835"/>
      <c r="O499" s="835"/>
      <c r="P499" s="835"/>
      <c r="Q499" s="830"/>
      <c r="R499" s="830"/>
      <c r="S499" s="830"/>
      <c r="T499" s="323"/>
      <c r="U499" s="323"/>
      <c r="V499" s="323"/>
      <c r="W499" s="323"/>
      <c r="X499" s="323"/>
      <c r="Y499" s="323"/>
      <c r="Z499" s="323"/>
      <c r="AA499" s="323"/>
      <c r="AB499" s="323"/>
      <c r="AC499" s="323"/>
      <c r="AD499" s="323"/>
      <c r="AE499" s="323"/>
      <c r="AF499" s="323"/>
      <c r="AG499" s="323"/>
      <c r="AH499" s="323"/>
      <c r="AI499" s="323"/>
      <c r="AJ499" s="323"/>
      <c r="AK499" s="323"/>
      <c r="AL499" s="323"/>
      <c r="AM499" s="323"/>
      <c r="AN499" s="323"/>
      <c r="AO499" s="323"/>
      <c r="AP499" s="323"/>
      <c r="AQ499" s="323"/>
      <c r="AR499" s="323"/>
      <c r="AS499" s="323"/>
      <c r="AT499" s="323"/>
      <c r="AU499" s="323"/>
      <c r="AV499" s="323"/>
      <c r="AW499" s="323"/>
    </row>
    <row r="500" spans="1:49" s="13" customFormat="1" ht="15.6">
      <c r="A500" s="828"/>
      <c r="B500" s="828"/>
      <c r="C500" s="828"/>
      <c r="D500" s="829"/>
      <c r="E500" s="829"/>
      <c r="F500" s="829"/>
      <c r="G500" s="829"/>
      <c r="H500" s="829"/>
      <c r="I500" s="827"/>
      <c r="J500" s="827"/>
      <c r="K500" s="827"/>
      <c r="L500" s="835"/>
      <c r="M500" s="835"/>
      <c r="N500" s="835"/>
      <c r="O500" s="835"/>
      <c r="P500" s="835"/>
      <c r="Q500" s="830"/>
      <c r="R500" s="830"/>
      <c r="S500" s="830"/>
      <c r="T500" s="323"/>
      <c r="U500" s="323"/>
      <c r="V500" s="323"/>
      <c r="W500" s="323"/>
      <c r="X500" s="323"/>
      <c r="Y500" s="323"/>
      <c r="Z500" s="323"/>
      <c r="AA500" s="323"/>
      <c r="AB500" s="323"/>
      <c r="AC500" s="323"/>
      <c r="AD500" s="323"/>
      <c r="AE500" s="323"/>
      <c r="AF500" s="323"/>
      <c r="AG500" s="323"/>
      <c r="AH500" s="323"/>
      <c r="AI500" s="323"/>
      <c r="AJ500" s="323"/>
      <c r="AK500" s="323"/>
      <c r="AL500" s="323"/>
      <c r="AM500" s="323"/>
      <c r="AN500" s="323"/>
      <c r="AO500" s="323"/>
      <c r="AP500" s="323"/>
      <c r="AQ500" s="323"/>
      <c r="AR500" s="323"/>
      <c r="AS500" s="323"/>
      <c r="AT500" s="323"/>
      <c r="AU500" s="323"/>
      <c r="AV500" s="323"/>
      <c r="AW500" s="323"/>
    </row>
    <row r="501" spans="1:49" s="13" customFormat="1" ht="15.6">
      <c r="A501" s="828"/>
      <c r="B501" s="828"/>
      <c r="C501" s="828"/>
      <c r="D501" s="829"/>
      <c r="E501" s="829"/>
      <c r="F501" s="829"/>
      <c r="G501" s="829"/>
      <c r="H501" s="829"/>
      <c r="I501" s="827"/>
      <c r="J501" s="827"/>
      <c r="K501" s="827"/>
      <c r="L501" s="835"/>
      <c r="M501" s="835"/>
      <c r="N501" s="835"/>
      <c r="O501" s="835"/>
      <c r="P501" s="835"/>
      <c r="Q501" s="830"/>
      <c r="R501" s="830"/>
      <c r="S501" s="830"/>
      <c r="T501" s="323"/>
      <c r="U501" s="323"/>
      <c r="V501" s="323"/>
      <c r="W501" s="323"/>
      <c r="X501" s="323"/>
      <c r="Y501" s="323"/>
      <c r="Z501" s="323"/>
      <c r="AA501" s="323"/>
      <c r="AB501" s="323"/>
      <c r="AC501" s="323"/>
      <c r="AD501" s="323"/>
      <c r="AE501" s="323"/>
      <c r="AF501" s="323"/>
      <c r="AG501" s="323"/>
      <c r="AH501" s="323"/>
      <c r="AI501" s="323"/>
      <c r="AJ501" s="323"/>
      <c r="AK501" s="323"/>
      <c r="AL501" s="323"/>
      <c r="AM501" s="323"/>
      <c r="AN501" s="323"/>
      <c r="AO501" s="323"/>
      <c r="AP501" s="323"/>
      <c r="AQ501" s="323"/>
      <c r="AR501" s="323"/>
      <c r="AS501" s="323"/>
      <c r="AT501" s="323"/>
      <c r="AU501" s="323"/>
      <c r="AV501" s="323"/>
      <c r="AW501" s="323"/>
    </row>
    <row r="502" spans="1:49" s="13" customFormat="1" ht="15.6">
      <c r="A502" s="828"/>
      <c r="B502" s="828"/>
      <c r="C502" s="828"/>
      <c r="D502" s="829"/>
      <c r="E502" s="829"/>
      <c r="F502" s="829"/>
      <c r="G502" s="829"/>
      <c r="H502" s="829"/>
      <c r="I502" s="827"/>
      <c r="J502" s="827"/>
      <c r="K502" s="827"/>
      <c r="L502" s="835"/>
      <c r="M502" s="835"/>
      <c r="N502" s="835"/>
      <c r="O502" s="835"/>
      <c r="P502" s="835"/>
      <c r="Q502" s="830"/>
      <c r="R502" s="830"/>
      <c r="S502" s="830"/>
      <c r="T502" s="323"/>
      <c r="U502" s="323"/>
      <c r="V502" s="323"/>
      <c r="W502" s="323"/>
      <c r="X502" s="323"/>
      <c r="Y502" s="323"/>
      <c r="Z502" s="323"/>
      <c r="AA502" s="323"/>
      <c r="AB502" s="323"/>
      <c r="AC502" s="323"/>
      <c r="AD502" s="323"/>
      <c r="AE502" s="323"/>
      <c r="AF502" s="323"/>
      <c r="AG502" s="323"/>
      <c r="AH502" s="323"/>
      <c r="AI502" s="323"/>
      <c r="AJ502" s="323"/>
      <c r="AK502" s="323"/>
      <c r="AL502" s="323"/>
      <c r="AM502" s="323"/>
      <c r="AN502" s="323"/>
      <c r="AO502" s="323"/>
      <c r="AP502" s="323"/>
      <c r="AQ502" s="323"/>
      <c r="AR502" s="323"/>
      <c r="AS502" s="323"/>
      <c r="AT502" s="323"/>
      <c r="AU502" s="323"/>
      <c r="AV502" s="323"/>
      <c r="AW502" s="323"/>
    </row>
    <row r="503" spans="1:49" s="13" customFormat="1" ht="15.6">
      <c r="A503" s="828"/>
      <c r="B503" s="828"/>
      <c r="C503" s="828"/>
      <c r="D503" s="829"/>
      <c r="E503" s="829"/>
      <c r="F503" s="829"/>
      <c r="G503" s="829"/>
      <c r="H503" s="829"/>
      <c r="I503" s="827"/>
      <c r="J503" s="827"/>
      <c r="K503" s="827"/>
      <c r="L503" s="835"/>
      <c r="M503" s="835"/>
      <c r="N503" s="835"/>
      <c r="O503" s="835"/>
      <c r="P503" s="835"/>
      <c r="Q503" s="830"/>
      <c r="R503" s="830"/>
      <c r="S503" s="830"/>
      <c r="T503" s="323"/>
      <c r="U503" s="323"/>
      <c r="V503" s="323"/>
      <c r="W503" s="323"/>
      <c r="X503" s="323"/>
      <c r="Y503" s="323"/>
      <c r="Z503" s="323"/>
      <c r="AA503" s="323"/>
      <c r="AB503" s="323"/>
      <c r="AC503" s="323"/>
      <c r="AD503" s="323"/>
      <c r="AE503" s="323"/>
      <c r="AF503" s="323"/>
      <c r="AG503" s="323"/>
      <c r="AH503" s="323"/>
      <c r="AI503" s="323"/>
      <c r="AJ503" s="323"/>
      <c r="AK503" s="323"/>
      <c r="AL503" s="323"/>
      <c r="AM503" s="323"/>
      <c r="AN503" s="323"/>
      <c r="AO503" s="323"/>
      <c r="AP503" s="323"/>
      <c r="AQ503" s="323"/>
      <c r="AR503" s="323"/>
      <c r="AS503" s="323"/>
      <c r="AT503" s="323"/>
      <c r="AU503" s="323"/>
      <c r="AV503" s="323"/>
      <c r="AW503" s="323"/>
    </row>
    <row r="504" spans="1:49" s="13" customFormat="1" ht="15.6">
      <c r="A504" s="828"/>
      <c r="B504" s="828"/>
      <c r="C504" s="828"/>
      <c r="D504" s="829"/>
      <c r="E504" s="829"/>
      <c r="F504" s="829"/>
      <c r="G504" s="829"/>
      <c r="H504" s="829"/>
      <c r="I504" s="827"/>
      <c r="J504" s="827"/>
      <c r="K504" s="827"/>
      <c r="L504" s="835"/>
      <c r="M504" s="835"/>
      <c r="N504" s="835"/>
      <c r="O504" s="835"/>
      <c r="P504" s="835"/>
      <c r="Q504" s="830"/>
      <c r="R504" s="830"/>
      <c r="S504" s="830"/>
      <c r="T504" s="323"/>
      <c r="U504" s="323"/>
      <c r="V504" s="323"/>
      <c r="W504" s="323"/>
      <c r="X504" s="323"/>
      <c r="Y504" s="323"/>
      <c r="Z504" s="323"/>
      <c r="AA504" s="323"/>
      <c r="AB504" s="323"/>
      <c r="AC504" s="323"/>
      <c r="AD504" s="323"/>
      <c r="AE504" s="323"/>
      <c r="AF504" s="323"/>
      <c r="AG504" s="323"/>
      <c r="AH504" s="323"/>
      <c r="AI504" s="323"/>
      <c r="AJ504" s="323"/>
      <c r="AK504" s="323"/>
      <c r="AL504" s="323"/>
      <c r="AM504" s="323"/>
      <c r="AN504" s="323"/>
      <c r="AO504" s="323"/>
      <c r="AP504" s="323"/>
      <c r="AQ504" s="323"/>
      <c r="AR504" s="323"/>
      <c r="AS504" s="323"/>
      <c r="AT504" s="323"/>
      <c r="AU504" s="323"/>
      <c r="AV504" s="323"/>
      <c r="AW504" s="323"/>
    </row>
    <row r="505" spans="1:49" s="13" customFormat="1" ht="15.6">
      <c r="A505" s="828"/>
      <c r="B505" s="828"/>
      <c r="C505" s="828"/>
      <c r="D505" s="829"/>
      <c r="E505" s="829"/>
      <c r="F505" s="829"/>
      <c r="G505" s="829"/>
      <c r="H505" s="829"/>
      <c r="I505" s="827"/>
      <c r="J505" s="827"/>
      <c r="K505" s="827"/>
      <c r="L505" s="835"/>
      <c r="M505" s="835"/>
      <c r="N505" s="835"/>
      <c r="O505" s="835"/>
      <c r="P505" s="835"/>
      <c r="Q505" s="830"/>
      <c r="R505" s="830"/>
      <c r="S505" s="830"/>
      <c r="T505" s="323"/>
      <c r="U505" s="323"/>
      <c r="V505" s="323"/>
      <c r="W505" s="323"/>
      <c r="X505" s="323"/>
      <c r="Y505" s="323"/>
      <c r="Z505" s="323"/>
      <c r="AA505" s="323"/>
      <c r="AB505" s="323"/>
      <c r="AC505" s="323"/>
      <c r="AD505" s="323"/>
      <c r="AE505" s="323"/>
      <c r="AF505" s="323"/>
      <c r="AG505" s="323"/>
      <c r="AH505" s="323"/>
      <c r="AI505" s="323"/>
      <c r="AJ505" s="323"/>
      <c r="AK505" s="323"/>
      <c r="AL505" s="323"/>
      <c r="AM505" s="323"/>
      <c r="AN505" s="323"/>
      <c r="AO505" s="323"/>
      <c r="AP505" s="323"/>
      <c r="AQ505" s="323"/>
      <c r="AR505" s="323"/>
      <c r="AS505" s="323"/>
      <c r="AT505" s="323"/>
      <c r="AU505" s="323"/>
      <c r="AV505" s="323"/>
      <c r="AW505" s="323"/>
    </row>
    <row r="506" spans="1:49" s="13" customFormat="1" ht="15.6">
      <c r="A506" s="828"/>
      <c r="B506" s="828"/>
      <c r="C506" s="828"/>
      <c r="D506" s="829"/>
      <c r="E506" s="829"/>
      <c r="F506" s="829"/>
      <c r="G506" s="829"/>
      <c r="H506" s="829"/>
      <c r="I506" s="827"/>
      <c r="J506" s="827"/>
      <c r="K506" s="827"/>
      <c r="L506" s="835"/>
      <c r="M506" s="835"/>
      <c r="N506" s="835"/>
      <c r="O506" s="835"/>
      <c r="P506" s="835"/>
      <c r="Q506" s="830"/>
      <c r="R506" s="830"/>
      <c r="S506" s="830"/>
      <c r="T506" s="323"/>
      <c r="U506" s="323"/>
      <c r="V506" s="323"/>
      <c r="W506" s="323"/>
      <c r="X506" s="323"/>
      <c r="Y506" s="323"/>
      <c r="Z506" s="323"/>
      <c r="AA506" s="323"/>
      <c r="AB506" s="323"/>
      <c r="AC506" s="323"/>
      <c r="AD506" s="323"/>
      <c r="AE506" s="323"/>
      <c r="AF506" s="323"/>
      <c r="AG506" s="323"/>
      <c r="AH506" s="323"/>
      <c r="AI506" s="323"/>
      <c r="AJ506" s="323"/>
      <c r="AK506" s="323"/>
      <c r="AL506" s="323"/>
      <c r="AM506" s="323"/>
      <c r="AN506" s="323"/>
      <c r="AO506" s="323"/>
      <c r="AP506" s="323"/>
      <c r="AQ506" s="323"/>
      <c r="AR506" s="323"/>
      <c r="AS506" s="323"/>
      <c r="AT506" s="323"/>
      <c r="AU506" s="323"/>
      <c r="AV506" s="323"/>
      <c r="AW506" s="323"/>
    </row>
    <row r="507" spans="1:49" s="13" customFormat="1" ht="15.6">
      <c r="A507" s="828"/>
      <c r="B507" s="828"/>
      <c r="C507" s="828"/>
      <c r="D507" s="829"/>
      <c r="E507" s="829"/>
      <c r="F507" s="829"/>
      <c r="G507" s="829"/>
      <c r="H507" s="829"/>
      <c r="I507" s="827"/>
      <c r="J507" s="827"/>
      <c r="K507" s="827"/>
      <c r="L507" s="835"/>
      <c r="M507" s="835"/>
      <c r="N507" s="835"/>
      <c r="O507" s="835"/>
      <c r="P507" s="835"/>
      <c r="Q507" s="830"/>
      <c r="R507" s="830"/>
      <c r="S507" s="830"/>
      <c r="T507" s="323"/>
      <c r="U507" s="323"/>
      <c r="V507" s="323"/>
      <c r="W507" s="323"/>
      <c r="X507" s="323"/>
      <c r="Y507" s="323"/>
      <c r="Z507" s="323"/>
      <c r="AA507" s="323"/>
      <c r="AB507" s="323"/>
      <c r="AC507" s="323"/>
      <c r="AD507" s="323"/>
      <c r="AE507" s="323"/>
      <c r="AF507" s="323"/>
      <c r="AG507" s="323"/>
      <c r="AH507" s="323"/>
      <c r="AI507" s="323"/>
      <c r="AJ507" s="323"/>
      <c r="AK507" s="323"/>
      <c r="AL507" s="323"/>
      <c r="AM507" s="323"/>
      <c r="AN507" s="323"/>
      <c r="AO507" s="323"/>
      <c r="AP507" s="323"/>
      <c r="AQ507" s="323"/>
      <c r="AR507" s="323"/>
      <c r="AS507" s="323"/>
      <c r="AT507" s="323"/>
      <c r="AU507" s="323"/>
      <c r="AV507" s="323"/>
      <c r="AW507" s="323"/>
    </row>
    <row r="508" spans="1:49" s="13" customFormat="1" ht="15.6">
      <c r="A508" s="828"/>
      <c r="B508" s="828"/>
      <c r="C508" s="828"/>
      <c r="D508" s="829"/>
      <c r="E508" s="829"/>
      <c r="F508" s="829"/>
      <c r="G508" s="829"/>
      <c r="H508" s="829"/>
      <c r="I508" s="827"/>
      <c r="J508" s="827"/>
      <c r="K508" s="827"/>
      <c r="L508" s="835"/>
      <c r="M508" s="835"/>
      <c r="N508" s="835"/>
      <c r="O508" s="835"/>
      <c r="P508" s="835"/>
      <c r="Q508" s="830"/>
      <c r="R508" s="830"/>
      <c r="S508" s="830"/>
      <c r="T508" s="323"/>
      <c r="U508" s="323"/>
      <c r="V508" s="323"/>
      <c r="W508" s="323"/>
      <c r="X508" s="323"/>
      <c r="Y508" s="323"/>
      <c r="Z508" s="323"/>
      <c r="AA508" s="323"/>
      <c r="AB508" s="323"/>
      <c r="AC508" s="323"/>
      <c r="AD508" s="323"/>
      <c r="AE508" s="323"/>
      <c r="AF508" s="323"/>
      <c r="AG508" s="323"/>
      <c r="AH508" s="323"/>
      <c r="AI508" s="323"/>
      <c r="AJ508" s="323"/>
      <c r="AK508" s="323"/>
      <c r="AL508" s="323"/>
      <c r="AM508" s="323"/>
      <c r="AN508" s="323"/>
      <c r="AO508" s="323"/>
      <c r="AP508" s="323"/>
      <c r="AQ508" s="323"/>
      <c r="AR508" s="323"/>
      <c r="AS508" s="323"/>
      <c r="AT508" s="323"/>
      <c r="AU508" s="323"/>
      <c r="AV508" s="323"/>
      <c r="AW508" s="323"/>
    </row>
    <row r="509" spans="1:49" s="13" customFormat="1" ht="15.6">
      <c r="A509" s="828"/>
      <c r="B509" s="828"/>
      <c r="C509" s="828"/>
      <c r="D509" s="829"/>
      <c r="E509" s="829"/>
      <c r="F509" s="829"/>
      <c r="G509" s="829"/>
      <c r="H509" s="829"/>
      <c r="I509" s="827"/>
      <c r="J509" s="827"/>
      <c r="K509" s="827"/>
      <c r="L509" s="835"/>
      <c r="M509" s="835"/>
      <c r="N509" s="835"/>
      <c r="O509" s="835"/>
      <c r="P509" s="835"/>
      <c r="Q509" s="830"/>
      <c r="R509" s="830"/>
      <c r="S509" s="830"/>
      <c r="T509" s="323"/>
      <c r="U509" s="323"/>
      <c r="V509" s="323"/>
      <c r="W509" s="323"/>
      <c r="X509" s="323"/>
      <c r="Y509" s="323"/>
      <c r="Z509" s="323"/>
      <c r="AA509" s="323"/>
      <c r="AB509" s="323"/>
      <c r="AC509" s="323"/>
      <c r="AD509" s="323"/>
      <c r="AE509" s="323"/>
      <c r="AF509" s="323"/>
      <c r="AG509" s="323"/>
      <c r="AH509" s="323"/>
      <c r="AI509" s="323"/>
      <c r="AJ509" s="323"/>
      <c r="AK509" s="323"/>
      <c r="AL509" s="323"/>
      <c r="AM509" s="323"/>
      <c r="AN509" s="323"/>
      <c r="AO509" s="323"/>
      <c r="AP509" s="323"/>
      <c r="AQ509" s="323"/>
      <c r="AR509" s="323"/>
      <c r="AS509" s="323"/>
      <c r="AT509" s="323"/>
      <c r="AU509" s="323"/>
      <c r="AV509" s="323"/>
      <c r="AW509" s="323"/>
    </row>
    <row r="510" spans="1:49" s="13" customFormat="1" ht="15.6">
      <c r="A510" s="828"/>
      <c r="B510" s="828"/>
      <c r="C510" s="828"/>
      <c r="D510" s="829"/>
      <c r="E510" s="829"/>
      <c r="F510" s="829"/>
      <c r="G510" s="829"/>
      <c r="H510" s="829"/>
      <c r="I510" s="827"/>
      <c r="J510" s="827"/>
      <c r="K510" s="827"/>
      <c r="L510" s="835"/>
      <c r="M510" s="835"/>
      <c r="N510" s="835"/>
      <c r="O510" s="835"/>
      <c r="P510" s="835"/>
      <c r="Q510" s="830"/>
      <c r="R510" s="830"/>
      <c r="S510" s="830"/>
      <c r="T510" s="323"/>
      <c r="U510" s="323"/>
      <c r="V510" s="323"/>
      <c r="W510" s="323"/>
      <c r="X510" s="323"/>
      <c r="Y510" s="323"/>
      <c r="Z510" s="323"/>
      <c r="AA510" s="323"/>
      <c r="AB510" s="323"/>
      <c r="AC510" s="323"/>
      <c r="AD510" s="323"/>
      <c r="AE510" s="323"/>
      <c r="AF510" s="323"/>
      <c r="AG510" s="323"/>
      <c r="AH510" s="323"/>
      <c r="AI510" s="323"/>
      <c r="AJ510" s="323"/>
      <c r="AK510" s="323"/>
      <c r="AL510" s="323"/>
      <c r="AM510" s="323"/>
      <c r="AN510" s="323"/>
      <c r="AO510" s="323"/>
      <c r="AP510" s="323"/>
      <c r="AQ510" s="323"/>
      <c r="AR510" s="323"/>
      <c r="AS510" s="323"/>
      <c r="AT510" s="323"/>
      <c r="AU510" s="323"/>
      <c r="AV510" s="323"/>
      <c r="AW510" s="323"/>
    </row>
    <row r="511" spans="1:49" s="13" customFormat="1" ht="15.6">
      <c r="A511" s="828"/>
      <c r="B511" s="828"/>
      <c r="C511" s="828"/>
      <c r="D511" s="829"/>
      <c r="E511" s="829"/>
      <c r="F511" s="829"/>
      <c r="G511" s="829"/>
      <c r="H511" s="829"/>
      <c r="I511" s="827"/>
      <c r="J511" s="827"/>
      <c r="K511" s="827"/>
      <c r="L511" s="835"/>
      <c r="M511" s="835"/>
      <c r="N511" s="835"/>
      <c r="O511" s="835"/>
      <c r="P511" s="835"/>
      <c r="Q511" s="830"/>
      <c r="R511" s="830"/>
      <c r="S511" s="830"/>
      <c r="T511" s="323"/>
      <c r="U511" s="323"/>
      <c r="V511" s="323"/>
      <c r="W511" s="323"/>
      <c r="X511" s="323"/>
      <c r="Y511" s="323"/>
      <c r="Z511" s="323"/>
      <c r="AA511" s="323"/>
      <c r="AB511" s="323"/>
      <c r="AC511" s="323"/>
      <c r="AD511" s="323"/>
      <c r="AE511" s="323"/>
      <c r="AF511" s="323"/>
      <c r="AG511" s="323"/>
      <c r="AH511" s="323"/>
      <c r="AI511" s="323"/>
      <c r="AJ511" s="323"/>
      <c r="AK511" s="323"/>
      <c r="AL511" s="323"/>
      <c r="AM511" s="323"/>
      <c r="AN511" s="323"/>
      <c r="AO511" s="323"/>
      <c r="AP511" s="323"/>
      <c r="AQ511" s="323"/>
      <c r="AR511" s="323"/>
      <c r="AS511" s="323"/>
      <c r="AT511" s="323"/>
      <c r="AU511" s="323"/>
      <c r="AV511" s="323"/>
      <c r="AW511" s="323"/>
    </row>
    <row r="512" spans="1:49" s="13" customFormat="1" ht="15.6">
      <c r="A512" s="828"/>
      <c r="B512" s="828"/>
      <c r="C512" s="828"/>
      <c r="D512" s="829"/>
      <c r="E512" s="829"/>
      <c r="F512" s="829"/>
      <c r="G512" s="829"/>
      <c r="H512" s="829"/>
      <c r="I512" s="827"/>
      <c r="J512" s="827"/>
      <c r="K512" s="827"/>
      <c r="L512" s="835"/>
      <c r="M512" s="835"/>
      <c r="N512" s="835"/>
      <c r="O512" s="835"/>
      <c r="P512" s="835"/>
      <c r="Q512" s="830"/>
      <c r="R512" s="830"/>
      <c r="S512" s="830"/>
      <c r="T512" s="323"/>
      <c r="U512" s="323"/>
      <c r="V512" s="323"/>
      <c r="W512" s="323"/>
      <c r="X512" s="323"/>
      <c r="Y512" s="323"/>
      <c r="Z512" s="323"/>
      <c r="AA512" s="323"/>
      <c r="AB512" s="323"/>
      <c r="AC512" s="323"/>
      <c r="AD512" s="323"/>
      <c r="AE512" s="323"/>
      <c r="AF512" s="323"/>
      <c r="AG512" s="323"/>
      <c r="AH512" s="323"/>
      <c r="AI512" s="323"/>
      <c r="AJ512" s="323"/>
      <c r="AK512" s="323"/>
      <c r="AL512" s="323"/>
      <c r="AM512" s="323"/>
      <c r="AN512" s="323"/>
      <c r="AO512" s="323"/>
      <c r="AP512" s="323"/>
      <c r="AQ512" s="323"/>
      <c r="AR512" s="323"/>
      <c r="AS512" s="323"/>
      <c r="AT512" s="323"/>
      <c r="AU512" s="323"/>
      <c r="AV512" s="323"/>
      <c r="AW512" s="323"/>
    </row>
    <row r="513" spans="1:49" s="13" customFormat="1" ht="15.6">
      <c r="A513" s="828"/>
      <c r="B513" s="828"/>
      <c r="C513" s="828"/>
      <c r="D513" s="829"/>
      <c r="E513" s="829"/>
      <c r="F513" s="829"/>
      <c r="G513" s="829"/>
      <c r="H513" s="829"/>
      <c r="I513" s="827"/>
      <c r="J513" s="827"/>
      <c r="K513" s="827"/>
      <c r="L513" s="835"/>
      <c r="M513" s="835"/>
      <c r="N513" s="835"/>
      <c r="O513" s="835"/>
      <c r="P513" s="835"/>
      <c r="Q513" s="830"/>
      <c r="R513" s="830"/>
      <c r="S513" s="830"/>
      <c r="T513" s="323"/>
      <c r="U513" s="323"/>
      <c r="V513" s="323"/>
      <c r="W513" s="323"/>
      <c r="X513" s="323"/>
      <c r="Y513" s="323"/>
      <c r="Z513" s="323"/>
      <c r="AA513" s="323"/>
      <c r="AB513" s="323"/>
      <c r="AC513" s="323"/>
      <c r="AD513" s="323"/>
      <c r="AE513" s="323"/>
      <c r="AF513" s="323"/>
      <c r="AG513" s="323"/>
      <c r="AH513" s="323"/>
      <c r="AI513" s="323"/>
      <c r="AJ513" s="323"/>
      <c r="AK513" s="323"/>
      <c r="AL513" s="323"/>
      <c r="AM513" s="323"/>
      <c r="AN513" s="323"/>
      <c r="AO513" s="323"/>
      <c r="AP513" s="323"/>
      <c r="AQ513" s="323"/>
      <c r="AR513" s="323"/>
      <c r="AS513" s="323"/>
      <c r="AT513" s="323"/>
      <c r="AU513" s="323"/>
      <c r="AV513" s="323"/>
      <c r="AW513" s="323"/>
    </row>
    <row r="514" spans="1:49" s="13" customFormat="1" ht="15.6">
      <c r="A514" s="828"/>
      <c r="B514" s="828"/>
      <c r="C514" s="828"/>
      <c r="D514" s="829"/>
      <c r="E514" s="829"/>
      <c r="F514" s="829"/>
      <c r="G514" s="829"/>
      <c r="H514" s="829"/>
      <c r="I514" s="827"/>
      <c r="J514" s="827"/>
      <c r="K514" s="827"/>
      <c r="L514" s="835"/>
      <c r="M514" s="835"/>
      <c r="N514" s="835"/>
      <c r="O514" s="835"/>
      <c r="P514" s="835"/>
      <c r="Q514" s="830"/>
      <c r="R514" s="830"/>
      <c r="S514" s="830"/>
      <c r="T514" s="323"/>
      <c r="U514" s="323"/>
      <c r="V514" s="323"/>
      <c r="W514" s="323"/>
      <c r="X514" s="323"/>
      <c r="Y514" s="323"/>
      <c r="Z514" s="323"/>
      <c r="AA514" s="323"/>
      <c r="AB514" s="323"/>
      <c r="AC514" s="323"/>
      <c r="AD514" s="323"/>
      <c r="AE514" s="323"/>
      <c r="AF514" s="323"/>
      <c r="AG514" s="323"/>
      <c r="AH514" s="323"/>
      <c r="AI514" s="323"/>
      <c r="AJ514" s="323"/>
      <c r="AK514" s="323"/>
      <c r="AL514" s="323"/>
      <c r="AM514" s="323"/>
      <c r="AN514" s="323"/>
      <c r="AO514" s="323"/>
      <c r="AP514" s="323"/>
      <c r="AQ514" s="323"/>
      <c r="AR514" s="323"/>
      <c r="AS514" s="323"/>
      <c r="AT514" s="323"/>
      <c r="AU514" s="323"/>
      <c r="AV514" s="323"/>
      <c r="AW514" s="323"/>
    </row>
    <row r="515" spans="1:49" s="13" customFormat="1" ht="15.6">
      <c r="A515" s="828"/>
      <c r="B515" s="828"/>
      <c r="C515" s="828"/>
      <c r="D515" s="829"/>
      <c r="E515" s="829"/>
      <c r="F515" s="829"/>
      <c r="G515" s="829"/>
      <c r="H515" s="829"/>
      <c r="I515" s="827"/>
      <c r="J515" s="827"/>
      <c r="K515" s="827"/>
      <c r="L515" s="835"/>
      <c r="M515" s="835"/>
      <c r="N515" s="835"/>
      <c r="O515" s="835"/>
      <c r="P515" s="835"/>
      <c r="Q515" s="830"/>
      <c r="R515" s="830"/>
      <c r="S515" s="830"/>
      <c r="T515" s="323"/>
      <c r="U515" s="323"/>
      <c r="V515" s="323"/>
      <c r="W515" s="323"/>
      <c r="X515" s="323"/>
      <c r="Y515" s="323"/>
      <c r="Z515" s="323"/>
      <c r="AA515" s="323"/>
      <c r="AB515" s="323"/>
      <c r="AC515" s="323"/>
      <c r="AD515" s="323"/>
      <c r="AE515" s="323"/>
      <c r="AF515" s="323"/>
      <c r="AG515" s="323"/>
      <c r="AH515" s="323"/>
      <c r="AI515" s="323"/>
      <c r="AJ515" s="323"/>
      <c r="AK515" s="323"/>
      <c r="AL515" s="323"/>
      <c r="AM515" s="323"/>
      <c r="AN515" s="323"/>
      <c r="AO515" s="323"/>
      <c r="AP515" s="323"/>
      <c r="AQ515" s="323"/>
      <c r="AR515" s="323"/>
      <c r="AS515" s="323"/>
      <c r="AT515" s="323"/>
      <c r="AU515" s="323"/>
      <c r="AV515" s="323"/>
      <c r="AW515" s="323"/>
    </row>
    <row r="516" spans="1:49" s="13" customFormat="1" ht="15.6">
      <c r="A516" s="828"/>
      <c r="B516" s="828"/>
      <c r="C516" s="828"/>
      <c r="D516" s="829"/>
      <c r="E516" s="829"/>
      <c r="F516" s="829"/>
      <c r="G516" s="829"/>
      <c r="H516" s="829"/>
      <c r="I516" s="827"/>
      <c r="J516" s="827"/>
      <c r="K516" s="827"/>
      <c r="L516" s="835"/>
      <c r="M516" s="835"/>
      <c r="N516" s="835"/>
      <c r="O516" s="835"/>
      <c r="P516" s="835"/>
      <c r="Q516" s="830"/>
      <c r="R516" s="830"/>
      <c r="S516" s="830"/>
      <c r="T516" s="323"/>
      <c r="U516" s="323"/>
      <c r="V516" s="323"/>
      <c r="W516" s="323"/>
      <c r="X516" s="323"/>
      <c r="Y516" s="323"/>
      <c r="Z516" s="323"/>
      <c r="AA516" s="323"/>
      <c r="AB516" s="323"/>
      <c r="AC516" s="323"/>
      <c r="AD516" s="323"/>
      <c r="AE516" s="323"/>
      <c r="AF516" s="323"/>
      <c r="AG516" s="323"/>
      <c r="AH516" s="323"/>
      <c r="AI516" s="323"/>
      <c r="AJ516" s="323"/>
      <c r="AK516" s="323"/>
      <c r="AL516" s="323"/>
      <c r="AM516" s="323"/>
      <c r="AN516" s="323"/>
      <c r="AO516" s="323"/>
      <c r="AP516" s="323"/>
      <c r="AQ516" s="323"/>
      <c r="AR516" s="323"/>
      <c r="AS516" s="323"/>
      <c r="AT516" s="323"/>
      <c r="AU516" s="323"/>
      <c r="AV516" s="323"/>
      <c r="AW516" s="323"/>
    </row>
    <row r="517" spans="1:49" s="13" customFormat="1" ht="15.6">
      <c r="A517" s="828"/>
      <c r="B517" s="828"/>
      <c r="C517" s="828"/>
      <c r="D517" s="829"/>
      <c r="E517" s="829"/>
      <c r="F517" s="829"/>
      <c r="G517" s="829"/>
      <c r="H517" s="829"/>
      <c r="I517" s="827"/>
      <c r="J517" s="827"/>
      <c r="K517" s="827"/>
      <c r="L517" s="835"/>
      <c r="M517" s="835"/>
      <c r="N517" s="835"/>
      <c r="O517" s="835"/>
      <c r="P517" s="835"/>
      <c r="Q517" s="830"/>
      <c r="R517" s="830"/>
      <c r="S517" s="830"/>
      <c r="T517" s="323"/>
      <c r="U517" s="323"/>
      <c r="V517" s="323"/>
      <c r="W517" s="323"/>
      <c r="X517" s="323"/>
      <c r="Y517" s="323"/>
      <c r="Z517" s="323"/>
      <c r="AA517" s="323"/>
      <c r="AB517" s="323"/>
      <c r="AC517" s="323"/>
      <c r="AD517" s="323"/>
      <c r="AE517" s="323"/>
      <c r="AF517" s="323"/>
      <c r="AG517" s="323"/>
      <c r="AH517" s="323"/>
      <c r="AI517" s="323"/>
      <c r="AJ517" s="323"/>
      <c r="AK517" s="323"/>
      <c r="AL517" s="323"/>
      <c r="AM517" s="323"/>
      <c r="AN517" s="323"/>
      <c r="AO517" s="323"/>
      <c r="AP517" s="323"/>
      <c r="AQ517" s="323"/>
      <c r="AR517" s="323"/>
      <c r="AS517" s="323"/>
      <c r="AT517" s="323"/>
      <c r="AU517" s="323"/>
      <c r="AV517" s="323"/>
      <c r="AW517" s="323"/>
    </row>
    <row r="518" spans="1:49" s="13" customFormat="1" ht="15.6">
      <c r="A518" s="828"/>
      <c r="B518" s="828"/>
      <c r="C518" s="828"/>
      <c r="D518" s="829"/>
      <c r="E518" s="829"/>
      <c r="F518" s="829"/>
      <c r="G518" s="829"/>
      <c r="H518" s="829"/>
      <c r="I518" s="827"/>
      <c r="J518" s="827"/>
      <c r="K518" s="827"/>
      <c r="L518" s="835"/>
      <c r="M518" s="835"/>
      <c r="N518" s="835"/>
      <c r="O518" s="835"/>
      <c r="P518" s="835"/>
      <c r="Q518" s="830"/>
      <c r="R518" s="830"/>
      <c r="S518" s="830"/>
      <c r="T518" s="323"/>
      <c r="U518" s="323"/>
      <c r="V518" s="323"/>
      <c r="W518" s="323"/>
      <c r="X518" s="323"/>
      <c r="Y518" s="323"/>
      <c r="Z518" s="323"/>
      <c r="AA518" s="323"/>
      <c r="AB518" s="323"/>
      <c r="AC518" s="323"/>
      <c r="AD518" s="323"/>
      <c r="AE518" s="323"/>
      <c r="AF518" s="323"/>
      <c r="AG518" s="323"/>
      <c r="AH518" s="323"/>
      <c r="AI518" s="323"/>
      <c r="AJ518" s="323"/>
      <c r="AK518" s="323"/>
      <c r="AL518" s="323"/>
      <c r="AM518" s="323"/>
      <c r="AN518" s="323"/>
      <c r="AO518" s="323"/>
      <c r="AP518" s="323"/>
      <c r="AQ518" s="323"/>
      <c r="AR518" s="323"/>
      <c r="AS518" s="323"/>
      <c r="AT518" s="323"/>
      <c r="AU518" s="323"/>
      <c r="AV518" s="323"/>
      <c r="AW518" s="323"/>
    </row>
    <row r="519" spans="1:49" s="39" customFormat="1" ht="15.6">
      <c r="A519" s="828"/>
      <c r="B519" s="828"/>
      <c r="C519" s="828"/>
      <c r="D519" s="829"/>
      <c r="E519" s="829"/>
      <c r="F519" s="829"/>
      <c r="G519" s="829"/>
      <c r="H519" s="829"/>
      <c r="I519" s="827"/>
      <c r="J519" s="827"/>
      <c r="K519" s="827"/>
      <c r="L519" s="835"/>
      <c r="M519" s="835"/>
      <c r="N519" s="835"/>
      <c r="O519" s="835"/>
      <c r="P519" s="835"/>
      <c r="Q519" s="830"/>
      <c r="R519" s="830"/>
      <c r="S519" s="830"/>
      <c r="T519" s="323"/>
      <c r="U519" s="323"/>
      <c r="V519" s="323"/>
      <c r="W519" s="323"/>
      <c r="X519" s="323"/>
      <c r="Y519" s="323"/>
      <c r="Z519" s="323"/>
      <c r="AA519" s="323"/>
      <c r="AB519" s="323"/>
      <c r="AC519" s="323"/>
      <c r="AD519" s="323"/>
      <c r="AE519" s="323"/>
      <c r="AF519" s="323"/>
      <c r="AG519" s="323"/>
      <c r="AH519" s="323"/>
      <c r="AI519" s="323"/>
      <c r="AJ519" s="323"/>
      <c r="AK519" s="323"/>
      <c r="AL519" s="323"/>
      <c r="AM519" s="323"/>
      <c r="AN519" s="323"/>
      <c r="AO519" s="323"/>
      <c r="AP519" s="323"/>
      <c r="AQ519" s="323"/>
      <c r="AR519" s="323"/>
      <c r="AS519" s="323"/>
      <c r="AT519" s="323"/>
      <c r="AU519" s="323"/>
      <c r="AV519" s="323"/>
      <c r="AW519" s="323"/>
    </row>
    <row r="520" spans="1:49" s="39" customFormat="1" ht="15.6">
      <c r="A520" s="828"/>
      <c r="B520" s="828"/>
      <c r="C520" s="828"/>
      <c r="D520" s="829"/>
      <c r="E520" s="829"/>
      <c r="F520" s="829"/>
      <c r="G520" s="829"/>
      <c r="H520" s="829"/>
      <c r="I520" s="827"/>
      <c r="J520" s="827"/>
      <c r="K520" s="827"/>
      <c r="L520" s="835"/>
      <c r="M520" s="835"/>
      <c r="N520" s="835"/>
      <c r="O520" s="835"/>
      <c r="P520" s="835"/>
      <c r="Q520" s="830"/>
      <c r="R520" s="830"/>
      <c r="S520" s="830"/>
      <c r="T520" s="323"/>
      <c r="U520" s="323"/>
      <c r="V520" s="323"/>
      <c r="W520" s="323"/>
      <c r="X520" s="323"/>
      <c r="Y520" s="323"/>
      <c r="Z520" s="323"/>
      <c r="AA520" s="323"/>
      <c r="AB520" s="323"/>
      <c r="AC520" s="323"/>
      <c r="AD520" s="323"/>
      <c r="AE520" s="323"/>
      <c r="AF520" s="323"/>
      <c r="AG520" s="323"/>
      <c r="AH520" s="323"/>
      <c r="AI520" s="323"/>
      <c r="AJ520" s="323"/>
      <c r="AK520" s="323"/>
      <c r="AL520" s="323"/>
      <c r="AM520" s="323"/>
      <c r="AN520" s="323"/>
      <c r="AO520" s="323"/>
      <c r="AP520" s="323"/>
      <c r="AQ520" s="323"/>
      <c r="AR520" s="323"/>
      <c r="AS520" s="323"/>
      <c r="AT520" s="323"/>
      <c r="AU520" s="323"/>
      <c r="AV520" s="323"/>
      <c r="AW520" s="323"/>
    </row>
    <row r="521" spans="1:49" s="39" customFormat="1" ht="15.6">
      <c r="A521" s="828"/>
      <c r="B521" s="828"/>
      <c r="C521" s="828"/>
      <c r="D521" s="829"/>
      <c r="E521" s="829"/>
      <c r="F521" s="829"/>
      <c r="G521" s="829"/>
      <c r="H521" s="829"/>
      <c r="I521" s="827"/>
      <c r="J521" s="827"/>
      <c r="K521" s="827"/>
      <c r="L521" s="835"/>
      <c r="M521" s="835"/>
      <c r="N521" s="835"/>
      <c r="O521" s="835"/>
      <c r="P521" s="835"/>
      <c r="Q521" s="830"/>
      <c r="R521" s="830"/>
      <c r="S521" s="830"/>
      <c r="T521" s="323"/>
      <c r="U521" s="323"/>
      <c r="V521" s="323"/>
      <c r="W521" s="323"/>
      <c r="X521" s="323"/>
      <c r="Y521" s="323"/>
      <c r="Z521" s="323"/>
      <c r="AA521" s="323"/>
      <c r="AB521" s="323"/>
      <c r="AC521" s="323"/>
      <c r="AD521" s="323"/>
      <c r="AE521" s="323"/>
      <c r="AF521" s="323"/>
      <c r="AG521" s="323"/>
      <c r="AH521" s="323"/>
      <c r="AI521" s="323"/>
      <c r="AJ521" s="323"/>
      <c r="AK521" s="323"/>
      <c r="AL521" s="323"/>
      <c r="AM521" s="323"/>
      <c r="AN521" s="323"/>
      <c r="AO521" s="323"/>
      <c r="AP521" s="323"/>
      <c r="AQ521" s="323"/>
      <c r="AR521" s="323"/>
      <c r="AS521" s="323"/>
      <c r="AT521" s="323"/>
      <c r="AU521" s="323"/>
      <c r="AV521" s="323"/>
      <c r="AW521" s="323"/>
    </row>
    <row r="522" spans="1:49" s="39" customFormat="1" ht="15.6">
      <c r="A522" s="828"/>
      <c r="B522" s="828"/>
      <c r="C522" s="828"/>
      <c r="D522" s="829"/>
      <c r="E522" s="829"/>
      <c r="F522" s="829"/>
      <c r="G522" s="829"/>
      <c r="H522" s="829"/>
      <c r="I522" s="827"/>
      <c r="J522" s="827"/>
      <c r="K522" s="827"/>
      <c r="L522" s="835"/>
      <c r="M522" s="835"/>
      <c r="N522" s="835"/>
      <c r="O522" s="835"/>
      <c r="P522" s="835"/>
      <c r="Q522" s="830"/>
      <c r="R522" s="830"/>
      <c r="S522" s="830"/>
      <c r="T522" s="323"/>
      <c r="U522" s="323"/>
      <c r="V522" s="323"/>
      <c r="W522" s="323"/>
      <c r="X522" s="323"/>
      <c r="Y522" s="323"/>
      <c r="Z522" s="323"/>
      <c r="AA522" s="323"/>
      <c r="AB522" s="323"/>
      <c r="AC522" s="323"/>
      <c r="AD522" s="323"/>
      <c r="AE522" s="323"/>
      <c r="AF522" s="323"/>
      <c r="AG522" s="323"/>
      <c r="AH522" s="323"/>
      <c r="AI522" s="323"/>
      <c r="AJ522" s="323"/>
      <c r="AK522" s="323"/>
      <c r="AL522" s="323"/>
      <c r="AM522" s="323"/>
      <c r="AN522" s="323"/>
      <c r="AO522" s="323"/>
      <c r="AP522" s="323"/>
      <c r="AQ522" s="323"/>
      <c r="AR522" s="323"/>
      <c r="AS522" s="323"/>
      <c r="AT522" s="323"/>
      <c r="AU522" s="323"/>
      <c r="AV522" s="323"/>
      <c r="AW522" s="323"/>
    </row>
    <row r="523" spans="1:49" s="39" customFormat="1" ht="15.6">
      <c r="A523" s="828"/>
      <c r="B523" s="828"/>
      <c r="C523" s="828"/>
      <c r="D523" s="829"/>
      <c r="E523" s="829"/>
      <c r="F523" s="829"/>
      <c r="G523" s="829"/>
      <c r="H523" s="829"/>
      <c r="I523" s="827"/>
      <c r="J523" s="827"/>
      <c r="K523" s="827"/>
      <c r="L523" s="835"/>
      <c r="M523" s="835"/>
      <c r="N523" s="835"/>
      <c r="O523" s="835"/>
      <c r="P523" s="835"/>
      <c r="Q523" s="830"/>
      <c r="R523" s="830"/>
      <c r="S523" s="830"/>
      <c r="T523" s="323"/>
      <c r="U523" s="323"/>
      <c r="V523" s="323"/>
      <c r="W523" s="323"/>
      <c r="X523" s="323"/>
      <c r="Y523" s="323"/>
      <c r="Z523" s="323"/>
      <c r="AA523" s="323"/>
      <c r="AB523" s="323"/>
      <c r="AC523" s="323"/>
      <c r="AD523" s="323"/>
      <c r="AE523" s="323"/>
      <c r="AF523" s="323"/>
      <c r="AG523" s="323"/>
      <c r="AH523" s="323"/>
      <c r="AI523" s="323"/>
      <c r="AJ523" s="323"/>
      <c r="AK523" s="323"/>
      <c r="AL523" s="323"/>
      <c r="AM523" s="323"/>
      <c r="AN523" s="323"/>
      <c r="AO523" s="323"/>
      <c r="AP523" s="323"/>
      <c r="AQ523" s="323"/>
      <c r="AR523" s="323"/>
      <c r="AS523" s="323"/>
      <c r="AT523" s="323"/>
      <c r="AU523" s="323"/>
      <c r="AV523" s="323"/>
      <c r="AW523" s="323"/>
    </row>
    <row r="524" spans="1:49" s="39" customFormat="1" ht="15.6">
      <c r="A524" s="828"/>
      <c r="B524" s="828"/>
      <c r="C524" s="828"/>
      <c r="D524" s="829"/>
      <c r="E524" s="829"/>
      <c r="F524" s="829"/>
      <c r="G524" s="829"/>
      <c r="H524" s="829"/>
      <c r="I524" s="827"/>
      <c r="J524" s="827"/>
      <c r="K524" s="827"/>
      <c r="L524" s="835"/>
      <c r="M524" s="835"/>
      <c r="N524" s="835"/>
      <c r="O524" s="835"/>
      <c r="P524" s="835"/>
      <c r="Q524" s="830"/>
      <c r="R524" s="830"/>
      <c r="S524" s="830"/>
      <c r="T524" s="323"/>
      <c r="U524" s="323"/>
      <c r="V524" s="323"/>
      <c r="W524" s="323"/>
      <c r="X524" s="323"/>
      <c r="Y524" s="323"/>
      <c r="Z524" s="323"/>
      <c r="AA524" s="323"/>
      <c r="AB524" s="323"/>
      <c r="AC524" s="323"/>
      <c r="AD524" s="323"/>
      <c r="AE524" s="323"/>
      <c r="AF524" s="323"/>
      <c r="AG524" s="323"/>
      <c r="AH524" s="323"/>
      <c r="AI524" s="323"/>
      <c r="AJ524" s="323"/>
      <c r="AK524" s="323"/>
      <c r="AL524" s="323"/>
      <c r="AM524" s="323"/>
      <c r="AN524" s="323"/>
      <c r="AO524" s="323"/>
      <c r="AP524" s="323"/>
      <c r="AQ524" s="323"/>
      <c r="AR524" s="323"/>
      <c r="AS524" s="323"/>
      <c r="AT524" s="323"/>
      <c r="AU524" s="323"/>
      <c r="AV524" s="323"/>
      <c r="AW524" s="323"/>
    </row>
    <row r="525" spans="1:49" s="39" customFormat="1" ht="15.6">
      <c r="A525" s="828"/>
      <c r="B525" s="828"/>
      <c r="C525" s="828"/>
      <c r="D525" s="829"/>
      <c r="E525" s="829"/>
      <c r="F525" s="829"/>
      <c r="G525" s="829"/>
      <c r="H525" s="829"/>
      <c r="I525" s="827"/>
      <c r="J525" s="827"/>
      <c r="K525" s="827"/>
      <c r="L525" s="835"/>
      <c r="M525" s="835"/>
      <c r="N525" s="835"/>
      <c r="O525" s="835"/>
      <c r="P525" s="835"/>
      <c r="Q525" s="830"/>
      <c r="R525" s="830"/>
      <c r="S525" s="830"/>
      <c r="T525" s="323"/>
      <c r="U525" s="323"/>
      <c r="V525" s="323"/>
      <c r="W525" s="323"/>
      <c r="X525" s="323"/>
      <c r="Y525" s="323"/>
      <c r="Z525" s="323"/>
      <c r="AA525" s="323"/>
      <c r="AB525" s="323"/>
      <c r="AC525" s="323"/>
      <c r="AD525" s="323"/>
      <c r="AE525" s="323"/>
      <c r="AF525" s="323"/>
      <c r="AG525" s="323"/>
      <c r="AH525" s="323"/>
      <c r="AI525" s="323"/>
      <c r="AJ525" s="323"/>
      <c r="AK525" s="323"/>
      <c r="AL525" s="323"/>
      <c r="AM525" s="323"/>
      <c r="AN525" s="323"/>
      <c r="AO525" s="323"/>
      <c r="AP525" s="323"/>
      <c r="AQ525" s="323"/>
      <c r="AR525" s="323"/>
      <c r="AS525" s="323"/>
      <c r="AT525" s="323"/>
      <c r="AU525" s="323"/>
      <c r="AV525" s="323"/>
      <c r="AW525" s="323"/>
    </row>
    <row r="526" spans="1:49" s="39" customFormat="1" ht="15.6">
      <c r="A526" s="828"/>
      <c r="B526" s="828"/>
      <c r="C526" s="828"/>
      <c r="D526" s="829"/>
      <c r="E526" s="829"/>
      <c r="F526" s="829"/>
      <c r="G526" s="829"/>
      <c r="H526" s="829"/>
      <c r="I526" s="827"/>
      <c r="J526" s="827"/>
      <c r="K526" s="827"/>
      <c r="L526" s="835"/>
      <c r="M526" s="835"/>
      <c r="N526" s="835"/>
      <c r="O526" s="835"/>
      <c r="P526" s="835"/>
      <c r="Q526" s="830"/>
      <c r="R526" s="830"/>
      <c r="S526" s="830"/>
      <c r="T526" s="323"/>
      <c r="U526" s="323"/>
      <c r="V526" s="323"/>
      <c r="W526" s="323"/>
      <c r="X526" s="323"/>
      <c r="Y526" s="323"/>
      <c r="Z526" s="323"/>
      <c r="AA526" s="323"/>
      <c r="AB526" s="323"/>
      <c r="AC526" s="323"/>
      <c r="AD526" s="323"/>
      <c r="AE526" s="323"/>
      <c r="AF526" s="323"/>
      <c r="AG526" s="323"/>
      <c r="AH526" s="323"/>
      <c r="AI526" s="323"/>
      <c r="AJ526" s="323"/>
      <c r="AK526" s="323"/>
      <c r="AL526" s="323"/>
      <c r="AM526" s="323"/>
      <c r="AN526" s="323"/>
      <c r="AO526" s="323"/>
      <c r="AP526" s="323"/>
      <c r="AQ526" s="323"/>
      <c r="AR526" s="323"/>
      <c r="AS526" s="323"/>
      <c r="AT526" s="323"/>
      <c r="AU526" s="323"/>
      <c r="AV526" s="323"/>
      <c r="AW526" s="323"/>
    </row>
    <row r="527" spans="1:49" s="39" customFormat="1" ht="15.6">
      <c r="A527" s="828"/>
      <c r="B527" s="828"/>
      <c r="C527" s="828"/>
      <c r="D527" s="829"/>
      <c r="E527" s="829"/>
      <c r="F527" s="829"/>
      <c r="G527" s="829"/>
      <c r="H527" s="829"/>
      <c r="I527" s="827"/>
      <c r="J527" s="827"/>
      <c r="K527" s="827"/>
      <c r="L527" s="835"/>
      <c r="M527" s="835"/>
      <c r="N527" s="835"/>
      <c r="O527" s="835"/>
      <c r="P527" s="835"/>
      <c r="Q527" s="830"/>
      <c r="R527" s="830"/>
      <c r="S527" s="830"/>
      <c r="T527" s="323"/>
      <c r="U527" s="323"/>
      <c r="V527" s="323"/>
      <c r="W527" s="323"/>
      <c r="X527" s="323"/>
      <c r="Y527" s="323"/>
      <c r="Z527" s="323"/>
      <c r="AA527" s="323"/>
      <c r="AB527" s="323"/>
      <c r="AC527" s="323"/>
      <c r="AD527" s="323"/>
      <c r="AE527" s="323"/>
      <c r="AF527" s="323"/>
      <c r="AG527" s="323"/>
      <c r="AH527" s="323"/>
      <c r="AI527" s="323"/>
      <c r="AJ527" s="323"/>
      <c r="AK527" s="323"/>
      <c r="AL527" s="323"/>
      <c r="AM527" s="323"/>
      <c r="AN527" s="323"/>
      <c r="AO527" s="323"/>
      <c r="AP527" s="323"/>
      <c r="AQ527" s="323"/>
      <c r="AR527" s="323"/>
      <c r="AS527" s="323"/>
      <c r="AT527" s="323"/>
      <c r="AU527" s="323"/>
      <c r="AV527" s="323"/>
      <c r="AW527" s="323"/>
    </row>
    <row r="528" spans="1:49" s="39" customFormat="1" ht="15.6">
      <c r="A528" s="828"/>
      <c r="B528" s="828"/>
      <c r="C528" s="828"/>
      <c r="D528" s="829"/>
      <c r="E528" s="829"/>
      <c r="F528" s="829"/>
      <c r="G528" s="829"/>
      <c r="H528" s="829"/>
      <c r="I528" s="827"/>
      <c r="J528" s="827"/>
      <c r="K528" s="827"/>
      <c r="L528" s="835"/>
      <c r="M528" s="835"/>
      <c r="N528" s="835"/>
      <c r="O528" s="835"/>
      <c r="P528" s="835"/>
      <c r="Q528" s="830"/>
      <c r="R528" s="830"/>
      <c r="S528" s="830"/>
      <c r="T528" s="323"/>
      <c r="U528" s="323"/>
      <c r="V528" s="323"/>
      <c r="W528" s="323"/>
      <c r="X528" s="323"/>
      <c r="Y528" s="323"/>
      <c r="Z528" s="323"/>
      <c r="AA528" s="323"/>
      <c r="AB528" s="323"/>
      <c r="AC528" s="323"/>
      <c r="AD528" s="323"/>
      <c r="AE528" s="323"/>
      <c r="AF528" s="323"/>
      <c r="AG528" s="323"/>
      <c r="AH528" s="323"/>
      <c r="AI528" s="323"/>
      <c r="AJ528" s="323"/>
      <c r="AK528" s="323"/>
      <c r="AL528" s="323"/>
      <c r="AM528" s="323"/>
      <c r="AN528" s="323"/>
      <c r="AO528" s="323"/>
      <c r="AP528" s="323"/>
      <c r="AQ528" s="323"/>
      <c r="AR528" s="323"/>
      <c r="AS528" s="323"/>
      <c r="AT528" s="323"/>
      <c r="AU528" s="323"/>
      <c r="AV528" s="323"/>
      <c r="AW528" s="323"/>
    </row>
    <row r="529" spans="1:49" s="39" customFormat="1" ht="15.6">
      <c r="A529" s="828"/>
      <c r="B529" s="828"/>
      <c r="C529" s="828"/>
      <c r="D529" s="829"/>
      <c r="E529" s="829"/>
      <c r="F529" s="829"/>
      <c r="G529" s="829"/>
      <c r="H529" s="829"/>
      <c r="I529" s="827"/>
      <c r="J529" s="827"/>
      <c r="K529" s="827"/>
      <c r="L529" s="835"/>
      <c r="M529" s="835"/>
      <c r="N529" s="835"/>
      <c r="O529" s="835"/>
      <c r="P529" s="835"/>
      <c r="Q529" s="830"/>
      <c r="R529" s="830"/>
      <c r="S529" s="830"/>
      <c r="T529" s="323"/>
      <c r="U529" s="323"/>
      <c r="V529" s="323"/>
      <c r="W529" s="323"/>
      <c r="X529" s="323"/>
      <c r="Y529" s="323"/>
      <c r="Z529" s="323"/>
      <c r="AA529" s="323"/>
      <c r="AB529" s="323"/>
      <c r="AC529" s="323"/>
      <c r="AD529" s="323"/>
      <c r="AE529" s="323"/>
      <c r="AF529" s="323"/>
      <c r="AG529" s="323"/>
      <c r="AH529" s="323"/>
      <c r="AI529" s="323"/>
      <c r="AJ529" s="323"/>
      <c r="AK529" s="323"/>
      <c r="AL529" s="323"/>
      <c r="AM529" s="323"/>
      <c r="AN529" s="323"/>
      <c r="AO529" s="323"/>
      <c r="AP529" s="323"/>
      <c r="AQ529" s="323"/>
      <c r="AR529" s="323"/>
      <c r="AS529" s="323"/>
      <c r="AT529" s="323"/>
      <c r="AU529" s="323"/>
      <c r="AV529" s="323"/>
      <c r="AW529" s="323"/>
    </row>
    <row r="530" spans="1:49" s="39" customFormat="1" ht="15.6">
      <c r="A530" s="828"/>
      <c r="B530" s="828"/>
      <c r="C530" s="828"/>
      <c r="D530" s="829"/>
      <c r="E530" s="829"/>
      <c r="F530" s="829"/>
      <c r="G530" s="829"/>
      <c r="H530" s="829"/>
      <c r="I530" s="827"/>
      <c r="J530" s="827"/>
      <c r="K530" s="827"/>
      <c r="L530" s="835"/>
      <c r="M530" s="835"/>
      <c r="N530" s="835"/>
      <c r="O530" s="835"/>
      <c r="P530" s="835"/>
      <c r="Q530" s="830"/>
      <c r="R530" s="830"/>
      <c r="S530" s="830"/>
      <c r="T530" s="323"/>
      <c r="U530" s="323"/>
      <c r="V530" s="323"/>
      <c r="W530" s="323"/>
      <c r="X530" s="323"/>
      <c r="Y530" s="323"/>
      <c r="Z530" s="323"/>
      <c r="AA530" s="323"/>
      <c r="AB530" s="323"/>
      <c r="AC530" s="323"/>
      <c r="AD530" s="323"/>
      <c r="AE530" s="323"/>
      <c r="AF530" s="323"/>
      <c r="AG530" s="323"/>
      <c r="AH530" s="323"/>
      <c r="AI530" s="323"/>
      <c r="AJ530" s="323"/>
      <c r="AK530" s="323"/>
      <c r="AL530" s="323"/>
      <c r="AM530" s="323"/>
      <c r="AN530" s="323"/>
      <c r="AO530" s="323"/>
      <c r="AP530" s="323"/>
      <c r="AQ530" s="323"/>
      <c r="AR530" s="323"/>
      <c r="AS530" s="323"/>
      <c r="AT530" s="323"/>
      <c r="AU530" s="323"/>
      <c r="AV530" s="323"/>
      <c r="AW530" s="323"/>
    </row>
    <row r="531" spans="1:49" s="39" customFormat="1" ht="15.6">
      <c r="A531" s="828"/>
      <c r="B531" s="828"/>
      <c r="C531" s="828"/>
      <c r="D531" s="829"/>
      <c r="E531" s="829"/>
      <c r="F531" s="829"/>
      <c r="G531" s="829"/>
      <c r="H531" s="829"/>
      <c r="I531" s="827"/>
      <c r="J531" s="827"/>
      <c r="K531" s="827"/>
      <c r="L531" s="835"/>
      <c r="M531" s="835"/>
      <c r="N531" s="835"/>
      <c r="O531" s="835"/>
      <c r="P531" s="835"/>
      <c r="Q531" s="830"/>
      <c r="R531" s="830"/>
      <c r="S531" s="830"/>
      <c r="T531" s="323"/>
      <c r="U531" s="323"/>
      <c r="V531" s="323"/>
      <c r="W531" s="323"/>
      <c r="X531" s="323"/>
      <c r="Y531" s="323"/>
      <c r="Z531" s="323"/>
      <c r="AA531" s="323"/>
      <c r="AB531" s="323"/>
      <c r="AC531" s="323"/>
      <c r="AD531" s="323"/>
      <c r="AE531" s="323"/>
      <c r="AF531" s="323"/>
      <c r="AG531" s="323"/>
      <c r="AH531" s="323"/>
      <c r="AI531" s="323"/>
      <c r="AJ531" s="323"/>
      <c r="AK531" s="323"/>
      <c r="AL531" s="323"/>
      <c r="AM531" s="323"/>
      <c r="AN531" s="323"/>
      <c r="AO531" s="323"/>
      <c r="AP531" s="323"/>
      <c r="AQ531" s="323"/>
      <c r="AR531" s="323"/>
      <c r="AS531" s="323"/>
      <c r="AT531" s="323"/>
      <c r="AU531" s="323"/>
      <c r="AV531" s="323"/>
      <c r="AW531" s="323"/>
    </row>
    <row r="532" spans="1:49" s="39" customFormat="1" ht="15.6">
      <c r="A532" s="828"/>
      <c r="B532" s="828"/>
      <c r="C532" s="828"/>
      <c r="D532" s="829"/>
      <c r="E532" s="829"/>
      <c r="F532" s="829"/>
      <c r="G532" s="829"/>
      <c r="H532" s="829"/>
      <c r="I532" s="827"/>
      <c r="J532" s="827"/>
      <c r="K532" s="827"/>
      <c r="L532" s="835"/>
      <c r="M532" s="835"/>
      <c r="N532" s="835"/>
      <c r="O532" s="835"/>
      <c r="P532" s="835"/>
      <c r="Q532" s="830"/>
      <c r="R532" s="830"/>
      <c r="S532" s="830"/>
      <c r="T532" s="323"/>
      <c r="U532" s="323"/>
      <c r="V532" s="323"/>
      <c r="W532" s="323"/>
      <c r="X532" s="323"/>
      <c r="Y532" s="323"/>
      <c r="Z532" s="323"/>
      <c r="AA532" s="323"/>
      <c r="AB532" s="323"/>
      <c r="AC532" s="323"/>
      <c r="AD532" s="323"/>
      <c r="AE532" s="323"/>
      <c r="AF532" s="323"/>
      <c r="AG532" s="323"/>
      <c r="AH532" s="323"/>
      <c r="AI532" s="323"/>
      <c r="AJ532" s="323"/>
      <c r="AK532" s="323"/>
      <c r="AL532" s="323"/>
      <c r="AM532" s="323"/>
      <c r="AN532" s="323"/>
      <c r="AO532" s="323"/>
      <c r="AP532" s="323"/>
      <c r="AQ532" s="323"/>
      <c r="AR532" s="323"/>
      <c r="AS532" s="323"/>
      <c r="AT532" s="323"/>
      <c r="AU532" s="323"/>
      <c r="AV532" s="323"/>
      <c r="AW532" s="323"/>
    </row>
    <row r="533" spans="1:49" s="39" customFormat="1" ht="15.6">
      <c r="A533" s="828"/>
      <c r="B533" s="828"/>
      <c r="C533" s="828"/>
      <c r="D533" s="829"/>
      <c r="E533" s="829"/>
      <c r="F533" s="829"/>
      <c r="G533" s="829"/>
      <c r="H533" s="829"/>
      <c r="I533" s="827"/>
      <c r="J533" s="827"/>
      <c r="K533" s="827"/>
      <c r="L533" s="835"/>
      <c r="M533" s="835"/>
      <c r="N533" s="835"/>
      <c r="O533" s="835"/>
      <c r="P533" s="835"/>
      <c r="Q533" s="830"/>
      <c r="R533" s="830"/>
      <c r="S533" s="830"/>
      <c r="T533" s="323"/>
      <c r="U533" s="323"/>
      <c r="V533" s="323"/>
      <c r="W533" s="323"/>
      <c r="X533" s="323"/>
      <c r="Y533" s="323"/>
      <c r="Z533" s="323"/>
      <c r="AA533" s="323"/>
      <c r="AB533" s="323"/>
      <c r="AC533" s="323"/>
      <c r="AD533" s="323"/>
      <c r="AE533" s="323"/>
      <c r="AF533" s="323"/>
      <c r="AG533" s="323"/>
      <c r="AH533" s="323"/>
      <c r="AI533" s="323"/>
      <c r="AJ533" s="323"/>
      <c r="AK533" s="323"/>
      <c r="AL533" s="323"/>
      <c r="AM533" s="323"/>
      <c r="AN533" s="323"/>
      <c r="AO533" s="323"/>
      <c r="AP533" s="323"/>
      <c r="AQ533" s="323"/>
      <c r="AR533" s="323"/>
      <c r="AS533" s="323"/>
      <c r="AT533" s="323"/>
      <c r="AU533" s="323"/>
      <c r="AV533" s="323"/>
      <c r="AW533" s="323"/>
    </row>
    <row r="534" spans="1:49" s="39" customFormat="1" ht="15.6">
      <c r="A534" s="828"/>
      <c r="B534" s="828"/>
      <c r="C534" s="828"/>
      <c r="D534" s="829"/>
      <c r="E534" s="829"/>
      <c r="F534" s="829"/>
      <c r="G534" s="829"/>
      <c r="H534" s="829"/>
      <c r="I534" s="827"/>
      <c r="J534" s="827"/>
      <c r="K534" s="827"/>
      <c r="L534" s="835"/>
      <c r="M534" s="835"/>
      <c r="N534" s="835"/>
      <c r="O534" s="835"/>
      <c r="P534" s="835"/>
      <c r="Q534" s="830"/>
      <c r="R534" s="830"/>
      <c r="S534" s="830"/>
      <c r="T534" s="323"/>
      <c r="U534" s="323"/>
      <c r="V534" s="323"/>
      <c r="W534" s="323"/>
      <c r="X534" s="323"/>
      <c r="Y534" s="323"/>
      <c r="Z534" s="323"/>
      <c r="AA534" s="323"/>
      <c r="AB534" s="323"/>
      <c r="AC534" s="323"/>
      <c r="AD534" s="323"/>
      <c r="AE534" s="323"/>
      <c r="AF534" s="323"/>
      <c r="AG534" s="323"/>
      <c r="AH534" s="323"/>
      <c r="AI534" s="323"/>
      <c r="AJ534" s="323"/>
      <c r="AK534" s="323"/>
      <c r="AL534" s="323"/>
      <c r="AM534" s="323"/>
      <c r="AN534" s="323"/>
      <c r="AO534" s="323"/>
      <c r="AP534" s="323"/>
      <c r="AQ534" s="323"/>
      <c r="AR534" s="323"/>
      <c r="AS534" s="323"/>
      <c r="AT534" s="323"/>
      <c r="AU534" s="323"/>
      <c r="AV534" s="323"/>
      <c r="AW534" s="323"/>
    </row>
    <row r="535" spans="1:49" s="39" customFormat="1" ht="15.6">
      <c r="A535" s="828"/>
      <c r="B535" s="828"/>
      <c r="C535" s="828"/>
      <c r="D535" s="829"/>
      <c r="E535" s="829"/>
      <c r="F535" s="829"/>
      <c r="G535" s="829"/>
      <c r="H535" s="829"/>
      <c r="I535" s="827"/>
      <c r="J535" s="827"/>
      <c r="K535" s="827"/>
      <c r="L535" s="835"/>
      <c r="M535" s="835"/>
      <c r="N535" s="835"/>
      <c r="O535" s="835"/>
      <c r="P535" s="835"/>
      <c r="Q535" s="830"/>
      <c r="R535" s="830"/>
      <c r="S535" s="830"/>
      <c r="T535" s="323"/>
      <c r="U535" s="323"/>
      <c r="V535" s="323"/>
      <c r="W535" s="323"/>
      <c r="X535" s="323"/>
      <c r="Y535" s="323"/>
      <c r="Z535" s="323"/>
      <c r="AA535" s="323"/>
      <c r="AB535" s="323"/>
      <c r="AC535" s="323"/>
      <c r="AD535" s="323"/>
      <c r="AE535" s="323"/>
      <c r="AF535" s="323"/>
      <c r="AG535" s="323"/>
      <c r="AH535" s="323"/>
      <c r="AI535" s="323"/>
      <c r="AJ535" s="323"/>
      <c r="AK535" s="323"/>
      <c r="AL535" s="323"/>
      <c r="AM535" s="323"/>
      <c r="AN535" s="323"/>
      <c r="AO535" s="323"/>
      <c r="AP535" s="323"/>
      <c r="AQ535" s="323"/>
      <c r="AR535" s="323"/>
      <c r="AS535" s="323"/>
      <c r="AT535" s="323"/>
      <c r="AU535" s="323"/>
      <c r="AV535" s="323"/>
      <c r="AW535" s="323"/>
    </row>
    <row r="536" spans="1:49" s="39" customFormat="1" ht="15.6">
      <c r="A536" s="828"/>
      <c r="B536" s="828"/>
      <c r="C536" s="828"/>
      <c r="D536" s="829"/>
      <c r="E536" s="829"/>
      <c r="F536" s="829"/>
      <c r="G536" s="829"/>
      <c r="H536" s="829"/>
      <c r="I536" s="827"/>
      <c r="J536" s="827"/>
      <c r="K536" s="827"/>
      <c r="L536" s="835"/>
      <c r="M536" s="835"/>
      <c r="N536" s="835"/>
      <c r="O536" s="835"/>
      <c r="P536" s="835"/>
      <c r="Q536" s="830"/>
      <c r="R536" s="830"/>
      <c r="S536" s="830"/>
      <c r="T536" s="323"/>
      <c r="U536" s="323"/>
      <c r="V536" s="323"/>
      <c r="W536" s="323"/>
      <c r="X536" s="323"/>
      <c r="Y536" s="323"/>
      <c r="Z536" s="323"/>
      <c r="AA536" s="323"/>
      <c r="AB536" s="323"/>
      <c r="AC536" s="323"/>
      <c r="AD536" s="323"/>
      <c r="AE536" s="323"/>
      <c r="AF536" s="323"/>
      <c r="AG536" s="323"/>
      <c r="AH536" s="323"/>
      <c r="AI536" s="323"/>
      <c r="AJ536" s="323"/>
      <c r="AK536" s="323"/>
      <c r="AL536" s="323"/>
      <c r="AM536" s="323"/>
      <c r="AN536" s="323"/>
      <c r="AO536" s="323"/>
      <c r="AP536" s="323"/>
      <c r="AQ536" s="323"/>
      <c r="AR536" s="323"/>
      <c r="AS536" s="323"/>
      <c r="AT536" s="323"/>
      <c r="AU536" s="323"/>
      <c r="AV536" s="323"/>
      <c r="AW536" s="323"/>
    </row>
    <row r="537" spans="1:49" s="39" customFormat="1" ht="15.6">
      <c r="A537" s="828"/>
      <c r="B537" s="828"/>
      <c r="C537" s="828"/>
      <c r="D537" s="829"/>
      <c r="E537" s="829"/>
      <c r="F537" s="829"/>
      <c r="G537" s="829"/>
      <c r="H537" s="829"/>
      <c r="I537" s="827"/>
      <c r="J537" s="827"/>
      <c r="K537" s="827"/>
      <c r="L537" s="835"/>
      <c r="M537" s="835"/>
      <c r="N537" s="835"/>
      <c r="O537" s="835"/>
      <c r="P537" s="835"/>
      <c r="Q537" s="830"/>
      <c r="R537" s="830"/>
      <c r="S537" s="830"/>
      <c r="T537" s="323"/>
      <c r="U537" s="323"/>
      <c r="V537" s="323"/>
      <c r="W537" s="323"/>
      <c r="X537" s="323"/>
      <c r="Y537" s="323"/>
      <c r="Z537" s="323"/>
      <c r="AA537" s="323"/>
      <c r="AB537" s="323"/>
      <c r="AC537" s="323"/>
      <c r="AD537" s="323"/>
      <c r="AE537" s="323"/>
      <c r="AF537" s="323"/>
      <c r="AG537" s="323"/>
      <c r="AH537" s="323"/>
      <c r="AI537" s="323"/>
      <c r="AJ537" s="323"/>
      <c r="AK537" s="323"/>
      <c r="AL537" s="323"/>
      <c r="AM537" s="323"/>
      <c r="AN537" s="323"/>
      <c r="AO537" s="323"/>
      <c r="AP537" s="323"/>
      <c r="AQ537" s="323"/>
      <c r="AR537" s="323"/>
      <c r="AS537" s="323"/>
      <c r="AT537" s="323"/>
      <c r="AU537" s="323"/>
      <c r="AV537" s="323"/>
      <c r="AW537" s="323"/>
    </row>
    <row r="538" spans="1:49" s="39" customFormat="1" ht="15.6">
      <c r="A538" s="828"/>
      <c r="B538" s="828"/>
      <c r="C538" s="828"/>
      <c r="D538" s="829"/>
      <c r="E538" s="829"/>
      <c r="F538" s="829"/>
      <c r="G538" s="829"/>
      <c r="H538" s="829"/>
      <c r="I538" s="827"/>
      <c r="J538" s="827"/>
      <c r="K538" s="827"/>
      <c r="L538" s="835"/>
      <c r="M538" s="835"/>
      <c r="N538" s="835"/>
      <c r="O538" s="835"/>
      <c r="P538" s="835"/>
      <c r="Q538" s="830"/>
      <c r="R538" s="830"/>
      <c r="S538" s="830"/>
      <c r="T538" s="323"/>
      <c r="U538" s="323"/>
      <c r="V538" s="323"/>
      <c r="W538" s="323"/>
      <c r="X538" s="323"/>
      <c r="Y538" s="323"/>
      <c r="Z538" s="323"/>
      <c r="AA538" s="323"/>
      <c r="AB538" s="323"/>
      <c r="AC538" s="323"/>
      <c r="AD538" s="323"/>
      <c r="AE538" s="323"/>
      <c r="AF538" s="323"/>
      <c r="AG538" s="323"/>
      <c r="AH538" s="323"/>
      <c r="AI538" s="323"/>
      <c r="AJ538" s="323"/>
      <c r="AK538" s="323"/>
      <c r="AL538" s="323"/>
      <c r="AM538" s="323"/>
      <c r="AN538" s="323"/>
      <c r="AO538" s="323"/>
      <c r="AP538" s="323"/>
      <c r="AQ538" s="323"/>
      <c r="AR538" s="323"/>
      <c r="AS538" s="323"/>
      <c r="AT538" s="323"/>
      <c r="AU538" s="323"/>
      <c r="AV538" s="323"/>
      <c r="AW538" s="323"/>
    </row>
    <row r="539" spans="1:49" s="39" customFormat="1" ht="15.6">
      <c r="A539" s="828"/>
      <c r="B539" s="828"/>
      <c r="C539" s="828"/>
      <c r="D539" s="829"/>
      <c r="E539" s="829"/>
      <c r="F539" s="829"/>
      <c r="G539" s="829"/>
      <c r="H539" s="829"/>
      <c r="I539" s="827"/>
      <c r="J539" s="827"/>
      <c r="K539" s="827"/>
      <c r="L539" s="835"/>
      <c r="M539" s="835"/>
      <c r="N539" s="835"/>
      <c r="O539" s="835"/>
      <c r="P539" s="835"/>
      <c r="Q539" s="830"/>
      <c r="R539" s="830"/>
      <c r="S539" s="830"/>
      <c r="T539" s="323"/>
      <c r="U539" s="323"/>
      <c r="V539" s="323"/>
      <c r="W539" s="323"/>
      <c r="X539" s="323"/>
      <c r="Y539" s="323"/>
      <c r="Z539" s="323"/>
      <c r="AA539" s="323"/>
      <c r="AB539" s="323"/>
      <c r="AC539" s="323"/>
      <c r="AD539" s="323"/>
      <c r="AE539" s="323"/>
      <c r="AF539" s="323"/>
      <c r="AG539" s="323"/>
      <c r="AH539" s="323"/>
      <c r="AI539" s="323"/>
      <c r="AJ539" s="323"/>
      <c r="AK539" s="323"/>
      <c r="AL539" s="323"/>
      <c r="AM539" s="323"/>
      <c r="AN539" s="323"/>
      <c r="AO539" s="323"/>
      <c r="AP539" s="323"/>
      <c r="AQ539" s="323"/>
      <c r="AR539" s="323"/>
      <c r="AS539" s="323"/>
      <c r="AT539" s="323"/>
      <c r="AU539" s="323"/>
      <c r="AV539" s="323"/>
      <c r="AW539" s="323"/>
    </row>
    <row r="540" spans="1:49" s="39" customFormat="1" ht="15.6">
      <c r="A540" s="828"/>
      <c r="B540" s="828"/>
      <c r="C540" s="828"/>
      <c r="D540" s="829"/>
      <c r="E540" s="829"/>
      <c r="F540" s="829"/>
      <c r="G540" s="829"/>
      <c r="H540" s="829"/>
      <c r="I540" s="827"/>
      <c r="J540" s="827"/>
      <c r="K540" s="827"/>
      <c r="L540" s="835"/>
      <c r="M540" s="835"/>
      <c r="N540" s="835"/>
      <c r="O540" s="835"/>
      <c r="P540" s="835"/>
      <c r="Q540" s="830"/>
      <c r="R540" s="830"/>
      <c r="S540" s="830"/>
      <c r="T540" s="323"/>
      <c r="U540" s="323"/>
      <c r="V540" s="323"/>
      <c r="W540" s="323"/>
      <c r="X540" s="323"/>
      <c r="Y540" s="323"/>
      <c r="Z540" s="323"/>
      <c r="AA540" s="323"/>
      <c r="AB540" s="323"/>
      <c r="AC540" s="323"/>
      <c r="AD540" s="323"/>
      <c r="AE540" s="323"/>
      <c r="AF540" s="323"/>
      <c r="AG540" s="323"/>
      <c r="AH540" s="323"/>
      <c r="AI540" s="323"/>
      <c r="AJ540" s="323"/>
      <c r="AK540" s="323"/>
      <c r="AL540" s="323"/>
      <c r="AM540" s="323"/>
      <c r="AN540" s="323"/>
      <c r="AO540" s="323"/>
      <c r="AP540" s="323"/>
      <c r="AQ540" s="323"/>
      <c r="AR540" s="323"/>
      <c r="AS540" s="323"/>
      <c r="AT540" s="323"/>
      <c r="AU540" s="323"/>
      <c r="AV540" s="323"/>
      <c r="AW540" s="323"/>
    </row>
    <row r="541" spans="1:49" s="39" customFormat="1" ht="15.6">
      <c r="A541" s="828"/>
      <c r="B541" s="828"/>
      <c r="C541" s="828"/>
      <c r="D541" s="829"/>
      <c r="E541" s="829"/>
      <c r="F541" s="829"/>
      <c r="G541" s="829"/>
      <c r="H541" s="829"/>
      <c r="I541" s="827"/>
      <c r="J541" s="827"/>
      <c r="K541" s="827"/>
      <c r="L541" s="835"/>
      <c r="M541" s="835"/>
      <c r="N541" s="835"/>
      <c r="O541" s="835"/>
      <c r="P541" s="835"/>
      <c r="Q541" s="830"/>
      <c r="R541" s="830"/>
      <c r="S541" s="830"/>
      <c r="T541" s="323"/>
      <c r="U541" s="323"/>
      <c r="V541" s="323"/>
      <c r="W541" s="323"/>
      <c r="X541" s="323"/>
      <c r="Y541" s="323"/>
      <c r="Z541" s="323"/>
      <c r="AA541" s="323"/>
      <c r="AB541" s="323"/>
      <c r="AC541" s="323"/>
      <c r="AD541" s="323"/>
      <c r="AE541" s="323"/>
      <c r="AF541" s="323"/>
      <c r="AG541" s="323"/>
      <c r="AH541" s="323"/>
      <c r="AI541" s="323"/>
      <c r="AJ541" s="323"/>
      <c r="AK541" s="323"/>
      <c r="AL541" s="323"/>
      <c r="AM541" s="323"/>
      <c r="AN541" s="323"/>
      <c r="AO541" s="323"/>
      <c r="AP541" s="323"/>
      <c r="AQ541" s="323"/>
      <c r="AR541" s="323"/>
      <c r="AS541" s="323"/>
      <c r="AT541" s="323"/>
      <c r="AU541" s="323"/>
      <c r="AV541" s="323"/>
      <c r="AW541" s="323"/>
    </row>
    <row r="542" spans="1:49" s="39" customFormat="1" ht="15.6">
      <c r="A542" s="828"/>
      <c r="B542" s="828"/>
      <c r="C542" s="828"/>
      <c r="D542" s="829"/>
      <c r="E542" s="829"/>
      <c r="F542" s="829"/>
      <c r="G542" s="829"/>
      <c r="H542" s="829"/>
      <c r="I542" s="827"/>
      <c r="J542" s="827"/>
      <c r="K542" s="827"/>
      <c r="L542" s="835"/>
      <c r="M542" s="835"/>
      <c r="N542" s="835"/>
      <c r="O542" s="835"/>
      <c r="P542" s="835"/>
      <c r="Q542" s="830"/>
      <c r="R542" s="830"/>
      <c r="S542" s="830"/>
      <c r="T542" s="323"/>
      <c r="U542" s="323"/>
      <c r="V542" s="323"/>
      <c r="W542" s="323"/>
      <c r="X542" s="323"/>
      <c r="Y542" s="323"/>
      <c r="Z542" s="323"/>
      <c r="AA542" s="323"/>
      <c r="AB542" s="323"/>
      <c r="AC542" s="323"/>
      <c r="AD542" s="323"/>
      <c r="AE542" s="323"/>
      <c r="AF542" s="323"/>
      <c r="AG542" s="323"/>
      <c r="AH542" s="323"/>
      <c r="AI542" s="323"/>
      <c r="AJ542" s="323"/>
      <c r="AK542" s="323"/>
      <c r="AL542" s="323"/>
      <c r="AM542" s="323"/>
      <c r="AN542" s="323"/>
      <c r="AO542" s="323"/>
      <c r="AP542" s="323"/>
      <c r="AQ542" s="323"/>
      <c r="AR542" s="323"/>
      <c r="AS542" s="323"/>
      <c r="AT542" s="323"/>
      <c r="AU542" s="323"/>
      <c r="AV542" s="323"/>
      <c r="AW542" s="323"/>
    </row>
    <row r="543" spans="1:49" s="39" customFormat="1" ht="15.6">
      <c r="A543" s="828"/>
      <c r="B543" s="828"/>
      <c r="C543" s="828"/>
      <c r="D543" s="829"/>
      <c r="E543" s="829"/>
      <c r="F543" s="829"/>
      <c r="G543" s="829"/>
      <c r="H543" s="829"/>
      <c r="I543" s="827"/>
      <c r="J543" s="827"/>
      <c r="K543" s="827"/>
      <c r="L543" s="835"/>
      <c r="M543" s="835"/>
      <c r="N543" s="835"/>
      <c r="O543" s="835"/>
      <c r="P543" s="835"/>
      <c r="Q543" s="830"/>
      <c r="R543" s="830"/>
      <c r="S543" s="830"/>
      <c r="T543" s="323"/>
      <c r="U543" s="323"/>
      <c r="V543" s="323"/>
      <c r="W543" s="323"/>
      <c r="X543" s="323"/>
      <c r="Y543" s="323"/>
      <c r="Z543" s="323"/>
      <c r="AA543" s="323"/>
      <c r="AB543" s="323"/>
      <c r="AC543" s="323"/>
      <c r="AD543" s="323"/>
      <c r="AE543" s="323"/>
      <c r="AF543" s="323"/>
      <c r="AG543" s="323"/>
      <c r="AH543" s="323"/>
      <c r="AI543" s="323"/>
      <c r="AJ543" s="323"/>
      <c r="AK543" s="323"/>
      <c r="AL543" s="323"/>
      <c r="AM543" s="323"/>
      <c r="AN543" s="323"/>
      <c r="AO543" s="323"/>
      <c r="AP543" s="323"/>
      <c r="AQ543" s="323"/>
      <c r="AR543" s="323"/>
      <c r="AS543" s="323"/>
      <c r="AT543" s="323"/>
      <c r="AU543" s="323"/>
      <c r="AV543" s="323"/>
      <c r="AW543" s="323"/>
    </row>
    <row r="544" spans="1:49" s="39" customFormat="1" ht="15.6">
      <c r="A544" s="828"/>
      <c r="B544" s="828"/>
      <c r="C544" s="828"/>
      <c r="D544" s="829"/>
      <c r="E544" s="829"/>
      <c r="F544" s="829"/>
      <c r="G544" s="829"/>
      <c r="H544" s="829"/>
      <c r="I544" s="827"/>
      <c r="J544" s="827"/>
      <c r="K544" s="827"/>
      <c r="L544" s="835"/>
      <c r="M544" s="835"/>
      <c r="N544" s="835"/>
      <c r="O544" s="835"/>
      <c r="P544" s="835"/>
      <c r="Q544" s="830"/>
      <c r="R544" s="830"/>
      <c r="S544" s="830"/>
      <c r="T544" s="323"/>
      <c r="U544" s="323"/>
      <c r="V544" s="323"/>
      <c r="W544" s="323"/>
      <c r="X544" s="323"/>
      <c r="Y544" s="323"/>
      <c r="Z544" s="323"/>
      <c r="AA544" s="323"/>
      <c r="AB544" s="323"/>
      <c r="AC544" s="323"/>
      <c r="AD544" s="323"/>
      <c r="AE544" s="323"/>
      <c r="AF544" s="323"/>
      <c r="AG544" s="323"/>
      <c r="AH544" s="323"/>
      <c r="AI544" s="323"/>
      <c r="AJ544" s="323"/>
      <c r="AK544" s="323"/>
      <c r="AL544" s="323"/>
      <c r="AM544" s="323"/>
      <c r="AN544" s="323"/>
      <c r="AO544" s="323"/>
      <c r="AP544" s="323"/>
      <c r="AQ544" s="323"/>
      <c r="AR544" s="323"/>
      <c r="AS544" s="323"/>
      <c r="AT544" s="323"/>
      <c r="AU544" s="323"/>
      <c r="AV544" s="323"/>
      <c r="AW544" s="323"/>
    </row>
    <row r="545" spans="1:49" s="39" customFormat="1" ht="15.6">
      <c r="A545" s="828"/>
      <c r="B545" s="828"/>
      <c r="C545" s="828"/>
      <c r="D545" s="829"/>
      <c r="E545" s="829"/>
      <c r="F545" s="829"/>
      <c r="G545" s="829"/>
      <c r="H545" s="829"/>
      <c r="I545" s="827"/>
      <c r="J545" s="827"/>
      <c r="K545" s="827"/>
      <c r="L545" s="835"/>
      <c r="M545" s="835"/>
      <c r="N545" s="835"/>
      <c r="O545" s="835"/>
      <c r="P545" s="835"/>
      <c r="Q545" s="830"/>
      <c r="R545" s="830"/>
      <c r="S545" s="830"/>
      <c r="T545" s="323"/>
      <c r="U545" s="323"/>
      <c r="V545" s="323"/>
      <c r="W545" s="323"/>
      <c r="X545" s="323"/>
      <c r="Y545" s="323"/>
      <c r="Z545" s="323"/>
      <c r="AA545" s="323"/>
      <c r="AB545" s="323"/>
      <c r="AC545" s="323"/>
      <c r="AD545" s="323"/>
      <c r="AE545" s="323"/>
      <c r="AF545" s="323"/>
      <c r="AG545" s="323"/>
      <c r="AH545" s="323"/>
      <c r="AI545" s="323"/>
      <c r="AJ545" s="323"/>
      <c r="AK545" s="323"/>
      <c r="AL545" s="323"/>
      <c r="AM545" s="323"/>
      <c r="AN545" s="323"/>
      <c r="AO545" s="323"/>
      <c r="AP545" s="323"/>
      <c r="AQ545" s="323"/>
      <c r="AR545" s="323"/>
      <c r="AS545" s="323"/>
      <c r="AT545" s="323"/>
      <c r="AU545" s="323"/>
      <c r="AV545" s="323"/>
      <c r="AW545" s="323"/>
    </row>
    <row r="546" spans="1:49" s="39" customFormat="1" ht="15.6">
      <c r="A546" s="828"/>
      <c r="B546" s="828"/>
      <c r="C546" s="828"/>
      <c r="D546" s="829"/>
      <c r="E546" s="829"/>
      <c r="F546" s="829"/>
      <c r="G546" s="829"/>
      <c r="H546" s="829"/>
      <c r="I546" s="827"/>
      <c r="J546" s="827"/>
      <c r="K546" s="827"/>
      <c r="L546" s="835"/>
      <c r="M546" s="835"/>
      <c r="N546" s="835"/>
      <c r="O546" s="835"/>
      <c r="P546" s="835"/>
      <c r="Q546" s="830"/>
      <c r="R546" s="830"/>
      <c r="S546" s="830"/>
      <c r="T546" s="323"/>
      <c r="U546" s="323"/>
      <c r="V546" s="323"/>
      <c r="W546" s="323"/>
      <c r="X546" s="323"/>
      <c r="Y546" s="323"/>
      <c r="Z546" s="323"/>
      <c r="AA546" s="323"/>
      <c r="AB546" s="323"/>
      <c r="AC546" s="323"/>
      <c r="AD546" s="323"/>
      <c r="AE546" s="323"/>
      <c r="AF546" s="323"/>
      <c r="AG546" s="323"/>
      <c r="AH546" s="323"/>
      <c r="AI546" s="323"/>
      <c r="AJ546" s="323"/>
      <c r="AK546" s="323"/>
      <c r="AL546" s="323"/>
      <c r="AM546" s="323"/>
      <c r="AN546" s="323"/>
      <c r="AO546" s="323"/>
      <c r="AP546" s="323"/>
      <c r="AQ546" s="323"/>
      <c r="AR546" s="323"/>
      <c r="AS546" s="323"/>
      <c r="AT546" s="323"/>
      <c r="AU546" s="323"/>
      <c r="AV546" s="323"/>
      <c r="AW546" s="323"/>
    </row>
    <row r="547" spans="1:49" s="39" customFormat="1" ht="15.6">
      <c r="A547" s="828"/>
      <c r="B547" s="828"/>
      <c r="C547" s="828"/>
      <c r="D547" s="829"/>
      <c r="E547" s="829"/>
      <c r="F547" s="829"/>
      <c r="G547" s="829"/>
      <c r="H547" s="829"/>
      <c r="I547" s="827"/>
      <c r="J547" s="827"/>
      <c r="K547" s="827"/>
      <c r="L547" s="835"/>
      <c r="M547" s="835"/>
      <c r="N547" s="835"/>
      <c r="O547" s="835"/>
      <c r="P547" s="835"/>
      <c r="Q547" s="830"/>
      <c r="R547" s="830"/>
      <c r="S547" s="830"/>
      <c r="T547" s="323"/>
      <c r="U547" s="323"/>
      <c r="V547" s="323"/>
      <c r="W547" s="323"/>
      <c r="X547" s="323"/>
      <c r="Y547" s="323"/>
      <c r="Z547" s="323"/>
      <c r="AA547" s="323"/>
      <c r="AB547" s="323"/>
      <c r="AC547" s="323"/>
      <c r="AD547" s="323"/>
      <c r="AE547" s="323"/>
      <c r="AF547" s="323"/>
      <c r="AG547" s="323"/>
      <c r="AH547" s="323"/>
      <c r="AI547" s="323"/>
      <c r="AJ547" s="323"/>
      <c r="AK547" s="323"/>
      <c r="AL547" s="323"/>
      <c r="AM547" s="323"/>
      <c r="AN547" s="323"/>
      <c r="AO547" s="323"/>
      <c r="AP547" s="323"/>
      <c r="AQ547" s="323"/>
      <c r="AR547" s="323"/>
      <c r="AS547" s="323"/>
      <c r="AT547" s="323"/>
      <c r="AU547" s="323"/>
      <c r="AV547" s="323"/>
      <c r="AW547" s="323"/>
    </row>
    <row r="548" spans="1:49" s="39" customFormat="1" ht="15.6">
      <c r="A548" s="828"/>
      <c r="B548" s="828"/>
      <c r="C548" s="828"/>
      <c r="D548" s="829"/>
      <c r="E548" s="829"/>
      <c r="F548" s="829"/>
      <c r="G548" s="829"/>
      <c r="H548" s="829"/>
      <c r="I548" s="827"/>
      <c r="J548" s="827"/>
      <c r="K548" s="827"/>
      <c r="L548" s="835"/>
      <c r="M548" s="835"/>
      <c r="N548" s="835"/>
      <c r="O548" s="835"/>
      <c r="P548" s="835"/>
      <c r="Q548" s="830"/>
      <c r="R548" s="830"/>
      <c r="S548" s="830"/>
      <c r="T548" s="323"/>
      <c r="U548" s="323"/>
      <c r="V548" s="323"/>
      <c r="W548" s="323"/>
      <c r="X548" s="323"/>
      <c r="Y548" s="323"/>
      <c r="Z548" s="323"/>
      <c r="AA548" s="323"/>
      <c r="AB548" s="323"/>
      <c r="AC548" s="323"/>
      <c r="AD548" s="323"/>
      <c r="AE548" s="323"/>
      <c r="AF548" s="323"/>
      <c r="AG548" s="323"/>
      <c r="AH548" s="323"/>
      <c r="AI548" s="323"/>
      <c r="AJ548" s="323"/>
      <c r="AK548" s="323"/>
      <c r="AL548" s="323"/>
      <c r="AM548" s="323"/>
      <c r="AN548" s="323"/>
      <c r="AO548" s="323"/>
      <c r="AP548" s="323"/>
      <c r="AQ548" s="323"/>
      <c r="AR548" s="323"/>
      <c r="AS548" s="323"/>
      <c r="AT548" s="323"/>
      <c r="AU548" s="323"/>
      <c r="AV548" s="323"/>
      <c r="AW548" s="323"/>
    </row>
    <row r="549" spans="1:49" s="39" customFormat="1" ht="15.6">
      <c r="A549" s="828"/>
      <c r="B549" s="828"/>
      <c r="C549" s="828"/>
      <c r="D549" s="829"/>
      <c r="E549" s="829"/>
      <c r="F549" s="829"/>
      <c r="G549" s="829"/>
      <c r="H549" s="829"/>
      <c r="I549" s="827"/>
      <c r="J549" s="827"/>
      <c r="K549" s="827"/>
      <c r="L549" s="835"/>
      <c r="M549" s="835"/>
      <c r="N549" s="835"/>
      <c r="O549" s="835"/>
      <c r="P549" s="835"/>
      <c r="Q549" s="830"/>
      <c r="R549" s="830"/>
      <c r="S549" s="830"/>
      <c r="T549" s="323"/>
      <c r="U549" s="323"/>
      <c r="V549" s="323"/>
      <c r="W549" s="323"/>
      <c r="X549" s="323"/>
      <c r="Y549" s="323"/>
      <c r="Z549" s="323"/>
      <c r="AA549" s="323"/>
      <c r="AB549" s="323"/>
      <c r="AC549" s="323"/>
      <c r="AD549" s="323"/>
      <c r="AE549" s="323"/>
      <c r="AF549" s="323"/>
      <c r="AG549" s="323"/>
      <c r="AH549" s="323"/>
      <c r="AI549" s="323"/>
      <c r="AJ549" s="323"/>
      <c r="AK549" s="323"/>
      <c r="AL549" s="323"/>
      <c r="AM549" s="323"/>
      <c r="AN549" s="323"/>
      <c r="AO549" s="323"/>
      <c r="AP549" s="323"/>
      <c r="AQ549" s="323"/>
      <c r="AR549" s="323"/>
      <c r="AS549" s="323"/>
      <c r="AT549" s="323"/>
      <c r="AU549" s="323"/>
      <c r="AV549" s="323"/>
      <c r="AW549" s="323"/>
    </row>
    <row r="550" spans="1:49" s="39" customFormat="1" ht="15.6">
      <c r="A550" s="828"/>
      <c r="B550" s="828"/>
      <c r="C550" s="828"/>
      <c r="D550" s="829"/>
      <c r="E550" s="829"/>
      <c r="F550" s="829"/>
      <c r="G550" s="829"/>
      <c r="H550" s="829"/>
      <c r="I550" s="827"/>
      <c r="J550" s="827"/>
      <c r="K550" s="827"/>
      <c r="L550" s="835"/>
      <c r="M550" s="835"/>
      <c r="N550" s="835"/>
      <c r="O550" s="835"/>
      <c r="P550" s="835"/>
      <c r="Q550" s="830"/>
      <c r="R550" s="830"/>
      <c r="S550" s="830"/>
      <c r="T550" s="323"/>
      <c r="U550" s="323"/>
      <c r="V550" s="323"/>
      <c r="W550" s="323"/>
      <c r="X550" s="323"/>
      <c r="Y550" s="323"/>
      <c r="Z550" s="323"/>
      <c r="AA550" s="323"/>
      <c r="AB550" s="323"/>
      <c r="AC550" s="323"/>
      <c r="AD550" s="323"/>
      <c r="AE550" s="323"/>
      <c r="AF550" s="323"/>
      <c r="AG550" s="323"/>
      <c r="AH550" s="323"/>
      <c r="AI550" s="323"/>
      <c r="AJ550" s="323"/>
      <c r="AK550" s="323"/>
      <c r="AL550" s="323"/>
      <c r="AM550" s="323"/>
      <c r="AN550" s="323"/>
      <c r="AO550" s="323"/>
      <c r="AP550" s="323"/>
      <c r="AQ550" s="323"/>
      <c r="AR550" s="323"/>
      <c r="AS550" s="323"/>
      <c r="AT550" s="323"/>
      <c r="AU550" s="323"/>
      <c r="AV550" s="323"/>
      <c r="AW550" s="323"/>
    </row>
    <row r="551" spans="1:49" s="39" customFormat="1" ht="15.6">
      <c r="A551" s="828"/>
      <c r="B551" s="828"/>
      <c r="C551" s="828"/>
      <c r="D551" s="829"/>
      <c r="E551" s="829"/>
      <c r="F551" s="829"/>
      <c r="G551" s="829"/>
      <c r="H551" s="829"/>
      <c r="I551" s="827"/>
      <c r="J551" s="827"/>
      <c r="K551" s="827"/>
      <c r="L551" s="835"/>
      <c r="M551" s="835"/>
      <c r="N551" s="835"/>
      <c r="O551" s="835"/>
      <c r="P551" s="835"/>
      <c r="Q551" s="830"/>
      <c r="R551" s="830"/>
      <c r="S551" s="830"/>
      <c r="T551" s="323"/>
      <c r="U551" s="323"/>
      <c r="V551" s="323"/>
      <c r="W551" s="323"/>
      <c r="X551" s="323"/>
      <c r="Y551" s="323"/>
      <c r="Z551" s="323"/>
      <c r="AA551" s="323"/>
      <c r="AB551" s="323"/>
      <c r="AC551" s="323"/>
      <c r="AD551" s="323"/>
      <c r="AE551" s="323"/>
      <c r="AF551" s="323"/>
      <c r="AG551" s="323"/>
      <c r="AH551" s="323"/>
      <c r="AI551" s="323"/>
      <c r="AJ551" s="323"/>
      <c r="AK551" s="323"/>
      <c r="AL551" s="323"/>
      <c r="AM551" s="323"/>
      <c r="AN551" s="323"/>
      <c r="AO551" s="323"/>
      <c r="AP551" s="323"/>
      <c r="AQ551" s="323"/>
      <c r="AR551" s="323"/>
      <c r="AS551" s="323"/>
      <c r="AT551" s="323"/>
      <c r="AU551" s="323"/>
      <c r="AV551" s="323"/>
      <c r="AW551" s="323"/>
    </row>
    <row r="552" spans="1:49" s="39" customFormat="1" ht="15.6">
      <c r="A552" s="828"/>
      <c r="B552" s="828"/>
      <c r="C552" s="828"/>
      <c r="D552" s="829"/>
      <c r="E552" s="829"/>
      <c r="F552" s="829"/>
      <c r="G552" s="829"/>
      <c r="H552" s="829"/>
      <c r="I552" s="827"/>
      <c r="J552" s="827"/>
      <c r="K552" s="827"/>
      <c r="L552" s="835"/>
      <c r="M552" s="835"/>
      <c r="N552" s="835"/>
      <c r="O552" s="835"/>
      <c r="P552" s="835"/>
      <c r="Q552" s="830"/>
      <c r="R552" s="830"/>
      <c r="S552" s="830"/>
      <c r="T552" s="323"/>
      <c r="U552" s="323"/>
      <c r="V552" s="323"/>
      <c r="W552" s="323"/>
      <c r="X552" s="323"/>
      <c r="Y552" s="323"/>
      <c r="Z552" s="323"/>
      <c r="AA552" s="323"/>
      <c r="AB552" s="323"/>
      <c r="AC552" s="323"/>
      <c r="AD552" s="323"/>
      <c r="AE552" s="323"/>
      <c r="AF552" s="323"/>
      <c r="AG552" s="323"/>
      <c r="AH552" s="323"/>
      <c r="AI552" s="323"/>
      <c r="AJ552" s="323"/>
      <c r="AK552" s="323"/>
      <c r="AL552" s="323"/>
      <c r="AM552" s="323"/>
      <c r="AN552" s="323"/>
      <c r="AO552" s="323"/>
      <c r="AP552" s="323"/>
      <c r="AQ552" s="323"/>
      <c r="AR552" s="323"/>
      <c r="AS552" s="323"/>
      <c r="AT552" s="323"/>
      <c r="AU552" s="323"/>
      <c r="AV552" s="323"/>
      <c r="AW552" s="323"/>
    </row>
    <row r="553" spans="1:49" s="39" customFormat="1" ht="15.6">
      <c r="A553" s="828"/>
      <c r="B553" s="828"/>
      <c r="C553" s="828"/>
      <c r="D553" s="829"/>
      <c r="E553" s="829"/>
      <c r="F553" s="829"/>
      <c r="G553" s="829"/>
      <c r="H553" s="829"/>
      <c r="I553" s="827"/>
      <c r="J553" s="827"/>
      <c r="K553" s="827"/>
      <c r="L553" s="835"/>
      <c r="M553" s="835"/>
      <c r="N553" s="835"/>
      <c r="O553" s="835"/>
      <c r="P553" s="835"/>
      <c r="Q553" s="830"/>
      <c r="R553" s="830"/>
      <c r="S553" s="830"/>
      <c r="T553" s="323"/>
      <c r="U553" s="323"/>
      <c r="V553" s="323"/>
      <c r="W553" s="323"/>
      <c r="X553" s="323"/>
      <c r="Y553" s="323"/>
      <c r="Z553" s="323"/>
      <c r="AA553" s="323"/>
      <c r="AB553" s="323"/>
      <c r="AC553" s="323"/>
      <c r="AD553" s="323"/>
      <c r="AE553" s="323"/>
      <c r="AF553" s="323"/>
      <c r="AG553" s="323"/>
      <c r="AH553" s="323"/>
      <c r="AI553" s="323"/>
      <c r="AJ553" s="323"/>
      <c r="AK553" s="323"/>
      <c r="AL553" s="323"/>
      <c r="AM553" s="323"/>
      <c r="AN553" s="323"/>
      <c r="AO553" s="323"/>
      <c r="AP553" s="323"/>
      <c r="AQ553" s="323"/>
      <c r="AR553" s="323"/>
      <c r="AS553" s="323"/>
      <c r="AT553" s="323"/>
      <c r="AU553" s="323"/>
      <c r="AV553" s="323"/>
      <c r="AW553" s="323"/>
    </row>
    <row r="554" spans="1:49" s="39" customFormat="1" ht="15.6">
      <c r="A554" s="828"/>
      <c r="B554" s="828"/>
      <c r="C554" s="828"/>
      <c r="D554" s="829"/>
      <c r="E554" s="829"/>
      <c r="F554" s="829"/>
      <c r="G554" s="829"/>
      <c r="H554" s="829"/>
      <c r="I554" s="827"/>
      <c r="J554" s="827"/>
      <c r="K554" s="827"/>
      <c r="L554" s="835"/>
      <c r="M554" s="835"/>
      <c r="N554" s="835"/>
      <c r="O554" s="835"/>
      <c r="P554" s="835"/>
      <c r="Q554" s="830"/>
      <c r="R554" s="830"/>
      <c r="S554" s="830"/>
      <c r="T554" s="323"/>
      <c r="U554" s="323"/>
      <c r="V554" s="323"/>
      <c r="W554" s="323"/>
      <c r="X554" s="323"/>
      <c r="Y554" s="323"/>
      <c r="Z554" s="323"/>
      <c r="AA554" s="323"/>
      <c r="AB554" s="323"/>
      <c r="AC554" s="323"/>
      <c r="AD554" s="323"/>
      <c r="AE554" s="323"/>
      <c r="AF554" s="323"/>
      <c r="AG554" s="323"/>
      <c r="AH554" s="323"/>
      <c r="AI554" s="323"/>
      <c r="AJ554" s="323"/>
      <c r="AK554" s="323"/>
      <c r="AL554" s="323"/>
      <c r="AM554" s="323"/>
      <c r="AN554" s="323"/>
      <c r="AO554" s="323"/>
      <c r="AP554" s="323"/>
      <c r="AQ554" s="323"/>
      <c r="AR554" s="323"/>
      <c r="AS554" s="323"/>
      <c r="AT554" s="323"/>
      <c r="AU554" s="323"/>
      <c r="AV554" s="323"/>
      <c r="AW554" s="323"/>
    </row>
    <row r="555" spans="1:49" s="39" customFormat="1" ht="15.6">
      <c r="A555" s="828"/>
      <c r="B555" s="828"/>
      <c r="C555" s="828"/>
      <c r="D555" s="829"/>
      <c r="E555" s="829"/>
      <c r="F555" s="829"/>
      <c r="G555" s="829"/>
      <c r="H555" s="829"/>
      <c r="I555" s="827"/>
      <c r="J555" s="827"/>
      <c r="K555" s="827"/>
      <c r="L555" s="835"/>
      <c r="M555" s="835"/>
      <c r="N555" s="835"/>
      <c r="O555" s="835"/>
      <c r="P555" s="835"/>
      <c r="Q555" s="830"/>
      <c r="R555" s="830"/>
      <c r="S555" s="830"/>
      <c r="T555" s="323"/>
      <c r="U555" s="323"/>
      <c r="V555" s="323"/>
      <c r="W555" s="323"/>
      <c r="X555" s="323"/>
      <c r="Y555" s="323"/>
      <c r="Z555" s="323"/>
      <c r="AA555" s="323"/>
      <c r="AB555" s="323"/>
      <c r="AC555" s="323"/>
      <c r="AD555" s="323"/>
      <c r="AE555" s="323"/>
      <c r="AF555" s="323"/>
      <c r="AG555" s="323"/>
      <c r="AH555" s="323"/>
      <c r="AI555" s="323"/>
      <c r="AJ555" s="323"/>
      <c r="AK555" s="323"/>
      <c r="AL555" s="323"/>
      <c r="AM555" s="323"/>
      <c r="AN555" s="323"/>
      <c r="AO555" s="323"/>
      <c r="AP555" s="323"/>
      <c r="AQ555" s="323"/>
      <c r="AR555" s="323"/>
      <c r="AS555" s="323"/>
      <c r="AT555" s="323"/>
      <c r="AU555" s="323"/>
      <c r="AV555" s="323"/>
      <c r="AW555" s="323"/>
    </row>
    <row r="556" spans="1:49" s="39" customFormat="1" ht="15.6">
      <c r="A556" s="828"/>
      <c r="B556" s="828"/>
      <c r="C556" s="828"/>
      <c r="D556" s="829"/>
      <c r="E556" s="829"/>
      <c r="F556" s="829"/>
      <c r="G556" s="829"/>
      <c r="H556" s="829"/>
      <c r="I556" s="827"/>
      <c r="J556" s="827"/>
      <c r="K556" s="827"/>
      <c r="L556" s="835"/>
      <c r="M556" s="835"/>
      <c r="N556" s="835"/>
      <c r="O556" s="835"/>
      <c r="P556" s="835"/>
      <c r="Q556" s="830"/>
      <c r="R556" s="830"/>
      <c r="S556" s="830"/>
      <c r="T556" s="323"/>
      <c r="U556" s="323"/>
      <c r="V556" s="323"/>
      <c r="W556" s="323"/>
      <c r="X556" s="323"/>
      <c r="Y556" s="323"/>
      <c r="Z556" s="323"/>
      <c r="AA556" s="323"/>
      <c r="AB556" s="323"/>
      <c r="AC556" s="323"/>
      <c r="AD556" s="323"/>
      <c r="AE556" s="323"/>
      <c r="AF556" s="323"/>
      <c r="AG556" s="323"/>
      <c r="AH556" s="323"/>
      <c r="AI556" s="323"/>
      <c r="AJ556" s="323"/>
      <c r="AK556" s="323"/>
      <c r="AL556" s="323"/>
      <c r="AM556" s="323"/>
      <c r="AN556" s="323"/>
      <c r="AO556" s="323"/>
      <c r="AP556" s="323"/>
      <c r="AQ556" s="323"/>
      <c r="AR556" s="323"/>
      <c r="AS556" s="323"/>
      <c r="AT556" s="323"/>
      <c r="AU556" s="323"/>
      <c r="AV556" s="323"/>
      <c r="AW556" s="323"/>
    </row>
    <row r="557" spans="1:49" s="39" customFormat="1" ht="15.6">
      <c r="A557" s="828"/>
      <c r="B557" s="828"/>
      <c r="C557" s="828"/>
      <c r="D557" s="829"/>
      <c r="E557" s="829"/>
      <c r="F557" s="829"/>
      <c r="G557" s="829"/>
      <c r="H557" s="829"/>
      <c r="I557" s="827"/>
      <c r="J557" s="827"/>
      <c r="K557" s="827"/>
      <c r="L557" s="835"/>
      <c r="M557" s="835"/>
      <c r="N557" s="835"/>
      <c r="O557" s="835"/>
      <c r="P557" s="835"/>
      <c r="Q557" s="830"/>
      <c r="R557" s="830"/>
      <c r="S557" s="830"/>
      <c r="T557" s="323"/>
      <c r="U557" s="323"/>
      <c r="V557" s="323"/>
      <c r="W557" s="323"/>
      <c r="X557" s="323"/>
      <c r="Y557" s="323"/>
      <c r="Z557" s="323"/>
      <c r="AA557" s="323"/>
      <c r="AB557" s="323"/>
      <c r="AC557" s="323"/>
      <c r="AD557" s="323"/>
      <c r="AE557" s="323"/>
      <c r="AF557" s="323"/>
      <c r="AG557" s="323"/>
      <c r="AH557" s="323"/>
      <c r="AI557" s="323"/>
      <c r="AJ557" s="323"/>
      <c r="AK557" s="323"/>
      <c r="AL557" s="323"/>
      <c r="AM557" s="323"/>
      <c r="AN557" s="323"/>
      <c r="AO557" s="323"/>
      <c r="AP557" s="323"/>
      <c r="AQ557" s="323"/>
      <c r="AR557" s="323"/>
      <c r="AS557" s="323"/>
      <c r="AT557" s="323"/>
      <c r="AU557" s="323"/>
      <c r="AV557" s="323"/>
      <c r="AW557" s="323"/>
    </row>
    <row r="558" spans="1:49" s="39" customFormat="1" ht="15.6">
      <c r="A558" s="828"/>
      <c r="B558" s="828"/>
      <c r="C558" s="828"/>
      <c r="D558" s="829"/>
      <c r="E558" s="829"/>
      <c r="F558" s="829"/>
      <c r="G558" s="829"/>
      <c r="H558" s="829"/>
      <c r="I558" s="827"/>
      <c r="J558" s="827"/>
      <c r="K558" s="827"/>
      <c r="L558" s="835"/>
      <c r="M558" s="835"/>
      <c r="N558" s="835"/>
      <c r="O558" s="835"/>
      <c r="P558" s="835"/>
      <c r="Q558" s="830"/>
      <c r="R558" s="830"/>
      <c r="S558" s="830"/>
      <c r="T558" s="323"/>
      <c r="U558" s="323"/>
      <c r="V558" s="323"/>
      <c r="W558" s="323"/>
      <c r="X558" s="323"/>
      <c r="Y558" s="323"/>
      <c r="Z558" s="323"/>
      <c r="AA558" s="323"/>
      <c r="AB558" s="323"/>
      <c r="AC558" s="323"/>
      <c r="AD558" s="323"/>
      <c r="AE558" s="323"/>
      <c r="AF558" s="323"/>
      <c r="AG558" s="323"/>
      <c r="AH558" s="323"/>
      <c r="AI558" s="323"/>
      <c r="AJ558" s="323"/>
      <c r="AK558" s="323"/>
      <c r="AL558" s="323"/>
      <c r="AM558" s="323"/>
      <c r="AN558" s="323"/>
      <c r="AO558" s="323"/>
      <c r="AP558" s="323"/>
      <c r="AQ558" s="323"/>
      <c r="AR558" s="323"/>
      <c r="AS558" s="323"/>
      <c r="AT558" s="323"/>
      <c r="AU558" s="323"/>
      <c r="AV558" s="323"/>
      <c r="AW558" s="323"/>
    </row>
    <row r="559" spans="1:49" s="39" customFormat="1" ht="15.6">
      <c r="A559" s="828"/>
      <c r="B559" s="828"/>
      <c r="C559" s="828"/>
      <c r="D559" s="829"/>
      <c r="E559" s="829"/>
      <c r="F559" s="829"/>
      <c r="G559" s="829"/>
      <c r="H559" s="829"/>
      <c r="I559" s="827"/>
      <c r="J559" s="827"/>
      <c r="K559" s="827"/>
      <c r="L559" s="835"/>
      <c r="M559" s="835"/>
      <c r="N559" s="835"/>
      <c r="O559" s="835"/>
      <c r="P559" s="835"/>
      <c r="Q559" s="830"/>
      <c r="R559" s="830"/>
      <c r="S559" s="830"/>
      <c r="T559" s="323"/>
      <c r="U559" s="323"/>
      <c r="V559" s="323"/>
      <c r="W559" s="323"/>
      <c r="X559" s="323"/>
      <c r="Y559" s="323"/>
      <c r="Z559" s="323"/>
      <c r="AA559" s="323"/>
      <c r="AB559" s="323"/>
      <c r="AC559" s="323"/>
      <c r="AD559" s="323"/>
      <c r="AE559" s="323"/>
      <c r="AF559" s="323"/>
      <c r="AG559" s="323"/>
      <c r="AH559" s="323"/>
      <c r="AI559" s="323"/>
      <c r="AJ559" s="323"/>
      <c r="AK559" s="323"/>
      <c r="AL559" s="323"/>
      <c r="AM559" s="323"/>
      <c r="AN559" s="323"/>
      <c r="AO559" s="323"/>
      <c r="AP559" s="323"/>
      <c r="AQ559" s="323"/>
      <c r="AR559" s="323"/>
      <c r="AS559" s="323"/>
      <c r="AT559" s="323"/>
      <c r="AU559" s="323"/>
      <c r="AV559" s="323"/>
      <c r="AW559" s="323"/>
    </row>
    <row r="560" spans="1:49" s="39" customFormat="1" ht="15.6">
      <c r="A560" s="828"/>
      <c r="B560" s="828"/>
      <c r="C560" s="828"/>
      <c r="D560" s="829"/>
      <c r="E560" s="829"/>
      <c r="F560" s="829"/>
      <c r="G560" s="829"/>
      <c r="H560" s="829"/>
      <c r="I560" s="827"/>
      <c r="J560" s="827"/>
      <c r="K560" s="827"/>
      <c r="L560" s="835"/>
      <c r="M560" s="835"/>
      <c r="N560" s="835"/>
      <c r="O560" s="835"/>
      <c r="P560" s="835"/>
      <c r="Q560" s="830"/>
      <c r="R560" s="830"/>
      <c r="S560" s="830"/>
      <c r="T560" s="323"/>
      <c r="U560" s="323"/>
      <c r="V560" s="323"/>
      <c r="W560" s="323"/>
      <c r="X560" s="323"/>
      <c r="Y560" s="323"/>
      <c r="Z560" s="323"/>
      <c r="AA560" s="323"/>
      <c r="AB560" s="323"/>
      <c r="AC560" s="323"/>
      <c r="AD560" s="323"/>
      <c r="AE560" s="323"/>
      <c r="AF560" s="323"/>
      <c r="AG560" s="323"/>
      <c r="AH560" s="323"/>
      <c r="AI560" s="323"/>
      <c r="AJ560" s="323"/>
      <c r="AK560" s="323"/>
      <c r="AL560" s="323"/>
      <c r="AM560" s="323"/>
      <c r="AN560" s="323"/>
      <c r="AO560" s="323"/>
      <c r="AP560" s="323"/>
      <c r="AQ560" s="323"/>
      <c r="AR560" s="323"/>
      <c r="AS560" s="323"/>
      <c r="AT560" s="323"/>
      <c r="AU560" s="323"/>
      <c r="AV560" s="323"/>
      <c r="AW560" s="323"/>
    </row>
    <row r="561" spans="1:49" s="39" customFormat="1" ht="15.6">
      <c r="A561" s="828"/>
      <c r="B561" s="828"/>
      <c r="C561" s="828"/>
      <c r="D561" s="829"/>
      <c r="E561" s="829"/>
      <c r="F561" s="829"/>
      <c r="G561" s="829"/>
      <c r="H561" s="829"/>
      <c r="I561" s="827"/>
      <c r="J561" s="827"/>
      <c r="K561" s="827"/>
      <c r="L561" s="835"/>
      <c r="M561" s="835"/>
      <c r="N561" s="835"/>
      <c r="O561" s="835"/>
      <c r="P561" s="835"/>
      <c r="Q561" s="830"/>
      <c r="R561" s="830"/>
      <c r="S561" s="830"/>
      <c r="T561" s="323"/>
      <c r="U561" s="323"/>
      <c r="V561" s="323"/>
      <c r="W561" s="323"/>
      <c r="X561" s="323"/>
      <c r="Y561" s="323"/>
      <c r="Z561" s="323"/>
      <c r="AA561" s="323"/>
      <c r="AB561" s="323"/>
      <c r="AC561" s="323"/>
      <c r="AD561" s="323"/>
      <c r="AE561" s="323"/>
      <c r="AF561" s="323"/>
      <c r="AG561" s="323"/>
      <c r="AH561" s="323"/>
      <c r="AI561" s="323"/>
      <c r="AJ561" s="323"/>
      <c r="AK561" s="323"/>
      <c r="AL561" s="323"/>
      <c r="AM561" s="323"/>
      <c r="AN561" s="323"/>
      <c r="AO561" s="323"/>
      <c r="AP561" s="323"/>
      <c r="AQ561" s="323"/>
      <c r="AR561" s="323"/>
      <c r="AS561" s="323"/>
      <c r="AT561" s="323"/>
      <c r="AU561" s="323"/>
      <c r="AV561" s="323"/>
      <c r="AW561" s="323"/>
    </row>
    <row r="562" spans="1:49" s="39" customFormat="1" ht="15.6">
      <c r="A562" s="828"/>
      <c r="B562" s="828"/>
      <c r="C562" s="828"/>
      <c r="D562" s="829"/>
      <c r="E562" s="829"/>
      <c r="F562" s="829"/>
      <c r="G562" s="829"/>
      <c r="H562" s="829"/>
      <c r="I562" s="827"/>
      <c r="J562" s="827"/>
      <c r="K562" s="827"/>
      <c r="L562" s="835"/>
      <c r="M562" s="835"/>
      <c r="N562" s="835"/>
      <c r="O562" s="835"/>
      <c r="P562" s="835"/>
      <c r="Q562" s="830"/>
      <c r="R562" s="830"/>
      <c r="S562" s="830"/>
      <c r="T562" s="323"/>
      <c r="U562" s="323"/>
      <c r="V562" s="323"/>
      <c r="W562" s="323"/>
      <c r="X562" s="323"/>
      <c r="Y562" s="323"/>
      <c r="Z562" s="323"/>
      <c r="AA562" s="323"/>
      <c r="AB562" s="323"/>
      <c r="AC562" s="323"/>
      <c r="AD562" s="323"/>
      <c r="AE562" s="323"/>
      <c r="AF562" s="323"/>
      <c r="AG562" s="323"/>
      <c r="AH562" s="323"/>
      <c r="AI562" s="323"/>
      <c r="AJ562" s="323"/>
      <c r="AK562" s="323"/>
      <c r="AL562" s="323"/>
      <c r="AM562" s="323"/>
      <c r="AN562" s="323"/>
      <c r="AO562" s="323"/>
      <c r="AP562" s="323"/>
      <c r="AQ562" s="323"/>
      <c r="AR562" s="323"/>
      <c r="AS562" s="323"/>
      <c r="AT562" s="323"/>
      <c r="AU562" s="323"/>
      <c r="AV562" s="323"/>
      <c r="AW562" s="323"/>
    </row>
    <row r="563" spans="1:49" s="39" customFormat="1" ht="15.6">
      <c r="A563" s="828"/>
      <c r="B563" s="828"/>
      <c r="C563" s="828"/>
      <c r="D563" s="829"/>
      <c r="E563" s="829"/>
      <c r="F563" s="829"/>
      <c r="G563" s="829"/>
      <c r="H563" s="829"/>
      <c r="I563" s="827"/>
      <c r="J563" s="827"/>
      <c r="K563" s="827"/>
      <c r="L563" s="835"/>
      <c r="M563" s="835"/>
      <c r="N563" s="835"/>
      <c r="O563" s="835"/>
      <c r="P563" s="835"/>
      <c r="Q563" s="830"/>
      <c r="R563" s="830"/>
      <c r="S563" s="830"/>
      <c r="T563" s="323"/>
      <c r="U563" s="323"/>
      <c r="V563" s="323"/>
      <c r="W563" s="323"/>
      <c r="X563" s="323"/>
      <c r="Y563" s="323"/>
      <c r="Z563" s="323"/>
      <c r="AA563" s="323"/>
      <c r="AB563" s="323"/>
      <c r="AC563" s="323"/>
      <c r="AD563" s="323"/>
      <c r="AE563" s="323"/>
      <c r="AF563" s="323"/>
      <c r="AG563" s="323"/>
      <c r="AH563" s="323"/>
      <c r="AI563" s="323"/>
      <c r="AJ563" s="323"/>
      <c r="AK563" s="323"/>
      <c r="AL563" s="323"/>
      <c r="AM563" s="323"/>
      <c r="AN563" s="323"/>
      <c r="AO563" s="323"/>
      <c r="AP563" s="323"/>
      <c r="AQ563" s="323"/>
      <c r="AR563" s="323"/>
      <c r="AS563" s="323"/>
      <c r="AT563" s="323"/>
      <c r="AU563" s="323"/>
      <c r="AV563" s="323"/>
      <c r="AW563" s="323"/>
    </row>
    <row r="564" spans="1:49" s="39" customFormat="1" ht="15.6">
      <c r="A564" s="828"/>
      <c r="B564" s="828"/>
      <c r="C564" s="828"/>
      <c r="D564" s="829"/>
      <c r="E564" s="829"/>
      <c r="F564" s="829"/>
      <c r="G564" s="829"/>
      <c r="H564" s="829"/>
      <c r="I564" s="827"/>
      <c r="J564" s="827"/>
      <c r="K564" s="827"/>
      <c r="L564" s="835"/>
      <c r="M564" s="835"/>
      <c r="N564" s="835"/>
      <c r="O564" s="835"/>
      <c r="P564" s="835"/>
      <c r="Q564" s="830"/>
      <c r="R564" s="830"/>
      <c r="S564" s="830"/>
      <c r="T564" s="323"/>
      <c r="U564" s="323"/>
      <c r="V564" s="323"/>
      <c r="W564" s="323"/>
      <c r="X564" s="323"/>
      <c r="Y564" s="323"/>
      <c r="Z564" s="323"/>
      <c r="AA564" s="323"/>
      <c r="AB564" s="323"/>
      <c r="AC564" s="323"/>
      <c r="AD564" s="323"/>
      <c r="AE564" s="323"/>
      <c r="AF564" s="323"/>
      <c r="AG564" s="323"/>
      <c r="AH564" s="323"/>
      <c r="AI564" s="323"/>
      <c r="AJ564" s="323"/>
      <c r="AK564" s="323"/>
      <c r="AL564" s="323"/>
      <c r="AM564" s="323"/>
      <c r="AN564" s="323"/>
      <c r="AO564" s="323"/>
      <c r="AP564" s="323"/>
      <c r="AQ564" s="323"/>
      <c r="AR564" s="323"/>
      <c r="AS564" s="323"/>
      <c r="AT564" s="323"/>
      <c r="AU564" s="323"/>
      <c r="AV564" s="323"/>
      <c r="AW564" s="323"/>
    </row>
    <row r="565" spans="1:49" s="39" customFormat="1" ht="15.6">
      <c r="A565" s="828"/>
      <c r="B565" s="828"/>
      <c r="C565" s="828"/>
      <c r="D565" s="829"/>
      <c r="E565" s="829"/>
      <c r="F565" s="829"/>
      <c r="G565" s="829"/>
      <c r="H565" s="829"/>
      <c r="I565" s="827"/>
      <c r="J565" s="827"/>
      <c r="K565" s="827"/>
      <c r="L565" s="835"/>
      <c r="M565" s="835"/>
      <c r="N565" s="835"/>
      <c r="O565" s="835"/>
      <c r="P565" s="835"/>
      <c r="Q565" s="830"/>
      <c r="R565" s="830"/>
      <c r="S565" s="830"/>
      <c r="T565" s="323"/>
      <c r="U565" s="323"/>
      <c r="V565" s="323"/>
      <c r="W565" s="323"/>
      <c r="X565" s="323"/>
      <c r="Y565" s="323"/>
      <c r="Z565" s="323"/>
      <c r="AA565" s="323"/>
      <c r="AB565" s="323"/>
      <c r="AC565" s="323"/>
      <c r="AD565" s="323"/>
      <c r="AE565" s="323"/>
      <c r="AF565" s="323"/>
      <c r="AG565" s="323"/>
      <c r="AH565" s="323"/>
      <c r="AI565" s="323"/>
      <c r="AJ565" s="323"/>
      <c r="AK565" s="323"/>
      <c r="AL565" s="323"/>
      <c r="AM565" s="323"/>
      <c r="AN565" s="323"/>
      <c r="AO565" s="323"/>
      <c r="AP565" s="323"/>
      <c r="AQ565" s="323"/>
      <c r="AR565" s="323"/>
      <c r="AS565" s="323"/>
      <c r="AT565" s="323"/>
      <c r="AU565" s="323"/>
      <c r="AV565" s="323"/>
      <c r="AW565" s="323"/>
    </row>
    <row r="566" spans="1:49" s="39" customFormat="1" ht="15.6">
      <c r="A566" s="828"/>
      <c r="B566" s="828"/>
      <c r="C566" s="828"/>
      <c r="D566" s="829"/>
      <c r="E566" s="829"/>
      <c r="F566" s="829"/>
      <c r="G566" s="829"/>
      <c r="H566" s="829"/>
      <c r="I566" s="827"/>
      <c r="J566" s="827"/>
      <c r="K566" s="827"/>
      <c r="L566" s="835"/>
      <c r="M566" s="835"/>
      <c r="N566" s="835"/>
      <c r="O566" s="835"/>
      <c r="P566" s="835"/>
      <c r="Q566" s="830"/>
      <c r="R566" s="830"/>
      <c r="S566" s="830"/>
      <c r="T566" s="323"/>
      <c r="U566" s="323"/>
      <c r="V566" s="323"/>
      <c r="W566" s="323"/>
      <c r="X566" s="323"/>
      <c r="Y566" s="323"/>
      <c r="Z566" s="323"/>
      <c r="AA566" s="323"/>
      <c r="AB566" s="323"/>
      <c r="AC566" s="323"/>
      <c r="AD566" s="323"/>
      <c r="AE566" s="323"/>
      <c r="AF566" s="323"/>
      <c r="AG566" s="323"/>
      <c r="AH566" s="323"/>
      <c r="AI566" s="323"/>
      <c r="AJ566" s="323"/>
      <c r="AK566" s="323"/>
      <c r="AL566" s="323"/>
      <c r="AM566" s="323"/>
      <c r="AN566" s="323"/>
      <c r="AO566" s="323"/>
      <c r="AP566" s="323"/>
      <c r="AQ566" s="323"/>
      <c r="AR566" s="323"/>
      <c r="AS566" s="323"/>
      <c r="AT566" s="323"/>
      <c r="AU566" s="323"/>
      <c r="AV566" s="323"/>
      <c r="AW566" s="323"/>
    </row>
    <row r="567" spans="1:49" s="39" customFormat="1" ht="15.6">
      <c r="A567" s="828"/>
      <c r="B567" s="828"/>
      <c r="C567" s="828"/>
      <c r="D567" s="829"/>
      <c r="E567" s="829"/>
      <c r="F567" s="829"/>
      <c r="G567" s="829"/>
      <c r="H567" s="829"/>
      <c r="I567" s="827"/>
      <c r="J567" s="827"/>
      <c r="K567" s="827"/>
      <c r="L567" s="835"/>
      <c r="M567" s="835"/>
      <c r="N567" s="835"/>
      <c r="O567" s="835"/>
      <c r="P567" s="835"/>
      <c r="Q567" s="830"/>
      <c r="R567" s="830"/>
      <c r="S567" s="830"/>
      <c r="T567" s="323"/>
      <c r="U567" s="323"/>
      <c r="V567" s="323"/>
      <c r="W567" s="323"/>
      <c r="X567" s="323"/>
      <c r="Y567" s="323"/>
      <c r="Z567" s="323"/>
      <c r="AA567" s="323"/>
      <c r="AB567" s="323"/>
      <c r="AC567" s="323"/>
      <c r="AD567" s="323"/>
      <c r="AE567" s="323"/>
      <c r="AF567" s="323"/>
      <c r="AG567" s="323"/>
      <c r="AH567" s="323"/>
      <c r="AI567" s="323"/>
      <c r="AJ567" s="323"/>
      <c r="AK567" s="323"/>
      <c r="AL567" s="323"/>
      <c r="AM567" s="323"/>
      <c r="AN567" s="323"/>
      <c r="AO567" s="323"/>
      <c r="AP567" s="323"/>
      <c r="AQ567" s="323"/>
      <c r="AR567" s="323"/>
      <c r="AS567" s="323"/>
      <c r="AT567" s="323"/>
      <c r="AU567" s="323"/>
      <c r="AV567" s="323"/>
      <c r="AW567" s="323"/>
    </row>
    <row r="568" spans="1:49" s="39" customFormat="1" ht="15.6">
      <c r="A568" s="828"/>
      <c r="B568" s="828"/>
      <c r="C568" s="828"/>
      <c r="D568" s="829"/>
      <c r="E568" s="829"/>
      <c r="F568" s="829"/>
      <c r="G568" s="829"/>
      <c r="H568" s="829"/>
      <c r="I568" s="827"/>
      <c r="J568" s="827"/>
      <c r="K568" s="827"/>
      <c r="L568" s="835"/>
      <c r="M568" s="835"/>
      <c r="N568" s="835"/>
      <c r="O568" s="835"/>
      <c r="P568" s="835"/>
      <c r="Q568" s="830"/>
      <c r="R568" s="830"/>
      <c r="S568" s="830"/>
      <c r="T568" s="323"/>
      <c r="U568" s="323"/>
      <c r="V568" s="323"/>
      <c r="W568" s="323"/>
      <c r="X568" s="323"/>
      <c r="Y568" s="323"/>
      <c r="Z568" s="323"/>
      <c r="AA568" s="323"/>
      <c r="AB568" s="323"/>
      <c r="AC568" s="323"/>
      <c r="AD568" s="323"/>
      <c r="AE568" s="323"/>
      <c r="AF568" s="323"/>
      <c r="AG568" s="323"/>
      <c r="AH568" s="323"/>
      <c r="AI568" s="323"/>
      <c r="AJ568" s="323"/>
      <c r="AK568" s="323"/>
      <c r="AL568" s="323"/>
      <c r="AM568" s="323"/>
      <c r="AN568" s="323"/>
      <c r="AO568" s="323"/>
      <c r="AP568" s="323"/>
      <c r="AQ568" s="323"/>
      <c r="AR568" s="323"/>
      <c r="AS568" s="323"/>
      <c r="AT568" s="323"/>
      <c r="AU568" s="323"/>
      <c r="AV568" s="323"/>
      <c r="AW568" s="323"/>
    </row>
    <row r="569" spans="1:49" s="39" customFormat="1" ht="15.6">
      <c r="A569" s="828"/>
      <c r="B569" s="828"/>
      <c r="C569" s="828"/>
      <c r="D569" s="829"/>
      <c r="E569" s="829"/>
      <c r="F569" s="829"/>
      <c r="G569" s="829"/>
      <c r="H569" s="829"/>
      <c r="I569" s="827"/>
      <c r="J569" s="827"/>
      <c r="K569" s="827"/>
      <c r="L569" s="835"/>
      <c r="M569" s="835"/>
      <c r="N569" s="835"/>
      <c r="O569" s="835"/>
      <c r="P569" s="835"/>
      <c r="Q569" s="830"/>
      <c r="R569" s="830"/>
      <c r="S569" s="830"/>
      <c r="T569" s="323"/>
      <c r="U569" s="323"/>
      <c r="V569" s="323"/>
      <c r="W569" s="323"/>
      <c r="X569" s="323"/>
      <c r="Y569" s="323"/>
      <c r="Z569" s="323"/>
      <c r="AA569" s="323"/>
      <c r="AB569" s="323"/>
      <c r="AC569" s="323"/>
      <c r="AD569" s="323"/>
      <c r="AE569" s="323"/>
      <c r="AF569" s="323"/>
      <c r="AG569" s="323"/>
      <c r="AH569" s="323"/>
      <c r="AI569" s="323"/>
      <c r="AJ569" s="323"/>
      <c r="AK569" s="323"/>
      <c r="AL569" s="323"/>
      <c r="AM569" s="323"/>
      <c r="AN569" s="323"/>
      <c r="AO569" s="323"/>
      <c r="AP569" s="323"/>
      <c r="AQ569" s="323"/>
      <c r="AR569" s="323"/>
      <c r="AS569" s="323"/>
      <c r="AT569" s="323"/>
      <c r="AU569" s="323"/>
      <c r="AV569" s="323"/>
      <c r="AW569" s="323"/>
    </row>
    <row r="570" spans="1:49" s="39" customFormat="1" ht="15.6">
      <c r="A570" s="828"/>
      <c r="B570" s="828"/>
      <c r="C570" s="828"/>
      <c r="D570" s="829"/>
      <c r="E570" s="829"/>
      <c r="F570" s="829"/>
      <c r="G570" s="829"/>
      <c r="H570" s="829"/>
      <c r="I570" s="827"/>
      <c r="J570" s="827"/>
      <c r="K570" s="827"/>
      <c r="L570" s="835"/>
      <c r="M570" s="835"/>
      <c r="N570" s="835"/>
      <c r="O570" s="835"/>
      <c r="P570" s="835"/>
      <c r="Q570" s="830"/>
      <c r="R570" s="830"/>
      <c r="S570" s="830"/>
      <c r="T570" s="323"/>
      <c r="U570" s="323"/>
      <c r="V570" s="323"/>
      <c r="W570" s="323"/>
      <c r="X570" s="323"/>
      <c r="Y570" s="323"/>
      <c r="Z570" s="323"/>
      <c r="AA570" s="323"/>
      <c r="AB570" s="323"/>
      <c r="AC570" s="323"/>
      <c r="AD570" s="323"/>
      <c r="AE570" s="323"/>
      <c r="AF570" s="323"/>
      <c r="AG570" s="323"/>
      <c r="AH570" s="323"/>
      <c r="AI570" s="323"/>
      <c r="AJ570" s="323"/>
      <c r="AK570" s="323"/>
      <c r="AL570" s="323"/>
      <c r="AM570" s="323"/>
      <c r="AN570" s="323"/>
      <c r="AO570" s="323"/>
      <c r="AP570" s="323"/>
      <c r="AQ570" s="323"/>
      <c r="AR570" s="323"/>
      <c r="AS570" s="323"/>
      <c r="AT570" s="323"/>
      <c r="AU570" s="323"/>
      <c r="AV570" s="323"/>
      <c r="AW570" s="323"/>
    </row>
    <row r="571" spans="1:49" s="39" customFormat="1" ht="15.6">
      <c r="A571" s="828"/>
      <c r="B571" s="828"/>
      <c r="C571" s="828"/>
      <c r="D571" s="829"/>
      <c r="E571" s="829"/>
      <c r="F571" s="829"/>
      <c r="G571" s="829"/>
      <c r="H571" s="829"/>
      <c r="I571" s="827"/>
      <c r="J571" s="827"/>
      <c r="K571" s="827"/>
      <c r="L571" s="835"/>
      <c r="M571" s="835"/>
      <c r="N571" s="835"/>
      <c r="O571" s="835"/>
      <c r="P571" s="835"/>
      <c r="Q571" s="830"/>
      <c r="R571" s="830"/>
      <c r="S571" s="830"/>
      <c r="T571" s="323"/>
      <c r="U571" s="323"/>
      <c r="V571" s="323"/>
      <c r="W571" s="323"/>
      <c r="X571" s="323"/>
      <c r="Y571" s="323"/>
      <c r="Z571" s="323"/>
      <c r="AA571" s="323"/>
      <c r="AB571" s="323"/>
      <c r="AC571" s="323"/>
      <c r="AD571" s="323"/>
      <c r="AE571" s="323"/>
      <c r="AF571" s="323"/>
      <c r="AG571" s="323"/>
      <c r="AH571" s="323"/>
      <c r="AI571" s="323"/>
      <c r="AJ571" s="323"/>
      <c r="AK571" s="323"/>
      <c r="AL571" s="323"/>
      <c r="AM571" s="323"/>
      <c r="AN571" s="323"/>
      <c r="AO571" s="323"/>
      <c r="AP571" s="323"/>
      <c r="AQ571" s="323"/>
      <c r="AR571" s="323"/>
      <c r="AS571" s="323"/>
      <c r="AT571" s="323"/>
      <c r="AU571" s="323"/>
      <c r="AV571" s="323"/>
      <c r="AW571" s="323"/>
    </row>
    <row r="572" spans="1:49" s="39" customFormat="1" ht="15.6">
      <c r="A572" s="828"/>
      <c r="B572" s="828"/>
      <c r="C572" s="828"/>
      <c r="D572" s="829"/>
      <c r="E572" s="829"/>
      <c r="F572" s="829"/>
      <c r="G572" s="829"/>
      <c r="H572" s="829"/>
      <c r="I572" s="827"/>
      <c r="J572" s="827"/>
      <c r="K572" s="827"/>
      <c r="L572" s="835"/>
      <c r="M572" s="835"/>
      <c r="N572" s="835"/>
      <c r="O572" s="835"/>
      <c r="P572" s="835"/>
      <c r="Q572" s="830"/>
      <c r="R572" s="830"/>
      <c r="S572" s="830"/>
      <c r="T572" s="323"/>
      <c r="U572" s="323"/>
      <c r="V572" s="323"/>
      <c r="W572" s="323"/>
      <c r="X572" s="323"/>
      <c r="Y572" s="323"/>
      <c r="Z572" s="323"/>
      <c r="AA572" s="323"/>
      <c r="AB572" s="323"/>
      <c r="AC572" s="323"/>
      <c r="AD572" s="323"/>
      <c r="AE572" s="323"/>
      <c r="AF572" s="323"/>
      <c r="AG572" s="323"/>
      <c r="AH572" s="323"/>
      <c r="AI572" s="323"/>
      <c r="AJ572" s="323"/>
      <c r="AK572" s="323"/>
      <c r="AL572" s="323"/>
      <c r="AM572" s="323"/>
      <c r="AN572" s="323"/>
      <c r="AO572" s="323"/>
      <c r="AP572" s="323"/>
      <c r="AQ572" s="323"/>
      <c r="AR572" s="323"/>
      <c r="AS572" s="323"/>
      <c r="AT572" s="323"/>
      <c r="AU572" s="323"/>
      <c r="AV572" s="323"/>
      <c r="AW572" s="323"/>
    </row>
    <row r="573" spans="1:49" s="39" customFormat="1" ht="15.6">
      <c r="A573" s="828"/>
      <c r="B573" s="828"/>
      <c r="C573" s="828"/>
      <c r="D573" s="829"/>
      <c r="E573" s="829"/>
      <c r="F573" s="829"/>
      <c r="G573" s="829"/>
      <c r="H573" s="829"/>
      <c r="I573" s="827"/>
      <c r="J573" s="827"/>
      <c r="K573" s="827"/>
      <c r="L573" s="835"/>
      <c r="M573" s="835"/>
      <c r="N573" s="835"/>
      <c r="O573" s="835"/>
      <c r="P573" s="835"/>
      <c r="Q573" s="830"/>
      <c r="R573" s="830"/>
      <c r="S573" s="830"/>
      <c r="T573" s="323"/>
      <c r="U573" s="323"/>
      <c r="V573" s="323"/>
      <c r="W573" s="323"/>
      <c r="X573" s="323"/>
      <c r="Y573" s="323"/>
      <c r="Z573" s="323"/>
      <c r="AA573" s="323"/>
      <c r="AB573" s="323"/>
      <c r="AC573" s="323"/>
      <c r="AD573" s="323"/>
      <c r="AE573" s="323"/>
      <c r="AF573" s="323"/>
      <c r="AG573" s="323"/>
      <c r="AH573" s="323"/>
      <c r="AI573" s="323"/>
      <c r="AJ573" s="323"/>
      <c r="AK573" s="323"/>
      <c r="AL573" s="323"/>
      <c r="AM573" s="323"/>
      <c r="AN573" s="323"/>
      <c r="AO573" s="323"/>
      <c r="AP573" s="323"/>
      <c r="AQ573" s="323"/>
      <c r="AR573" s="323"/>
      <c r="AS573" s="323"/>
      <c r="AT573" s="323"/>
      <c r="AU573" s="323"/>
      <c r="AV573" s="323"/>
      <c r="AW573" s="323"/>
    </row>
    <row r="574" spans="1:49" s="39" customFormat="1" ht="15.6">
      <c r="A574" s="828"/>
      <c r="B574" s="828"/>
      <c r="C574" s="828"/>
      <c r="D574" s="829"/>
      <c r="E574" s="829"/>
      <c r="F574" s="829"/>
      <c r="G574" s="829"/>
      <c r="H574" s="829"/>
      <c r="I574" s="827"/>
      <c r="J574" s="827"/>
      <c r="K574" s="827"/>
      <c r="L574" s="835"/>
      <c r="M574" s="835"/>
      <c r="N574" s="835"/>
      <c r="O574" s="835"/>
      <c r="P574" s="835"/>
      <c r="Q574" s="830"/>
      <c r="R574" s="830"/>
      <c r="S574" s="830"/>
      <c r="T574" s="323"/>
      <c r="U574" s="323"/>
      <c r="V574" s="323"/>
      <c r="W574" s="323"/>
      <c r="X574" s="323"/>
      <c r="Y574" s="323"/>
      <c r="Z574" s="323"/>
      <c r="AA574" s="323"/>
      <c r="AB574" s="323"/>
      <c r="AC574" s="323"/>
      <c r="AD574" s="323"/>
      <c r="AE574" s="323"/>
      <c r="AF574" s="323"/>
      <c r="AG574" s="323"/>
      <c r="AH574" s="323"/>
      <c r="AI574" s="323"/>
      <c r="AJ574" s="323"/>
      <c r="AK574" s="323"/>
      <c r="AL574" s="323"/>
      <c r="AM574" s="323"/>
      <c r="AN574" s="323"/>
      <c r="AO574" s="323"/>
      <c r="AP574" s="323"/>
      <c r="AQ574" s="323"/>
      <c r="AR574" s="323"/>
      <c r="AS574" s="323"/>
      <c r="AT574" s="323"/>
      <c r="AU574" s="323"/>
      <c r="AV574" s="323"/>
      <c r="AW574" s="323"/>
    </row>
    <row r="575" spans="1:49" s="39" customFormat="1" ht="15.6">
      <c r="A575" s="828"/>
      <c r="B575" s="828"/>
      <c r="C575" s="828"/>
      <c r="D575" s="829"/>
      <c r="E575" s="829"/>
      <c r="F575" s="829"/>
      <c r="G575" s="829"/>
      <c r="H575" s="829"/>
      <c r="I575" s="827"/>
      <c r="J575" s="827"/>
      <c r="K575" s="827"/>
      <c r="L575" s="835"/>
      <c r="M575" s="835"/>
      <c r="N575" s="835"/>
      <c r="O575" s="835"/>
      <c r="P575" s="835"/>
      <c r="Q575" s="830"/>
      <c r="R575" s="830"/>
      <c r="S575" s="830"/>
      <c r="T575" s="323"/>
      <c r="U575" s="323"/>
      <c r="V575" s="323"/>
      <c r="W575" s="323"/>
      <c r="X575" s="323"/>
      <c r="Y575" s="323"/>
      <c r="Z575" s="323"/>
      <c r="AA575" s="323"/>
      <c r="AB575" s="323"/>
      <c r="AC575" s="323"/>
      <c r="AD575" s="323"/>
      <c r="AE575" s="323"/>
      <c r="AF575" s="323"/>
      <c r="AG575" s="323"/>
      <c r="AH575" s="323"/>
      <c r="AI575" s="323"/>
      <c r="AJ575" s="323"/>
      <c r="AK575" s="323"/>
      <c r="AL575" s="323"/>
      <c r="AM575" s="323"/>
      <c r="AN575" s="323"/>
      <c r="AO575" s="323"/>
      <c r="AP575" s="323"/>
      <c r="AQ575" s="323"/>
      <c r="AR575" s="323"/>
      <c r="AS575" s="323"/>
      <c r="AT575" s="323"/>
      <c r="AU575" s="323"/>
      <c r="AV575" s="323"/>
      <c r="AW575" s="323"/>
    </row>
    <row r="576" spans="1:49" s="39" customFormat="1" ht="15.6">
      <c r="A576" s="828"/>
      <c r="B576" s="828"/>
      <c r="C576" s="828"/>
      <c r="D576" s="829"/>
      <c r="E576" s="829"/>
      <c r="F576" s="829"/>
      <c r="G576" s="829"/>
      <c r="H576" s="829"/>
      <c r="I576" s="827"/>
      <c r="J576" s="827"/>
      <c r="K576" s="827"/>
      <c r="L576" s="835"/>
      <c r="M576" s="835"/>
      <c r="N576" s="835"/>
      <c r="O576" s="835"/>
      <c r="P576" s="835"/>
      <c r="Q576" s="830"/>
      <c r="R576" s="830"/>
      <c r="S576" s="830"/>
      <c r="T576" s="323"/>
      <c r="U576" s="323"/>
      <c r="V576" s="323"/>
      <c r="W576" s="323"/>
      <c r="X576" s="323"/>
      <c r="Y576" s="323"/>
      <c r="Z576" s="323"/>
      <c r="AA576" s="323"/>
      <c r="AB576" s="323"/>
      <c r="AC576" s="323"/>
      <c r="AD576" s="323"/>
      <c r="AE576" s="323"/>
      <c r="AF576" s="323"/>
      <c r="AG576" s="323"/>
      <c r="AH576" s="323"/>
      <c r="AI576" s="323"/>
      <c r="AJ576" s="323"/>
      <c r="AK576" s="323"/>
      <c r="AL576" s="323"/>
      <c r="AM576" s="323"/>
      <c r="AN576" s="323"/>
      <c r="AO576" s="323"/>
      <c r="AP576" s="323"/>
      <c r="AQ576" s="323"/>
      <c r="AR576" s="323"/>
      <c r="AS576" s="323"/>
      <c r="AT576" s="323"/>
      <c r="AU576" s="323"/>
      <c r="AV576" s="323"/>
      <c r="AW576" s="323"/>
    </row>
    <row r="577" spans="1:49" s="39" customFormat="1" ht="15.6">
      <c r="A577" s="828"/>
      <c r="B577" s="828"/>
      <c r="C577" s="828"/>
      <c r="D577" s="829"/>
      <c r="E577" s="829"/>
      <c r="F577" s="829"/>
      <c r="G577" s="829"/>
      <c r="H577" s="829"/>
      <c r="I577" s="827"/>
      <c r="J577" s="827"/>
      <c r="K577" s="827"/>
      <c r="L577" s="835"/>
      <c r="M577" s="835"/>
      <c r="N577" s="835"/>
      <c r="O577" s="835"/>
      <c r="P577" s="835"/>
      <c r="Q577" s="830"/>
      <c r="R577" s="830"/>
      <c r="S577" s="830"/>
      <c r="T577" s="323"/>
      <c r="U577" s="323"/>
      <c r="V577" s="323"/>
      <c r="W577" s="323"/>
      <c r="X577" s="323"/>
      <c r="Y577" s="323"/>
      <c r="Z577" s="323"/>
      <c r="AA577" s="323"/>
      <c r="AB577" s="323"/>
      <c r="AC577" s="323"/>
      <c r="AD577" s="323"/>
      <c r="AE577" s="323"/>
      <c r="AF577" s="323"/>
      <c r="AG577" s="323"/>
      <c r="AH577" s="323"/>
      <c r="AI577" s="323"/>
      <c r="AJ577" s="323"/>
      <c r="AK577" s="323"/>
      <c r="AL577" s="323"/>
      <c r="AM577" s="323"/>
      <c r="AN577" s="323"/>
      <c r="AO577" s="323"/>
      <c r="AP577" s="323"/>
      <c r="AQ577" s="323"/>
      <c r="AR577" s="323"/>
      <c r="AS577" s="323"/>
      <c r="AT577" s="323"/>
      <c r="AU577" s="323"/>
      <c r="AV577" s="323"/>
      <c r="AW577" s="323"/>
    </row>
    <row r="578" spans="1:49" s="39" customFormat="1" ht="15.6">
      <c r="A578" s="828"/>
      <c r="B578" s="828"/>
      <c r="C578" s="828"/>
      <c r="D578" s="829"/>
      <c r="E578" s="829"/>
      <c r="F578" s="829"/>
      <c r="G578" s="829"/>
      <c r="H578" s="829"/>
      <c r="I578" s="827"/>
      <c r="J578" s="827"/>
      <c r="K578" s="827"/>
      <c r="L578" s="835"/>
      <c r="M578" s="835"/>
      <c r="N578" s="835"/>
      <c r="O578" s="835"/>
      <c r="P578" s="835"/>
      <c r="Q578" s="830"/>
      <c r="R578" s="830"/>
      <c r="S578" s="830"/>
      <c r="T578" s="323"/>
      <c r="U578" s="323"/>
      <c r="V578" s="323"/>
      <c r="W578" s="323"/>
      <c r="X578" s="323"/>
      <c r="Y578" s="323"/>
      <c r="Z578" s="323"/>
      <c r="AA578" s="323"/>
      <c r="AB578" s="323"/>
      <c r="AC578" s="323"/>
      <c r="AD578" s="323"/>
      <c r="AE578" s="323"/>
      <c r="AF578" s="323"/>
      <c r="AG578" s="323"/>
      <c r="AH578" s="323"/>
      <c r="AI578" s="323"/>
      <c r="AJ578" s="323"/>
      <c r="AK578" s="323"/>
      <c r="AL578" s="323"/>
      <c r="AM578" s="323"/>
      <c r="AN578" s="323"/>
      <c r="AO578" s="323"/>
      <c r="AP578" s="323"/>
      <c r="AQ578" s="323"/>
      <c r="AR578" s="323"/>
      <c r="AS578" s="323"/>
      <c r="AT578" s="323"/>
      <c r="AU578" s="323"/>
      <c r="AV578" s="323"/>
      <c r="AW578" s="323"/>
    </row>
    <row r="579" spans="1:49" s="39" customFormat="1" ht="15.6">
      <c r="A579" s="828"/>
      <c r="B579" s="828"/>
      <c r="C579" s="828"/>
      <c r="D579" s="829"/>
      <c r="E579" s="829"/>
      <c r="F579" s="829"/>
      <c r="G579" s="829"/>
      <c r="H579" s="829"/>
      <c r="I579" s="827"/>
      <c r="J579" s="827"/>
      <c r="K579" s="827"/>
      <c r="L579" s="835"/>
      <c r="M579" s="835"/>
      <c r="N579" s="835"/>
      <c r="O579" s="835"/>
      <c r="P579" s="835"/>
      <c r="Q579" s="830"/>
      <c r="R579" s="830"/>
      <c r="S579" s="830"/>
      <c r="T579" s="323"/>
      <c r="U579" s="323"/>
      <c r="V579" s="323"/>
      <c r="W579" s="323"/>
      <c r="X579" s="323"/>
      <c r="Y579" s="323"/>
      <c r="Z579" s="323"/>
      <c r="AA579" s="323"/>
      <c r="AB579" s="323"/>
      <c r="AC579" s="323"/>
      <c r="AD579" s="323"/>
      <c r="AE579" s="323"/>
      <c r="AF579" s="323"/>
      <c r="AG579" s="323"/>
      <c r="AH579" s="323"/>
      <c r="AI579" s="323"/>
      <c r="AJ579" s="323"/>
      <c r="AK579" s="323"/>
      <c r="AL579" s="323"/>
      <c r="AM579" s="323"/>
      <c r="AN579" s="323"/>
      <c r="AO579" s="323"/>
      <c r="AP579" s="323"/>
      <c r="AQ579" s="323"/>
      <c r="AR579" s="323"/>
      <c r="AS579" s="323"/>
      <c r="AT579" s="323"/>
      <c r="AU579" s="323"/>
      <c r="AV579" s="323"/>
      <c r="AW579" s="323"/>
    </row>
    <row r="580" spans="1:49" s="39" customFormat="1" ht="15.6">
      <c r="A580" s="828"/>
      <c r="B580" s="828"/>
      <c r="C580" s="828"/>
      <c r="D580" s="829"/>
      <c r="E580" s="829"/>
      <c r="F580" s="829"/>
      <c r="G580" s="829"/>
      <c r="H580" s="829"/>
      <c r="I580" s="827"/>
      <c r="J580" s="827"/>
      <c r="K580" s="827"/>
      <c r="L580" s="835"/>
      <c r="M580" s="835"/>
      <c r="N580" s="835"/>
      <c r="O580" s="835"/>
      <c r="P580" s="835"/>
      <c r="Q580" s="830"/>
      <c r="R580" s="830"/>
      <c r="S580" s="830"/>
      <c r="T580" s="323"/>
      <c r="U580" s="323"/>
      <c r="V580" s="323"/>
      <c r="W580" s="323"/>
      <c r="X580" s="323"/>
      <c r="Y580" s="323"/>
      <c r="Z580" s="323"/>
      <c r="AA580" s="323"/>
      <c r="AB580" s="323"/>
      <c r="AC580" s="323"/>
      <c r="AD580" s="323"/>
      <c r="AE580" s="323"/>
      <c r="AF580" s="323"/>
      <c r="AG580" s="323"/>
      <c r="AH580" s="323"/>
      <c r="AI580" s="323"/>
      <c r="AJ580" s="323"/>
      <c r="AK580" s="323"/>
      <c r="AL580" s="323"/>
      <c r="AM580" s="323"/>
      <c r="AN580" s="323"/>
      <c r="AO580" s="323"/>
      <c r="AP580" s="323"/>
      <c r="AQ580" s="323"/>
      <c r="AR580" s="323"/>
      <c r="AS580" s="323"/>
      <c r="AT580" s="323"/>
      <c r="AU580" s="323"/>
      <c r="AV580" s="323"/>
      <c r="AW580" s="323"/>
    </row>
    <row r="581" spans="1:49" s="39" customFormat="1" ht="15.6">
      <c r="A581" s="828"/>
      <c r="B581" s="828"/>
      <c r="C581" s="828"/>
      <c r="D581" s="829"/>
      <c r="E581" s="829"/>
      <c r="F581" s="829"/>
      <c r="G581" s="829"/>
      <c r="H581" s="829"/>
      <c r="I581" s="827"/>
      <c r="J581" s="827"/>
      <c r="K581" s="827"/>
      <c r="L581" s="835"/>
      <c r="M581" s="835"/>
      <c r="N581" s="835"/>
      <c r="O581" s="835"/>
      <c r="P581" s="835"/>
      <c r="Q581" s="830"/>
      <c r="R581" s="830"/>
      <c r="S581" s="830"/>
      <c r="T581" s="323"/>
      <c r="U581" s="323"/>
      <c r="V581" s="323"/>
      <c r="W581" s="323"/>
      <c r="X581" s="323"/>
      <c r="Y581" s="323"/>
      <c r="Z581" s="323"/>
      <c r="AA581" s="323"/>
      <c r="AB581" s="323"/>
      <c r="AC581" s="323"/>
      <c r="AD581" s="323"/>
      <c r="AE581" s="323"/>
      <c r="AF581" s="323"/>
      <c r="AG581" s="323"/>
      <c r="AH581" s="323"/>
      <c r="AI581" s="323"/>
      <c r="AJ581" s="323"/>
      <c r="AK581" s="323"/>
      <c r="AL581" s="323"/>
      <c r="AM581" s="323"/>
      <c r="AN581" s="323"/>
      <c r="AO581" s="323"/>
      <c r="AP581" s="323"/>
      <c r="AQ581" s="323"/>
      <c r="AR581" s="323"/>
      <c r="AS581" s="323"/>
      <c r="AT581" s="323"/>
      <c r="AU581" s="323"/>
      <c r="AV581" s="323"/>
      <c r="AW581" s="323"/>
    </row>
    <row r="582" spans="1:49" s="39" customFormat="1" ht="15.6">
      <c r="A582" s="828"/>
      <c r="B582" s="828"/>
      <c r="C582" s="828"/>
      <c r="D582" s="829"/>
      <c r="E582" s="829"/>
      <c r="F582" s="829"/>
      <c r="G582" s="829"/>
      <c r="H582" s="829"/>
      <c r="I582" s="827"/>
      <c r="J582" s="827"/>
      <c r="K582" s="827"/>
      <c r="L582" s="835"/>
      <c r="M582" s="835"/>
      <c r="N582" s="835"/>
      <c r="O582" s="835"/>
      <c r="P582" s="835"/>
      <c r="Q582" s="830"/>
      <c r="R582" s="830"/>
      <c r="S582" s="830"/>
      <c r="T582" s="323"/>
      <c r="U582" s="323"/>
      <c r="V582" s="323"/>
      <c r="W582" s="323"/>
      <c r="X582" s="323"/>
      <c r="Y582" s="323"/>
      <c r="Z582" s="323"/>
      <c r="AA582" s="323"/>
      <c r="AB582" s="323"/>
      <c r="AC582" s="323"/>
      <c r="AD582" s="323"/>
      <c r="AE582" s="323"/>
      <c r="AF582" s="323"/>
      <c r="AG582" s="323"/>
      <c r="AH582" s="323"/>
      <c r="AI582" s="323"/>
      <c r="AJ582" s="323"/>
      <c r="AK582" s="323"/>
      <c r="AL582" s="323"/>
      <c r="AM582" s="323"/>
      <c r="AN582" s="323"/>
      <c r="AO582" s="323"/>
      <c r="AP582" s="323"/>
      <c r="AQ582" s="323"/>
      <c r="AR582" s="323"/>
      <c r="AS582" s="323"/>
      <c r="AT582" s="323"/>
      <c r="AU582" s="323"/>
      <c r="AV582" s="323"/>
      <c r="AW582" s="323"/>
    </row>
    <row r="583" spans="1:49" s="39" customFormat="1" ht="15.6">
      <c r="A583" s="828"/>
      <c r="B583" s="828"/>
      <c r="C583" s="828"/>
      <c r="D583" s="829"/>
      <c r="E583" s="829"/>
      <c r="F583" s="829"/>
      <c r="G583" s="829"/>
      <c r="H583" s="829"/>
      <c r="I583" s="827"/>
      <c r="J583" s="827"/>
      <c r="K583" s="827"/>
      <c r="L583" s="835"/>
      <c r="M583" s="835"/>
      <c r="N583" s="835"/>
      <c r="O583" s="835"/>
      <c r="P583" s="835"/>
      <c r="Q583" s="830"/>
      <c r="R583" s="830"/>
      <c r="S583" s="830"/>
      <c r="T583" s="323"/>
      <c r="U583" s="323"/>
      <c r="V583" s="323"/>
      <c r="W583" s="323"/>
      <c r="X583" s="323"/>
      <c r="Y583" s="323"/>
      <c r="Z583" s="323"/>
      <c r="AA583" s="323"/>
      <c r="AB583" s="323"/>
      <c r="AC583" s="323"/>
      <c r="AD583" s="323"/>
      <c r="AE583" s="323"/>
      <c r="AF583" s="323"/>
      <c r="AG583" s="323"/>
      <c r="AH583" s="323"/>
      <c r="AI583" s="323"/>
      <c r="AJ583" s="323"/>
      <c r="AK583" s="323"/>
      <c r="AL583" s="323"/>
      <c r="AM583" s="323"/>
      <c r="AN583" s="323"/>
      <c r="AO583" s="323"/>
      <c r="AP583" s="323"/>
      <c r="AQ583" s="323"/>
      <c r="AR583" s="323"/>
      <c r="AS583" s="323"/>
      <c r="AT583" s="323"/>
      <c r="AU583" s="323"/>
      <c r="AV583" s="323"/>
      <c r="AW583" s="323"/>
    </row>
    <row r="584" spans="1:49" s="39" customFormat="1" ht="15.6">
      <c r="A584" s="828"/>
      <c r="B584" s="828"/>
      <c r="C584" s="828"/>
      <c r="D584" s="829"/>
      <c r="E584" s="829"/>
      <c r="F584" s="829"/>
      <c r="G584" s="829"/>
      <c r="H584" s="829"/>
      <c r="I584" s="827"/>
      <c r="J584" s="827"/>
      <c r="K584" s="827"/>
      <c r="L584" s="835"/>
      <c r="M584" s="835"/>
      <c r="N584" s="835"/>
      <c r="O584" s="835"/>
      <c r="P584" s="835"/>
      <c r="Q584" s="830"/>
      <c r="R584" s="830"/>
      <c r="S584" s="830"/>
      <c r="T584" s="323"/>
      <c r="U584" s="323"/>
      <c r="V584" s="323"/>
      <c r="W584" s="323"/>
      <c r="X584" s="323"/>
      <c r="Y584" s="323"/>
      <c r="Z584" s="323"/>
      <c r="AA584" s="323"/>
      <c r="AB584" s="323"/>
      <c r="AC584" s="323"/>
      <c r="AD584" s="323"/>
      <c r="AE584" s="323"/>
      <c r="AF584" s="323"/>
      <c r="AG584" s="323"/>
      <c r="AH584" s="323"/>
      <c r="AI584" s="323"/>
      <c r="AJ584" s="323"/>
      <c r="AK584" s="323"/>
      <c r="AL584" s="323"/>
      <c r="AM584" s="323"/>
      <c r="AN584" s="323"/>
      <c r="AO584" s="323"/>
      <c r="AP584" s="323"/>
      <c r="AQ584" s="323"/>
      <c r="AR584" s="323"/>
      <c r="AS584" s="323"/>
      <c r="AT584" s="323"/>
      <c r="AU584" s="323"/>
      <c r="AV584" s="323"/>
      <c r="AW584" s="323"/>
    </row>
    <row r="585" spans="1:49" s="39" customFormat="1" ht="15.6">
      <c r="A585" s="828"/>
      <c r="B585" s="828"/>
      <c r="C585" s="828"/>
      <c r="D585" s="829"/>
      <c r="E585" s="829"/>
      <c r="F585" s="829"/>
      <c r="G585" s="829"/>
      <c r="H585" s="829"/>
      <c r="I585" s="827"/>
      <c r="J585" s="827"/>
      <c r="K585" s="827"/>
      <c r="L585" s="835"/>
      <c r="M585" s="835"/>
      <c r="N585" s="835"/>
      <c r="O585" s="835"/>
      <c r="P585" s="835"/>
      <c r="Q585" s="830"/>
      <c r="R585" s="830"/>
      <c r="S585" s="830"/>
      <c r="T585" s="323"/>
      <c r="U585" s="323"/>
      <c r="V585" s="323"/>
      <c r="W585" s="323"/>
      <c r="X585" s="323"/>
      <c r="Y585" s="323"/>
      <c r="Z585" s="323"/>
      <c r="AA585" s="323"/>
      <c r="AB585" s="323"/>
      <c r="AC585" s="323"/>
      <c r="AD585" s="323"/>
      <c r="AE585" s="323"/>
      <c r="AF585" s="323"/>
      <c r="AG585" s="323"/>
      <c r="AH585" s="323"/>
      <c r="AI585" s="323"/>
      <c r="AJ585" s="323"/>
      <c r="AK585" s="323"/>
      <c r="AL585" s="323"/>
      <c r="AM585" s="323"/>
      <c r="AN585" s="323"/>
      <c r="AO585" s="323"/>
      <c r="AP585" s="323"/>
      <c r="AQ585" s="323"/>
      <c r="AR585" s="323"/>
      <c r="AS585" s="323"/>
      <c r="AT585" s="323"/>
      <c r="AU585" s="323"/>
      <c r="AV585" s="323"/>
      <c r="AW585" s="323"/>
    </row>
    <row r="586" spans="1:49" s="39" customFormat="1" ht="15.6">
      <c r="A586" s="828"/>
      <c r="B586" s="828"/>
      <c r="C586" s="828"/>
      <c r="D586" s="829"/>
      <c r="E586" s="829"/>
      <c r="F586" s="829"/>
      <c r="G586" s="829"/>
      <c r="H586" s="829"/>
      <c r="I586" s="827"/>
      <c r="J586" s="827"/>
      <c r="K586" s="827"/>
      <c r="L586" s="835"/>
      <c r="M586" s="835"/>
      <c r="N586" s="835"/>
      <c r="O586" s="835"/>
      <c r="P586" s="835"/>
      <c r="Q586" s="830"/>
      <c r="R586" s="830"/>
      <c r="S586" s="830"/>
      <c r="T586" s="323"/>
      <c r="U586" s="323"/>
      <c r="V586" s="323"/>
      <c r="W586" s="323"/>
      <c r="X586" s="323"/>
      <c r="Y586" s="323"/>
      <c r="Z586" s="323"/>
      <c r="AA586" s="323"/>
      <c r="AB586" s="323"/>
      <c r="AC586" s="323"/>
      <c r="AD586" s="323"/>
      <c r="AE586" s="323"/>
      <c r="AF586" s="323"/>
      <c r="AG586" s="323"/>
      <c r="AH586" s="323"/>
      <c r="AI586" s="323"/>
      <c r="AJ586" s="323"/>
      <c r="AK586" s="323"/>
      <c r="AL586" s="323"/>
      <c r="AM586" s="323"/>
      <c r="AN586" s="323"/>
      <c r="AO586" s="323"/>
      <c r="AP586" s="323"/>
      <c r="AQ586" s="323"/>
      <c r="AR586" s="323"/>
      <c r="AS586" s="323"/>
      <c r="AT586" s="323"/>
      <c r="AU586" s="323"/>
      <c r="AV586" s="323"/>
      <c r="AW586" s="323"/>
    </row>
    <row r="587" spans="1:49" s="39" customFormat="1" ht="15.6">
      <c r="A587" s="828"/>
      <c r="B587" s="828"/>
      <c r="C587" s="828"/>
      <c r="D587" s="829"/>
      <c r="E587" s="829"/>
      <c r="F587" s="829"/>
      <c r="G587" s="829"/>
      <c r="H587" s="829"/>
      <c r="I587" s="827"/>
      <c r="J587" s="827"/>
      <c r="K587" s="827"/>
      <c r="L587" s="835"/>
      <c r="M587" s="835"/>
      <c r="N587" s="835"/>
      <c r="O587" s="835"/>
      <c r="P587" s="835"/>
      <c r="Q587" s="830"/>
      <c r="R587" s="830"/>
      <c r="S587" s="830"/>
      <c r="T587" s="323"/>
      <c r="U587" s="323"/>
      <c r="V587" s="323"/>
      <c r="W587" s="323"/>
      <c r="X587" s="323"/>
      <c r="Y587" s="323"/>
      <c r="Z587" s="323"/>
      <c r="AA587" s="323"/>
      <c r="AB587" s="323"/>
      <c r="AC587" s="323"/>
      <c r="AD587" s="323"/>
      <c r="AE587" s="323"/>
      <c r="AF587" s="323"/>
      <c r="AG587" s="323"/>
      <c r="AH587" s="323"/>
      <c r="AI587" s="323"/>
      <c r="AJ587" s="323"/>
      <c r="AK587" s="323"/>
      <c r="AL587" s="323"/>
      <c r="AM587" s="323"/>
      <c r="AN587" s="323"/>
      <c r="AO587" s="323"/>
      <c r="AP587" s="323"/>
      <c r="AQ587" s="323"/>
      <c r="AR587" s="323"/>
      <c r="AS587" s="323"/>
      <c r="AT587" s="323"/>
      <c r="AU587" s="323"/>
      <c r="AV587" s="323"/>
      <c r="AW587" s="323"/>
    </row>
    <row r="588" spans="1:49" s="39" customFormat="1" ht="15.6">
      <c r="A588" s="828"/>
      <c r="B588" s="828"/>
      <c r="C588" s="828"/>
      <c r="D588" s="829"/>
      <c r="E588" s="829"/>
      <c r="F588" s="829"/>
      <c r="G588" s="829"/>
      <c r="H588" s="829"/>
      <c r="I588" s="827"/>
      <c r="J588" s="827"/>
      <c r="K588" s="827"/>
      <c r="L588" s="835"/>
      <c r="M588" s="835"/>
      <c r="N588" s="835"/>
      <c r="O588" s="835"/>
      <c r="P588" s="835"/>
      <c r="Q588" s="830"/>
      <c r="R588" s="830"/>
      <c r="S588" s="830"/>
      <c r="T588" s="323"/>
      <c r="U588" s="323"/>
      <c r="V588" s="323"/>
      <c r="W588" s="323"/>
      <c r="X588" s="323"/>
      <c r="Y588" s="323"/>
      <c r="Z588" s="323"/>
      <c r="AA588" s="323"/>
      <c r="AB588" s="323"/>
      <c r="AC588" s="323"/>
      <c r="AD588" s="323"/>
      <c r="AE588" s="323"/>
      <c r="AF588" s="323"/>
      <c r="AG588" s="323"/>
      <c r="AH588" s="323"/>
      <c r="AI588" s="323"/>
      <c r="AJ588" s="323"/>
      <c r="AK588" s="323"/>
      <c r="AL588" s="323"/>
      <c r="AM588" s="323"/>
      <c r="AN588" s="323"/>
      <c r="AO588" s="323"/>
      <c r="AP588" s="323"/>
      <c r="AQ588" s="323"/>
      <c r="AR588" s="323"/>
      <c r="AS588" s="323"/>
      <c r="AT588" s="323"/>
      <c r="AU588" s="323"/>
      <c r="AV588" s="323"/>
      <c r="AW588" s="323"/>
    </row>
    <row r="589" spans="1:49" s="39" customFormat="1" ht="15.6">
      <c r="A589" s="828"/>
      <c r="B589" s="828"/>
      <c r="C589" s="828"/>
      <c r="D589" s="829"/>
      <c r="E589" s="829"/>
      <c r="F589" s="829"/>
      <c r="G589" s="829"/>
      <c r="H589" s="829"/>
      <c r="I589" s="827"/>
      <c r="J589" s="827"/>
      <c r="K589" s="827"/>
      <c r="L589" s="835"/>
      <c r="M589" s="835"/>
      <c r="N589" s="835"/>
      <c r="O589" s="835"/>
      <c r="P589" s="835"/>
      <c r="Q589" s="830"/>
      <c r="R589" s="830"/>
      <c r="S589" s="830"/>
      <c r="T589" s="323"/>
      <c r="U589" s="323"/>
      <c r="V589" s="323"/>
      <c r="W589" s="323"/>
      <c r="X589" s="323"/>
      <c r="Y589" s="323"/>
      <c r="Z589" s="323"/>
      <c r="AA589" s="323"/>
      <c r="AB589" s="323"/>
      <c r="AC589" s="323"/>
      <c r="AD589" s="323"/>
      <c r="AE589" s="323"/>
      <c r="AF589" s="323"/>
      <c r="AG589" s="323"/>
      <c r="AH589" s="323"/>
      <c r="AI589" s="323"/>
      <c r="AJ589" s="323"/>
      <c r="AK589" s="323"/>
      <c r="AL589" s="323"/>
      <c r="AM589" s="323"/>
      <c r="AN589" s="323"/>
      <c r="AO589" s="323"/>
      <c r="AP589" s="323"/>
      <c r="AQ589" s="323"/>
      <c r="AR589" s="323"/>
      <c r="AS589" s="323"/>
      <c r="AT589" s="323"/>
      <c r="AU589" s="323"/>
      <c r="AV589" s="323"/>
      <c r="AW589" s="323"/>
    </row>
    <row r="590" spans="1:49" s="39" customFormat="1" ht="15.6">
      <c r="A590" s="828"/>
      <c r="B590" s="828"/>
      <c r="C590" s="828"/>
      <c r="D590" s="829"/>
      <c r="E590" s="829"/>
      <c r="F590" s="829"/>
      <c r="G590" s="829"/>
      <c r="H590" s="829"/>
      <c r="I590" s="827"/>
      <c r="J590" s="827"/>
      <c r="K590" s="827"/>
      <c r="L590" s="835"/>
      <c r="M590" s="835"/>
      <c r="N590" s="835"/>
      <c r="O590" s="835"/>
      <c r="P590" s="835"/>
      <c r="Q590" s="830"/>
      <c r="R590" s="830"/>
      <c r="S590" s="830"/>
      <c r="T590" s="323"/>
      <c r="U590" s="323"/>
      <c r="V590" s="323"/>
      <c r="W590" s="323"/>
      <c r="X590" s="323"/>
      <c r="Y590" s="323"/>
      <c r="Z590" s="323"/>
      <c r="AA590" s="323"/>
      <c r="AB590" s="323"/>
      <c r="AC590" s="323"/>
      <c r="AD590" s="323"/>
      <c r="AE590" s="323"/>
      <c r="AF590" s="323"/>
      <c r="AG590" s="323"/>
      <c r="AH590" s="323"/>
      <c r="AI590" s="323"/>
      <c r="AJ590" s="323"/>
      <c r="AK590" s="323"/>
      <c r="AL590" s="323"/>
      <c r="AM590" s="323"/>
      <c r="AN590" s="323"/>
      <c r="AO590" s="323"/>
      <c r="AP590" s="323"/>
      <c r="AQ590" s="323"/>
      <c r="AR590" s="323"/>
      <c r="AS590" s="323"/>
      <c r="AT590" s="323"/>
      <c r="AU590" s="323"/>
      <c r="AV590" s="323"/>
      <c r="AW590" s="323"/>
    </row>
    <row r="591" spans="1:49" s="39" customFormat="1" ht="15.6">
      <c r="A591" s="828"/>
      <c r="B591" s="828"/>
      <c r="C591" s="828"/>
      <c r="D591" s="829"/>
      <c r="E591" s="829"/>
      <c r="F591" s="829"/>
      <c r="G591" s="829"/>
      <c r="H591" s="829"/>
      <c r="I591" s="827"/>
      <c r="J591" s="827"/>
      <c r="K591" s="827"/>
      <c r="L591" s="835"/>
      <c r="M591" s="835"/>
      <c r="N591" s="835"/>
      <c r="O591" s="835"/>
      <c r="P591" s="835"/>
      <c r="Q591" s="830"/>
      <c r="R591" s="830"/>
      <c r="S591" s="830"/>
      <c r="T591" s="323"/>
      <c r="U591" s="323"/>
      <c r="V591" s="323"/>
      <c r="W591" s="323"/>
      <c r="X591" s="323"/>
      <c r="Y591" s="323"/>
      <c r="Z591" s="323"/>
      <c r="AA591" s="323"/>
      <c r="AB591" s="323"/>
      <c r="AC591" s="323"/>
      <c r="AD591" s="323"/>
      <c r="AE591" s="323"/>
      <c r="AF591" s="323"/>
      <c r="AG591" s="323"/>
      <c r="AH591" s="323"/>
      <c r="AI591" s="323"/>
      <c r="AJ591" s="323"/>
      <c r="AK591" s="323"/>
      <c r="AL591" s="323"/>
      <c r="AM591" s="323"/>
      <c r="AN591" s="323"/>
      <c r="AO591" s="323"/>
      <c r="AP591" s="323"/>
      <c r="AQ591" s="323"/>
      <c r="AR591" s="323"/>
      <c r="AS591" s="323"/>
      <c r="AT591" s="323"/>
      <c r="AU591" s="323"/>
      <c r="AV591" s="323"/>
      <c r="AW591" s="323"/>
    </row>
    <row r="592" spans="1:49" s="39" customFormat="1" ht="15.6">
      <c r="A592" s="828"/>
      <c r="B592" s="828"/>
      <c r="C592" s="828"/>
      <c r="D592" s="829"/>
      <c r="E592" s="829"/>
      <c r="F592" s="829"/>
      <c r="G592" s="829"/>
      <c r="H592" s="829"/>
      <c r="I592" s="827"/>
      <c r="J592" s="827"/>
      <c r="K592" s="827"/>
      <c r="L592" s="835"/>
      <c r="M592" s="835"/>
      <c r="N592" s="835"/>
      <c r="O592" s="835"/>
      <c r="P592" s="835"/>
      <c r="Q592" s="830"/>
      <c r="R592" s="830"/>
      <c r="S592" s="830"/>
      <c r="T592" s="323"/>
      <c r="U592" s="323"/>
      <c r="V592" s="323"/>
      <c r="W592" s="323"/>
      <c r="X592" s="323"/>
      <c r="Y592" s="323"/>
      <c r="Z592" s="323"/>
      <c r="AA592" s="323"/>
      <c r="AB592" s="323"/>
      <c r="AC592" s="323"/>
      <c r="AD592" s="323"/>
      <c r="AE592" s="323"/>
      <c r="AF592" s="323"/>
      <c r="AG592" s="323"/>
      <c r="AH592" s="323"/>
      <c r="AI592" s="323"/>
      <c r="AJ592" s="323"/>
      <c r="AK592" s="323"/>
      <c r="AL592" s="323"/>
      <c r="AM592" s="323"/>
      <c r="AN592" s="323"/>
      <c r="AO592" s="323"/>
      <c r="AP592" s="323"/>
      <c r="AQ592" s="323"/>
      <c r="AR592" s="323"/>
      <c r="AS592" s="323"/>
      <c r="AT592" s="323"/>
      <c r="AU592" s="323"/>
      <c r="AV592" s="323"/>
      <c r="AW592" s="323"/>
    </row>
    <row r="593" spans="1:49" s="39" customFormat="1" ht="15.6">
      <c r="A593" s="828"/>
      <c r="B593" s="828"/>
      <c r="C593" s="828"/>
      <c r="D593" s="829"/>
      <c r="E593" s="829"/>
      <c r="F593" s="829"/>
      <c r="G593" s="829"/>
      <c r="H593" s="829"/>
      <c r="I593" s="827"/>
      <c r="J593" s="827"/>
      <c r="K593" s="827"/>
      <c r="L593" s="835"/>
      <c r="M593" s="835"/>
      <c r="N593" s="835"/>
      <c r="O593" s="835"/>
      <c r="P593" s="835"/>
      <c r="Q593" s="830"/>
      <c r="R593" s="830"/>
      <c r="S593" s="830"/>
      <c r="T593" s="323"/>
      <c r="U593" s="323"/>
      <c r="V593" s="323"/>
      <c r="W593" s="323"/>
      <c r="X593" s="323"/>
      <c r="Y593" s="323"/>
      <c r="Z593" s="323"/>
      <c r="AA593" s="323"/>
      <c r="AB593" s="323"/>
      <c r="AC593" s="323"/>
      <c r="AD593" s="323"/>
      <c r="AE593" s="323"/>
      <c r="AF593" s="323"/>
      <c r="AG593" s="323"/>
      <c r="AH593" s="323"/>
      <c r="AI593" s="323"/>
      <c r="AJ593" s="323"/>
      <c r="AK593" s="323"/>
      <c r="AL593" s="323"/>
      <c r="AM593" s="323"/>
      <c r="AN593" s="323"/>
      <c r="AO593" s="323"/>
      <c r="AP593" s="323"/>
      <c r="AQ593" s="323"/>
      <c r="AR593" s="323"/>
      <c r="AS593" s="323"/>
      <c r="AT593" s="323"/>
      <c r="AU593" s="323"/>
      <c r="AV593" s="323"/>
      <c r="AW593" s="323"/>
    </row>
    <row r="594" spans="1:49" s="39" customFormat="1" ht="15.6">
      <c r="A594" s="828"/>
      <c r="B594" s="828"/>
      <c r="C594" s="828"/>
      <c r="D594" s="829"/>
      <c r="E594" s="829"/>
      <c r="F594" s="829"/>
      <c r="G594" s="829"/>
      <c r="H594" s="829"/>
      <c r="I594" s="827"/>
      <c r="J594" s="827"/>
      <c r="K594" s="827"/>
      <c r="L594" s="835"/>
      <c r="M594" s="835"/>
      <c r="N594" s="835"/>
      <c r="O594" s="835"/>
      <c r="P594" s="835"/>
      <c r="Q594" s="830"/>
      <c r="R594" s="830"/>
      <c r="S594" s="830"/>
      <c r="T594" s="323"/>
      <c r="U594" s="323"/>
      <c r="V594" s="323"/>
      <c r="W594" s="323"/>
      <c r="X594" s="323"/>
      <c r="Y594" s="323"/>
      <c r="Z594" s="323"/>
      <c r="AA594" s="323"/>
      <c r="AB594" s="323"/>
      <c r="AC594" s="323"/>
      <c r="AD594" s="323"/>
      <c r="AE594" s="323"/>
      <c r="AF594" s="323"/>
      <c r="AG594" s="323"/>
      <c r="AH594" s="323"/>
      <c r="AI594" s="323"/>
      <c r="AJ594" s="323"/>
      <c r="AK594" s="323"/>
      <c r="AL594" s="323"/>
      <c r="AM594" s="323"/>
      <c r="AN594" s="323"/>
      <c r="AO594" s="323"/>
      <c r="AP594" s="323"/>
      <c r="AQ594" s="323"/>
      <c r="AR594" s="323"/>
      <c r="AS594" s="323"/>
      <c r="AT594" s="323"/>
      <c r="AU594" s="323"/>
      <c r="AV594" s="323"/>
      <c r="AW594" s="323"/>
    </row>
    <row r="595" spans="1:49" s="39" customFormat="1" ht="15.6">
      <c r="A595" s="828"/>
      <c r="B595" s="828"/>
      <c r="C595" s="828"/>
      <c r="D595" s="829"/>
      <c r="E595" s="829"/>
      <c r="F595" s="829"/>
      <c r="G595" s="829"/>
      <c r="H595" s="829"/>
      <c r="I595" s="827"/>
      <c r="J595" s="827"/>
      <c r="K595" s="827"/>
      <c r="L595" s="835"/>
      <c r="M595" s="835"/>
      <c r="N595" s="835"/>
      <c r="O595" s="835"/>
      <c r="P595" s="835"/>
      <c r="Q595" s="830"/>
      <c r="R595" s="830"/>
      <c r="S595" s="830"/>
      <c r="T595" s="323"/>
      <c r="U595" s="323"/>
      <c r="V595" s="323"/>
      <c r="W595" s="323"/>
      <c r="X595" s="323"/>
      <c r="Y595" s="323"/>
      <c r="Z595" s="323"/>
      <c r="AA595" s="323"/>
      <c r="AB595" s="323"/>
      <c r="AC595" s="323"/>
      <c r="AD595" s="323"/>
      <c r="AE595" s="323"/>
      <c r="AF595" s="323"/>
      <c r="AG595" s="323"/>
      <c r="AH595" s="323"/>
      <c r="AI595" s="323"/>
      <c r="AJ595" s="323"/>
      <c r="AK595" s="323"/>
      <c r="AL595" s="323"/>
      <c r="AM595" s="323"/>
      <c r="AN595" s="323"/>
      <c r="AO595" s="323"/>
      <c r="AP595" s="323"/>
      <c r="AQ595" s="323"/>
      <c r="AR595" s="323"/>
      <c r="AS595" s="323"/>
      <c r="AT595" s="323"/>
      <c r="AU595" s="323"/>
      <c r="AV595" s="323"/>
      <c r="AW595" s="323"/>
    </row>
    <row r="596" spans="1:49" s="39" customFormat="1" ht="15.6">
      <c r="A596" s="828"/>
      <c r="B596" s="828"/>
      <c r="C596" s="828"/>
      <c r="D596" s="829"/>
      <c r="E596" s="829"/>
      <c r="F596" s="829"/>
      <c r="G596" s="829"/>
      <c r="H596" s="829"/>
      <c r="I596" s="827"/>
      <c r="J596" s="827"/>
      <c r="K596" s="827"/>
      <c r="L596" s="835"/>
      <c r="M596" s="835"/>
      <c r="N596" s="835"/>
      <c r="O596" s="835"/>
      <c r="P596" s="835"/>
      <c r="Q596" s="830"/>
      <c r="R596" s="830"/>
      <c r="S596" s="830"/>
      <c r="T596" s="323"/>
      <c r="U596" s="323"/>
      <c r="V596" s="323"/>
      <c r="W596" s="323"/>
      <c r="X596" s="323"/>
      <c r="Y596" s="323"/>
      <c r="Z596" s="323"/>
      <c r="AA596" s="323"/>
      <c r="AB596" s="323"/>
      <c r="AC596" s="323"/>
      <c r="AD596" s="323"/>
      <c r="AE596" s="323"/>
      <c r="AF596" s="323"/>
      <c r="AG596" s="323"/>
      <c r="AH596" s="323"/>
      <c r="AI596" s="323"/>
      <c r="AJ596" s="323"/>
      <c r="AK596" s="323"/>
      <c r="AL596" s="323"/>
      <c r="AM596" s="323"/>
      <c r="AN596" s="323"/>
      <c r="AO596" s="323"/>
      <c r="AP596" s="323"/>
      <c r="AQ596" s="323"/>
      <c r="AR596" s="323"/>
      <c r="AS596" s="323"/>
      <c r="AT596" s="323"/>
      <c r="AU596" s="323"/>
      <c r="AV596" s="323"/>
      <c r="AW596" s="323"/>
    </row>
    <row r="597" spans="1:49" s="39" customFormat="1" ht="15.6">
      <c r="A597" s="828"/>
      <c r="B597" s="828"/>
      <c r="C597" s="828"/>
      <c r="D597" s="829"/>
      <c r="E597" s="829"/>
      <c r="F597" s="829"/>
      <c r="G597" s="829"/>
      <c r="H597" s="829"/>
      <c r="I597" s="827"/>
      <c r="J597" s="827"/>
      <c r="K597" s="827"/>
      <c r="L597" s="835"/>
      <c r="M597" s="835"/>
      <c r="N597" s="835"/>
      <c r="O597" s="835"/>
      <c r="P597" s="835"/>
      <c r="Q597" s="830"/>
      <c r="R597" s="830"/>
      <c r="S597" s="830"/>
      <c r="T597" s="323"/>
      <c r="U597" s="323"/>
      <c r="V597" s="323"/>
      <c r="W597" s="323"/>
      <c r="X597" s="323"/>
      <c r="Y597" s="323"/>
      <c r="Z597" s="323"/>
      <c r="AA597" s="323"/>
      <c r="AB597" s="323"/>
      <c r="AC597" s="323"/>
      <c r="AD597" s="323"/>
      <c r="AE597" s="323"/>
      <c r="AF597" s="323"/>
      <c r="AG597" s="323"/>
      <c r="AH597" s="323"/>
      <c r="AI597" s="323"/>
      <c r="AJ597" s="323"/>
      <c r="AK597" s="323"/>
      <c r="AL597" s="323"/>
      <c r="AM597" s="323"/>
      <c r="AN597" s="323"/>
      <c r="AO597" s="323"/>
      <c r="AP597" s="323"/>
      <c r="AQ597" s="323"/>
      <c r="AR597" s="323"/>
      <c r="AS597" s="323"/>
      <c r="AT597" s="323"/>
      <c r="AU597" s="323"/>
      <c r="AV597" s="323"/>
      <c r="AW597" s="323"/>
    </row>
    <row r="598" spans="1:49" s="39" customFormat="1" ht="15.6">
      <c r="A598" s="828"/>
      <c r="B598" s="828"/>
      <c r="C598" s="828"/>
      <c r="D598" s="829"/>
      <c r="E598" s="829"/>
      <c r="F598" s="829"/>
      <c r="G598" s="829"/>
      <c r="H598" s="829"/>
      <c r="I598" s="827"/>
      <c r="J598" s="827"/>
      <c r="K598" s="827"/>
      <c r="L598" s="835"/>
      <c r="M598" s="835"/>
      <c r="N598" s="835"/>
      <c r="O598" s="835"/>
      <c r="P598" s="835"/>
      <c r="Q598" s="830"/>
      <c r="R598" s="830"/>
      <c r="S598" s="830"/>
      <c r="T598" s="323"/>
      <c r="U598" s="323"/>
      <c r="V598" s="323"/>
      <c r="W598" s="323"/>
      <c r="X598" s="323"/>
      <c r="Y598" s="323"/>
      <c r="Z598" s="323"/>
      <c r="AA598" s="323"/>
      <c r="AB598" s="323"/>
      <c r="AC598" s="323"/>
      <c r="AD598" s="323"/>
      <c r="AE598" s="323"/>
      <c r="AF598" s="323"/>
      <c r="AG598" s="323"/>
      <c r="AH598" s="323"/>
      <c r="AI598" s="323"/>
      <c r="AJ598" s="323"/>
      <c r="AK598" s="323"/>
      <c r="AL598" s="323"/>
      <c r="AM598" s="323"/>
      <c r="AN598" s="323"/>
      <c r="AO598" s="323"/>
      <c r="AP598" s="323"/>
      <c r="AQ598" s="323"/>
      <c r="AR598" s="323"/>
      <c r="AS598" s="323"/>
      <c r="AT598" s="323"/>
      <c r="AU598" s="323"/>
      <c r="AV598" s="323"/>
      <c r="AW598" s="323"/>
    </row>
    <row r="599" spans="1:49" s="39" customFormat="1" ht="15.6">
      <c r="A599" s="828"/>
      <c r="B599" s="828"/>
      <c r="C599" s="828"/>
      <c r="D599" s="829"/>
      <c r="E599" s="829"/>
      <c r="F599" s="829"/>
      <c r="G599" s="829"/>
      <c r="H599" s="829"/>
      <c r="I599" s="827"/>
      <c r="J599" s="827"/>
      <c r="K599" s="827"/>
      <c r="L599" s="835"/>
      <c r="M599" s="835"/>
      <c r="N599" s="835"/>
      <c r="O599" s="835"/>
      <c r="P599" s="835"/>
      <c r="Q599" s="830"/>
      <c r="R599" s="830"/>
      <c r="S599" s="830"/>
      <c r="T599" s="323"/>
      <c r="U599" s="323"/>
      <c r="V599" s="323"/>
      <c r="W599" s="323"/>
      <c r="X599" s="323"/>
      <c r="Y599" s="323"/>
      <c r="Z599" s="323"/>
      <c r="AA599" s="323"/>
      <c r="AB599" s="323"/>
      <c r="AC599" s="323"/>
      <c r="AD599" s="323"/>
      <c r="AE599" s="323"/>
      <c r="AF599" s="323"/>
      <c r="AG599" s="323"/>
      <c r="AH599" s="323"/>
      <c r="AI599" s="323"/>
      <c r="AJ599" s="323"/>
      <c r="AK599" s="323"/>
      <c r="AL599" s="323"/>
      <c r="AM599" s="323"/>
      <c r="AN599" s="323"/>
      <c r="AO599" s="323"/>
      <c r="AP599" s="323"/>
      <c r="AQ599" s="323"/>
      <c r="AR599" s="323"/>
      <c r="AS599" s="323"/>
      <c r="AT599" s="323"/>
      <c r="AU599" s="323"/>
      <c r="AV599" s="323"/>
      <c r="AW599" s="323"/>
    </row>
    <row r="600" spans="1:49" s="39" customFormat="1" ht="15.6">
      <c r="A600" s="828"/>
      <c r="B600" s="828"/>
      <c r="C600" s="828"/>
      <c r="D600" s="829"/>
      <c r="E600" s="829"/>
      <c r="F600" s="829"/>
      <c r="G600" s="829"/>
      <c r="H600" s="829"/>
      <c r="I600" s="827"/>
      <c r="J600" s="827"/>
      <c r="K600" s="827"/>
      <c r="L600" s="835"/>
      <c r="M600" s="835"/>
      <c r="N600" s="835"/>
      <c r="O600" s="835"/>
      <c r="P600" s="835"/>
      <c r="Q600" s="830"/>
      <c r="R600" s="830"/>
      <c r="S600" s="830"/>
      <c r="T600" s="323"/>
      <c r="U600" s="323"/>
      <c r="V600" s="323"/>
      <c r="W600" s="323"/>
      <c r="X600" s="323"/>
      <c r="Y600" s="323"/>
      <c r="Z600" s="323"/>
      <c r="AA600" s="323"/>
      <c r="AB600" s="323"/>
      <c r="AC600" s="323"/>
      <c r="AD600" s="323"/>
      <c r="AE600" s="323"/>
      <c r="AF600" s="323"/>
      <c r="AG600" s="323"/>
      <c r="AH600" s="323"/>
      <c r="AI600" s="323"/>
      <c r="AJ600" s="323"/>
      <c r="AK600" s="323"/>
      <c r="AL600" s="323"/>
      <c r="AM600" s="323"/>
      <c r="AN600" s="323"/>
      <c r="AO600" s="323"/>
      <c r="AP600" s="323"/>
      <c r="AQ600" s="323"/>
      <c r="AR600" s="323"/>
      <c r="AS600" s="323"/>
      <c r="AT600" s="323"/>
      <c r="AU600" s="323"/>
      <c r="AV600" s="323"/>
      <c r="AW600" s="323"/>
    </row>
    <row r="601" spans="1:49" s="39" customFormat="1" ht="15.6">
      <c r="A601" s="828"/>
      <c r="B601" s="828"/>
      <c r="C601" s="828"/>
      <c r="D601" s="829"/>
      <c r="E601" s="829"/>
      <c r="F601" s="829"/>
      <c r="G601" s="829"/>
      <c r="H601" s="829"/>
      <c r="I601" s="827"/>
      <c r="J601" s="827"/>
      <c r="K601" s="827"/>
      <c r="L601" s="835"/>
      <c r="M601" s="835"/>
      <c r="N601" s="835"/>
      <c r="O601" s="835"/>
      <c r="P601" s="835"/>
      <c r="Q601" s="830"/>
      <c r="R601" s="830"/>
      <c r="S601" s="830"/>
      <c r="T601" s="323"/>
      <c r="U601" s="323"/>
      <c r="V601" s="323"/>
      <c r="W601" s="323"/>
      <c r="X601" s="323"/>
      <c r="Y601" s="323"/>
      <c r="Z601" s="323"/>
      <c r="AA601" s="323"/>
      <c r="AB601" s="323"/>
      <c r="AC601" s="323"/>
      <c r="AD601" s="323"/>
      <c r="AE601" s="323"/>
      <c r="AF601" s="323"/>
      <c r="AG601" s="323"/>
      <c r="AH601" s="323"/>
      <c r="AI601" s="323"/>
      <c r="AJ601" s="323"/>
      <c r="AK601" s="323"/>
      <c r="AL601" s="323"/>
      <c r="AM601" s="323"/>
      <c r="AN601" s="323"/>
      <c r="AO601" s="323"/>
      <c r="AP601" s="323"/>
      <c r="AQ601" s="323"/>
      <c r="AR601" s="323"/>
      <c r="AS601" s="323"/>
      <c r="AT601" s="323"/>
      <c r="AU601" s="323"/>
      <c r="AV601" s="323"/>
      <c r="AW601" s="323"/>
    </row>
    <row r="602" spans="1:49" s="39" customFormat="1" ht="15.6">
      <c r="A602" s="828"/>
      <c r="B602" s="828"/>
      <c r="C602" s="828"/>
      <c r="D602" s="829"/>
      <c r="E602" s="829"/>
      <c r="F602" s="829"/>
      <c r="G602" s="829"/>
      <c r="H602" s="829"/>
      <c r="I602" s="827"/>
      <c r="J602" s="827"/>
      <c r="K602" s="827"/>
      <c r="L602" s="835"/>
      <c r="M602" s="835"/>
      <c r="N602" s="835"/>
      <c r="O602" s="835"/>
      <c r="P602" s="835"/>
      <c r="Q602" s="830"/>
      <c r="R602" s="830"/>
      <c r="S602" s="830"/>
      <c r="T602" s="323"/>
      <c r="U602" s="323"/>
      <c r="V602" s="323"/>
      <c r="W602" s="323"/>
      <c r="X602" s="323"/>
      <c r="Y602" s="323"/>
      <c r="Z602" s="323"/>
      <c r="AA602" s="323"/>
      <c r="AB602" s="323"/>
      <c r="AC602" s="323"/>
      <c r="AD602" s="323"/>
      <c r="AE602" s="323"/>
      <c r="AF602" s="323"/>
      <c r="AG602" s="323"/>
      <c r="AH602" s="323"/>
      <c r="AI602" s="323"/>
      <c r="AJ602" s="323"/>
      <c r="AK602" s="323"/>
      <c r="AL602" s="323"/>
      <c r="AM602" s="323"/>
      <c r="AN602" s="323"/>
      <c r="AO602" s="323"/>
      <c r="AP602" s="323"/>
      <c r="AQ602" s="323"/>
      <c r="AR602" s="323"/>
      <c r="AS602" s="323"/>
      <c r="AT602" s="323"/>
      <c r="AU602" s="323"/>
      <c r="AV602" s="323"/>
      <c r="AW602" s="323"/>
    </row>
    <row r="603" spans="1:49" s="39" customFormat="1" ht="15.6">
      <c r="A603" s="828"/>
      <c r="B603" s="828"/>
      <c r="C603" s="828"/>
      <c r="D603" s="829"/>
      <c r="E603" s="829"/>
      <c r="F603" s="829"/>
      <c r="G603" s="829"/>
      <c r="H603" s="829"/>
      <c r="I603" s="827"/>
      <c r="J603" s="827"/>
      <c r="K603" s="827"/>
      <c r="L603" s="835"/>
      <c r="M603" s="835"/>
      <c r="N603" s="835"/>
      <c r="O603" s="835"/>
      <c r="P603" s="835"/>
      <c r="Q603" s="830"/>
      <c r="R603" s="830"/>
      <c r="S603" s="830"/>
      <c r="T603" s="323"/>
      <c r="U603" s="323"/>
      <c r="V603" s="323"/>
      <c r="W603" s="323"/>
      <c r="X603" s="323"/>
      <c r="Y603" s="323"/>
      <c r="Z603" s="323"/>
      <c r="AA603" s="323"/>
      <c r="AB603" s="323"/>
      <c r="AC603" s="323"/>
      <c r="AD603" s="323"/>
      <c r="AE603" s="323"/>
      <c r="AF603" s="323"/>
      <c r="AG603" s="323"/>
      <c r="AH603" s="323"/>
      <c r="AI603" s="323"/>
      <c r="AJ603" s="323"/>
      <c r="AK603" s="323"/>
      <c r="AL603" s="323"/>
      <c r="AM603" s="323"/>
      <c r="AN603" s="323"/>
      <c r="AO603" s="323"/>
      <c r="AP603" s="323"/>
      <c r="AQ603" s="323"/>
      <c r="AR603" s="323"/>
      <c r="AS603" s="323"/>
      <c r="AT603" s="323"/>
      <c r="AU603" s="323"/>
      <c r="AV603" s="323"/>
      <c r="AW603" s="323"/>
    </row>
    <row r="604" spans="1:49" s="39" customFormat="1" ht="15.6">
      <c r="A604" s="828"/>
      <c r="B604" s="828"/>
      <c r="C604" s="828"/>
      <c r="D604" s="829"/>
      <c r="E604" s="829"/>
      <c r="F604" s="829"/>
      <c r="G604" s="829"/>
      <c r="H604" s="829"/>
      <c r="I604" s="827"/>
      <c r="J604" s="827"/>
      <c r="K604" s="827"/>
      <c r="L604" s="835"/>
      <c r="M604" s="835"/>
      <c r="N604" s="835"/>
      <c r="O604" s="835"/>
      <c r="P604" s="835"/>
      <c r="Q604" s="830"/>
      <c r="R604" s="830"/>
      <c r="S604" s="830"/>
      <c r="T604" s="323"/>
      <c r="U604" s="323"/>
      <c r="V604" s="323"/>
      <c r="W604" s="323"/>
      <c r="X604" s="323"/>
      <c r="Y604" s="323"/>
      <c r="Z604" s="323"/>
      <c r="AA604" s="323"/>
      <c r="AB604" s="323"/>
      <c r="AC604" s="323"/>
      <c r="AD604" s="323"/>
      <c r="AE604" s="323"/>
      <c r="AF604" s="323"/>
      <c r="AG604" s="323"/>
      <c r="AH604" s="323"/>
      <c r="AI604" s="323"/>
      <c r="AJ604" s="323"/>
      <c r="AK604" s="323"/>
      <c r="AL604" s="323"/>
      <c r="AM604" s="323"/>
      <c r="AN604" s="323"/>
      <c r="AO604" s="323"/>
      <c r="AP604" s="323"/>
      <c r="AQ604" s="323"/>
      <c r="AR604" s="323"/>
      <c r="AS604" s="323"/>
      <c r="AT604" s="323"/>
      <c r="AU604" s="323"/>
      <c r="AV604" s="323"/>
      <c r="AW604" s="323"/>
    </row>
    <row r="605" spans="1:49" s="39" customFormat="1" ht="15.6">
      <c r="A605" s="828"/>
      <c r="B605" s="828"/>
      <c r="C605" s="828"/>
      <c r="D605" s="829"/>
      <c r="E605" s="829"/>
      <c r="F605" s="829"/>
      <c r="G605" s="829"/>
      <c r="H605" s="829"/>
      <c r="I605" s="827"/>
      <c r="J605" s="827"/>
      <c r="K605" s="827"/>
      <c r="L605" s="835"/>
      <c r="M605" s="835"/>
      <c r="N605" s="835"/>
      <c r="O605" s="835"/>
      <c r="P605" s="835"/>
      <c r="Q605" s="830"/>
      <c r="R605" s="830"/>
      <c r="S605" s="830"/>
      <c r="T605" s="323"/>
      <c r="U605" s="323"/>
      <c r="V605" s="323"/>
      <c r="W605" s="323"/>
      <c r="X605" s="323"/>
      <c r="Y605" s="323"/>
      <c r="Z605" s="323"/>
      <c r="AA605" s="323"/>
      <c r="AB605" s="323"/>
      <c r="AC605" s="323"/>
      <c r="AD605" s="323"/>
      <c r="AE605" s="323"/>
      <c r="AF605" s="323"/>
      <c r="AG605" s="323"/>
      <c r="AH605" s="323"/>
      <c r="AI605" s="323"/>
      <c r="AJ605" s="323"/>
      <c r="AK605" s="323"/>
      <c r="AL605" s="323"/>
      <c r="AM605" s="323"/>
      <c r="AN605" s="323"/>
      <c r="AO605" s="323"/>
      <c r="AP605" s="323"/>
      <c r="AQ605" s="323"/>
      <c r="AR605" s="323"/>
      <c r="AS605" s="323"/>
      <c r="AT605" s="323"/>
      <c r="AU605" s="323"/>
      <c r="AV605" s="323"/>
      <c r="AW605" s="323"/>
    </row>
    <row r="606" spans="1:49" s="39" customFormat="1" ht="15.6">
      <c r="A606" s="828"/>
      <c r="B606" s="828"/>
      <c r="C606" s="828"/>
      <c r="D606" s="829"/>
      <c r="E606" s="829"/>
      <c r="F606" s="829"/>
      <c r="G606" s="829"/>
      <c r="H606" s="829"/>
      <c r="I606" s="827"/>
      <c r="J606" s="827"/>
      <c r="K606" s="827"/>
      <c r="L606" s="835"/>
      <c r="M606" s="835"/>
      <c r="N606" s="835"/>
      <c r="O606" s="835"/>
      <c r="P606" s="835"/>
      <c r="Q606" s="830"/>
      <c r="R606" s="830"/>
      <c r="S606" s="830"/>
      <c r="T606" s="323"/>
      <c r="U606" s="323"/>
      <c r="V606" s="323"/>
      <c r="W606" s="323"/>
      <c r="X606" s="323"/>
      <c r="Y606" s="323"/>
      <c r="Z606" s="323"/>
      <c r="AA606" s="323"/>
      <c r="AB606" s="323"/>
      <c r="AC606" s="323"/>
      <c r="AD606" s="323"/>
      <c r="AE606" s="323"/>
      <c r="AF606" s="323"/>
      <c r="AG606" s="323"/>
      <c r="AH606" s="323"/>
      <c r="AI606" s="323"/>
      <c r="AJ606" s="323"/>
      <c r="AK606" s="323"/>
      <c r="AL606" s="323"/>
      <c r="AM606" s="323"/>
      <c r="AN606" s="323"/>
      <c r="AO606" s="323"/>
      <c r="AP606" s="323"/>
      <c r="AQ606" s="323"/>
      <c r="AR606" s="323"/>
      <c r="AS606" s="323"/>
      <c r="AT606" s="323"/>
      <c r="AU606" s="323"/>
      <c r="AV606" s="323"/>
      <c r="AW606" s="323"/>
    </row>
    <row r="607" spans="1:49" s="39" customFormat="1" ht="15.6">
      <c r="A607" s="828"/>
      <c r="B607" s="828"/>
      <c r="C607" s="828"/>
      <c r="D607" s="829"/>
      <c r="E607" s="829"/>
      <c r="F607" s="829"/>
      <c r="G607" s="829"/>
      <c r="H607" s="829"/>
      <c r="I607" s="827"/>
      <c r="J607" s="827"/>
      <c r="K607" s="827"/>
      <c r="L607" s="835"/>
      <c r="M607" s="835"/>
      <c r="N607" s="835"/>
      <c r="O607" s="835"/>
      <c r="P607" s="835"/>
      <c r="Q607" s="830"/>
      <c r="R607" s="830"/>
      <c r="S607" s="830"/>
      <c r="T607" s="323"/>
      <c r="U607" s="323"/>
      <c r="V607" s="323"/>
      <c r="W607" s="323"/>
      <c r="X607" s="323"/>
      <c r="Y607" s="323"/>
      <c r="Z607" s="323"/>
      <c r="AA607" s="323"/>
      <c r="AB607" s="323"/>
      <c r="AC607" s="323"/>
      <c r="AD607" s="323"/>
      <c r="AE607" s="323"/>
      <c r="AF607" s="323"/>
      <c r="AG607" s="323"/>
      <c r="AH607" s="323"/>
      <c r="AI607" s="323"/>
      <c r="AJ607" s="323"/>
      <c r="AK607" s="323"/>
      <c r="AL607" s="323"/>
      <c r="AM607" s="323"/>
      <c r="AN607" s="323"/>
      <c r="AO607" s="323"/>
      <c r="AP607" s="323"/>
      <c r="AQ607" s="323"/>
      <c r="AR607" s="323"/>
      <c r="AS607" s="323"/>
      <c r="AT607" s="323"/>
      <c r="AU607" s="323"/>
      <c r="AV607" s="323"/>
      <c r="AW607" s="323"/>
    </row>
    <row r="608" spans="1:49" s="39" customFormat="1" ht="15.6">
      <c r="A608" s="828"/>
      <c r="B608" s="828"/>
      <c r="C608" s="828"/>
      <c r="D608" s="829"/>
      <c r="E608" s="829"/>
      <c r="F608" s="829"/>
      <c r="G608" s="829"/>
      <c r="H608" s="829"/>
      <c r="I608" s="827"/>
      <c r="J608" s="827"/>
      <c r="K608" s="827"/>
      <c r="L608" s="835"/>
      <c r="M608" s="835"/>
      <c r="N608" s="835"/>
      <c r="O608" s="835"/>
      <c r="P608" s="835"/>
      <c r="Q608" s="830"/>
      <c r="R608" s="830"/>
      <c r="S608" s="830"/>
      <c r="T608" s="323"/>
      <c r="U608" s="323"/>
      <c r="V608" s="323"/>
      <c r="W608" s="323"/>
      <c r="X608" s="323"/>
      <c r="Y608" s="323"/>
      <c r="Z608" s="323"/>
      <c r="AA608" s="323"/>
      <c r="AB608" s="323"/>
      <c r="AC608" s="323"/>
      <c r="AD608" s="323"/>
      <c r="AE608" s="323"/>
      <c r="AF608" s="323"/>
      <c r="AG608" s="323"/>
      <c r="AH608" s="323"/>
      <c r="AI608" s="323"/>
      <c r="AJ608" s="323"/>
      <c r="AK608" s="323"/>
      <c r="AL608" s="323"/>
      <c r="AM608" s="323"/>
      <c r="AN608" s="323"/>
      <c r="AO608" s="323"/>
      <c r="AP608" s="323"/>
      <c r="AQ608" s="323"/>
      <c r="AR608" s="323"/>
      <c r="AS608" s="323"/>
      <c r="AT608" s="323"/>
      <c r="AU608" s="323"/>
      <c r="AV608" s="323"/>
      <c r="AW608" s="323"/>
    </row>
    <row r="609" spans="1:49" s="39" customFormat="1" ht="15.6">
      <c r="A609" s="828"/>
      <c r="B609" s="828"/>
      <c r="C609" s="828"/>
      <c r="D609" s="829"/>
      <c r="E609" s="829"/>
      <c r="F609" s="829"/>
      <c r="G609" s="829"/>
      <c r="H609" s="829"/>
      <c r="I609" s="827"/>
      <c r="J609" s="827"/>
      <c r="K609" s="827"/>
      <c r="L609" s="835"/>
      <c r="M609" s="835"/>
      <c r="N609" s="835"/>
      <c r="O609" s="835"/>
      <c r="P609" s="835"/>
      <c r="Q609" s="830"/>
      <c r="R609" s="830"/>
      <c r="S609" s="830"/>
      <c r="T609" s="323"/>
      <c r="U609" s="323"/>
      <c r="V609" s="323"/>
      <c r="W609" s="323"/>
      <c r="X609" s="323"/>
      <c r="Y609" s="323"/>
      <c r="Z609" s="323"/>
      <c r="AA609" s="323"/>
      <c r="AB609" s="323"/>
      <c r="AC609" s="323"/>
      <c r="AD609" s="323"/>
      <c r="AE609" s="323"/>
      <c r="AF609" s="323"/>
      <c r="AG609" s="323"/>
      <c r="AH609" s="323"/>
      <c r="AI609" s="323"/>
      <c r="AJ609" s="323"/>
      <c r="AK609" s="323"/>
      <c r="AL609" s="323"/>
      <c r="AM609" s="323"/>
      <c r="AN609" s="323"/>
      <c r="AO609" s="323"/>
      <c r="AP609" s="323"/>
      <c r="AQ609" s="323"/>
      <c r="AR609" s="323"/>
      <c r="AS609" s="323"/>
      <c r="AT609" s="323"/>
      <c r="AU609" s="323"/>
      <c r="AV609" s="323"/>
      <c r="AW609" s="323"/>
    </row>
    <row r="610" spans="1:49" s="39" customFormat="1" ht="15.6">
      <c r="A610" s="828"/>
      <c r="B610" s="828"/>
      <c r="C610" s="828"/>
      <c r="D610" s="829"/>
      <c r="E610" s="829"/>
      <c r="F610" s="829"/>
      <c r="G610" s="829"/>
      <c r="H610" s="829"/>
      <c r="I610" s="827"/>
      <c r="J610" s="827"/>
      <c r="K610" s="827"/>
      <c r="L610" s="835"/>
      <c r="M610" s="835"/>
      <c r="N610" s="835"/>
      <c r="O610" s="835"/>
      <c r="P610" s="835"/>
      <c r="Q610" s="830"/>
      <c r="R610" s="830"/>
      <c r="S610" s="830"/>
      <c r="T610" s="323"/>
      <c r="U610" s="323"/>
      <c r="V610" s="323"/>
      <c r="W610" s="323"/>
      <c r="X610" s="323"/>
      <c r="Y610" s="323"/>
      <c r="Z610" s="323"/>
      <c r="AA610" s="323"/>
      <c r="AB610" s="323"/>
      <c r="AC610" s="323"/>
      <c r="AD610" s="323"/>
      <c r="AE610" s="323"/>
      <c r="AF610" s="323"/>
      <c r="AG610" s="323"/>
      <c r="AH610" s="323"/>
      <c r="AI610" s="323"/>
      <c r="AJ610" s="323"/>
      <c r="AK610" s="323"/>
      <c r="AL610" s="323"/>
      <c r="AM610" s="323"/>
      <c r="AN610" s="323"/>
      <c r="AO610" s="323"/>
      <c r="AP610" s="323"/>
      <c r="AQ610" s="323"/>
      <c r="AR610" s="323"/>
      <c r="AS610" s="323"/>
      <c r="AT610" s="323"/>
      <c r="AU610" s="323"/>
      <c r="AV610" s="323"/>
      <c r="AW610" s="323"/>
    </row>
    <row r="611" spans="1:49" s="39" customFormat="1" ht="15.6">
      <c r="A611" s="828"/>
      <c r="B611" s="828"/>
      <c r="C611" s="828"/>
      <c r="D611" s="829"/>
      <c r="E611" s="829"/>
      <c r="F611" s="829"/>
      <c r="G611" s="829"/>
      <c r="H611" s="829"/>
      <c r="I611" s="827"/>
      <c r="J611" s="827"/>
      <c r="K611" s="827"/>
      <c r="L611" s="835"/>
      <c r="M611" s="835"/>
      <c r="N611" s="835"/>
      <c r="O611" s="835"/>
      <c r="P611" s="835"/>
      <c r="Q611" s="830"/>
      <c r="R611" s="830"/>
      <c r="S611" s="830"/>
      <c r="T611" s="323"/>
      <c r="U611" s="323"/>
      <c r="V611" s="323"/>
      <c r="W611" s="323"/>
      <c r="X611" s="323"/>
      <c r="Y611" s="323"/>
      <c r="Z611" s="323"/>
      <c r="AA611" s="323"/>
      <c r="AB611" s="323"/>
      <c r="AC611" s="323"/>
      <c r="AD611" s="323"/>
      <c r="AE611" s="323"/>
      <c r="AF611" s="323"/>
      <c r="AG611" s="323"/>
      <c r="AH611" s="323"/>
      <c r="AI611" s="323"/>
      <c r="AJ611" s="323"/>
      <c r="AK611" s="323"/>
      <c r="AL611" s="323"/>
      <c r="AM611" s="323"/>
      <c r="AN611" s="323"/>
      <c r="AO611" s="323"/>
      <c r="AP611" s="323"/>
      <c r="AQ611" s="323"/>
      <c r="AR611" s="323"/>
      <c r="AS611" s="323"/>
      <c r="AT611" s="323"/>
      <c r="AU611" s="323"/>
      <c r="AV611" s="323"/>
      <c r="AW611" s="323"/>
    </row>
    <row r="612" spans="1:49" s="39" customFormat="1" ht="15.6">
      <c r="A612" s="828"/>
      <c r="B612" s="828"/>
      <c r="C612" s="828"/>
      <c r="D612" s="829"/>
      <c r="E612" s="829"/>
      <c r="F612" s="829"/>
      <c r="G612" s="829"/>
      <c r="H612" s="829"/>
      <c r="I612" s="827"/>
      <c r="J612" s="827"/>
      <c r="K612" s="827"/>
      <c r="L612" s="835"/>
      <c r="M612" s="835"/>
      <c r="N612" s="835"/>
      <c r="O612" s="835"/>
      <c r="P612" s="835"/>
      <c r="Q612" s="830"/>
      <c r="R612" s="830"/>
      <c r="S612" s="830"/>
      <c r="T612" s="323"/>
      <c r="U612" s="323"/>
      <c r="V612" s="323"/>
      <c r="W612" s="323"/>
      <c r="X612" s="323"/>
      <c r="Y612" s="323"/>
      <c r="Z612" s="323"/>
      <c r="AA612" s="323"/>
      <c r="AB612" s="323"/>
      <c r="AC612" s="323"/>
      <c r="AD612" s="323"/>
      <c r="AE612" s="323"/>
      <c r="AF612" s="323"/>
      <c r="AG612" s="323"/>
      <c r="AH612" s="323"/>
      <c r="AI612" s="323"/>
      <c r="AJ612" s="323"/>
      <c r="AK612" s="323"/>
      <c r="AL612" s="323"/>
      <c r="AM612" s="323"/>
      <c r="AN612" s="323"/>
      <c r="AO612" s="323"/>
      <c r="AP612" s="323"/>
      <c r="AQ612" s="323"/>
      <c r="AR612" s="323"/>
      <c r="AS612" s="323"/>
      <c r="AT612" s="323"/>
      <c r="AU612" s="323"/>
      <c r="AV612" s="323"/>
      <c r="AW612" s="323"/>
    </row>
    <row r="613" spans="1:49" s="39" customFormat="1" ht="15.6">
      <c r="A613" s="828"/>
      <c r="B613" s="828"/>
      <c r="C613" s="828"/>
      <c r="D613" s="829"/>
      <c r="E613" s="829"/>
      <c r="F613" s="829"/>
      <c r="G613" s="829"/>
      <c r="H613" s="829"/>
      <c r="I613" s="827"/>
      <c r="J613" s="827"/>
      <c r="K613" s="827"/>
      <c r="L613" s="835"/>
      <c r="M613" s="835"/>
      <c r="N613" s="835"/>
      <c r="O613" s="835"/>
      <c r="P613" s="835"/>
      <c r="Q613" s="830"/>
      <c r="R613" s="830"/>
      <c r="S613" s="830"/>
      <c r="T613" s="323"/>
      <c r="U613" s="323"/>
      <c r="V613" s="323"/>
      <c r="W613" s="323"/>
      <c r="X613" s="323"/>
      <c r="Y613" s="323"/>
      <c r="Z613" s="323"/>
      <c r="AA613" s="323"/>
      <c r="AB613" s="323"/>
      <c r="AC613" s="323"/>
      <c r="AD613" s="323"/>
      <c r="AE613" s="323"/>
      <c r="AF613" s="323"/>
      <c r="AG613" s="323"/>
      <c r="AH613" s="323"/>
      <c r="AI613" s="323"/>
      <c r="AJ613" s="323"/>
      <c r="AK613" s="323"/>
      <c r="AL613" s="323"/>
      <c r="AM613" s="323"/>
      <c r="AN613" s="323"/>
      <c r="AO613" s="323"/>
      <c r="AP613" s="323"/>
      <c r="AQ613" s="323"/>
      <c r="AR613" s="323"/>
      <c r="AS613" s="323"/>
      <c r="AT613" s="323"/>
      <c r="AU613" s="323"/>
      <c r="AV613" s="323"/>
      <c r="AW613" s="323"/>
    </row>
    <row r="614" spans="1:49" s="39" customFormat="1" ht="15.6">
      <c r="A614" s="828"/>
      <c r="B614" s="828"/>
      <c r="C614" s="828"/>
      <c r="D614" s="829"/>
      <c r="E614" s="829"/>
      <c r="F614" s="829"/>
      <c r="G614" s="829"/>
      <c r="H614" s="829"/>
      <c r="I614" s="827"/>
      <c r="J614" s="827"/>
      <c r="K614" s="827"/>
      <c r="L614" s="835"/>
      <c r="M614" s="835"/>
      <c r="N614" s="835"/>
      <c r="O614" s="835"/>
      <c r="P614" s="835"/>
      <c r="Q614" s="830"/>
      <c r="R614" s="830"/>
      <c r="S614" s="830"/>
      <c r="T614" s="323"/>
      <c r="U614" s="323"/>
      <c r="V614" s="323"/>
      <c r="W614" s="323"/>
      <c r="X614" s="323"/>
      <c r="Y614" s="323"/>
      <c r="Z614" s="323"/>
      <c r="AA614" s="323"/>
      <c r="AB614" s="323"/>
      <c r="AC614" s="323"/>
      <c r="AD614" s="323"/>
      <c r="AE614" s="323"/>
      <c r="AF614" s="323"/>
      <c r="AG614" s="323"/>
      <c r="AH614" s="323"/>
      <c r="AI614" s="323"/>
      <c r="AJ614" s="323"/>
      <c r="AK614" s="323"/>
      <c r="AL614" s="323"/>
      <c r="AM614" s="323"/>
      <c r="AN614" s="323"/>
      <c r="AO614" s="323"/>
      <c r="AP614" s="323"/>
      <c r="AQ614" s="323"/>
      <c r="AR614" s="323"/>
      <c r="AS614" s="323"/>
      <c r="AT614" s="323"/>
      <c r="AU614" s="323"/>
      <c r="AV614" s="323"/>
      <c r="AW614" s="323"/>
    </row>
    <row r="615" spans="1:49" s="39" customFormat="1" ht="15.6">
      <c r="A615" s="828"/>
      <c r="B615" s="828"/>
      <c r="C615" s="828"/>
      <c r="D615" s="829"/>
      <c r="E615" s="829"/>
      <c r="F615" s="829"/>
      <c r="G615" s="829"/>
      <c r="H615" s="829"/>
      <c r="I615" s="827"/>
      <c r="J615" s="827"/>
      <c r="K615" s="827"/>
      <c r="L615" s="835"/>
      <c r="M615" s="835"/>
      <c r="N615" s="835"/>
      <c r="O615" s="835"/>
      <c r="P615" s="835"/>
      <c r="Q615" s="830"/>
      <c r="R615" s="830"/>
      <c r="S615" s="830"/>
      <c r="T615" s="323"/>
      <c r="U615" s="323"/>
      <c r="V615" s="323"/>
      <c r="W615" s="323"/>
      <c r="X615" s="323"/>
      <c r="Y615" s="323"/>
      <c r="Z615" s="323"/>
      <c r="AA615" s="323"/>
      <c r="AB615" s="323"/>
      <c r="AC615" s="323"/>
      <c r="AD615" s="323"/>
      <c r="AE615" s="323"/>
      <c r="AF615" s="323"/>
      <c r="AG615" s="323"/>
      <c r="AH615" s="323"/>
      <c r="AI615" s="323"/>
      <c r="AJ615" s="323"/>
      <c r="AK615" s="323"/>
      <c r="AL615" s="323"/>
      <c r="AM615" s="323"/>
      <c r="AN615" s="323"/>
      <c r="AO615" s="323"/>
      <c r="AP615" s="323"/>
      <c r="AQ615" s="323"/>
      <c r="AR615" s="323"/>
      <c r="AS615" s="323"/>
      <c r="AT615" s="323"/>
      <c r="AU615" s="323"/>
      <c r="AV615" s="323"/>
      <c r="AW615" s="323"/>
    </row>
    <row r="616" spans="1:49" s="39" customFormat="1" ht="15.6">
      <c r="A616" s="828"/>
      <c r="B616" s="828"/>
      <c r="C616" s="828"/>
      <c r="D616" s="829"/>
      <c r="E616" s="829"/>
      <c r="F616" s="829"/>
      <c r="G616" s="829"/>
      <c r="H616" s="829"/>
      <c r="I616" s="827"/>
      <c r="J616" s="827"/>
      <c r="K616" s="827"/>
      <c r="L616" s="835"/>
      <c r="M616" s="835"/>
      <c r="N616" s="835"/>
      <c r="O616" s="835"/>
      <c r="P616" s="835"/>
      <c r="Q616" s="830"/>
      <c r="R616" s="830"/>
      <c r="S616" s="830"/>
      <c r="T616" s="323"/>
      <c r="U616" s="323"/>
      <c r="V616" s="323"/>
      <c r="W616" s="323"/>
      <c r="X616" s="323"/>
      <c r="Y616" s="323"/>
      <c r="Z616" s="323"/>
      <c r="AA616" s="323"/>
      <c r="AB616" s="323"/>
      <c r="AC616" s="323"/>
      <c r="AD616" s="323"/>
      <c r="AE616" s="323"/>
      <c r="AF616" s="323"/>
      <c r="AG616" s="323"/>
      <c r="AH616" s="323"/>
      <c r="AI616" s="323"/>
      <c r="AJ616" s="323"/>
      <c r="AK616" s="323"/>
      <c r="AL616" s="323"/>
      <c r="AM616" s="323"/>
      <c r="AN616" s="323"/>
      <c r="AO616" s="323"/>
      <c r="AP616" s="323"/>
      <c r="AQ616" s="323"/>
      <c r="AR616" s="323"/>
      <c r="AS616" s="323"/>
      <c r="AT616" s="323"/>
      <c r="AU616" s="323"/>
      <c r="AV616" s="323"/>
      <c r="AW616" s="323"/>
    </row>
    <row r="617" spans="1:49" s="39" customFormat="1" ht="15.6">
      <c r="A617" s="828"/>
      <c r="B617" s="828"/>
      <c r="C617" s="828"/>
      <c r="D617" s="829"/>
      <c r="E617" s="829"/>
      <c r="F617" s="829"/>
      <c r="G617" s="829"/>
      <c r="H617" s="829"/>
      <c r="I617" s="827"/>
      <c r="J617" s="827"/>
      <c r="K617" s="827"/>
      <c r="L617" s="835"/>
      <c r="M617" s="835"/>
      <c r="N617" s="835"/>
      <c r="O617" s="835"/>
      <c r="P617" s="835"/>
      <c r="Q617" s="830"/>
      <c r="R617" s="830"/>
      <c r="S617" s="830"/>
      <c r="T617" s="323"/>
      <c r="U617" s="323"/>
      <c r="V617" s="323"/>
      <c r="W617" s="323"/>
      <c r="X617" s="323"/>
      <c r="Y617" s="323"/>
      <c r="Z617" s="323"/>
      <c r="AA617" s="323"/>
      <c r="AB617" s="323"/>
      <c r="AC617" s="323"/>
      <c r="AD617" s="323"/>
      <c r="AE617" s="323"/>
      <c r="AF617" s="323"/>
      <c r="AG617" s="323"/>
      <c r="AH617" s="323"/>
      <c r="AI617" s="323"/>
      <c r="AJ617" s="323"/>
      <c r="AK617" s="323"/>
      <c r="AL617" s="323"/>
      <c r="AM617" s="323"/>
      <c r="AN617" s="323"/>
      <c r="AO617" s="323"/>
      <c r="AP617" s="323"/>
      <c r="AQ617" s="323"/>
      <c r="AR617" s="323"/>
      <c r="AS617" s="323"/>
      <c r="AT617" s="323"/>
      <c r="AU617" s="323"/>
      <c r="AV617" s="323"/>
      <c r="AW617" s="323"/>
    </row>
    <row r="618" spans="1:49" s="39" customFormat="1" ht="15.6">
      <c r="A618" s="828"/>
      <c r="B618" s="828"/>
      <c r="C618" s="828"/>
      <c r="D618" s="829"/>
      <c r="E618" s="829"/>
      <c r="F618" s="829"/>
      <c r="G618" s="829"/>
      <c r="H618" s="829"/>
      <c r="I618" s="827"/>
      <c r="J618" s="827"/>
      <c r="K618" s="827"/>
      <c r="L618" s="835"/>
      <c r="M618" s="835"/>
      <c r="N618" s="835"/>
      <c r="O618" s="835"/>
      <c r="P618" s="835"/>
      <c r="Q618" s="830"/>
      <c r="R618" s="830"/>
      <c r="S618" s="830"/>
      <c r="T618" s="323"/>
      <c r="U618" s="323"/>
      <c r="V618" s="323"/>
      <c r="W618" s="323"/>
      <c r="X618" s="323"/>
      <c r="Y618" s="323"/>
      <c r="Z618" s="323"/>
      <c r="AA618" s="323"/>
      <c r="AB618" s="323"/>
      <c r="AC618" s="323"/>
      <c r="AD618" s="323"/>
      <c r="AE618" s="323"/>
      <c r="AF618" s="323"/>
      <c r="AG618" s="323"/>
      <c r="AH618" s="323"/>
      <c r="AI618" s="323"/>
      <c r="AJ618" s="323"/>
      <c r="AK618" s="323"/>
      <c r="AL618" s="323"/>
      <c r="AM618" s="323"/>
      <c r="AN618" s="323"/>
      <c r="AO618" s="323"/>
      <c r="AP618" s="323"/>
      <c r="AQ618" s="323"/>
      <c r="AR618" s="323"/>
      <c r="AS618" s="323"/>
      <c r="AT618" s="323"/>
      <c r="AU618" s="323"/>
      <c r="AV618" s="323"/>
      <c r="AW618" s="323"/>
    </row>
    <row r="619" spans="1:49" s="39" customFormat="1" ht="15.6">
      <c r="A619" s="828"/>
      <c r="B619" s="828"/>
      <c r="C619" s="828"/>
      <c r="D619" s="829"/>
      <c r="E619" s="829"/>
      <c r="F619" s="829"/>
      <c r="G619" s="829"/>
      <c r="H619" s="829"/>
      <c r="I619" s="827"/>
      <c r="J619" s="827"/>
      <c r="K619" s="827"/>
      <c r="L619" s="835"/>
      <c r="M619" s="835"/>
      <c r="N619" s="835"/>
      <c r="O619" s="835"/>
      <c r="P619" s="835"/>
      <c r="Q619" s="830"/>
      <c r="R619" s="830"/>
      <c r="S619" s="830"/>
      <c r="T619" s="323"/>
      <c r="U619" s="323"/>
      <c r="V619" s="323"/>
      <c r="W619" s="323"/>
      <c r="X619" s="323"/>
      <c r="Y619" s="323"/>
      <c r="Z619" s="323"/>
      <c r="AA619" s="323"/>
      <c r="AB619" s="323"/>
      <c r="AC619" s="323"/>
      <c r="AD619" s="323"/>
      <c r="AE619" s="323"/>
      <c r="AF619" s="323"/>
      <c r="AG619" s="323"/>
      <c r="AH619" s="323"/>
      <c r="AI619" s="323"/>
      <c r="AJ619" s="323"/>
      <c r="AK619" s="323"/>
      <c r="AL619" s="323"/>
      <c r="AM619" s="323"/>
      <c r="AN619" s="323"/>
      <c r="AO619" s="323"/>
      <c r="AP619" s="323"/>
      <c r="AQ619" s="323"/>
      <c r="AR619" s="323"/>
      <c r="AS619" s="323"/>
      <c r="AT619" s="323"/>
      <c r="AU619" s="323"/>
      <c r="AV619" s="323"/>
      <c r="AW619" s="323"/>
    </row>
    <row r="620" spans="1:49" s="39" customFormat="1" ht="15.6">
      <c r="A620" s="828"/>
      <c r="B620" s="828"/>
      <c r="C620" s="828"/>
      <c r="D620" s="829"/>
      <c r="E620" s="829"/>
      <c r="F620" s="829"/>
      <c r="G620" s="829"/>
      <c r="H620" s="829"/>
      <c r="I620" s="827"/>
      <c r="J620" s="827"/>
      <c r="K620" s="827"/>
      <c r="L620" s="835"/>
      <c r="M620" s="835"/>
      <c r="N620" s="835"/>
      <c r="O620" s="835"/>
      <c r="P620" s="835"/>
      <c r="Q620" s="830"/>
      <c r="R620" s="830"/>
      <c r="S620" s="830"/>
      <c r="T620" s="323"/>
      <c r="U620" s="323"/>
      <c r="V620" s="323"/>
      <c r="W620" s="323"/>
      <c r="X620" s="323"/>
      <c r="Y620" s="323"/>
      <c r="Z620" s="323"/>
      <c r="AA620" s="323"/>
      <c r="AB620" s="323"/>
      <c r="AC620" s="323"/>
      <c r="AD620" s="323"/>
      <c r="AE620" s="323"/>
      <c r="AF620" s="323"/>
      <c r="AG620" s="323"/>
      <c r="AH620" s="323"/>
      <c r="AI620" s="323"/>
      <c r="AJ620" s="323"/>
      <c r="AK620" s="323"/>
      <c r="AL620" s="323"/>
      <c r="AM620" s="323"/>
      <c r="AN620" s="323"/>
      <c r="AO620" s="323"/>
      <c r="AP620" s="323"/>
      <c r="AQ620" s="323"/>
      <c r="AR620" s="323"/>
      <c r="AS620" s="323"/>
      <c r="AT620" s="323"/>
      <c r="AU620" s="323"/>
      <c r="AV620" s="323"/>
      <c r="AW620" s="323"/>
    </row>
    <row r="621" spans="1:49" s="39" customFormat="1" ht="15.6">
      <c r="A621" s="828"/>
      <c r="B621" s="828"/>
      <c r="C621" s="828"/>
      <c r="D621" s="829"/>
      <c r="E621" s="829"/>
      <c r="F621" s="829"/>
      <c r="G621" s="829"/>
      <c r="H621" s="829"/>
      <c r="I621" s="827"/>
      <c r="J621" s="827"/>
      <c r="K621" s="827"/>
      <c r="L621" s="835"/>
      <c r="M621" s="835"/>
      <c r="N621" s="835"/>
      <c r="O621" s="835"/>
      <c r="P621" s="835"/>
      <c r="Q621" s="830"/>
      <c r="R621" s="830"/>
      <c r="S621" s="830"/>
      <c r="T621" s="323"/>
      <c r="U621" s="323"/>
      <c r="V621" s="323"/>
      <c r="W621" s="323"/>
      <c r="X621" s="323"/>
      <c r="Y621" s="323"/>
      <c r="Z621" s="323"/>
      <c r="AA621" s="323"/>
      <c r="AB621" s="323"/>
      <c r="AC621" s="323"/>
      <c r="AD621" s="323"/>
      <c r="AE621" s="323"/>
      <c r="AF621" s="323"/>
      <c r="AG621" s="323"/>
      <c r="AH621" s="323"/>
      <c r="AI621" s="323"/>
      <c r="AJ621" s="323"/>
      <c r="AK621" s="323"/>
      <c r="AL621" s="323"/>
      <c r="AM621" s="323"/>
      <c r="AN621" s="323"/>
      <c r="AO621" s="323"/>
      <c r="AP621" s="323"/>
      <c r="AQ621" s="323"/>
      <c r="AR621" s="323"/>
      <c r="AS621" s="323"/>
      <c r="AT621" s="323"/>
      <c r="AU621" s="323"/>
      <c r="AV621" s="323"/>
      <c r="AW621" s="323"/>
    </row>
    <row r="622" spans="1:49" s="39" customFormat="1" ht="15.6">
      <c r="A622" s="828"/>
      <c r="B622" s="828"/>
      <c r="C622" s="828"/>
      <c r="D622" s="829"/>
      <c r="E622" s="829"/>
      <c r="F622" s="829"/>
      <c r="G622" s="829"/>
      <c r="H622" s="829"/>
      <c r="I622" s="827"/>
      <c r="J622" s="827"/>
      <c r="K622" s="827"/>
      <c r="L622" s="835"/>
      <c r="M622" s="835"/>
      <c r="N622" s="835"/>
      <c r="O622" s="835"/>
      <c r="P622" s="835"/>
      <c r="Q622" s="830"/>
      <c r="R622" s="830"/>
      <c r="S622" s="830"/>
      <c r="T622" s="323"/>
      <c r="U622" s="323"/>
      <c r="V622" s="323"/>
      <c r="W622" s="323"/>
      <c r="X622" s="323"/>
      <c r="Y622" s="323"/>
      <c r="Z622" s="323"/>
      <c r="AA622" s="323"/>
      <c r="AB622" s="323"/>
      <c r="AC622" s="323"/>
      <c r="AD622" s="323"/>
      <c r="AE622" s="323"/>
      <c r="AF622" s="323"/>
      <c r="AG622" s="323"/>
      <c r="AH622" s="323"/>
      <c r="AI622" s="323"/>
      <c r="AJ622" s="323"/>
      <c r="AK622" s="323"/>
      <c r="AL622" s="323"/>
      <c r="AM622" s="323"/>
      <c r="AN622" s="323"/>
      <c r="AO622" s="323"/>
      <c r="AP622" s="323"/>
      <c r="AQ622" s="323"/>
      <c r="AR622" s="323"/>
      <c r="AS622" s="323"/>
      <c r="AT622" s="323"/>
      <c r="AU622" s="323"/>
      <c r="AV622" s="323"/>
      <c r="AW622" s="323"/>
    </row>
    <row r="623" spans="1:49" s="39" customFormat="1" ht="18">
      <c r="A623" s="831" t="s">
        <v>18</v>
      </c>
      <c r="B623" s="832"/>
      <c r="C623" s="832"/>
      <c r="D623" s="832"/>
      <c r="E623" s="832"/>
      <c r="F623" s="832"/>
      <c r="G623" s="832"/>
      <c r="H623" s="832"/>
      <c r="I623" s="832"/>
      <c r="J623" s="832"/>
      <c r="K623" s="832"/>
      <c r="L623" s="832"/>
      <c r="M623" s="832"/>
      <c r="N623" s="832"/>
      <c r="O623" s="832"/>
      <c r="P623" s="833"/>
      <c r="Q623" s="841" t="str">
        <f>IF(SUM(Q423:S622)&lt;1,"",SUM(Q423:S622))</f>
        <v/>
      </c>
      <c r="R623" s="841"/>
      <c r="S623" s="841"/>
      <c r="T623" s="323"/>
      <c r="U623" s="323"/>
      <c r="V623" s="323"/>
      <c r="W623" s="323"/>
      <c r="X623" s="323"/>
      <c r="Y623" s="323"/>
      <c r="Z623" s="323"/>
      <c r="AA623" s="323"/>
      <c r="AB623" s="323"/>
      <c r="AC623" s="323"/>
      <c r="AD623" s="323"/>
      <c r="AE623" s="323"/>
      <c r="AF623" s="323"/>
      <c r="AG623" s="323"/>
      <c r="AH623" s="323"/>
      <c r="AI623" s="323"/>
      <c r="AJ623" s="323"/>
      <c r="AK623" s="323"/>
      <c r="AL623" s="323"/>
      <c r="AM623" s="323"/>
      <c r="AN623" s="323"/>
      <c r="AO623" s="323"/>
      <c r="AP623" s="323"/>
      <c r="AQ623" s="323"/>
      <c r="AR623" s="323"/>
      <c r="AS623" s="323"/>
      <c r="AT623" s="323"/>
      <c r="AU623" s="323"/>
      <c r="AV623" s="323"/>
      <c r="AW623" s="323"/>
    </row>
    <row r="624" spans="1:49" s="39" customFormat="1">
      <c r="A624" s="324"/>
      <c r="B624" s="324"/>
      <c r="C624" s="324"/>
      <c r="D624" s="324"/>
      <c r="E624" s="324"/>
      <c r="F624" s="324"/>
      <c r="G624" s="324"/>
      <c r="H624" s="324"/>
      <c r="I624" s="324"/>
      <c r="J624" s="324"/>
      <c r="K624" s="324"/>
      <c r="L624" s="324"/>
      <c r="M624" s="324"/>
      <c r="N624" s="324"/>
      <c r="O624" s="324"/>
      <c r="P624" s="324"/>
      <c r="Q624" s="324"/>
      <c r="R624" s="324"/>
      <c r="S624" s="324"/>
      <c r="T624" s="323"/>
      <c r="U624" s="323"/>
      <c r="V624" s="323"/>
      <c r="W624" s="323"/>
      <c r="X624" s="323"/>
      <c r="Y624" s="323"/>
      <c r="Z624" s="323"/>
      <c r="AA624" s="323"/>
      <c r="AB624" s="323"/>
      <c r="AC624" s="323"/>
      <c r="AD624" s="323"/>
      <c r="AE624" s="323"/>
      <c r="AF624" s="323"/>
      <c r="AG624" s="323"/>
      <c r="AH624" s="323"/>
      <c r="AI624" s="323"/>
      <c r="AJ624" s="323"/>
      <c r="AK624" s="323"/>
      <c r="AL624" s="323"/>
      <c r="AM624" s="323"/>
      <c r="AN624" s="323"/>
      <c r="AO624" s="323"/>
      <c r="AP624" s="323"/>
      <c r="AQ624" s="323"/>
      <c r="AR624" s="323"/>
      <c r="AS624" s="323"/>
      <c r="AT624" s="323"/>
      <c r="AU624" s="323"/>
      <c r="AV624" s="323"/>
      <c r="AW624" s="323"/>
    </row>
    <row r="625" spans="1:49" s="39" customFormat="1">
      <c r="A625" s="324"/>
      <c r="B625" s="324"/>
      <c r="C625" s="324"/>
      <c r="D625" s="324"/>
      <c r="E625" s="324"/>
      <c r="F625" s="324"/>
      <c r="G625" s="324"/>
      <c r="H625" s="324"/>
      <c r="I625" s="324"/>
      <c r="J625" s="324"/>
      <c r="K625" s="324"/>
      <c r="L625" s="324"/>
      <c r="M625" s="324"/>
      <c r="N625" s="324"/>
      <c r="O625" s="324"/>
      <c r="P625" s="324"/>
      <c r="Q625" s="324"/>
      <c r="R625" s="324"/>
      <c r="S625" s="324"/>
      <c r="T625" s="323"/>
      <c r="U625" s="323"/>
      <c r="V625" s="323"/>
      <c r="W625" s="323"/>
      <c r="X625" s="323"/>
      <c r="Y625" s="323"/>
      <c r="Z625" s="323"/>
      <c r="AA625" s="323"/>
      <c r="AB625" s="323"/>
      <c r="AC625" s="323"/>
      <c r="AD625" s="323"/>
      <c r="AE625" s="323"/>
      <c r="AF625" s="323"/>
      <c r="AG625" s="323"/>
      <c r="AH625" s="323"/>
      <c r="AI625" s="323"/>
      <c r="AJ625" s="323"/>
      <c r="AK625" s="323"/>
      <c r="AL625" s="323"/>
      <c r="AM625" s="323"/>
      <c r="AN625" s="323"/>
      <c r="AO625" s="323"/>
      <c r="AP625" s="323"/>
      <c r="AQ625" s="323"/>
      <c r="AR625" s="323"/>
      <c r="AS625" s="323"/>
      <c r="AT625" s="323"/>
      <c r="AU625" s="323"/>
      <c r="AV625" s="323"/>
      <c r="AW625" s="323"/>
    </row>
    <row r="626" spans="1:49" s="39" customFormat="1">
      <c r="A626" s="324"/>
      <c r="B626" s="324"/>
      <c r="C626" s="324"/>
      <c r="D626" s="324"/>
      <c r="E626" s="324"/>
      <c r="F626" s="324"/>
      <c r="G626" s="324"/>
      <c r="H626" s="324"/>
      <c r="I626" s="324"/>
      <c r="J626" s="324"/>
      <c r="K626" s="324"/>
      <c r="L626" s="324"/>
      <c r="M626" s="324"/>
      <c r="N626" s="324"/>
      <c r="O626" s="324"/>
      <c r="P626" s="324"/>
      <c r="Q626" s="324"/>
      <c r="R626" s="324"/>
      <c r="S626" s="324"/>
      <c r="T626" s="323"/>
      <c r="U626" s="323"/>
      <c r="V626" s="323"/>
      <c r="W626" s="323"/>
      <c r="X626" s="323"/>
      <c r="Y626" s="323"/>
      <c r="Z626" s="323"/>
      <c r="AA626" s="323"/>
      <c r="AB626" s="323"/>
      <c r="AC626" s="323"/>
      <c r="AD626" s="323"/>
      <c r="AE626" s="323"/>
      <c r="AF626" s="323"/>
      <c r="AG626" s="323"/>
      <c r="AH626" s="323"/>
      <c r="AI626" s="323"/>
      <c r="AJ626" s="323"/>
      <c r="AK626" s="323"/>
      <c r="AL626" s="323"/>
      <c r="AM626" s="323"/>
      <c r="AN626" s="323"/>
      <c r="AO626" s="323"/>
      <c r="AP626" s="323"/>
      <c r="AQ626" s="323"/>
      <c r="AR626" s="323"/>
      <c r="AS626" s="323"/>
      <c r="AT626" s="323"/>
      <c r="AU626" s="323"/>
      <c r="AV626" s="323"/>
      <c r="AW626" s="323"/>
    </row>
    <row r="627" spans="1:49" s="39" customFormat="1">
      <c r="A627" s="324"/>
      <c r="B627" s="324"/>
      <c r="C627" s="324"/>
      <c r="D627" s="324"/>
      <c r="E627" s="324"/>
      <c r="F627" s="324"/>
      <c r="G627" s="324"/>
      <c r="H627" s="324"/>
      <c r="I627" s="324"/>
      <c r="J627" s="324"/>
      <c r="K627" s="324"/>
      <c r="L627" s="324"/>
      <c r="M627" s="324"/>
      <c r="N627" s="324"/>
      <c r="O627" s="324"/>
      <c r="P627" s="324"/>
      <c r="Q627" s="324"/>
      <c r="R627" s="324"/>
      <c r="S627" s="324"/>
      <c r="T627" s="323"/>
      <c r="U627" s="323"/>
      <c r="V627" s="323"/>
      <c r="W627" s="323"/>
      <c r="X627" s="323"/>
      <c r="Y627" s="323"/>
      <c r="Z627" s="323"/>
      <c r="AA627" s="323"/>
      <c r="AB627" s="323"/>
      <c r="AC627" s="323"/>
      <c r="AD627" s="323"/>
      <c r="AE627" s="323"/>
      <c r="AF627" s="323"/>
      <c r="AG627" s="323"/>
      <c r="AH627" s="323"/>
      <c r="AI627" s="323"/>
      <c r="AJ627" s="323"/>
      <c r="AK627" s="323"/>
      <c r="AL627" s="323"/>
      <c r="AM627" s="323"/>
      <c r="AN627" s="323"/>
      <c r="AO627" s="323"/>
      <c r="AP627" s="323"/>
      <c r="AQ627" s="323"/>
      <c r="AR627" s="323"/>
      <c r="AS627" s="323"/>
      <c r="AT627" s="323"/>
      <c r="AU627" s="323"/>
      <c r="AV627" s="323"/>
      <c r="AW627" s="323"/>
    </row>
    <row r="628" spans="1:49" s="39" customFormat="1">
      <c r="A628" s="324"/>
      <c r="B628" s="324"/>
      <c r="C628" s="324"/>
      <c r="D628" s="324"/>
      <c r="E628" s="324"/>
      <c r="F628" s="324"/>
      <c r="G628" s="324"/>
      <c r="H628" s="324"/>
      <c r="I628" s="324"/>
      <c r="J628" s="324"/>
      <c r="K628" s="324"/>
      <c r="L628" s="324"/>
      <c r="M628" s="324"/>
      <c r="N628" s="324"/>
      <c r="O628" s="324"/>
      <c r="P628" s="324"/>
      <c r="Q628" s="324"/>
      <c r="R628" s="324"/>
      <c r="S628" s="324"/>
      <c r="T628" s="323"/>
      <c r="U628" s="323"/>
      <c r="V628" s="323"/>
      <c r="W628" s="323"/>
      <c r="X628" s="323"/>
      <c r="Y628" s="323"/>
      <c r="Z628" s="323"/>
      <c r="AA628" s="323"/>
      <c r="AB628" s="323"/>
      <c r="AC628" s="323"/>
      <c r="AD628" s="323"/>
      <c r="AE628" s="323"/>
      <c r="AF628" s="323"/>
      <c r="AG628" s="323"/>
      <c r="AH628" s="323"/>
      <c r="AI628" s="323"/>
      <c r="AJ628" s="323"/>
      <c r="AK628" s="323"/>
      <c r="AL628" s="323"/>
      <c r="AM628" s="323"/>
      <c r="AN628" s="323"/>
      <c r="AO628" s="323"/>
      <c r="AP628" s="323"/>
      <c r="AQ628" s="323"/>
      <c r="AR628" s="323"/>
      <c r="AS628" s="323"/>
      <c r="AT628" s="323"/>
      <c r="AU628" s="323"/>
      <c r="AV628" s="323"/>
      <c r="AW628" s="323"/>
    </row>
    <row r="629" spans="1:49" s="39" customFormat="1">
      <c r="A629" s="324"/>
      <c r="B629" s="324"/>
      <c r="C629" s="324"/>
      <c r="D629" s="324"/>
      <c r="E629" s="324"/>
      <c r="F629" s="324"/>
      <c r="G629" s="324"/>
      <c r="H629" s="324"/>
      <c r="I629" s="324"/>
      <c r="J629" s="324"/>
      <c r="K629" s="324"/>
      <c r="L629" s="324"/>
      <c r="M629" s="324"/>
      <c r="N629" s="324"/>
      <c r="O629" s="324"/>
      <c r="P629" s="324"/>
      <c r="Q629" s="324"/>
      <c r="R629" s="324"/>
      <c r="S629" s="324"/>
      <c r="T629" s="323"/>
      <c r="U629" s="323"/>
      <c r="V629" s="323"/>
      <c r="W629" s="323"/>
      <c r="X629" s="323"/>
      <c r="Y629" s="323"/>
      <c r="Z629" s="323"/>
      <c r="AA629" s="323"/>
      <c r="AB629" s="323"/>
      <c r="AC629" s="323"/>
      <c r="AD629" s="323"/>
      <c r="AE629" s="323"/>
      <c r="AF629" s="323"/>
      <c r="AG629" s="323"/>
      <c r="AH629" s="323"/>
      <c r="AI629" s="323"/>
      <c r="AJ629" s="323"/>
      <c r="AK629" s="323"/>
      <c r="AL629" s="323"/>
      <c r="AM629" s="323"/>
      <c r="AN629" s="323"/>
      <c r="AO629" s="323"/>
      <c r="AP629" s="323"/>
      <c r="AQ629" s="323"/>
      <c r="AR629" s="323"/>
      <c r="AS629" s="323"/>
      <c r="AT629" s="323"/>
      <c r="AU629" s="323"/>
      <c r="AV629" s="323"/>
      <c r="AW629" s="323"/>
    </row>
    <row r="630" spans="1:49" s="39" customFormat="1">
      <c r="A630" s="324"/>
      <c r="B630" s="324"/>
      <c r="C630" s="324"/>
      <c r="D630" s="324"/>
      <c r="E630" s="324"/>
      <c r="F630" s="324"/>
      <c r="G630" s="324"/>
      <c r="H630" s="324"/>
      <c r="I630" s="324"/>
      <c r="J630" s="324"/>
      <c r="K630" s="324"/>
      <c r="L630" s="324"/>
      <c r="M630" s="324"/>
      <c r="N630" s="324"/>
      <c r="O630" s="324"/>
      <c r="P630" s="324"/>
      <c r="Q630" s="324"/>
      <c r="R630" s="324"/>
      <c r="S630" s="324"/>
      <c r="T630" s="323"/>
      <c r="U630" s="323"/>
      <c r="V630" s="323"/>
      <c r="W630" s="323"/>
      <c r="X630" s="323"/>
      <c r="Y630" s="323"/>
      <c r="Z630" s="323"/>
      <c r="AA630" s="323"/>
      <c r="AB630" s="323"/>
      <c r="AC630" s="323"/>
      <c r="AD630" s="323"/>
      <c r="AE630" s="323"/>
      <c r="AF630" s="323"/>
      <c r="AG630" s="323"/>
      <c r="AH630" s="323"/>
      <c r="AI630" s="323"/>
      <c r="AJ630" s="323"/>
      <c r="AK630" s="323"/>
      <c r="AL630" s="323"/>
      <c r="AM630" s="323"/>
      <c r="AN630" s="323"/>
      <c r="AO630" s="323"/>
      <c r="AP630" s="323"/>
      <c r="AQ630" s="323"/>
      <c r="AR630" s="323"/>
      <c r="AS630" s="323"/>
      <c r="AT630" s="323"/>
      <c r="AU630" s="323"/>
      <c r="AV630" s="323"/>
      <c r="AW630" s="323"/>
    </row>
    <row r="631" spans="1:49" s="39" customFormat="1">
      <c r="A631" s="324"/>
      <c r="B631" s="324"/>
      <c r="C631" s="324"/>
      <c r="D631" s="324"/>
      <c r="E631" s="324"/>
      <c r="F631" s="324"/>
      <c r="G631" s="324"/>
      <c r="H631" s="324"/>
      <c r="I631" s="324"/>
      <c r="J631" s="324"/>
      <c r="K631" s="324"/>
      <c r="L631" s="324"/>
      <c r="M631" s="324"/>
      <c r="N631" s="324"/>
      <c r="O631" s="324"/>
      <c r="P631" s="324"/>
      <c r="Q631" s="324"/>
      <c r="R631" s="324"/>
      <c r="S631" s="324"/>
      <c r="T631" s="323"/>
      <c r="U631" s="323"/>
      <c r="V631" s="323"/>
      <c r="W631" s="323"/>
      <c r="X631" s="323"/>
      <c r="Y631" s="323"/>
      <c r="Z631" s="323"/>
      <c r="AA631" s="323"/>
      <c r="AB631" s="323"/>
      <c r="AC631" s="323"/>
      <c r="AD631" s="323"/>
      <c r="AE631" s="323"/>
      <c r="AF631" s="323"/>
      <c r="AG631" s="323"/>
      <c r="AH631" s="323"/>
      <c r="AI631" s="323"/>
      <c r="AJ631" s="323"/>
      <c r="AK631" s="323"/>
      <c r="AL631" s="323"/>
      <c r="AM631" s="323"/>
      <c r="AN631" s="323"/>
      <c r="AO631" s="323"/>
      <c r="AP631" s="323"/>
      <c r="AQ631" s="323"/>
      <c r="AR631" s="323"/>
      <c r="AS631" s="323"/>
      <c r="AT631" s="323"/>
      <c r="AU631" s="323"/>
      <c r="AV631" s="323"/>
      <c r="AW631" s="323"/>
    </row>
    <row r="632" spans="1:49" s="39" customFormat="1">
      <c r="A632" s="324"/>
      <c r="B632" s="324"/>
      <c r="C632" s="324"/>
      <c r="D632" s="324"/>
      <c r="E632" s="324"/>
      <c r="F632" s="324"/>
      <c r="G632" s="324"/>
      <c r="H632" s="324"/>
      <c r="I632" s="324"/>
      <c r="J632" s="324"/>
      <c r="K632" s="324"/>
      <c r="L632" s="324"/>
      <c r="M632" s="324"/>
      <c r="N632" s="324"/>
      <c r="O632" s="324"/>
      <c r="P632" s="324"/>
      <c r="Q632" s="324"/>
      <c r="R632" s="324"/>
      <c r="S632" s="324"/>
      <c r="T632" s="323"/>
      <c r="U632" s="323"/>
      <c r="V632" s="323"/>
      <c r="W632" s="323"/>
      <c r="X632" s="323"/>
      <c r="Y632" s="323"/>
      <c r="Z632" s="323"/>
      <c r="AA632" s="323"/>
      <c r="AB632" s="323"/>
      <c r="AC632" s="323"/>
      <c r="AD632" s="323"/>
      <c r="AE632" s="323"/>
      <c r="AF632" s="323"/>
      <c r="AG632" s="323"/>
      <c r="AH632" s="323"/>
      <c r="AI632" s="323"/>
      <c r="AJ632" s="323"/>
      <c r="AK632" s="323"/>
      <c r="AL632" s="323"/>
      <c r="AM632" s="323"/>
      <c r="AN632" s="323"/>
      <c r="AO632" s="323"/>
      <c r="AP632" s="323"/>
      <c r="AQ632" s="323"/>
      <c r="AR632" s="323"/>
      <c r="AS632" s="323"/>
      <c r="AT632" s="323"/>
      <c r="AU632" s="323"/>
      <c r="AV632" s="323"/>
      <c r="AW632" s="323"/>
    </row>
    <row r="633" spans="1:49" s="39" customFormat="1">
      <c r="A633" s="324"/>
      <c r="B633" s="324"/>
      <c r="C633" s="324"/>
      <c r="D633" s="324"/>
      <c r="E633" s="324"/>
      <c r="F633" s="324"/>
      <c r="G633" s="324"/>
      <c r="H633" s="324"/>
      <c r="I633" s="324"/>
      <c r="J633" s="324"/>
      <c r="K633" s="324"/>
      <c r="L633" s="324"/>
      <c r="M633" s="324"/>
      <c r="N633" s="324"/>
      <c r="O633" s="324"/>
      <c r="P633" s="324"/>
      <c r="Q633" s="324"/>
      <c r="R633" s="324"/>
      <c r="S633" s="324"/>
      <c r="T633" s="323"/>
      <c r="U633" s="323"/>
      <c r="V633" s="323"/>
      <c r="W633" s="323"/>
      <c r="X633" s="323"/>
      <c r="Y633" s="323"/>
      <c r="Z633" s="323"/>
      <c r="AA633" s="323"/>
      <c r="AB633" s="323"/>
      <c r="AC633" s="323"/>
      <c r="AD633" s="323"/>
      <c r="AE633" s="323"/>
      <c r="AF633" s="323"/>
      <c r="AG633" s="323"/>
      <c r="AH633" s="323"/>
      <c r="AI633" s="323"/>
      <c r="AJ633" s="323"/>
      <c r="AK633" s="323"/>
      <c r="AL633" s="323"/>
      <c r="AM633" s="323"/>
      <c r="AN633" s="323"/>
      <c r="AO633" s="323"/>
      <c r="AP633" s="323"/>
      <c r="AQ633" s="323"/>
      <c r="AR633" s="323"/>
      <c r="AS633" s="323"/>
      <c r="AT633" s="323"/>
      <c r="AU633" s="323"/>
      <c r="AV633" s="323"/>
      <c r="AW633" s="323"/>
    </row>
    <row r="634" spans="1:49" s="39" customFormat="1">
      <c r="A634" s="324"/>
      <c r="B634" s="324"/>
      <c r="C634" s="324"/>
      <c r="D634" s="324"/>
      <c r="E634" s="324"/>
      <c r="F634" s="324"/>
      <c r="G634" s="324"/>
      <c r="H634" s="324"/>
      <c r="I634" s="324"/>
      <c r="J634" s="324"/>
      <c r="K634" s="324"/>
      <c r="L634" s="324"/>
      <c r="M634" s="324"/>
      <c r="N634" s="324"/>
      <c r="O634" s="324"/>
      <c r="P634" s="324"/>
      <c r="Q634" s="324"/>
      <c r="R634" s="324"/>
      <c r="S634" s="324"/>
      <c r="T634" s="323"/>
      <c r="U634" s="323"/>
      <c r="V634" s="323"/>
      <c r="W634" s="323"/>
      <c r="X634" s="323"/>
      <c r="Y634" s="323"/>
      <c r="Z634" s="323"/>
      <c r="AA634" s="323"/>
      <c r="AB634" s="323"/>
      <c r="AC634" s="323"/>
      <c r="AD634" s="323"/>
      <c r="AE634" s="323"/>
      <c r="AF634" s="323"/>
      <c r="AG634" s="323"/>
      <c r="AH634" s="323"/>
      <c r="AI634" s="323"/>
      <c r="AJ634" s="323"/>
      <c r="AK634" s="323"/>
      <c r="AL634" s="323"/>
      <c r="AM634" s="323"/>
      <c r="AN634" s="323"/>
      <c r="AO634" s="323"/>
      <c r="AP634" s="323"/>
      <c r="AQ634" s="323"/>
      <c r="AR634" s="323"/>
      <c r="AS634" s="323"/>
      <c r="AT634" s="323"/>
      <c r="AU634" s="323"/>
      <c r="AV634" s="323"/>
      <c r="AW634" s="323"/>
    </row>
    <row r="635" spans="1:49" s="39" customFormat="1">
      <c r="A635" s="324"/>
      <c r="B635" s="324"/>
      <c r="C635" s="324"/>
      <c r="D635" s="324"/>
      <c r="E635" s="324"/>
      <c r="F635" s="324"/>
      <c r="G635" s="324"/>
      <c r="H635" s="324"/>
      <c r="I635" s="324"/>
      <c r="J635" s="324"/>
      <c r="K635" s="324"/>
      <c r="L635" s="324"/>
      <c r="M635" s="324"/>
      <c r="N635" s="324"/>
      <c r="O635" s="324"/>
      <c r="P635" s="324"/>
      <c r="Q635" s="324"/>
      <c r="R635" s="324"/>
      <c r="S635" s="324"/>
      <c r="T635" s="323"/>
      <c r="U635" s="323"/>
      <c r="V635" s="323"/>
      <c r="W635" s="323"/>
      <c r="X635" s="323"/>
      <c r="Y635" s="323"/>
      <c r="Z635" s="323"/>
      <c r="AA635" s="323"/>
      <c r="AB635" s="323"/>
      <c r="AC635" s="323"/>
      <c r="AD635" s="323"/>
      <c r="AE635" s="323"/>
      <c r="AF635" s="323"/>
      <c r="AG635" s="323"/>
      <c r="AH635" s="323"/>
      <c r="AI635" s="323"/>
      <c r="AJ635" s="323"/>
      <c r="AK635" s="323"/>
      <c r="AL635" s="323"/>
      <c r="AM635" s="323"/>
      <c r="AN635" s="323"/>
      <c r="AO635" s="323"/>
      <c r="AP635" s="323"/>
      <c r="AQ635" s="323"/>
      <c r="AR635" s="323"/>
      <c r="AS635" s="323"/>
      <c r="AT635" s="323"/>
      <c r="AU635" s="323"/>
      <c r="AV635" s="323"/>
      <c r="AW635" s="323"/>
    </row>
    <row r="636" spans="1:49" s="39" customFormat="1">
      <c r="A636" s="324"/>
      <c r="B636" s="324"/>
      <c r="C636" s="324"/>
      <c r="D636" s="324"/>
      <c r="E636" s="324"/>
      <c r="F636" s="324"/>
      <c r="G636" s="324"/>
      <c r="H636" s="324"/>
      <c r="I636" s="324"/>
      <c r="J636" s="324"/>
      <c r="K636" s="324"/>
      <c r="L636" s="324"/>
      <c r="M636" s="324"/>
      <c r="N636" s="324"/>
      <c r="O636" s="324"/>
      <c r="P636" s="324"/>
      <c r="Q636" s="324"/>
      <c r="R636" s="324"/>
      <c r="S636" s="324"/>
      <c r="T636" s="323"/>
      <c r="U636" s="323"/>
      <c r="V636" s="323"/>
      <c r="W636" s="323"/>
      <c r="X636" s="323"/>
      <c r="Y636" s="323"/>
      <c r="Z636" s="323"/>
      <c r="AA636" s="323"/>
      <c r="AB636" s="323"/>
      <c r="AC636" s="323"/>
      <c r="AD636" s="323"/>
      <c r="AE636" s="323"/>
      <c r="AF636" s="323"/>
      <c r="AG636" s="323"/>
      <c r="AH636" s="323"/>
      <c r="AI636" s="323"/>
      <c r="AJ636" s="323"/>
      <c r="AK636" s="323"/>
      <c r="AL636" s="323"/>
      <c r="AM636" s="323"/>
      <c r="AN636" s="323"/>
      <c r="AO636" s="323"/>
      <c r="AP636" s="323"/>
      <c r="AQ636" s="323"/>
      <c r="AR636" s="323"/>
      <c r="AS636" s="323"/>
      <c r="AT636" s="323"/>
      <c r="AU636" s="323"/>
      <c r="AV636" s="323"/>
      <c r="AW636" s="323"/>
    </row>
    <row r="637" spans="1:49" s="39" customFormat="1">
      <c r="A637" s="324"/>
      <c r="B637" s="324"/>
      <c r="C637" s="324"/>
      <c r="D637" s="324"/>
      <c r="E637" s="324"/>
      <c r="F637" s="324"/>
      <c r="G637" s="324"/>
      <c r="H637" s="324"/>
      <c r="I637" s="324"/>
      <c r="J637" s="324"/>
      <c r="K637" s="324"/>
      <c r="L637" s="324"/>
      <c r="M637" s="324"/>
      <c r="N637" s="324"/>
      <c r="O637" s="324"/>
      <c r="P637" s="324"/>
      <c r="Q637" s="324"/>
      <c r="R637" s="324"/>
      <c r="S637" s="324"/>
      <c r="T637" s="323"/>
      <c r="U637" s="323"/>
      <c r="V637" s="323"/>
      <c r="W637" s="323"/>
      <c r="X637" s="323"/>
      <c r="Y637" s="323"/>
      <c r="Z637" s="323"/>
      <c r="AA637" s="323"/>
      <c r="AB637" s="323"/>
      <c r="AC637" s="323"/>
      <c r="AD637" s="323"/>
      <c r="AE637" s="323"/>
      <c r="AF637" s="323"/>
      <c r="AG637" s="323"/>
      <c r="AH637" s="323"/>
      <c r="AI637" s="323"/>
      <c r="AJ637" s="323"/>
      <c r="AK637" s="323"/>
      <c r="AL637" s="323"/>
      <c r="AM637" s="323"/>
      <c r="AN637" s="323"/>
      <c r="AO637" s="323"/>
      <c r="AP637" s="323"/>
      <c r="AQ637" s="323"/>
      <c r="AR637" s="323"/>
      <c r="AS637" s="323"/>
      <c r="AT637" s="323"/>
      <c r="AU637" s="323"/>
      <c r="AV637" s="323"/>
      <c r="AW637" s="323"/>
    </row>
    <row r="638" spans="1:49" s="39" customFormat="1">
      <c r="A638" s="324"/>
      <c r="B638" s="324"/>
      <c r="C638" s="324"/>
      <c r="D638" s="324"/>
      <c r="E638" s="324"/>
      <c r="F638" s="324"/>
      <c r="G638" s="324"/>
      <c r="H638" s="324"/>
      <c r="I638" s="324"/>
      <c r="J638" s="324"/>
      <c r="K638" s="324"/>
      <c r="L638" s="324"/>
      <c r="M638" s="324"/>
      <c r="N638" s="324"/>
      <c r="O638" s="324"/>
      <c r="P638" s="324"/>
      <c r="Q638" s="324"/>
      <c r="R638" s="324"/>
      <c r="S638" s="324"/>
      <c r="T638" s="323"/>
      <c r="U638" s="323"/>
      <c r="V638" s="323"/>
      <c r="W638" s="323"/>
      <c r="X638" s="323"/>
      <c r="Y638" s="323"/>
      <c r="Z638" s="323"/>
      <c r="AA638" s="323"/>
      <c r="AB638" s="323"/>
      <c r="AC638" s="323"/>
      <c r="AD638" s="323"/>
      <c r="AE638" s="323"/>
      <c r="AF638" s="323"/>
      <c r="AG638" s="323"/>
      <c r="AH638" s="323"/>
      <c r="AI638" s="323"/>
      <c r="AJ638" s="323"/>
      <c r="AK638" s="323"/>
      <c r="AL638" s="323"/>
      <c r="AM638" s="323"/>
      <c r="AN638" s="323"/>
      <c r="AO638" s="323"/>
      <c r="AP638" s="323"/>
      <c r="AQ638" s="323"/>
      <c r="AR638" s="323"/>
      <c r="AS638" s="323"/>
      <c r="AT638" s="323"/>
      <c r="AU638" s="323"/>
      <c r="AV638" s="323"/>
      <c r="AW638" s="323"/>
    </row>
    <row r="639" spans="1:49" s="39" customFormat="1">
      <c r="A639" s="324"/>
      <c r="B639" s="324"/>
      <c r="C639" s="324"/>
      <c r="D639" s="324"/>
      <c r="E639" s="324"/>
      <c r="F639" s="324"/>
      <c r="G639" s="324"/>
      <c r="H639" s="324"/>
      <c r="I639" s="324"/>
      <c r="J639" s="324"/>
      <c r="K639" s="324"/>
      <c r="L639" s="324"/>
      <c r="M639" s="324"/>
      <c r="N639" s="324"/>
      <c r="O639" s="324"/>
      <c r="P639" s="324"/>
      <c r="Q639" s="324"/>
      <c r="R639" s="324"/>
      <c r="S639" s="324"/>
      <c r="T639" s="323"/>
      <c r="U639" s="323"/>
      <c r="V639" s="323"/>
      <c r="W639" s="323"/>
      <c r="X639" s="323"/>
      <c r="Y639" s="323"/>
      <c r="Z639" s="323"/>
      <c r="AA639" s="323"/>
      <c r="AB639" s="323"/>
      <c r="AC639" s="323"/>
      <c r="AD639" s="323"/>
      <c r="AE639" s="323"/>
      <c r="AF639" s="323"/>
      <c r="AG639" s="323"/>
      <c r="AH639" s="323"/>
      <c r="AI639" s="323"/>
      <c r="AJ639" s="323"/>
      <c r="AK639" s="323"/>
      <c r="AL639" s="323"/>
      <c r="AM639" s="323"/>
      <c r="AN639" s="323"/>
      <c r="AO639" s="323"/>
      <c r="AP639" s="323"/>
      <c r="AQ639" s="323"/>
      <c r="AR639" s="323"/>
      <c r="AS639" s="323"/>
      <c r="AT639" s="323"/>
      <c r="AU639" s="323"/>
      <c r="AV639" s="323"/>
      <c r="AW639" s="323"/>
    </row>
    <row r="640" spans="1:49" s="39" customFormat="1">
      <c r="A640" s="324"/>
      <c r="B640" s="324"/>
      <c r="C640" s="324"/>
      <c r="D640" s="324"/>
      <c r="E640" s="324"/>
      <c r="F640" s="324"/>
      <c r="G640" s="324"/>
      <c r="H640" s="324"/>
      <c r="I640" s="324"/>
      <c r="J640" s="324"/>
      <c r="K640" s="324"/>
      <c r="L640" s="324"/>
      <c r="M640" s="324"/>
      <c r="N640" s="324"/>
      <c r="O640" s="324"/>
      <c r="P640" s="324"/>
      <c r="Q640" s="324"/>
      <c r="R640" s="324"/>
      <c r="S640" s="324"/>
      <c r="T640" s="323"/>
      <c r="U640" s="323"/>
      <c r="V640" s="323"/>
      <c r="W640" s="323"/>
      <c r="X640" s="323"/>
      <c r="Y640" s="323"/>
      <c r="Z640" s="323"/>
      <c r="AA640" s="323"/>
      <c r="AB640" s="323"/>
      <c r="AC640" s="323"/>
      <c r="AD640" s="323"/>
      <c r="AE640" s="323"/>
      <c r="AF640" s="323"/>
      <c r="AG640" s="323"/>
      <c r="AH640" s="323"/>
      <c r="AI640" s="323"/>
      <c r="AJ640" s="323"/>
      <c r="AK640" s="323"/>
      <c r="AL640" s="323"/>
      <c r="AM640" s="323"/>
      <c r="AN640" s="323"/>
      <c r="AO640" s="323"/>
      <c r="AP640" s="323"/>
      <c r="AQ640" s="323"/>
      <c r="AR640" s="323"/>
      <c r="AS640" s="323"/>
      <c r="AT640" s="323"/>
      <c r="AU640" s="323"/>
      <c r="AV640" s="323"/>
      <c r="AW640" s="323"/>
    </row>
    <row r="641" spans="1:49" s="39" customFormat="1">
      <c r="A641" s="324"/>
      <c r="B641" s="324"/>
      <c r="C641" s="324"/>
      <c r="D641" s="324"/>
      <c r="E641" s="324"/>
      <c r="F641" s="324"/>
      <c r="G641" s="324"/>
      <c r="H641" s="324"/>
      <c r="I641" s="324"/>
      <c r="J641" s="324"/>
      <c r="K641" s="324"/>
      <c r="L641" s="324"/>
      <c r="M641" s="324"/>
      <c r="N641" s="324"/>
      <c r="O641" s="324"/>
      <c r="P641" s="324"/>
      <c r="Q641" s="324"/>
      <c r="R641" s="324"/>
      <c r="S641" s="324"/>
      <c r="T641" s="323"/>
      <c r="U641" s="323"/>
      <c r="V641" s="323"/>
      <c r="W641" s="323"/>
      <c r="X641" s="323"/>
      <c r="Y641" s="323"/>
      <c r="Z641" s="323"/>
      <c r="AA641" s="323"/>
      <c r="AB641" s="323"/>
      <c r="AC641" s="323"/>
      <c r="AD641" s="323"/>
      <c r="AE641" s="323"/>
      <c r="AF641" s="323"/>
      <c r="AG641" s="323"/>
      <c r="AH641" s="323"/>
      <c r="AI641" s="323"/>
      <c r="AJ641" s="323"/>
      <c r="AK641" s="323"/>
      <c r="AL641" s="323"/>
      <c r="AM641" s="323"/>
      <c r="AN641" s="323"/>
      <c r="AO641" s="323"/>
      <c r="AP641" s="323"/>
      <c r="AQ641" s="323"/>
      <c r="AR641" s="323"/>
      <c r="AS641" s="323"/>
      <c r="AT641" s="323"/>
      <c r="AU641" s="323"/>
      <c r="AV641" s="323"/>
      <c r="AW641" s="323"/>
    </row>
    <row r="642" spans="1:49" s="39" customFormat="1">
      <c r="A642" s="324"/>
      <c r="B642" s="324"/>
      <c r="C642" s="324"/>
      <c r="D642" s="324"/>
      <c r="E642" s="324"/>
      <c r="F642" s="324"/>
      <c r="G642" s="324"/>
      <c r="H642" s="324"/>
      <c r="I642" s="324"/>
      <c r="J642" s="324"/>
      <c r="K642" s="324"/>
      <c r="L642" s="324"/>
      <c r="M642" s="324"/>
      <c r="N642" s="324"/>
      <c r="O642" s="324"/>
      <c r="P642" s="324"/>
      <c r="Q642" s="324"/>
      <c r="R642" s="324"/>
      <c r="S642" s="324"/>
      <c r="T642" s="323"/>
      <c r="U642" s="323"/>
      <c r="V642" s="323"/>
      <c r="W642" s="323"/>
      <c r="X642" s="323"/>
      <c r="Y642" s="323"/>
      <c r="Z642" s="323"/>
      <c r="AA642" s="323"/>
      <c r="AB642" s="323"/>
      <c r="AC642" s="323"/>
      <c r="AD642" s="323"/>
      <c r="AE642" s="323"/>
      <c r="AF642" s="323"/>
      <c r="AG642" s="323"/>
      <c r="AH642" s="323"/>
      <c r="AI642" s="323"/>
      <c r="AJ642" s="323"/>
      <c r="AK642" s="323"/>
      <c r="AL642" s="323"/>
      <c r="AM642" s="323"/>
      <c r="AN642" s="323"/>
      <c r="AO642" s="323"/>
      <c r="AP642" s="323"/>
      <c r="AQ642" s="323"/>
      <c r="AR642" s="323"/>
      <c r="AS642" s="323"/>
      <c r="AT642" s="323"/>
      <c r="AU642" s="323"/>
      <c r="AV642" s="323"/>
      <c r="AW642" s="323"/>
    </row>
    <row r="643" spans="1:49" s="39" customFormat="1">
      <c r="A643" s="324"/>
      <c r="B643" s="324"/>
      <c r="C643" s="324"/>
      <c r="D643" s="324"/>
      <c r="E643" s="324"/>
      <c r="F643" s="324"/>
      <c r="G643" s="324"/>
      <c r="H643" s="324"/>
      <c r="I643" s="324"/>
      <c r="J643" s="324"/>
      <c r="K643" s="324"/>
      <c r="L643" s="324"/>
      <c r="M643" s="324"/>
      <c r="N643" s="324"/>
      <c r="O643" s="324"/>
      <c r="P643" s="324"/>
      <c r="Q643" s="324"/>
      <c r="R643" s="324"/>
      <c r="S643" s="324"/>
      <c r="T643" s="323"/>
      <c r="U643" s="323"/>
      <c r="V643" s="323"/>
      <c r="W643" s="323"/>
      <c r="X643" s="323"/>
      <c r="Y643" s="323"/>
      <c r="Z643" s="323"/>
      <c r="AA643" s="323"/>
      <c r="AB643" s="323"/>
      <c r="AC643" s="323"/>
      <c r="AD643" s="323"/>
      <c r="AE643" s="323"/>
      <c r="AF643" s="323"/>
      <c r="AG643" s="323"/>
      <c r="AH643" s="323"/>
      <c r="AI643" s="323"/>
      <c r="AJ643" s="323"/>
      <c r="AK643" s="323"/>
      <c r="AL643" s="323"/>
      <c r="AM643" s="323"/>
      <c r="AN643" s="323"/>
      <c r="AO643" s="323"/>
      <c r="AP643" s="323"/>
      <c r="AQ643" s="323"/>
      <c r="AR643" s="323"/>
      <c r="AS643" s="323"/>
      <c r="AT643" s="323"/>
      <c r="AU643" s="323"/>
      <c r="AV643" s="323"/>
      <c r="AW643" s="323"/>
    </row>
    <row r="644" spans="1:49" s="39" customFormat="1">
      <c r="A644" s="324"/>
      <c r="B644" s="324"/>
      <c r="C644" s="324"/>
      <c r="D644" s="324"/>
      <c r="E644" s="324"/>
      <c r="F644" s="324"/>
      <c r="G644" s="324"/>
      <c r="H644" s="324"/>
      <c r="I644" s="324"/>
      <c r="J644" s="324"/>
      <c r="K644" s="324"/>
      <c r="L644" s="324"/>
      <c r="M644" s="324"/>
      <c r="N644" s="324"/>
      <c r="O644" s="324"/>
      <c r="P644" s="324"/>
      <c r="Q644" s="324"/>
      <c r="R644" s="324"/>
      <c r="S644" s="324"/>
      <c r="T644" s="323"/>
      <c r="U644" s="323"/>
      <c r="V644" s="323"/>
      <c r="W644" s="323"/>
      <c r="X644" s="323"/>
      <c r="Y644" s="323"/>
      <c r="Z644" s="323"/>
      <c r="AA644" s="323"/>
      <c r="AB644" s="323"/>
      <c r="AC644" s="323"/>
      <c r="AD644" s="323"/>
      <c r="AE644" s="323"/>
      <c r="AF644" s="323"/>
      <c r="AG644" s="323"/>
      <c r="AH644" s="323"/>
      <c r="AI644" s="323"/>
      <c r="AJ644" s="323"/>
      <c r="AK644" s="323"/>
      <c r="AL644" s="323"/>
      <c r="AM644" s="323"/>
      <c r="AN644" s="323"/>
      <c r="AO644" s="323"/>
      <c r="AP644" s="323"/>
      <c r="AQ644" s="323"/>
      <c r="AR644" s="323"/>
      <c r="AS644" s="323"/>
      <c r="AT644" s="323"/>
      <c r="AU644" s="323"/>
      <c r="AV644" s="323"/>
      <c r="AW644" s="323"/>
    </row>
    <row r="645" spans="1:49" s="39" customFormat="1">
      <c r="A645" s="324"/>
      <c r="B645" s="324"/>
      <c r="C645" s="324"/>
      <c r="D645" s="324"/>
      <c r="E645" s="324"/>
      <c r="F645" s="324"/>
      <c r="G645" s="324"/>
      <c r="H645" s="324"/>
      <c r="I645" s="324"/>
      <c r="J645" s="324"/>
      <c r="K645" s="324"/>
      <c r="L645" s="324"/>
      <c r="M645" s="324"/>
      <c r="N645" s="324"/>
      <c r="O645" s="324"/>
      <c r="P645" s="324"/>
      <c r="Q645" s="324"/>
      <c r="R645" s="324"/>
      <c r="S645" s="324"/>
      <c r="T645" s="323"/>
      <c r="U645" s="323"/>
      <c r="V645" s="323"/>
      <c r="W645" s="323"/>
      <c r="X645" s="323"/>
      <c r="Y645" s="323"/>
      <c r="Z645" s="323"/>
      <c r="AA645" s="323"/>
      <c r="AB645" s="323"/>
      <c r="AC645" s="323"/>
      <c r="AD645" s="323"/>
      <c r="AE645" s="323"/>
      <c r="AF645" s="323"/>
      <c r="AG645" s="323"/>
      <c r="AH645" s="323"/>
      <c r="AI645" s="323"/>
      <c r="AJ645" s="323"/>
      <c r="AK645" s="323"/>
      <c r="AL645" s="323"/>
      <c r="AM645" s="323"/>
      <c r="AN645" s="323"/>
      <c r="AO645" s="323"/>
      <c r="AP645" s="323"/>
      <c r="AQ645" s="323"/>
      <c r="AR645" s="323"/>
      <c r="AS645" s="323"/>
      <c r="AT645" s="323"/>
      <c r="AU645" s="323"/>
      <c r="AV645" s="323"/>
      <c r="AW645" s="323"/>
    </row>
    <row r="646" spans="1:49" s="39" customFormat="1">
      <c r="A646" s="324"/>
      <c r="B646" s="324"/>
      <c r="C646" s="324"/>
      <c r="D646" s="324"/>
      <c r="E646" s="324"/>
      <c r="F646" s="324"/>
      <c r="G646" s="324"/>
      <c r="H646" s="324"/>
      <c r="I646" s="324"/>
      <c r="J646" s="324"/>
      <c r="K646" s="324"/>
      <c r="L646" s="324"/>
      <c r="M646" s="324"/>
      <c r="N646" s="324"/>
      <c r="O646" s="324"/>
      <c r="P646" s="324"/>
      <c r="Q646" s="324"/>
      <c r="R646" s="324"/>
      <c r="S646" s="324"/>
      <c r="T646" s="323"/>
      <c r="U646" s="323"/>
      <c r="V646" s="323"/>
      <c r="W646" s="323"/>
      <c r="X646" s="323"/>
      <c r="Y646" s="323"/>
      <c r="Z646" s="323"/>
      <c r="AA646" s="323"/>
      <c r="AB646" s="323"/>
      <c r="AC646" s="323"/>
      <c r="AD646" s="323"/>
      <c r="AE646" s="323"/>
      <c r="AF646" s="323"/>
      <c r="AG646" s="323"/>
      <c r="AH646" s="323"/>
      <c r="AI646" s="323"/>
      <c r="AJ646" s="323"/>
      <c r="AK646" s="323"/>
      <c r="AL646" s="323"/>
      <c r="AM646" s="323"/>
      <c r="AN646" s="323"/>
      <c r="AO646" s="323"/>
      <c r="AP646" s="323"/>
      <c r="AQ646" s="323"/>
      <c r="AR646" s="323"/>
      <c r="AS646" s="323"/>
      <c r="AT646" s="323"/>
      <c r="AU646" s="323"/>
      <c r="AV646" s="323"/>
      <c r="AW646" s="323"/>
    </row>
    <row r="647" spans="1:49" s="39" customFormat="1">
      <c r="A647" s="324"/>
      <c r="B647" s="324"/>
      <c r="C647" s="324"/>
      <c r="D647" s="324"/>
      <c r="E647" s="324"/>
      <c r="F647" s="324"/>
      <c r="G647" s="324"/>
      <c r="H647" s="324"/>
      <c r="I647" s="324"/>
      <c r="J647" s="324"/>
      <c r="K647" s="324"/>
      <c r="L647" s="324"/>
      <c r="M647" s="324"/>
      <c r="N647" s="324"/>
      <c r="O647" s="324"/>
      <c r="P647" s="324"/>
      <c r="Q647" s="324"/>
      <c r="R647" s="324"/>
      <c r="S647" s="324"/>
      <c r="T647" s="323"/>
      <c r="U647" s="323"/>
      <c r="V647" s="323"/>
      <c r="W647" s="323"/>
      <c r="X647" s="323"/>
      <c r="Y647" s="323"/>
      <c r="Z647" s="323"/>
      <c r="AA647" s="323"/>
      <c r="AB647" s="323"/>
      <c r="AC647" s="323"/>
      <c r="AD647" s="323"/>
      <c r="AE647" s="323"/>
      <c r="AF647" s="323"/>
      <c r="AG647" s="323"/>
      <c r="AH647" s="323"/>
      <c r="AI647" s="323"/>
      <c r="AJ647" s="323"/>
      <c r="AK647" s="323"/>
      <c r="AL647" s="323"/>
      <c r="AM647" s="323"/>
      <c r="AN647" s="323"/>
      <c r="AO647" s="323"/>
      <c r="AP647" s="323"/>
      <c r="AQ647" s="323"/>
      <c r="AR647" s="323"/>
      <c r="AS647" s="323"/>
      <c r="AT647" s="323"/>
      <c r="AU647" s="323"/>
      <c r="AV647" s="323"/>
      <c r="AW647" s="323"/>
    </row>
    <row r="648" spans="1:49" s="39" customFormat="1">
      <c r="A648" s="324"/>
      <c r="B648" s="324"/>
      <c r="C648" s="324"/>
      <c r="D648" s="324"/>
      <c r="E648" s="324"/>
      <c r="F648" s="324"/>
      <c r="G648" s="324"/>
      <c r="H648" s="324"/>
      <c r="I648" s="324"/>
      <c r="J648" s="324"/>
      <c r="K648" s="324"/>
      <c r="L648" s="324"/>
      <c r="M648" s="324"/>
      <c r="N648" s="324"/>
      <c r="O648" s="324"/>
      <c r="P648" s="324"/>
      <c r="Q648" s="324"/>
      <c r="R648" s="324"/>
      <c r="S648" s="324"/>
      <c r="T648" s="323"/>
      <c r="U648" s="323"/>
      <c r="V648" s="323"/>
      <c r="W648" s="323"/>
      <c r="X648" s="323"/>
      <c r="Y648" s="323"/>
      <c r="Z648" s="323"/>
      <c r="AA648" s="323"/>
      <c r="AB648" s="323"/>
      <c r="AC648" s="323"/>
      <c r="AD648" s="323"/>
      <c r="AE648" s="323"/>
      <c r="AF648" s="323"/>
      <c r="AG648" s="323"/>
      <c r="AH648" s="323"/>
      <c r="AI648" s="323"/>
      <c r="AJ648" s="323"/>
      <c r="AK648" s="323"/>
      <c r="AL648" s="323"/>
      <c r="AM648" s="323"/>
      <c r="AN648" s="323"/>
      <c r="AO648" s="323"/>
      <c r="AP648" s="323"/>
      <c r="AQ648" s="323"/>
      <c r="AR648" s="323"/>
      <c r="AS648" s="323"/>
      <c r="AT648" s="323"/>
      <c r="AU648" s="323"/>
      <c r="AV648" s="323"/>
      <c r="AW648" s="323"/>
    </row>
    <row r="649" spans="1:49" s="39" customFormat="1">
      <c r="A649" s="324"/>
      <c r="B649" s="324"/>
      <c r="C649" s="324"/>
      <c r="D649" s="324"/>
      <c r="E649" s="324"/>
      <c r="F649" s="324"/>
      <c r="G649" s="324"/>
      <c r="H649" s="324"/>
      <c r="I649" s="324"/>
      <c r="J649" s="324"/>
      <c r="K649" s="324"/>
      <c r="L649" s="324"/>
      <c r="M649" s="324"/>
      <c r="N649" s="324"/>
      <c r="O649" s="324"/>
      <c r="P649" s="324"/>
      <c r="Q649" s="324"/>
      <c r="R649" s="324"/>
      <c r="S649" s="324"/>
      <c r="T649" s="323"/>
      <c r="U649" s="323"/>
      <c r="V649" s="323"/>
      <c r="W649" s="323"/>
      <c r="X649" s="323"/>
      <c r="Y649" s="323"/>
      <c r="Z649" s="323"/>
      <c r="AA649" s="323"/>
      <c r="AB649" s="323"/>
      <c r="AC649" s="323"/>
      <c r="AD649" s="323"/>
      <c r="AE649" s="323"/>
      <c r="AF649" s="323"/>
      <c r="AG649" s="323"/>
      <c r="AH649" s="323"/>
      <c r="AI649" s="323"/>
      <c r="AJ649" s="323"/>
      <c r="AK649" s="323"/>
      <c r="AL649" s="323"/>
      <c r="AM649" s="323"/>
      <c r="AN649" s="323"/>
      <c r="AO649" s="323"/>
      <c r="AP649" s="323"/>
      <c r="AQ649" s="323"/>
      <c r="AR649" s="323"/>
      <c r="AS649" s="323"/>
      <c r="AT649" s="323"/>
      <c r="AU649" s="323"/>
      <c r="AV649" s="323"/>
      <c r="AW649" s="323"/>
    </row>
    <row r="650" spans="1:49" s="39" customFormat="1">
      <c r="A650" s="324"/>
      <c r="B650" s="324"/>
      <c r="C650" s="324"/>
      <c r="D650" s="324"/>
      <c r="E650" s="324"/>
      <c r="F650" s="324"/>
      <c r="G650" s="324"/>
      <c r="H650" s="324"/>
      <c r="I650" s="324"/>
      <c r="J650" s="324"/>
      <c r="K650" s="324"/>
      <c r="L650" s="324"/>
      <c r="M650" s="324"/>
      <c r="N650" s="324"/>
      <c r="O650" s="324"/>
      <c r="P650" s="324"/>
      <c r="Q650" s="324"/>
      <c r="R650" s="324"/>
      <c r="S650" s="324"/>
      <c r="T650" s="323"/>
      <c r="U650" s="323"/>
      <c r="V650" s="323"/>
      <c r="W650" s="323"/>
      <c r="X650" s="323"/>
      <c r="Y650" s="323"/>
      <c r="Z650" s="323"/>
      <c r="AA650" s="323"/>
      <c r="AB650" s="323"/>
      <c r="AC650" s="323"/>
      <c r="AD650" s="323"/>
      <c r="AE650" s="323"/>
      <c r="AF650" s="323"/>
      <c r="AG650" s="323"/>
      <c r="AH650" s="323"/>
      <c r="AI650" s="323"/>
      <c r="AJ650" s="323"/>
      <c r="AK650" s="323"/>
      <c r="AL650" s="323"/>
      <c r="AM650" s="323"/>
      <c r="AN650" s="323"/>
      <c r="AO650" s="323"/>
      <c r="AP650" s="323"/>
      <c r="AQ650" s="323"/>
      <c r="AR650" s="323"/>
      <c r="AS650" s="323"/>
      <c r="AT650" s="323"/>
      <c r="AU650" s="323"/>
      <c r="AV650" s="323"/>
      <c r="AW650" s="323"/>
    </row>
    <row r="651" spans="1:49" s="39" customFormat="1">
      <c r="A651" s="324"/>
      <c r="B651" s="324"/>
      <c r="C651" s="324"/>
      <c r="D651" s="324"/>
      <c r="E651" s="324"/>
      <c r="F651" s="324"/>
      <c r="G651" s="324"/>
      <c r="H651" s="324"/>
      <c r="I651" s="324"/>
      <c r="J651" s="324"/>
      <c r="K651" s="324"/>
      <c r="L651" s="324"/>
      <c r="M651" s="324"/>
      <c r="N651" s="324"/>
      <c r="O651" s="324"/>
      <c r="P651" s="324"/>
      <c r="Q651" s="324"/>
      <c r="R651" s="324"/>
      <c r="S651" s="324"/>
      <c r="T651" s="323"/>
      <c r="U651" s="323"/>
      <c r="V651" s="323"/>
      <c r="W651" s="323"/>
      <c r="X651" s="323"/>
      <c r="Y651" s="323"/>
      <c r="Z651" s="323"/>
      <c r="AA651" s="323"/>
      <c r="AB651" s="323"/>
      <c r="AC651" s="323"/>
      <c r="AD651" s="323"/>
      <c r="AE651" s="323"/>
      <c r="AF651" s="323"/>
      <c r="AG651" s="323"/>
      <c r="AH651" s="323"/>
      <c r="AI651" s="323"/>
      <c r="AJ651" s="323"/>
      <c r="AK651" s="323"/>
      <c r="AL651" s="323"/>
      <c r="AM651" s="323"/>
      <c r="AN651" s="323"/>
      <c r="AO651" s="323"/>
      <c r="AP651" s="323"/>
      <c r="AQ651" s="323"/>
      <c r="AR651" s="323"/>
      <c r="AS651" s="323"/>
      <c r="AT651" s="323"/>
      <c r="AU651" s="323"/>
      <c r="AV651" s="323"/>
      <c r="AW651" s="323"/>
    </row>
    <row r="652" spans="1:49" s="39" customFormat="1">
      <c r="A652" s="324"/>
      <c r="B652" s="324"/>
      <c r="C652" s="324"/>
      <c r="D652" s="324"/>
      <c r="E652" s="324"/>
      <c r="F652" s="324"/>
      <c r="G652" s="324"/>
      <c r="H652" s="324"/>
      <c r="I652" s="324"/>
      <c r="J652" s="324"/>
      <c r="K652" s="324"/>
      <c r="L652" s="324"/>
      <c r="M652" s="324"/>
      <c r="N652" s="324"/>
      <c r="O652" s="324"/>
      <c r="P652" s="324"/>
      <c r="Q652" s="324"/>
      <c r="R652" s="324"/>
      <c r="S652" s="324"/>
      <c r="T652" s="323"/>
      <c r="U652" s="323"/>
      <c r="V652" s="323"/>
      <c r="W652" s="323"/>
      <c r="X652" s="323"/>
      <c r="Y652" s="323"/>
      <c r="Z652" s="323"/>
      <c r="AA652" s="323"/>
      <c r="AB652" s="323"/>
      <c r="AC652" s="323"/>
      <c r="AD652" s="323"/>
      <c r="AE652" s="323"/>
      <c r="AF652" s="323"/>
      <c r="AG652" s="323"/>
      <c r="AH652" s="323"/>
      <c r="AI652" s="323"/>
      <c r="AJ652" s="323"/>
      <c r="AK652" s="323"/>
      <c r="AL652" s="323"/>
      <c r="AM652" s="323"/>
      <c r="AN652" s="323"/>
      <c r="AO652" s="323"/>
      <c r="AP652" s="323"/>
      <c r="AQ652" s="323"/>
      <c r="AR652" s="323"/>
      <c r="AS652" s="323"/>
      <c r="AT652" s="323"/>
      <c r="AU652" s="323"/>
      <c r="AV652" s="323"/>
      <c r="AW652" s="323"/>
    </row>
    <row r="653" spans="1:49" s="39" customFormat="1">
      <c r="A653" s="324"/>
      <c r="B653" s="324"/>
      <c r="C653" s="324"/>
      <c r="D653" s="324"/>
      <c r="E653" s="324"/>
      <c r="F653" s="324"/>
      <c r="G653" s="324"/>
      <c r="H653" s="324"/>
      <c r="I653" s="324"/>
      <c r="J653" s="324"/>
      <c r="K653" s="324"/>
      <c r="L653" s="324"/>
      <c r="M653" s="324"/>
      <c r="N653" s="324"/>
      <c r="O653" s="324"/>
      <c r="P653" s="324"/>
      <c r="Q653" s="324"/>
      <c r="R653" s="324"/>
      <c r="S653" s="324"/>
      <c r="T653" s="323"/>
      <c r="U653" s="323"/>
      <c r="V653" s="323"/>
      <c r="W653" s="323"/>
      <c r="X653" s="323"/>
      <c r="Y653" s="323"/>
      <c r="Z653" s="323"/>
      <c r="AA653" s="323"/>
      <c r="AB653" s="323"/>
      <c r="AC653" s="323"/>
      <c r="AD653" s="323"/>
      <c r="AE653" s="323"/>
      <c r="AF653" s="323"/>
      <c r="AG653" s="323"/>
      <c r="AH653" s="323"/>
      <c r="AI653" s="323"/>
      <c r="AJ653" s="323"/>
      <c r="AK653" s="323"/>
      <c r="AL653" s="323"/>
      <c r="AM653" s="323"/>
      <c r="AN653" s="323"/>
      <c r="AO653" s="323"/>
      <c r="AP653" s="323"/>
      <c r="AQ653" s="323"/>
      <c r="AR653" s="323"/>
      <c r="AS653" s="323"/>
      <c r="AT653" s="323"/>
      <c r="AU653" s="323"/>
      <c r="AV653" s="323"/>
      <c r="AW653" s="323"/>
    </row>
    <row r="654" spans="1:49" s="39" customFormat="1">
      <c r="A654" s="324"/>
      <c r="B654" s="324"/>
      <c r="C654" s="324"/>
      <c r="D654" s="324"/>
      <c r="E654" s="324"/>
      <c r="F654" s="324"/>
      <c r="G654" s="324"/>
      <c r="H654" s="324"/>
      <c r="I654" s="324"/>
      <c r="J654" s="324"/>
      <c r="K654" s="324"/>
      <c r="L654" s="324"/>
      <c r="M654" s="324"/>
      <c r="N654" s="324"/>
      <c r="O654" s="324"/>
      <c r="P654" s="324"/>
      <c r="Q654" s="324"/>
      <c r="R654" s="324"/>
      <c r="S654" s="324"/>
      <c r="T654" s="323"/>
      <c r="U654" s="323"/>
      <c r="V654" s="323"/>
      <c r="W654" s="323"/>
      <c r="X654" s="323"/>
      <c r="Y654" s="323"/>
      <c r="Z654" s="323"/>
      <c r="AA654" s="323"/>
      <c r="AB654" s="323"/>
      <c r="AC654" s="323"/>
      <c r="AD654" s="323"/>
      <c r="AE654" s="323"/>
      <c r="AF654" s="323"/>
      <c r="AG654" s="323"/>
      <c r="AH654" s="323"/>
      <c r="AI654" s="323"/>
      <c r="AJ654" s="323"/>
      <c r="AK654" s="323"/>
      <c r="AL654" s="323"/>
      <c r="AM654" s="323"/>
      <c r="AN654" s="323"/>
      <c r="AO654" s="323"/>
      <c r="AP654" s="323"/>
      <c r="AQ654" s="323"/>
      <c r="AR654" s="323"/>
      <c r="AS654" s="323"/>
      <c r="AT654" s="323"/>
      <c r="AU654" s="323"/>
      <c r="AV654" s="323"/>
      <c r="AW654" s="323"/>
    </row>
    <row r="655" spans="1:49" s="39" customFormat="1">
      <c r="A655" s="324"/>
      <c r="B655" s="324"/>
      <c r="C655" s="324"/>
      <c r="D655" s="324"/>
      <c r="E655" s="324"/>
      <c r="F655" s="324"/>
      <c r="G655" s="324"/>
      <c r="H655" s="324"/>
      <c r="I655" s="324"/>
      <c r="J655" s="324"/>
      <c r="K655" s="324"/>
      <c r="L655" s="324"/>
      <c r="M655" s="324"/>
      <c r="N655" s="324"/>
      <c r="O655" s="324"/>
      <c r="P655" s="324"/>
      <c r="Q655" s="324"/>
      <c r="R655" s="324"/>
      <c r="S655" s="324"/>
      <c r="T655" s="323"/>
      <c r="U655" s="323"/>
      <c r="V655" s="323"/>
      <c r="W655" s="323"/>
      <c r="X655" s="323"/>
      <c r="Y655" s="323"/>
      <c r="Z655" s="323"/>
      <c r="AA655" s="323"/>
      <c r="AB655" s="323"/>
      <c r="AC655" s="323"/>
      <c r="AD655" s="323"/>
      <c r="AE655" s="323"/>
      <c r="AF655" s="323"/>
      <c r="AG655" s="323"/>
      <c r="AH655" s="323"/>
      <c r="AI655" s="323"/>
      <c r="AJ655" s="323"/>
      <c r="AK655" s="323"/>
      <c r="AL655" s="323"/>
      <c r="AM655" s="323"/>
      <c r="AN655" s="323"/>
      <c r="AO655" s="323"/>
      <c r="AP655" s="323"/>
      <c r="AQ655" s="323"/>
      <c r="AR655" s="323"/>
      <c r="AS655" s="323"/>
      <c r="AT655" s="323"/>
      <c r="AU655" s="323"/>
      <c r="AV655" s="323"/>
      <c r="AW655" s="323"/>
    </row>
    <row r="656" spans="1:49" s="39" customFormat="1">
      <c r="A656" s="324"/>
      <c r="B656" s="324"/>
      <c r="C656" s="324"/>
      <c r="D656" s="324"/>
      <c r="E656" s="324"/>
      <c r="F656" s="324"/>
      <c r="G656" s="324"/>
      <c r="H656" s="324"/>
      <c r="I656" s="324"/>
      <c r="J656" s="324"/>
      <c r="K656" s="324"/>
      <c r="L656" s="324"/>
      <c r="M656" s="324"/>
      <c r="N656" s="324"/>
      <c r="O656" s="324"/>
      <c r="P656" s="324"/>
      <c r="Q656" s="324"/>
      <c r="R656" s="324"/>
      <c r="S656" s="324"/>
      <c r="T656" s="323"/>
      <c r="U656" s="323"/>
      <c r="V656" s="323"/>
      <c r="W656" s="323"/>
      <c r="X656" s="323"/>
      <c r="Y656" s="323"/>
      <c r="Z656" s="323"/>
      <c r="AA656" s="323"/>
      <c r="AB656" s="323"/>
      <c r="AC656" s="323"/>
      <c r="AD656" s="323"/>
      <c r="AE656" s="323"/>
      <c r="AF656" s="323"/>
      <c r="AG656" s="323"/>
      <c r="AH656" s="323"/>
      <c r="AI656" s="323"/>
      <c r="AJ656" s="323"/>
      <c r="AK656" s="323"/>
      <c r="AL656" s="323"/>
      <c r="AM656" s="323"/>
      <c r="AN656" s="323"/>
      <c r="AO656" s="323"/>
      <c r="AP656" s="323"/>
      <c r="AQ656" s="323"/>
      <c r="AR656" s="323"/>
      <c r="AS656" s="323"/>
      <c r="AT656" s="323"/>
      <c r="AU656" s="323"/>
      <c r="AV656" s="323"/>
      <c r="AW656" s="323"/>
    </row>
    <row r="657" spans="1:49" s="39" customFormat="1">
      <c r="A657" s="324"/>
      <c r="B657" s="324"/>
      <c r="C657" s="324"/>
      <c r="D657" s="324"/>
      <c r="E657" s="324"/>
      <c r="F657" s="324"/>
      <c r="G657" s="324"/>
      <c r="H657" s="324"/>
      <c r="I657" s="324"/>
      <c r="J657" s="324"/>
      <c r="K657" s="324"/>
      <c r="L657" s="324"/>
      <c r="M657" s="324"/>
      <c r="N657" s="324"/>
      <c r="O657" s="324"/>
      <c r="P657" s="324"/>
      <c r="Q657" s="324"/>
      <c r="R657" s="324"/>
      <c r="S657" s="324"/>
      <c r="T657" s="323"/>
      <c r="U657" s="323"/>
      <c r="V657" s="323"/>
      <c r="W657" s="323"/>
      <c r="X657" s="323"/>
      <c r="Y657" s="323"/>
      <c r="Z657" s="323"/>
      <c r="AA657" s="323"/>
      <c r="AB657" s="323"/>
      <c r="AC657" s="323"/>
      <c r="AD657" s="323"/>
      <c r="AE657" s="323"/>
      <c r="AF657" s="323"/>
      <c r="AG657" s="323"/>
      <c r="AH657" s="323"/>
      <c r="AI657" s="323"/>
      <c r="AJ657" s="323"/>
      <c r="AK657" s="323"/>
      <c r="AL657" s="323"/>
      <c r="AM657" s="323"/>
      <c r="AN657" s="323"/>
      <c r="AO657" s="323"/>
      <c r="AP657" s="323"/>
      <c r="AQ657" s="323"/>
      <c r="AR657" s="323"/>
      <c r="AS657" s="323"/>
      <c r="AT657" s="323"/>
      <c r="AU657" s="323"/>
      <c r="AV657" s="323"/>
      <c r="AW657" s="323"/>
    </row>
    <row r="658" spans="1:49" s="39" customFormat="1">
      <c r="A658" s="324"/>
      <c r="B658" s="324"/>
      <c r="C658" s="324"/>
      <c r="D658" s="324"/>
      <c r="E658" s="324"/>
      <c r="F658" s="324"/>
      <c r="G658" s="324"/>
      <c r="H658" s="324"/>
      <c r="I658" s="324"/>
      <c r="J658" s="324"/>
      <c r="K658" s="324"/>
      <c r="L658" s="324"/>
      <c r="M658" s="324"/>
      <c r="N658" s="324"/>
      <c r="O658" s="324"/>
      <c r="P658" s="324"/>
      <c r="Q658" s="324"/>
      <c r="R658" s="324"/>
      <c r="S658" s="324"/>
      <c r="T658" s="323"/>
      <c r="U658" s="323"/>
      <c r="V658" s="323"/>
      <c r="W658" s="323"/>
      <c r="X658" s="323"/>
      <c r="Y658" s="323"/>
      <c r="Z658" s="323"/>
      <c r="AA658" s="323"/>
      <c r="AB658" s="323"/>
      <c r="AC658" s="323"/>
      <c r="AD658" s="323"/>
      <c r="AE658" s="323"/>
      <c r="AF658" s="323"/>
      <c r="AG658" s="323"/>
      <c r="AH658" s="323"/>
      <c r="AI658" s="323"/>
      <c r="AJ658" s="323"/>
      <c r="AK658" s="323"/>
      <c r="AL658" s="323"/>
      <c r="AM658" s="323"/>
      <c r="AN658" s="323"/>
      <c r="AO658" s="323"/>
      <c r="AP658" s="323"/>
      <c r="AQ658" s="323"/>
      <c r="AR658" s="323"/>
      <c r="AS658" s="323"/>
      <c r="AT658" s="323"/>
      <c r="AU658" s="323"/>
      <c r="AV658" s="323"/>
      <c r="AW658" s="323"/>
    </row>
    <row r="659" spans="1:49" s="39" customFormat="1">
      <c r="A659" s="324"/>
      <c r="B659" s="324"/>
      <c r="C659" s="324"/>
      <c r="D659" s="324"/>
      <c r="E659" s="324"/>
      <c r="F659" s="324"/>
      <c r="G659" s="324"/>
      <c r="H659" s="324"/>
      <c r="I659" s="324"/>
      <c r="J659" s="324"/>
      <c r="K659" s="324"/>
      <c r="L659" s="324"/>
      <c r="M659" s="324"/>
      <c r="N659" s="324"/>
      <c r="O659" s="324"/>
      <c r="P659" s="324"/>
      <c r="Q659" s="324"/>
      <c r="R659" s="324"/>
      <c r="S659" s="324"/>
      <c r="T659" s="323"/>
      <c r="U659" s="323"/>
      <c r="V659" s="323"/>
      <c r="W659" s="323"/>
      <c r="X659" s="323"/>
      <c r="Y659" s="323"/>
      <c r="Z659" s="323"/>
      <c r="AA659" s="323"/>
      <c r="AB659" s="323"/>
      <c r="AC659" s="323"/>
      <c r="AD659" s="323"/>
      <c r="AE659" s="323"/>
      <c r="AF659" s="323"/>
      <c r="AG659" s="323"/>
      <c r="AH659" s="323"/>
      <c r="AI659" s="323"/>
      <c r="AJ659" s="323"/>
      <c r="AK659" s="323"/>
      <c r="AL659" s="323"/>
      <c r="AM659" s="323"/>
      <c r="AN659" s="323"/>
      <c r="AO659" s="323"/>
      <c r="AP659" s="323"/>
      <c r="AQ659" s="323"/>
      <c r="AR659" s="323"/>
      <c r="AS659" s="323"/>
      <c r="AT659" s="323"/>
      <c r="AU659" s="323"/>
      <c r="AV659" s="323"/>
      <c r="AW659" s="323"/>
    </row>
    <row r="660" spans="1:49" s="39" customFormat="1">
      <c r="A660" s="324"/>
      <c r="B660" s="324"/>
      <c r="C660" s="324"/>
      <c r="D660" s="324"/>
      <c r="E660" s="324"/>
      <c r="F660" s="324"/>
      <c r="G660" s="324"/>
      <c r="H660" s="324"/>
      <c r="I660" s="324"/>
      <c r="J660" s="324"/>
      <c r="K660" s="324"/>
      <c r="L660" s="324"/>
      <c r="M660" s="324"/>
      <c r="N660" s="324"/>
      <c r="O660" s="324"/>
      <c r="P660" s="324"/>
      <c r="Q660" s="324"/>
      <c r="R660" s="324"/>
      <c r="S660" s="324"/>
      <c r="T660" s="323"/>
      <c r="U660" s="323"/>
      <c r="V660" s="323"/>
      <c r="W660" s="323"/>
      <c r="X660" s="323"/>
      <c r="Y660" s="323"/>
      <c r="Z660" s="323"/>
      <c r="AA660" s="323"/>
      <c r="AB660" s="323"/>
      <c r="AC660" s="323"/>
      <c r="AD660" s="323"/>
      <c r="AE660" s="323"/>
      <c r="AF660" s="323"/>
      <c r="AG660" s="323"/>
      <c r="AH660" s="323"/>
      <c r="AI660" s="323"/>
      <c r="AJ660" s="323"/>
      <c r="AK660" s="323"/>
      <c r="AL660" s="323"/>
      <c r="AM660" s="323"/>
      <c r="AN660" s="323"/>
      <c r="AO660" s="323"/>
      <c r="AP660" s="323"/>
      <c r="AQ660" s="323"/>
      <c r="AR660" s="323"/>
      <c r="AS660" s="323"/>
      <c r="AT660" s="323"/>
      <c r="AU660" s="323"/>
      <c r="AV660" s="323"/>
      <c r="AW660" s="323"/>
    </row>
    <row r="661" spans="1:49" s="39" customFormat="1">
      <c r="A661" s="324"/>
      <c r="B661" s="324"/>
      <c r="C661" s="324"/>
      <c r="D661" s="324"/>
      <c r="E661" s="324"/>
      <c r="F661" s="324"/>
      <c r="G661" s="324"/>
      <c r="H661" s="324"/>
      <c r="I661" s="324"/>
      <c r="J661" s="324"/>
      <c r="K661" s="324"/>
      <c r="L661" s="324"/>
      <c r="M661" s="324"/>
      <c r="N661" s="324"/>
      <c r="O661" s="324"/>
      <c r="P661" s="324"/>
      <c r="Q661" s="324"/>
      <c r="R661" s="324"/>
      <c r="S661" s="324"/>
      <c r="T661" s="323"/>
      <c r="U661" s="323"/>
      <c r="V661" s="323"/>
      <c r="W661" s="323"/>
      <c r="X661" s="323"/>
      <c r="Y661" s="323"/>
      <c r="Z661" s="323"/>
      <c r="AA661" s="323"/>
      <c r="AB661" s="323"/>
      <c r="AC661" s="323"/>
      <c r="AD661" s="323"/>
      <c r="AE661" s="323"/>
      <c r="AF661" s="323"/>
      <c r="AG661" s="323"/>
      <c r="AH661" s="323"/>
      <c r="AI661" s="323"/>
      <c r="AJ661" s="323"/>
      <c r="AK661" s="323"/>
      <c r="AL661" s="323"/>
      <c r="AM661" s="323"/>
      <c r="AN661" s="323"/>
      <c r="AO661" s="323"/>
      <c r="AP661" s="323"/>
      <c r="AQ661" s="323"/>
      <c r="AR661" s="323"/>
      <c r="AS661" s="323"/>
      <c r="AT661" s="323"/>
      <c r="AU661" s="323"/>
      <c r="AV661" s="323"/>
      <c r="AW661" s="323"/>
    </row>
    <row r="662" spans="1:49" s="39" customFormat="1">
      <c r="A662" s="324"/>
      <c r="B662" s="324"/>
      <c r="C662" s="324"/>
      <c r="D662" s="324"/>
      <c r="E662" s="324"/>
      <c r="F662" s="324"/>
      <c r="G662" s="324"/>
      <c r="H662" s="324"/>
      <c r="I662" s="324"/>
      <c r="J662" s="324"/>
      <c r="K662" s="324"/>
      <c r="L662" s="324"/>
      <c r="M662" s="324"/>
      <c r="N662" s="324"/>
      <c r="O662" s="324"/>
      <c r="P662" s="324"/>
      <c r="Q662" s="324"/>
      <c r="R662" s="324"/>
      <c r="S662" s="324"/>
      <c r="T662" s="323"/>
      <c r="U662" s="323"/>
      <c r="V662" s="323"/>
      <c r="W662" s="323"/>
      <c r="X662" s="323"/>
      <c r="Y662" s="323"/>
      <c r="Z662" s="323"/>
      <c r="AA662" s="323"/>
      <c r="AB662" s="323"/>
      <c r="AC662" s="323"/>
      <c r="AD662" s="323"/>
      <c r="AE662" s="323"/>
      <c r="AF662" s="323"/>
      <c r="AG662" s="323"/>
      <c r="AH662" s="323"/>
      <c r="AI662" s="323"/>
      <c r="AJ662" s="323"/>
      <c r="AK662" s="323"/>
      <c r="AL662" s="323"/>
      <c r="AM662" s="323"/>
      <c r="AN662" s="323"/>
      <c r="AO662" s="323"/>
      <c r="AP662" s="323"/>
      <c r="AQ662" s="323"/>
      <c r="AR662" s="323"/>
      <c r="AS662" s="323"/>
      <c r="AT662" s="323"/>
      <c r="AU662" s="323"/>
      <c r="AV662" s="323"/>
      <c r="AW662" s="323"/>
    </row>
    <row r="663" spans="1:49" s="39" customFormat="1">
      <c r="A663" s="324"/>
      <c r="B663" s="324"/>
      <c r="C663" s="324"/>
      <c r="D663" s="324"/>
      <c r="E663" s="324"/>
      <c r="F663" s="324"/>
      <c r="G663" s="324"/>
      <c r="H663" s="324"/>
      <c r="I663" s="324"/>
      <c r="J663" s="324"/>
      <c r="K663" s="324"/>
      <c r="L663" s="324"/>
      <c r="M663" s="324"/>
      <c r="N663" s="324"/>
      <c r="O663" s="324"/>
      <c r="P663" s="324"/>
      <c r="Q663" s="324"/>
      <c r="R663" s="324"/>
      <c r="S663" s="324"/>
      <c r="T663" s="323"/>
      <c r="U663" s="323"/>
      <c r="V663" s="323"/>
      <c r="W663" s="323"/>
      <c r="X663" s="323"/>
      <c r="Y663" s="323"/>
      <c r="Z663" s="323"/>
      <c r="AA663" s="323"/>
      <c r="AB663" s="323"/>
      <c r="AC663" s="323"/>
      <c r="AD663" s="323"/>
      <c r="AE663" s="323"/>
      <c r="AF663" s="323"/>
      <c r="AG663" s="323"/>
      <c r="AH663" s="323"/>
      <c r="AI663" s="323"/>
      <c r="AJ663" s="323"/>
      <c r="AK663" s="323"/>
      <c r="AL663" s="323"/>
      <c r="AM663" s="323"/>
      <c r="AN663" s="323"/>
      <c r="AO663" s="323"/>
      <c r="AP663" s="323"/>
      <c r="AQ663" s="323"/>
      <c r="AR663" s="323"/>
      <c r="AS663" s="323"/>
      <c r="AT663" s="323"/>
      <c r="AU663" s="323"/>
      <c r="AV663" s="323"/>
      <c r="AW663" s="323"/>
    </row>
    <row r="664" spans="1:49" s="39" customFormat="1">
      <c r="A664" s="324"/>
      <c r="B664" s="324"/>
      <c r="C664" s="324"/>
      <c r="D664" s="324"/>
      <c r="E664" s="324"/>
      <c r="F664" s="324"/>
      <c r="G664" s="324"/>
      <c r="H664" s="324"/>
      <c r="I664" s="324"/>
      <c r="J664" s="324"/>
      <c r="K664" s="324"/>
      <c r="L664" s="324"/>
      <c r="M664" s="324"/>
      <c r="N664" s="324"/>
      <c r="O664" s="324"/>
      <c r="P664" s="324"/>
      <c r="Q664" s="324"/>
      <c r="R664" s="324"/>
      <c r="S664" s="324"/>
      <c r="T664" s="323"/>
      <c r="U664" s="323"/>
      <c r="V664" s="323"/>
      <c r="W664" s="323"/>
      <c r="X664" s="323"/>
      <c r="Y664" s="323"/>
      <c r="Z664" s="323"/>
      <c r="AA664" s="323"/>
      <c r="AB664" s="323"/>
      <c r="AC664" s="323"/>
      <c r="AD664" s="323"/>
      <c r="AE664" s="323"/>
      <c r="AF664" s="323"/>
      <c r="AG664" s="323"/>
      <c r="AH664" s="323"/>
      <c r="AI664" s="323"/>
      <c r="AJ664" s="323"/>
      <c r="AK664" s="323"/>
      <c r="AL664" s="323"/>
      <c r="AM664" s="323"/>
      <c r="AN664" s="323"/>
      <c r="AO664" s="323"/>
      <c r="AP664" s="323"/>
      <c r="AQ664" s="323"/>
      <c r="AR664" s="323"/>
      <c r="AS664" s="323"/>
      <c r="AT664" s="323"/>
      <c r="AU664" s="323"/>
      <c r="AV664" s="323"/>
      <c r="AW664" s="323"/>
    </row>
    <row r="665" spans="1:49" s="39" customFormat="1">
      <c r="A665" s="324"/>
      <c r="B665" s="324"/>
      <c r="C665" s="324"/>
      <c r="D665" s="324"/>
      <c r="E665" s="324"/>
      <c r="F665" s="324"/>
      <c r="G665" s="324"/>
      <c r="H665" s="324"/>
      <c r="I665" s="324"/>
      <c r="J665" s="324"/>
      <c r="K665" s="324"/>
      <c r="L665" s="324"/>
      <c r="M665" s="324"/>
      <c r="N665" s="324"/>
      <c r="O665" s="324"/>
      <c r="P665" s="324"/>
      <c r="Q665" s="324"/>
      <c r="R665" s="324"/>
      <c r="S665" s="324"/>
      <c r="T665" s="323"/>
      <c r="U665" s="323"/>
      <c r="V665" s="323"/>
      <c r="W665" s="323"/>
      <c r="X665" s="323"/>
      <c r="Y665" s="323"/>
      <c r="Z665" s="323"/>
      <c r="AA665" s="323"/>
      <c r="AB665" s="323"/>
      <c r="AC665" s="323"/>
      <c r="AD665" s="323"/>
      <c r="AE665" s="323"/>
      <c r="AF665" s="323"/>
      <c r="AG665" s="323"/>
      <c r="AH665" s="323"/>
      <c r="AI665" s="323"/>
      <c r="AJ665" s="323"/>
      <c r="AK665" s="323"/>
      <c r="AL665" s="323"/>
      <c r="AM665" s="323"/>
      <c r="AN665" s="323"/>
      <c r="AO665" s="323"/>
      <c r="AP665" s="323"/>
      <c r="AQ665" s="323"/>
      <c r="AR665" s="323"/>
      <c r="AS665" s="323"/>
      <c r="AT665" s="323"/>
      <c r="AU665" s="323"/>
      <c r="AV665" s="323"/>
      <c r="AW665" s="323"/>
    </row>
    <row r="666" spans="1:49" s="39" customFormat="1">
      <c r="A666" s="324"/>
      <c r="B666" s="324"/>
      <c r="C666" s="324"/>
      <c r="D666" s="324"/>
      <c r="E666" s="324"/>
      <c r="F666" s="324"/>
      <c r="G666" s="324"/>
      <c r="H666" s="324"/>
      <c r="I666" s="324"/>
      <c r="J666" s="324"/>
      <c r="K666" s="324"/>
      <c r="L666" s="324"/>
      <c r="M666" s="324"/>
      <c r="N666" s="324"/>
      <c r="O666" s="324"/>
      <c r="P666" s="324"/>
      <c r="Q666" s="324"/>
      <c r="R666" s="324"/>
      <c r="S666" s="324"/>
      <c r="T666" s="323"/>
      <c r="U666" s="323"/>
      <c r="V666" s="323"/>
      <c r="W666" s="323"/>
      <c r="X666" s="323"/>
      <c r="Y666" s="323"/>
      <c r="Z666" s="323"/>
      <c r="AA666" s="323"/>
      <c r="AB666" s="323"/>
      <c r="AC666" s="323"/>
      <c r="AD666" s="323"/>
      <c r="AE666" s="323"/>
      <c r="AF666" s="323"/>
      <c r="AG666" s="323"/>
      <c r="AH666" s="323"/>
      <c r="AI666" s="323"/>
      <c r="AJ666" s="323"/>
      <c r="AK666" s="323"/>
      <c r="AL666" s="323"/>
      <c r="AM666" s="323"/>
      <c r="AN666" s="323"/>
      <c r="AO666" s="323"/>
      <c r="AP666" s="323"/>
      <c r="AQ666" s="323"/>
      <c r="AR666" s="323"/>
      <c r="AS666" s="323"/>
      <c r="AT666" s="323"/>
      <c r="AU666" s="323"/>
      <c r="AV666" s="323"/>
      <c r="AW666" s="323"/>
    </row>
    <row r="667" spans="1:49" s="39" customFormat="1">
      <c r="A667" s="324"/>
      <c r="B667" s="324"/>
      <c r="C667" s="324"/>
      <c r="D667" s="324"/>
      <c r="E667" s="324"/>
      <c r="F667" s="324"/>
      <c r="G667" s="324"/>
      <c r="H667" s="324"/>
      <c r="I667" s="324"/>
      <c r="J667" s="324"/>
      <c r="K667" s="324"/>
      <c r="L667" s="324"/>
      <c r="M667" s="324"/>
      <c r="N667" s="324"/>
      <c r="O667" s="324"/>
      <c r="P667" s="324"/>
      <c r="Q667" s="324"/>
      <c r="R667" s="324"/>
      <c r="S667" s="324"/>
      <c r="T667" s="323"/>
      <c r="U667" s="323"/>
      <c r="V667" s="323"/>
      <c r="W667" s="323"/>
      <c r="X667" s="323"/>
      <c r="Y667" s="323"/>
      <c r="Z667" s="323"/>
      <c r="AA667" s="323"/>
      <c r="AB667" s="323"/>
      <c r="AC667" s="323"/>
      <c r="AD667" s="323"/>
      <c r="AE667" s="323"/>
      <c r="AF667" s="323"/>
      <c r="AG667" s="323"/>
      <c r="AH667" s="323"/>
      <c r="AI667" s="323"/>
      <c r="AJ667" s="323"/>
      <c r="AK667" s="323"/>
      <c r="AL667" s="323"/>
      <c r="AM667" s="323"/>
      <c r="AN667" s="323"/>
      <c r="AO667" s="323"/>
      <c r="AP667" s="323"/>
      <c r="AQ667" s="323"/>
      <c r="AR667" s="323"/>
      <c r="AS667" s="323"/>
      <c r="AT667" s="323"/>
      <c r="AU667" s="323"/>
      <c r="AV667" s="323"/>
      <c r="AW667" s="323"/>
    </row>
    <row r="668" spans="1:49" s="39" customFormat="1">
      <c r="A668" s="324"/>
      <c r="B668" s="324"/>
      <c r="C668" s="324"/>
      <c r="D668" s="324"/>
      <c r="E668" s="324"/>
      <c r="F668" s="324"/>
      <c r="G668" s="324"/>
      <c r="H668" s="324"/>
      <c r="I668" s="324"/>
      <c r="J668" s="324"/>
      <c r="K668" s="324"/>
      <c r="L668" s="324"/>
      <c r="M668" s="324"/>
      <c r="N668" s="324"/>
      <c r="O668" s="324"/>
      <c r="P668" s="324"/>
      <c r="Q668" s="324"/>
      <c r="R668" s="324"/>
      <c r="S668" s="324"/>
      <c r="T668" s="323"/>
      <c r="U668" s="323"/>
      <c r="V668" s="323"/>
      <c r="W668" s="323"/>
      <c r="X668" s="323"/>
      <c r="Y668" s="323"/>
      <c r="Z668" s="323"/>
      <c r="AA668" s="323"/>
      <c r="AB668" s="323"/>
      <c r="AC668" s="323"/>
      <c r="AD668" s="323"/>
      <c r="AE668" s="323"/>
      <c r="AF668" s="323"/>
      <c r="AG668" s="323"/>
      <c r="AH668" s="323"/>
      <c r="AI668" s="323"/>
      <c r="AJ668" s="323"/>
      <c r="AK668" s="323"/>
      <c r="AL668" s="323"/>
      <c r="AM668" s="323"/>
      <c r="AN668" s="323"/>
      <c r="AO668" s="323"/>
      <c r="AP668" s="323"/>
      <c r="AQ668" s="323"/>
      <c r="AR668" s="323"/>
      <c r="AS668" s="323"/>
      <c r="AT668" s="323"/>
      <c r="AU668" s="323"/>
      <c r="AV668" s="323"/>
      <c r="AW668" s="323"/>
    </row>
    <row r="669" spans="1:49" s="39" customFormat="1">
      <c r="A669" s="324"/>
      <c r="B669" s="324"/>
      <c r="C669" s="324"/>
      <c r="D669" s="324"/>
      <c r="E669" s="324"/>
      <c r="F669" s="324"/>
      <c r="G669" s="324"/>
      <c r="H669" s="324"/>
      <c r="I669" s="324"/>
      <c r="J669" s="324"/>
      <c r="K669" s="324"/>
      <c r="L669" s="324"/>
      <c r="M669" s="324"/>
      <c r="N669" s="324"/>
      <c r="O669" s="324"/>
      <c r="P669" s="324"/>
      <c r="Q669" s="324"/>
      <c r="R669" s="324"/>
      <c r="S669" s="324"/>
      <c r="T669" s="323"/>
      <c r="U669" s="323"/>
      <c r="V669" s="323"/>
      <c r="W669" s="323"/>
      <c r="X669" s="323"/>
      <c r="Y669" s="323"/>
      <c r="Z669" s="323"/>
      <c r="AA669" s="323"/>
      <c r="AB669" s="323"/>
      <c r="AC669" s="323"/>
      <c r="AD669" s="323"/>
      <c r="AE669" s="323"/>
      <c r="AF669" s="323"/>
      <c r="AG669" s="323"/>
      <c r="AH669" s="323"/>
      <c r="AI669" s="323"/>
      <c r="AJ669" s="323"/>
      <c r="AK669" s="323"/>
      <c r="AL669" s="323"/>
      <c r="AM669" s="323"/>
      <c r="AN669" s="323"/>
      <c r="AO669" s="323"/>
      <c r="AP669" s="323"/>
      <c r="AQ669" s="323"/>
      <c r="AR669" s="323"/>
      <c r="AS669" s="323"/>
      <c r="AT669" s="323"/>
      <c r="AU669" s="323"/>
      <c r="AV669" s="323"/>
      <c r="AW669" s="323"/>
    </row>
    <row r="670" spans="1:49" s="39" customFormat="1">
      <c r="A670" s="324"/>
      <c r="B670" s="324"/>
      <c r="C670" s="324"/>
      <c r="D670" s="324"/>
      <c r="E670" s="324"/>
      <c r="F670" s="324"/>
      <c r="G670" s="324"/>
      <c r="H670" s="324"/>
      <c r="I670" s="324"/>
      <c r="J670" s="324"/>
      <c r="K670" s="324"/>
      <c r="L670" s="324"/>
      <c r="M670" s="324"/>
      <c r="N670" s="324"/>
      <c r="O670" s="324"/>
      <c r="P670" s="324"/>
      <c r="Q670" s="324"/>
      <c r="R670" s="324"/>
      <c r="S670" s="324"/>
      <c r="T670" s="323"/>
      <c r="U670" s="323"/>
      <c r="V670" s="323"/>
      <c r="W670" s="323"/>
      <c r="X670" s="323"/>
      <c r="Y670" s="323"/>
      <c r="Z670" s="323"/>
      <c r="AA670" s="323"/>
      <c r="AB670" s="323"/>
      <c r="AC670" s="323"/>
      <c r="AD670" s="323"/>
      <c r="AE670" s="323"/>
      <c r="AF670" s="323"/>
      <c r="AG670" s="323"/>
      <c r="AH670" s="323"/>
      <c r="AI670" s="323"/>
      <c r="AJ670" s="323"/>
      <c r="AK670" s="323"/>
      <c r="AL670" s="323"/>
      <c r="AM670" s="323"/>
      <c r="AN670" s="323"/>
      <c r="AO670" s="323"/>
      <c r="AP670" s="323"/>
      <c r="AQ670" s="323"/>
      <c r="AR670" s="323"/>
      <c r="AS670" s="323"/>
      <c r="AT670" s="323"/>
      <c r="AU670" s="323"/>
      <c r="AV670" s="323"/>
      <c r="AW670" s="323"/>
    </row>
    <row r="671" spans="1:49" s="39" customFormat="1">
      <c r="A671" s="324"/>
      <c r="B671" s="324"/>
      <c r="C671" s="324"/>
      <c r="D671" s="324"/>
      <c r="E671" s="324"/>
      <c r="F671" s="324"/>
      <c r="G671" s="324"/>
      <c r="H671" s="324"/>
      <c r="I671" s="324"/>
      <c r="J671" s="324"/>
      <c r="K671" s="324"/>
      <c r="L671" s="324"/>
      <c r="M671" s="324"/>
      <c r="N671" s="324"/>
      <c r="O671" s="324"/>
      <c r="P671" s="324"/>
      <c r="Q671" s="324"/>
      <c r="R671" s="324"/>
      <c r="S671" s="324"/>
      <c r="T671" s="323"/>
      <c r="U671" s="323"/>
      <c r="V671" s="323"/>
      <c r="W671" s="323"/>
      <c r="X671" s="323"/>
      <c r="Y671" s="323"/>
      <c r="Z671" s="323"/>
      <c r="AA671" s="323"/>
      <c r="AB671" s="323"/>
      <c r="AC671" s="323"/>
      <c r="AD671" s="323"/>
      <c r="AE671" s="323"/>
      <c r="AF671" s="323"/>
      <c r="AG671" s="323"/>
      <c r="AH671" s="323"/>
      <c r="AI671" s="323"/>
      <c r="AJ671" s="323"/>
      <c r="AK671" s="323"/>
      <c r="AL671" s="323"/>
      <c r="AM671" s="323"/>
      <c r="AN671" s="323"/>
      <c r="AO671" s="323"/>
      <c r="AP671" s="323"/>
      <c r="AQ671" s="323"/>
      <c r="AR671" s="323"/>
      <c r="AS671" s="323"/>
      <c r="AT671" s="323"/>
      <c r="AU671" s="323"/>
      <c r="AV671" s="323"/>
      <c r="AW671" s="323"/>
    </row>
    <row r="672" spans="1:49" s="39" customFormat="1">
      <c r="A672" s="324"/>
      <c r="B672" s="324"/>
      <c r="C672" s="324"/>
      <c r="D672" s="324"/>
      <c r="E672" s="324"/>
      <c r="F672" s="324"/>
      <c r="G672" s="324"/>
      <c r="H672" s="324"/>
      <c r="I672" s="324"/>
      <c r="J672" s="324"/>
      <c r="K672" s="324"/>
      <c r="L672" s="324"/>
      <c r="M672" s="324"/>
      <c r="N672" s="324"/>
      <c r="O672" s="324"/>
      <c r="P672" s="324"/>
      <c r="Q672" s="324"/>
      <c r="R672" s="324"/>
      <c r="S672" s="324"/>
      <c r="T672" s="323"/>
      <c r="U672" s="323"/>
      <c r="V672" s="323"/>
      <c r="W672" s="323"/>
      <c r="X672" s="323"/>
      <c r="Y672" s="323"/>
      <c r="Z672" s="323"/>
      <c r="AA672" s="323"/>
      <c r="AB672" s="323"/>
      <c r="AC672" s="323"/>
      <c r="AD672" s="323"/>
      <c r="AE672" s="323"/>
      <c r="AF672" s="323"/>
      <c r="AG672" s="323"/>
      <c r="AH672" s="323"/>
      <c r="AI672" s="323"/>
      <c r="AJ672" s="323"/>
      <c r="AK672" s="323"/>
      <c r="AL672" s="323"/>
      <c r="AM672" s="323"/>
      <c r="AN672" s="323"/>
      <c r="AO672" s="323"/>
      <c r="AP672" s="323"/>
      <c r="AQ672" s="323"/>
      <c r="AR672" s="323"/>
      <c r="AS672" s="323"/>
      <c r="AT672" s="323"/>
      <c r="AU672" s="323"/>
      <c r="AV672" s="323"/>
      <c r="AW672" s="323"/>
    </row>
    <row r="673" spans="1:49" s="39" customFormat="1">
      <c r="A673" s="324"/>
      <c r="B673" s="324"/>
      <c r="C673" s="324"/>
      <c r="D673" s="324"/>
      <c r="E673" s="324"/>
      <c r="F673" s="324"/>
      <c r="G673" s="324"/>
      <c r="H673" s="324"/>
      <c r="I673" s="324"/>
      <c r="J673" s="324"/>
      <c r="K673" s="324"/>
      <c r="L673" s="324"/>
      <c r="M673" s="324"/>
      <c r="N673" s="324"/>
      <c r="O673" s="324"/>
      <c r="P673" s="324"/>
      <c r="Q673" s="324"/>
      <c r="R673" s="324"/>
      <c r="S673" s="324"/>
      <c r="T673" s="323"/>
      <c r="U673" s="323"/>
      <c r="V673" s="323"/>
      <c r="W673" s="323"/>
      <c r="X673" s="323"/>
      <c r="Y673" s="323"/>
      <c r="Z673" s="323"/>
      <c r="AA673" s="323"/>
      <c r="AB673" s="323"/>
      <c r="AC673" s="323"/>
      <c r="AD673" s="323"/>
      <c r="AE673" s="323"/>
      <c r="AF673" s="323"/>
      <c r="AG673" s="323"/>
      <c r="AH673" s="323"/>
      <c r="AI673" s="323"/>
      <c r="AJ673" s="323"/>
      <c r="AK673" s="323"/>
      <c r="AL673" s="323"/>
      <c r="AM673" s="323"/>
      <c r="AN673" s="323"/>
      <c r="AO673" s="323"/>
      <c r="AP673" s="323"/>
      <c r="AQ673" s="323"/>
      <c r="AR673" s="323"/>
      <c r="AS673" s="323"/>
      <c r="AT673" s="323"/>
      <c r="AU673" s="323"/>
      <c r="AV673" s="323"/>
      <c r="AW673" s="323"/>
    </row>
    <row r="674" spans="1:49" s="39" customFormat="1">
      <c r="A674" s="324"/>
      <c r="B674" s="324"/>
      <c r="C674" s="324"/>
      <c r="D674" s="324"/>
      <c r="E674" s="324"/>
      <c r="F674" s="324"/>
      <c r="G674" s="324"/>
      <c r="H674" s="324"/>
      <c r="I674" s="324"/>
      <c r="J674" s="324"/>
      <c r="K674" s="324"/>
      <c r="L674" s="324"/>
      <c r="M674" s="324"/>
      <c r="N674" s="324"/>
      <c r="O674" s="324"/>
      <c r="P674" s="324"/>
      <c r="Q674" s="324"/>
      <c r="R674" s="324"/>
      <c r="S674" s="324"/>
      <c r="T674" s="323"/>
      <c r="U674" s="323"/>
      <c r="V674" s="323"/>
      <c r="W674" s="323"/>
      <c r="X674" s="323"/>
      <c r="Y674" s="323"/>
      <c r="Z674" s="323"/>
      <c r="AA674" s="323"/>
      <c r="AB674" s="323"/>
      <c r="AC674" s="323"/>
      <c r="AD674" s="323"/>
      <c r="AE674" s="323"/>
      <c r="AF674" s="323"/>
      <c r="AG674" s="323"/>
      <c r="AH674" s="323"/>
      <c r="AI674" s="323"/>
      <c r="AJ674" s="323"/>
      <c r="AK674" s="323"/>
      <c r="AL674" s="323"/>
      <c r="AM674" s="323"/>
      <c r="AN674" s="323"/>
      <c r="AO674" s="323"/>
      <c r="AP674" s="323"/>
      <c r="AQ674" s="323"/>
      <c r="AR674" s="323"/>
      <c r="AS674" s="323"/>
      <c r="AT674" s="323"/>
      <c r="AU674" s="323"/>
      <c r="AV674" s="323"/>
      <c r="AW674" s="323"/>
    </row>
    <row r="675" spans="1:49" s="39" customFormat="1">
      <c r="A675" s="324"/>
      <c r="B675" s="324"/>
      <c r="C675" s="324"/>
      <c r="D675" s="324"/>
      <c r="E675" s="324"/>
      <c r="F675" s="324"/>
      <c r="G675" s="324"/>
      <c r="H675" s="324"/>
      <c r="I675" s="324"/>
      <c r="J675" s="324"/>
      <c r="K675" s="324"/>
      <c r="L675" s="324"/>
      <c r="M675" s="324"/>
      <c r="N675" s="324"/>
      <c r="O675" s="324"/>
      <c r="P675" s="324"/>
      <c r="Q675" s="324"/>
      <c r="R675" s="324"/>
      <c r="S675" s="324"/>
      <c r="T675" s="323"/>
      <c r="U675" s="323"/>
      <c r="V675" s="323"/>
      <c r="W675" s="323"/>
      <c r="X675" s="323"/>
      <c r="Y675" s="323"/>
      <c r="Z675" s="323"/>
      <c r="AA675" s="323"/>
      <c r="AB675" s="323"/>
      <c r="AC675" s="323"/>
      <c r="AD675" s="323"/>
      <c r="AE675" s="323"/>
      <c r="AF675" s="323"/>
      <c r="AG675" s="323"/>
      <c r="AH675" s="323"/>
      <c r="AI675" s="323"/>
      <c r="AJ675" s="323"/>
      <c r="AK675" s="323"/>
      <c r="AL675" s="323"/>
      <c r="AM675" s="323"/>
      <c r="AN675" s="323"/>
      <c r="AO675" s="323"/>
      <c r="AP675" s="323"/>
      <c r="AQ675" s="323"/>
      <c r="AR675" s="323"/>
      <c r="AS675" s="323"/>
      <c r="AT675" s="323"/>
      <c r="AU675" s="323"/>
      <c r="AV675" s="323"/>
      <c r="AW675" s="323"/>
    </row>
    <row r="676" spans="1:49" s="39" customFormat="1">
      <c r="A676" s="324"/>
      <c r="B676" s="324"/>
      <c r="C676" s="324"/>
      <c r="D676" s="324"/>
      <c r="E676" s="324"/>
      <c r="F676" s="324"/>
      <c r="G676" s="324"/>
      <c r="H676" s="324"/>
      <c r="I676" s="324"/>
      <c r="J676" s="324"/>
      <c r="K676" s="324"/>
      <c r="L676" s="324"/>
      <c r="M676" s="324"/>
      <c r="N676" s="324"/>
      <c r="O676" s="324"/>
      <c r="P676" s="324"/>
      <c r="Q676" s="324"/>
      <c r="R676" s="324"/>
      <c r="S676" s="324"/>
      <c r="T676" s="323"/>
      <c r="U676" s="323"/>
      <c r="V676" s="323"/>
      <c r="W676" s="323"/>
      <c r="X676" s="323"/>
      <c r="Y676" s="323"/>
      <c r="Z676" s="323"/>
      <c r="AA676" s="323"/>
      <c r="AB676" s="323"/>
      <c r="AC676" s="323"/>
      <c r="AD676" s="323"/>
      <c r="AE676" s="323"/>
      <c r="AF676" s="323"/>
      <c r="AG676" s="323"/>
      <c r="AH676" s="323"/>
      <c r="AI676" s="323"/>
      <c r="AJ676" s="323"/>
      <c r="AK676" s="323"/>
      <c r="AL676" s="323"/>
      <c r="AM676" s="323"/>
      <c r="AN676" s="323"/>
      <c r="AO676" s="323"/>
      <c r="AP676" s="323"/>
      <c r="AQ676" s="323"/>
      <c r="AR676" s="323"/>
      <c r="AS676" s="323"/>
      <c r="AT676" s="323"/>
      <c r="AU676" s="323"/>
      <c r="AV676" s="323"/>
      <c r="AW676" s="323"/>
    </row>
    <row r="677" spans="1:49" s="39" customFormat="1">
      <c r="A677" s="324"/>
      <c r="B677" s="324"/>
      <c r="C677" s="324"/>
      <c r="D677" s="324"/>
      <c r="E677" s="324"/>
      <c r="F677" s="324"/>
      <c r="G677" s="324"/>
      <c r="H677" s="324"/>
      <c r="I677" s="324"/>
      <c r="J677" s="324"/>
      <c r="K677" s="324"/>
      <c r="L677" s="324"/>
      <c r="M677" s="324"/>
      <c r="N677" s="324"/>
      <c r="O677" s="324"/>
      <c r="P677" s="324"/>
      <c r="Q677" s="324"/>
      <c r="R677" s="324"/>
      <c r="S677" s="324"/>
      <c r="T677" s="323"/>
      <c r="U677" s="323"/>
      <c r="V677" s="323"/>
      <c r="W677" s="323"/>
      <c r="X677" s="323"/>
      <c r="Y677" s="323"/>
      <c r="Z677" s="323"/>
      <c r="AA677" s="323"/>
      <c r="AB677" s="323"/>
      <c r="AC677" s="323"/>
      <c r="AD677" s="323"/>
      <c r="AE677" s="323"/>
      <c r="AF677" s="323"/>
      <c r="AG677" s="323"/>
      <c r="AH677" s="323"/>
      <c r="AI677" s="323"/>
      <c r="AJ677" s="323"/>
      <c r="AK677" s="323"/>
      <c r="AL677" s="323"/>
      <c r="AM677" s="323"/>
      <c r="AN677" s="323"/>
      <c r="AO677" s="323"/>
      <c r="AP677" s="323"/>
      <c r="AQ677" s="323"/>
      <c r="AR677" s="323"/>
      <c r="AS677" s="323"/>
      <c r="AT677" s="323"/>
      <c r="AU677" s="323"/>
      <c r="AV677" s="323"/>
      <c r="AW677" s="323"/>
    </row>
    <row r="678" spans="1:49" s="39" customFormat="1">
      <c r="A678" s="324"/>
      <c r="B678" s="324"/>
      <c r="C678" s="324"/>
      <c r="D678" s="324"/>
      <c r="E678" s="324"/>
      <c r="F678" s="324"/>
      <c r="G678" s="324"/>
      <c r="H678" s="324"/>
      <c r="I678" s="324"/>
      <c r="J678" s="324"/>
      <c r="K678" s="324"/>
      <c r="L678" s="324"/>
      <c r="M678" s="324"/>
      <c r="N678" s="324"/>
      <c r="O678" s="324"/>
      <c r="P678" s="324"/>
      <c r="Q678" s="324"/>
      <c r="R678" s="324"/>
      <c r="S678" s="324"/>
      <c r="T678" s="323"/>
      <c r="U678" s="323"/>
      <c r="V678" s="323"/>
      <c r="W678" s="323"/>
      <c r="X678" s="323"/>
      <c r="Y678" s="323"/>
      <c r="Z678" s="323"/>
      <c r="AA678" s="323"/>
      <c r="AB678" s="323"/>
      <c r="AC678" s="323"/>
      <c r="AD678" s="323"/>
      <c r="AE678" s="323"/>
      <c r="AF678" s="323"/>
      <c r="AG678" s="323"/>
      <c r="AH678" s="323"/>
      <c r="AI678" s="323"/>
      <c r="AJ678" s="323"/>
      <c r="AK678" s="323"/>
      <c r="AL678" s="323"/>
      <c r="AM678" s="323"/>
      <c r="AN678" s="323"/>
      <c r="AO678" s="323"/>
      <c r="AP678" s="323"/>
      <c r="AQ678" s="323"/>
      <c r="AR678" s="323"/>
      <c r="AS678" s="323"/>
      <c r="AT678" s="323"/>
      <c r="AU678" s="323"/>
      <c r="AV678" s="323"/>
      <c r="AW678" s="323"/>
    </row>
    <row r="679" spans="1:49" s="39" customFormat="1">
      <c r="A679" s="324"/>
      <c r="B679" s="324"/>
      <c r="C679" s="324"/>
      <c r="D679" s="324"/>
      <c r="E679" s="324"/>
      <c r="F679" s="324"/>
      <c r="G679" s="324"/>
      <c r="H679" s="324"/>
      <c r="I679" s="324"/>
      <c r="J679" s="324"/>
      <c r="K679" s="324"/>
      <c r="L679" s="324"/>
      <c r="M679" s="324"/>
      <c r="N679" s="324"/>
      <c r="O679" s="324"/>
      <c r="P679" s="324"/>
      <c r="Q679" s="324"/>
      <c r="R679" s="324"/>
      <c r="S679" s="324"/>
      <c r="T679" s="323"/>
      <c r="U679" s="323"/>
      <c r="V679" s="323"/>
      <c r="W679" s="323"/>
      <c r="X679" s="323"/>
      <c r="Y679" s="323"/>
      <c r="Z679" s="323"/>
      <c r="AA679" s="323"/>
      <c r="AB679" s="323"/>
      <c r="AC679" s="323"/>
      <c r="AD679" s="323"/>
      <c r="AE679" s="323"/>
      <c r="AF679" s="323"/>
      <c r="AG679" s="323"/>
      <c r="AH679" s="323"/>
      <c r="AI679" s="323"/>
      <c r="AJ679" s="323"/>
      <c r="AK679" s="323"/>
      <c r="AL679" s="323"/>
      <c r="AM679" s="323"/>
      <c r="AN679" s="323"/>
      <c r="AO679" s="323"/>
      <c r="AP679" s="323"/>
      <c r="AQ679" s="323"/>
      <c r="AR679" s="323"/>
      <c r="AS679" s="323"/>
      <c r="AT679" s="323"/>
      <c r="AU679" s="323"/>
      <c r="AV679" s="323"/>
      <c r="AW679" s="323"/>
    </row>
    <row r="680" spans="1:49" s="39" customFormat="1"/>
    <row r="681" spans="1:49" s="39" customFormat="1"/>
    <row r="682" spans="1:49" s="39" customFormat="1"/>
    <row r="683" spans="1:49" s="39" customFormat="1"/>
    <row r="684" spans="1:49" s="39" customFormat="1"/>
    <row r="685" spans="1:49" s="39" customFormat="1"/>
    <row r="686" spans="1:49" s="39" customFormat="1"/>
    <row r="687" spans="1:49" s="39" customFormat="1"/>
    <row r="688" spans="1:49" s="39" customFormat="1"/>
    <row r="689" s="39" customFormat="1"/>
    <row r="690" s="39" customFormat="1"/>
    <row r="691" s="39" customFormat="1"/>
    <row r="692" s="39" customFormat="1"/>
    <row r="693" s="287" customFormat="1"/>
    <row r="694" s="287" customFormat="1"/>
    <row r="695" s="287" customFormat="1"/>
    <row r="696" s="287" customFormat="1"/>
    <row r="697" s="287" customFormat="1"/>
    <row r="698" s="287" customFormat="1"/>
    <row r="699" s="287" customFormat="1"/>
    <row r="700" s="287" customFormat="1"/>
    <row r="701" s="287" customFormat="1"/>
    <row r="702" s="287" customFormat="1"/>
    <row r="703" s="287" customFormat="1"/>
    <row r="704" s="287" customFormat="1"/>
    <row r="705" s="287" customFormat="1"/>
    <row r="706" s="287" customFormat="1"/>
    <row r="707" s="287" customFormat="1"/>
    <row r="708" s="287" customFormat="1"/>
    <row r="709" s="287" customFormat="1"/>
    <row r="710" s="287" customFormat="1"/>
    <row r="711" s="287" customFormat="1"/>
    <row r="712" s="287" customFormat="1"/>
    <row r="713" s="287" customFormat="1"/>
    <row r="714" s="287" customFormat="1"/>
  </sheetData>
  <sheetProtection algorithmName="SHA-512" hashValue="7KILJ8V/AdrHDYgTFKsWhNdb4Adh5TJ1bfNgUNQh22lqUhYX2p6QblUfwcQK/33qYGLXb9z3o3PtEKFN0fwong==" saltValue="/ezpzr/ujuUn7EivU3I4Nw==" spinCount="100000" sheet="1" objects="1" scenarios="1"/>
  <dataConsolidate/>
  <mergeCells count="1715">
    <mergeCell ref="A122:D122"/>
    <mergeCell ref="A123:D123"/>
    <mergeCell ref="A124:D124"/>
    <mergeCell ref="A125:D125"/>
    <mergeCell ref="A126:D126"/>
    <mergeCell ref="A127:D127"/>
    <mergeCell ref="A128:D128"/>
    <mergeCell ref="A129:D129"/>
    <mergeCell ref="A130:D130"/>
    <mergeCell ref="A131:D131"/>
    <mergeCell ref="A132:D132"/>
    <mergeCell ref="A133:D133"/>
    <mergeCell ref="A134:D134"/>
    <mergeCell ref="M32:V32"/>
    <mergeCell ref="A32:L32"/>
    <mergeCell ref="W33:W34"/>
    <mergeCell ref="Y43:AF45"/>
    <mergeCell ref="Y38:AF40"/>
    <mergeCell ref="A107:F107"/>
    <mergeCell ref="G107:H107"/>
    <mergeCell ref="A110:D110"/>
    <mergeCell ref="A111:D111"/>
    <mergeCell ref="A112:D112"/>
    <mergeCell ref="A113:D113"/>
    <mergeCell ref="A114:D114"/>
    <mergeCell ref="A115:D115"/>
    <mergeCell ref="A116:D116"/>
    <mergeCell ref="A117:D117"/>
    <mergeCell ref="A109:D109"/>
    <mergeCell ref="I112:K112"/>
    <mergeCell ref="I113:K113"/>
    <mergeCell ref="I114:K114"/>
    <mergeCell ref="I111:K111"/>
    <mergeCell ref="Q623:S623"/>
    <mergeCell ref="B350:M350"/>
    <mergeCell ref="A183:G184"/>
    <mergeCell ref="L620:P620"/>
    <mergeCell ref="Q620:S620"/>
    <mergeCell ref="A621:C621"/>
    <mergeCell ref="D621:H621"/>
    <mergeCell ref="L621:P621"/>
    <mergeCell ref="Q621:S621"/>
    <mergeCell ref="A622:C622"/>
    <mergeCell ref="D622:H622"/>
    <mergeCell ref="L622:P622"/>
    <mergeCell ref="Q622:S622"/>
    <mergeCell ref="L617:P617"/>
    <mergeCell ref="Q617:S617"/>
    <mergeCell ref="A618:C618"/>
    <mergeCell ref="D618:H618"/>
    <mergeCell ref="L618:P618"/>
    <mergeCell ref="Q618:S618"/>
    <mergeCell ref="A619:C619"/>
    <mergeCell ref="D619:H619"/>
    <mergeCell ref="L619:P619"/>
    <mergeCell ref="Q619:S619"/>
    <mergeCell ref="L614:P614"/>
    <mergeCell ref="Q614:S614"/>
    <mergeCell ref="A615:C615"/>
    <mergeCell ref="D615:H615"/>
    <mergeCell ref="L615:P615"/>
    <mergeCell ref="Q615:S615"/>
    <mergeCell ref="A616:C616"/>
    <mergeCell ref="D616:H616"/>
    <mergeCell ref="L616:P616"/>
    <mergeCell ref="Q616:S616"/>
    <mergeCell ref="L611:P611"/>
    <mergeCell ref="Q611:S611"/>
    <mergeCell ref="A612:C612"/>
    <mergeCell ref="D612:H612"/>
    <mergeCell ref="L612:P612"/>
    <mergeCell ref="Q612:S612"/>
    <mergeCell ref="A613:C613"/>
    <mergeCell ref="D613:H613"/>
    <mergeCell ref="L613:P613"/>
    <mergeCell ref="Q613:S613"/>
    <mergeCell ref="L608:P608"/>
    <mergeCell ref="Q608:S608"/>
    <mergeCell ref="A609:C609"/>
    <mergeCell ref="D609:H609"/>
    <mergeCell ref="L609:P609"/>
    <mergeCell ref="Q609:S609"/>
    <mergeCell ref="A610:C610"/>
    <mergeCell ref="D610:H610"/>
    <mergeCell ref="L610:P610"/>
    <mergeCell ref="Q610:S610"/>
    <mergeCell ref="I612:K612"/>
    <mergeCell ref="I613:K613"/>
    <mergeCell ref="I610:K610"/>
    <mergeCell ref="I611:K611"/>
    <mergeCell ref="A611:C611"/>
    <mergeCell ref="D611:H611"/>
    <mergeCell ref="I608:K608"/>
    <mergeCell ref="I609:K609"/>
    <mergeCell ref="A608:C608"/>
    <mergeCell ref="D608:H608"/>
    <mergeCell ref="L605:P605"/>
    <mergeCell ref="Q605:S605"/>
    <mergeCell ref="A606:C606"/>
    <mergeCell ref="D606:H606"/>
    <mergeCell ref="L606:P606"/>
    <mergeCell ref="Q606:S606"/>
    <mergeCell ref="A607:C607"/>
    <mergeCell ref="D607:H607"/>
    <mergeCell ref="L607:P607"/>
    <mergeCell ref="Q607:S607"/>
    <mergeCell ref="L602:P602"/>
    <mergeCell ref="Q602:S602"/>
    <mergeCell ref="A603:C603"/>
    <mergeCell ref="D603:H603"/>
    <mergeCell ref="L603:P603"/>
    <mergeCell ref="Q603:S603"/>
    <mergeCell ref="A604:C604"/>
    <mergeCell ref="D604:H604"/>
    <mergeCell ref="L604:P604"/>
    <mergeCell ref="Q604:S604"/>
    <mergeCell ref="I606:K606"/>
    <mergeCell ref="I607:K607"/>
    <mergeCell ref="I604:K604"/>
    <mergeCell ref="I605:K605"/>
    <mergeCell ref="A605:C605"/>
    <mergeCell ref="D605:H605"/>
    <mergeCell ref="I602:K602"/>
    <mergeCell ref="I603:K603"/>
    <mergeCell ref="A602:C602"/>
    <mergeCell ref="D602:H602"/>
    <mergeCell ref="L599:P599"/>
    <mergeCell ref="Q599:S599"/>
    <mergeCell ref="A600:C600"/>
    <mergeCell ref="D600:H600"/>
    <mergeCell ref="L600:P600"/>
    <mergeCell ref="Q600:S600"/>
    <mergeCell ref="A601:C601"/>
    <mergeCell ref="D601:H601"/>
    <mergeCell ref="L601:P601"/>
    <mergeCell ref="Q601:S601"/>
    <mergeCell ref="L596:P596"/>
    <mergeCell ref="Q596:S596"/>
    <mergeCell ref="A597:C597"/>
    <mergeCell ref="D597:H597"/>
    <mergeCell ref="L597:P597"/>
    <mergeCell ref="Q597:S597"/>
    <mergeCell ref="A598:C598"/>
    <mergeCell ref="D598:H598"/>
    <mergeCell ref="L598:P598"/>
    <mergeCell ref="Q598:S598"/>
    <mergeCell ref="I600:K600"/>
    <mergeCell ref="I601:K601"/>
    <mergeCell ref="I598:K598"/>
    <mergeCell ref="I599:K599"/>
    <mergeCell ref="A599:C599"/>
    <mergeCell ref="D599:H599"/>
    <mergeCell ref="I596:K596"/>
    <mergeCell ref="I597:K597"/>
    <mergeCell ref="A596:C596"/>
    <mergeCell ref="D596:H596"/>
    <mergeCell ref="L593:P593"/>
    <mergeCell ref="Q593:S593"/>
    <mergeCell ref="A594:C594"/>
    <mergeCell ref="D594:H594"/>
    <mergeCell ref="L594:P594"/>
    <mergeCell ref="Q594:S594"/>
    <mergeCell ref="A595:C595"/>
    <mergeCell ref="D595:H595"/>
    <mergeCell ref="L595:P595"/>
    <mergeCell ref="Q595:S595"/>
    <mergeCell ref="L590:P590"/>
    <mergeCell ref="Q590:S590"/>
    <mergeCell ref="A591:C591"/>
    <mergeCell ref="D591:H591"/>
    <mergeCell ref="L591:P591"/>
    <mergeCell ref="Q591:S591"/>
    <mergeCell ref="A592:C592"/>
    <mergeCell ref="D592:H592"/>
    <mergeCell ref="L592:P592"/>
    <mergeCell ref="Q592:S592"/>
    <mergeCell ref="I594:K594"/>
    <mergeCell ref="I595:K595"/>
    <mergeCell ref="I592:K592"/>
    <mergeCell ref="I593:K593"/>
    <mergeCell ref="A593:C593"/>
    <mergeCell ref="D593:H593"/>
    <mergeCell ref="I590:K590"/>
    <mergeCell ref="I591:K591"/>
    <mergeCell ref="A590:C590"/>
    <mergeCell ref="D590:H590"/>
    <mergeCell ref="L587:P587"/>
    <mergeCell ref="Q587:S587"/>
    <mergeCell ref="A588:C588"/>
    <mergeCell ref="D588:H588"/>
    <mergeCell ref="L588:P588"/>
    <mergeCell ref="Q588:S588"/>
    <mergeCell ref="A589:C589"/>
    <mergeCell ref="D589:H589"/>
    <mergeCell ref="L589:P589"/>
    <mergeCell ref="Q589:S589"/>
    <mergeCell ref="L584:P584"/>
    <mergeCell ref="Q584:S584"/>
    <mergeCell ref="A585:C585"/>
    <mergeCell ref="D585:H585"/>
    <mergeCell ref="L585:P585"/>
    <mergeCell ref="Q585:S585"/>
    <mergeCell ref="A586:C586"/>
    <mergeCell ref="D586:H586"/>
    <mergeCell ref="L586:P586"/>
    <mergeCell ref="Q586:S586"/>
    <mergeCell ref="I588:K588"/>
    <mergeCell ref="I589:K589"/>
    <mergeCell ref="I586:K586"/>
    <mergeCell ref="I587:K587"/>
    <mergeCell ref="A587:C587"/>
    <mergeCell ref="D587:H587"/>
    <mergeCell ref="I584:K584"/>
    <mergeCell ref="I585:K585"/>
    <mergeCell ref="A584:C584"/>
    <mergeCell ref="D584:H584"/>
    <mergeCell ref="L581:P581"/>
    <mergeCell ref="Q581:S581"/>
    <mergeCell ref="A582:C582"/>
    <mergeCell ref="D582:H582"/>
    <mergeCell ref="L582:P582"/>
    <mergeCell ref="Q582:S582"/>
    <mergeCell ref="A583:C583"/>
    <mergeCell ref="D583:H583"/>
    <mergeCell ref="L583:P583"/>
    <mergeCell ref="Q583:S583"/>
    <mergeCell ref="L578:P578"/>
    <mergeCell ref="Q578:S578"/>
    <mergeCell ref="A579:C579"/>
    <mergeCell ref="D579:H579"/>
    <mergeCell ref="L579:P579"/>
    <mergeCell ref="Q579:S579"/>
    <mergeCell ref="A580:C580"/>
    <mergeCell ref="D580:H580"/>
    <mergeCell ref="L580:P580"/>
    <mergeCell ref="Q580:S580"/>
    <mergeCell ref="I582:K582"/>
    <mergeCell ref="I583:K583"/>
    <mergeCell ref="I580:K580"/>
    <mergeCell ref="I581:K581"/>
    <mergeCell ref="A581:C581"/>
    <mergeCell ref="D581:H581"/>
    <mergeCell ref="I578:K578"/>
    <mergeCell ref="I579:K579"/>
    <mergeCell ref="A578:C578"/>
    <mergeCell ref="D578:H578"/>
    <mergeCell ref="L575:P575"/>
    <mergeCell ref="Q575:S575"/>
    <mergeCell ref="A576:C576"/>
    <mergeCell ref="D576:H576"/>
    <mergeCell ref="L576:P576"/>
    <mergeCell ref="Q576:S576"/>
    <mergeCell ref="A577:C577"/>
    <mergeCell ref="D577:H577"/>
    <mergeCell ref="L577:P577"/>
    <mergeCell ref="Q577:S577"/>
    <mergeCell ref="L572:P572"/>
    <mergeCell ref="Q572:S572"/>
    <mergeCell ref="A573:C573"/>
    <mergeCell ref="D573:H573"/>
    <mergeCell ref="L573:P573"/>
    <mergeCell ref="Q573:S573"/>
    <mergeCell ref="A574:C574"/>
    <mergeCell ref="D574:H574"/>
    <mergeCell ref="L574:P574"/>
    <mergeCell ref="Q574:S574"/>
    <mergeCell ref="I576:K576"/>
    <mergeCell ref="I577:K577"/>
    <mergeCell ref="I574:K574"/>
    <mergeCell ref="I575:K575"/>
    <mergeCell ref="A575:C575"/>
    <mergeCell ref="D575:H575"/>
    <mergeCell ref="I572:K572"/>
    <mergeCell ref="I573:K573"/>
    <mergeCell ref="A572:C572"/>
    <mergeCell ref="D572:H572"/>
    <mergeCell ref="L569:P569"/>
    <mergeCell ref="Q569:S569"/>
    <mergeCell ref="A570:C570"/>
    <mergeCell ref="D570:H570"/>
    <mergeCell ref="L570:P570"/>
    <mergeCell ref="Q570:S570"/>
    <mergeCell ref="A571:C571"/>
    <mergeCell ref="D571:H571"/>
    <mergeCell ref="L571:P571"/>
    <mergeCell ref="Q571:S571"/>
    <mergeCell ref="L566:P566"/>
    <mergeCell ref="Q566:S566"/>
    <mergeCell ref="A567:C567"/>
    <mergeCell ref="D567:H567"/>
    <mergeCell ref="L567:P567"/>
    <mergeCell ref="Q567:S567"/>
    <mergeCell ref="A568:C568"/>
    <mergeCell ref="D568:H568"/>
    <mergeCell ref="L568:P568"/>
    <mergeCell ref="Q568:S568"/>
    <mergeCell ref="I570:K570"/>
    <mergeCell ref="I571:K571"/>
    <mergeCell ref="I568:K568"/>
    <mergeCell ref="I569:K569"/>
    <mergeCell ref="A569:C569"/>
    <mergeCell ref="D569:H569"/>
    <mergeCell ref="I566:K566"/>
    <mergeCell ref="I567:K567"/>
    <mergeCell ref="A566:C566"/>
    <mergeCell ref="D566:H566"/>
    <mergeCell ref="L563:P563"/>
    <mergeCell ref="Q563:S563"/>
    <mergeCell ref="A564:C564"/>
    <mergeCell ref="D564:H564"/>
    <mergeCell ref="L564:P564"/>
    <mergeCell ref="Q564:S564"/>
    <mergeCell ref="A565:C565"/>
    <mergeCell ref="D565:H565"/>
    <mergeCell ref="L565:P565"/>
    <mergeCell ref="Q565:S565"/>
    <mergeCell ref="L560:P560"/>
    <mergeCell ref="Q560:S560"/>
    <mergeCell ref="A561:C561"/>
    <mergeCell ref="D561:H561"/>
    <mergeCell ref="L561:P561"/>
    <mergeCell ref="Q561:S561"/>
    <mergeCell ref="A562:C562"/>
    <mergeCell ref="D562:H562"/>
    <mergeCell ref="L562:P562"/>
    <mergeCell ref="Q562:S562"/>
    <mergeCell ref="I564:K564"/>
    <mergeCell ref="I565:K565"/>
    <mergeCell ref="I562:K562"/>
    <mergeCell ref="I563:K563"/>
    <mergeCell ref="A563:C563"/>
    <mergeCell ref="D563:H563"/>
    <mergeCell ref="I560:K560"/>
    <mergeCell ref="I561:K561"/>
    <mergeCell ref="A560:C560"/>
    <mergeCell ref="D560:H560"/>
    <mergeCell ref="L557:P557"/>
    <mergeCell ref="Q557:S557"/>
    <mergeCell ref="A558:C558"/>
    <mergeCell ref="D558:H558"/>
    <mergeCell ref="L558:P558"/>
    <mergeCell ref="Q558:S558"/>
    <mergeCell ref="A559:C559"/>
    <mergeCell ref="D559:H559"/>
    <mergeCell ref="L559:P559"/>
    <mergeCell ref="Q559:S559"/>
    <mergeCell ref="L554:P554"/>
    <mergeCell ref="Q554:S554"/>
    <mergeCell ref="A555:C555"/>
    <mergeCell ref="D555:H555"/>
    <mergeCell ref="L555:P555"/>
    <mergeCell ref="Q555:S555"/>
    <mergeCell ref="A556:C556"/>
    <mergeCell ref="D556:H556"/>
    <mergeCell ref="L556:P556"/>
    <mergeCell ref="Q556:S556"/>
    <mergeCell ref="I558:K558"/>
    <mergeCell ref="I559:K559"/>
    <mergeCell ref="I556:K556"/>
    <mergeCell ref="I557:K557"/>
    <mergeCell ref="A557:C557"/>
    <mergeCell ref="D557:H557"/>
    <mergeCell ref="I554:K554"/>
    <mergeCell ref="I555:K555"/>
    <mergeCell ref="A554:C554"/>
    <mergeCell ref="D554:H554"/>
    <mergeCell ref="L551:P551"/>
    <mergeCell ref="Q551:S551"/>
    <mergeCell ref="A552:C552"/>
    <mergeCell ref="D552:H552"/>
    <mergeCell ref="L552:P552"/>
    <mergeCell ref="Q552:S552"/>
    <mergeCell ref="A553:C553"/>
    <mergeCell ref="D553:H553"/>
    <mergeCell ref="L553:P553"/>
    <mergeCell ref="Q553:S553"/>
    <mergeCell ref="L548:P548"/>
    <mergeCell ref="Q548:S548"/>
    <mergeCell ref="A549:C549"/>
    <mergeCell ref="D549:H549"/>
    <mergeCell ref="L549:P549"/>
    <mergeCell ref="Q549:S549"/>
    <mergeCell ref="A550:C550"/>
    <mergeCell ref="D550:H550"/>
    <mergeCell ref="L550:P550"/>
    <mergeCell ref="Q550:S550"/>
    <mergeCell ref="I552:K552"/>
    <mergeCell ref="I553:K553"/>
    <mergeCell ref="I550:K550"/>
    <mergeCell ref="I551:K551"/>
    <mergeCell ref="A551:C551"/>
    <mergeCell ref="D551:H551"/>
    <mergeCell ref="I548:K548"/>
    <mergeCell ref="I549:K549"/>
    <mergeCell ref="A548:C548"/>
    <mergeCell ref="D548:H548"/>
    <mergeCell ref="L545:P545"/>
    <mergeCell ref="Q545:S545"/>
    <mergeCell ref="A546:C546"/>
    <mergeCell ref="D546:H546"/>
    <mergeCell ref="L546:P546"/>
    <mergeCell ref="Q546:S546"/>
    <mergeCell ref="A547:C547"/>
    <mergeCell ref="D547:H547"/>
    <mergeCell ref="L547:P547"/>
    <mergeCell ref="Q547:S547"/>
    <mergeCell ref="L542:P542"/>
    <mergeCell ref="Q542:S542"/>
    <mergeCell ref="A543:C543"/>
    <mergeCell ref="D543:H543"/>
    <mergeCell ref="L543:P543"/>
    <mergeCell ref="Q543:S543"/>
    <mergeCell ref="A544:C544"/>
    <mergeCell ref="D544:H544"/>
    <mergeCell ref="L544:P544"/>
    <mergeCell ref="Q544:S544"/>
    <mergeCell ref="I546:K546"/>
    <mergeCell ref="I547:K547"/>
    <mergeCell ref="I544:K544"/>
    <mergeCell ref="I545:K545"/>
    <mergeCell ref="A545:C545"/>
    <mergeCell ref="D545:H545"/>
    <mergeCell ref="I542:K542"/>
    <mergeCell ref="I543:K543"/>
    <mergeCell ref="A542:C542"/>
    <mergeCell ref="D542:H542"/>
    <mergeCell ref="L539:P539"/>
    <mergeCell ref="Q539:S539"/>
    <mergeCell ref="A540:C540"/>
    <mergeCell ref="D540:H540"/>
    <mergeCell ref="L540:P540"/>
    <mergeCell ref="Q540:S540"/>
    <mergeCell ref="A541:C541"/>
    <mergeCell ref="D541:H541"/>
    <mergeCell ref="L541:P541"/>
    <mergeCell ref="Q541:S541"/>
    <mergeCell ref="L536:P536"/>
    <mergeCell ref="Q536:S536"/>
    <mergeCell ref="A537:C537"/>
    <mergeCell ref="D537:H537"/>
    <mergeCell ref="L537:P537"/>
    <mergeCell ref="Q537:S537"/>
    <mergeCell ref="A538:C538"/>
    <mergeCell ref="D538:H538"/>
    <mergeCell ref="L538:P538"/>
    <mergeCell ref="Q538:S538"/>
    <mergeCell ref="I540:K540"/>
    <mergeCell ref="I541:K541"/>
    <mergeCell ref="I538:K538"/>
    <mergeCell ref="I539:K539"/>
    <mergeCell ref="A539:C539"/>
    <mergeCell ref="D539:H539"/>
    <mergeCell ref="I536:K536"/>
    <mergeCell ref="I537:K537"/>
    <mergeCell ref="A536:C536"/>
    <mergeCell ref="D536:H536"/>
    <mergeCell ref="L533:P533"/>
    <mergeCell ref="Q533:S533"/>
    <mergeCell ref="A534:C534"/>
    <mergeCell ref="D534:H534"/>
    <mergeCell ref="L534:P534"/>
    <mergeCell ref="Q534:S534"/>
    <mergeCell ref="A535:C535"/>
    <mergeCell ref="D535:H535"/>
    <mergeCell ref="L535:P535"/>
    <mergeCell ref="Q535:S535"/>
    <mergeCell ref="L530:P530"/>
    <mergeCell ref="Q530:S530"/>
    <mergeCell ref="A531:C531"/>
    <mergeCell ref="D531:H531"/>
    <mergeCell ref="L531:P531"/>
    <mergeCell ref="Q531:S531"/>
    <mergeCell ref="A532:C532"/>
    <mergeCell ref="D532:H532"/>
    <mergeCell ref="L532:P532"/>
    <mergeCell ref="Q532:S532"/>
    <mergeCell ref="I534:K534"/>
    <mergeCell ref="I535:K535"/>
    <mergeCell ref="I532:K532"/>
    <mergeCell ref="I533:K533"/>
    <mergeCell ref="A533:C533"/>
    <mergeCell ref="D533:H533"/>
    <mergeCell ref="I530:K530"/>
    <mergeCell ref="I531:K531"/>
    <mergeCell ref="A530:C530"/>
    <mergeCell ref="D530:H530"/>
    <mergeCell ref="L527:P527"/>
    <mergeCell ref="Q527:S527"/>
    <mergeCell ref="A528:C528"/>
    <mergeCell ref="D528:H528"/>
    <mergeCell ref="L528:P528"/>
    <mergeCell ref="Q528:S528"/>
    <mergeCell ref="A529:C529"/>
    <mergeCell ref="D529:H529"/>
    <mergeCell ref="L529:P529"/>
    <mergeCell ref="Q529:S529"/>
    <mergeCell ref="L524:P524"/>
    <mergeCell ref="Q524:S524"/>
    <mergeCell ref="A525:C525"/>
    <mergeCell ref="D525:H525"/>
    <mergeCell ref="L525:P525"/>
    <mergeCell ref="Q525:S525"/>
    <mergeCell ref="A526:C526"/>
    <mergeCell ref="D526:H526"/>
    <mergeCell ref="L526:P526"/>
    <mergeCell ref="Q526:S526"/>
    <mergeCell ref="I528:K528"/>
    <mergeCell ref="I529:K529"/>
    <mergeCell ref="I526:K526"/>
    <mergeCell ref="I527:K527"/>
    <mergeCell ref="A527:C527"/>
    <mergeCell ref="D527:H527"/>
    <mergeCell ref="I524:K524"/>
    <mergeCell ref="I525:K525"/>
    <mergeCell ref="A524:C524"/>
    <mergeCell ref="D524:H524"/>
    <mergeCell ref="L521:P521"/>
    <mergeCell ref="Q521:S521"/>
    <mergeCell ref="A522:C522"/>
    <mergeCell ref="D522:H522"/>
    <mergeCell ref="L522:P522"/>
    <mergeCell ref="Q522:S522"/>
    <mergeCell ref="A523:C523"/>
    <mergeCell ref="D523:H523"/>
    <mergeCell ref="L523:P523"/>
    <mergeCell ref="Q523:S523"/>
    <mergeCell ref="L518:P518"/>
    <mergeCell ref="Q518:S518"/>
    <mergeCell ref="A519:C519"/>
    <mergeCell ref="D519:H519"/>
    <mergeCell ref="L519:P519"/>
    <mergeCell ref="Q519:S519"/>
    <mergeCell ref="A520:C520"/>
    <mergeCell ref="D520:H520"/>
    <mergeCell ref="L520:P520"/>
    <mergeCell ref="Q520:S520"/>
    <mergeCell ref="I522:K522"/>
    <mergeCell ref="I523:K523"/>
    <mergeCell ref="I520:K520"/>
    <mergeCell ref="I521:K521"/>
    <mergeCell ref="A521:C521"/>
    <mergeCell ref="D521:H521"/>
    <mergeCell ref="I518:K518"/>
    <mergeCell ref="I519:K519"/>
    <mergeCell ref="A518:C518"/>
    <mergeCell ref="D518:H518"/>
    <mergeCell ref="L515:P515"/>
    <mergeCell ref="Q515:S515"/>
    <mergeCell ref="A516:C516"/>
    <mergeCell ref="D516:H516"/>
    <mergeCell ref="L516:P516"/>
    <mergeCell ref="Q516:S516"/>
    <mergeCell ref="A517:C517"/>
    <mergeCell ref="D517:H517"/>
    <mergeCell ref="L517:P517"/>
    <mergeCell ref="Q517:S517"/>
    <mergeCell ref="L512:P512"/>
    <mergeCell ref="Q512:S512"/>
    <mergeCell ref="A513:C513"/>
    <mergeCell ref="D513:H513"/>
    <mergeCell ref="L513:P513"/>
    <mergeCell ref="Q513:S513"/>
    <mergeCell ref="A514:C514"/>
    <mergeCell ref="D514:H514"/>
    <mergeCell ref="L514:P514"/>
    <mergeCell ref="Q514:S514"/>
    <mergeCell ref="I516:K516"/>
    <mergeCell ref="I517:K517"/>
    <mergeCell ref="I514:K514"/>
    <mergeCell ref="I515:K515"/>
    <mergeCell ref="A515:C515"/>
    <mergeCell ref="D515:H515"/>
    <mergeCell ref="I512:K512"/>
    <mergeCell ref="I513:K513"/>
    <mergeCell ref="A512:C512"/>
    <mergeCell ref="D512:H512"/>
    <mergeCell ref="L509:P509"/>
    <mergeCell ref="Q509:S509"/>
    <mergeCell ref="A510:C510"/>
    <mergeCell ref="D510:H510"/>
    <mergeCell ref="L510:P510"/>
    <mergeCell ref="Q510:S510"/>
    <mergeCell ref="A511:C511"/>
    <mergeCell ref="D511:H511"/>
    <mergeCell ref="L511:P511"/>
    <mergeCell ref="Q511:S511"/>
    <mergeCell ref="L506:P506"/>
    <mergeCell ref="Q506:S506"/>
    <mergeCell ref="A507:C507"/>
    <mergeCell ref="D507:H507"/>
    <mergeCell ref="L507:P507"/>
    <mergeCell ref="Q507:S507"/>
    <mergeCell ref="A508:C508"/>
    <mergeCell ref="D508:H508"/>
    <mergeCell ref="L508:P508"/>
    <mergeCell ref="Q508:S508"/>
    <mergeCell ref="I510:K510"/>
    <mergeCell ref="I511:K511"/>
    <mergeCell ref="I508:K508"/>
    <mergeCell ref="I509:K509"/>
    <mergeCell ref="A509:C509"/>
    <mergeCell ref="D509:H509"/>
    <mergeCell ref="I506:K506"/>
    <mergeCell ref="I507:K507"/>
    <mergeCell ref="A506:C506"/>
    <mergeCell ref="D506:H506"/>
    <mergeCell ref="L503:P503"/>
    <mergeCell ref="Q503:S503"/>
    <mergeCell ref="A504:C504"/>
    <mergeCell ref="D504:H504"/>
    <mergeCell ref="L504:P504"/>
    <mergeCell ref="Q504:S504"/>
    <mergeCell ref="A505:C505"/>
    <mergeCell ref="D505:H505"/>
    <mergeCell ref="L505:P505"/>
    <mergeCell ref="Q505:S505"/>
    <mergeCell ref="L500:P500"/>
    <mergeCell ref="Q500:S500"/>
    <mergeCell ref="A501:C501"/>
    <mergeCell ref="D501:H501"/>
    <mergeCell ref="L501:P501"/>
    <mergeCell ref="Q501:S501"/>
    <mergeCell ref="A502:C502"/>
    <mergeCell ref="D502:H502"/>
    <mergeCell ref="L502:P502"/>
    <mergeCell ref="Q502:S502"/>
    <mergeCell ref="I504:K504"/>
    <mergeCell ref="I505:K505"/>
    <mergeCell ref="I502:K502"/>
    <mergeCell ref="I503:K503"/>
    <mergeCell ref="A503:C503"/>
    <mergeCell ref="D503:H503"/>
    <mergeCell ref="I500:K500"/>
    <mergeCell ref="I501:K501"/>
    <mergeCell ref="A500:C500"/>
    <mergeCell ref="D500:H500"/>
    <mergeCell ref="L497:P497"/>
    <mergeCell ref="Q497:S497"/>
    <mergeCell ref="A498:C498"/>
    <mergeCell ref="D498:H498"/>
    <mergeCell ref="L498:P498"/>
    <mergeCell ref="Q498:S498"/>
    <mergeCell ref="A499:C499"/>
    <mergeCell ref="D499:H499"/>
    <mergeCell ref="L499:P499"/>
    <mergeCell ref="Q499:S499"/>
    <mergeCell ref="L494:P494"/>
    <mergeCell ref="Q494:S494"/>
    <mergeCell ref="A495:C495"/>
    <mergeCell ref="D495:H495"/>
    <mergeCell ref="L495:P495"/>
    <mergeCell ref="Q495:S495"/>
    <mergeCell ref="A496:C496"/>
    <mergeCell ref="D496:H496"/>
    <mergeCell ref="L496:P496"/>
    <mergeCell ref="Q496:S496"/>
    <mergeCell ref="I498:K498"/>
    <mergeCell ref="I499:K499"/>
    <mergeCell ref="I496:K496"/>
    <mergeCell ref="I497:K497"/>
    <mergeCell ref="A497:C497"/>
    <mergeCell ref="D497:H497"/>
    <mergeCell ref="I494:K494"/>
    <mergeCell ref="I495:K495"/>
    <mergeCell ref="A494:C494"/>
    <mergeCell ref="D494:H494"/>
    <mergeCell ref="L491:P491"/>
    <mergeCell ref="Q491:S491"/>
    <mergeCell ref="A492:C492"/>
    <mergeCell ref="D492:H492"/>
    <mergeCell ref="L492:P492"/>
    <mergeCell ref="Q492:S492"/>
    <mergeCell ref="A493:C493"/>
    <mergeCell ref="D493:H493"/>
    <mergeCell ref="L493:P493"/>
    <mergeCell ref="Q493:S493"/>
    <mergeCell ref="L488:P488"/>
    <mergeCell ref="Q488:S488"/>
    <mergeCell ref="A489:C489"/>
    <mergeCell ref="D489:H489"/>
    <mergeCell ref="L489:P489"/>
    <mergeCell ref="Q489:S489"/>
    <mergeCell ref="A490:C490"/>
    <mergeCell ref="D490:H490"/>
    <mergeCell ref="L490:P490"/>
    <mergeCell ref="Q490:S490"/>
    <mergeCell ref="I492:K492"/>
    <mergeCell ref="I493:K493"/>
    <mergeCell ref="I490:K490"/>
    <mergeCell ref="I491:K491"/>
    <mergeCell ref="A491:C491"/>
    <mergeCell ref="D491:H491"/>
    <mergeCell ref="I488:K488"/>
    <mergeCell ref="I489:K489"/>
    <mergeCell ref="A488:C488"/>
    <mergeCell ref="D488:H488"/>
    <mergeCell ref="L485:P485"/>
    <mergeCell ref="Q485:S485"/>
    <mergeCell ref="A486:C486"/>
    <mergeCell ref="D486:H486"/>
    <mergeCell ref="L486:P486"/>
    <mergeCell ref="Q486:S486"/>
    <mergeCell ref="A487:C487"/>
    <mergeCell ref="D487:H487"/>
    <mergeCell ref="L487:P487"/>
    <mergeCell ref="Q487:S487"/>
    <mergeCell ref="L482:P482"/>
    <mergeCell ref="Q482:S482"/>
    <mergeCell ref="A483:C483"/>
    <mergeCell ref="D483:H483"/>
    <mergeCell ref="L483:P483"/>
    <mergeCell ref="Q483:S483"/>
    <mergeCell ref="A484:C484"/>
    <mergeCell ref="D484:H484"/>
    <mergeCell ref="L484:P484"/>
    <mergeCell ref="Q484:S484"/>
    <mergeCell ref="I486:K486"/>
    <mergeCell ref="I487:K487"/>
    <mergeCell ref="I484:K484"/>
    <mergeCell ref="I485:K485"/>
    <mergeCell ref="A485:C485"/>
    <mergeCell ref="D485:H485"/>
    <mergeCell ref="I482:K482"/>
    <mergeCell ref="I483:K483"/>
    <mergeCell ref="A482:C482"/>
    <mergeCell ref="D482:H482"/>
    <mergeCell ref="L479:P479"/>
    <mergeCell ref="Q479:S479"/>
    <mergeCell ref="A480:C480"/>
    <mergeCell ref="D480:H480"/>
    <mergeCell ref="L480:P480"/>
    <mergeCell ref="Q480:S480"/>
    <mergeCell ref="A481:C481"/>
    <mergeCell ref="D481:H481"/>
    <mergeCell ref="L481:P481"/>
    <mergeCell ref="Q481:S481"/>
    <mergeCell ref="L476:P476"/>
    <mergeCell ref="Q476:S476"/>
    <mergeCell ref="A477:C477"/>
    <mergeCell ref="D477:H477"/>
    <mergeCell ref="L477:P477"/>
    <mergeCell ref="Q477:S477"/>
    <mergeCell ref="A478:C478"/>
    <mergeCell ref="D478:H478"/>
    <mergeCell ref="L478:P478"/>
    <mergeCell ref="Q478:S478"/>
    <mergeCell ref="I480:K480"/>
    <mergeCell ref="I481:K481"/>
    <mergeCell ref="I478:K478"/>
    <mergeCell ref="I479:K479"/>
    <mergeCell ref="A479:C479"/>
    <mergeCell ref="D479:H479"/>
    <mergeCell ref="I476:K476"/>
    <mergeCell ref="I477:K477"/>
    <mergeCell ref="A476:C476"/>
    <mergeCell ref="D476:H476"/>
    <mergeCell ref="L473:P473"/>
    <mergeCell ref="Q473:S473"/>
    <mergeCell ref="A474:C474"/>
    <mergeCell ref="D474:H474"/>
    <mergeCell ref="L474:P474"/>
    <mergeCell ref="Q474:S474"/>
    <mergeCell ref="A475:C475"/>
    <mergeCell ref="D475:H475"/>
    <mergeCell ref="L475:P475"/>
    <mergeCell ref="Q475:S475"/>
    <mergeCell ref="L470:P470"/>
    <mergeCell ref="Q470:S470"/>
    <mergeCell ref="A471:C471"/>
    <mergeCell ref="D471:H471"/>
    <mergeCell ref="L471:P471"/>
    <mergeCell ref="Q471:S471"/>
    <mergeCell ref="A472:C472"/>
    <mergeCell ref="D472:H472"/>
    <mergeCell ref="L472:P472"/>
    <mergeCell ref="Q472:S472"/>
    <mergeCell ref="I474:K474"/>
    <mergeCell ref="I475:K475"/>
    <mergeCell ref="I472:K472"/>
    <mergeCell ref="I473:K473"/>
    <mergeCell ref="A473:C473"/>
    <mergeCell ref="D473:H473"/>
    <mergeCell ref="I470:K470"/>
    <mergeCell ref="I471:K471"/>
    <mergeCell ref="A470:C470"/>
    <mergeCell ref="D470:H470"/>
    <mergeCell ref="L467:P467"/>
    <mergeCell ref="Q467:S467"/>
    <mergeCell ref="A468:C468"/>
    <mergeCell ref="D468:H468"/>
    <mergeCell ref="L468:P468"/>
    <mergeCell ref="Q468:S468"/>
    <mergeCell ref="A469:C469"/>
    <mergeCell ref="D469:H469"/>
    <mergeCell ref="L469:P469"/>
    <mergeCell ref="Q469:S469"/>
    <mergeCell ref="L464:P464"/>
    <mergeCell ref="Q464:S464"/>
    <mergeCell ref="A465:C465"/>
    <mergeCell ref="D465:H465"/>
    <mergeCell ref="L465:P465"/>
    <mergeCell ref="Q465:S465"/>
    <mergeCell ref="A466:C466"/>
    <mergeCell ref="D466:H466"/>
    <mergeCell ref="L466:P466"/>
    <mergeCell ref="Q466:S466"/>
    <mergeCell ref="I468:K468"/>
    <mergeCell ref="I469:K469"/>
    <mergeCell ref="I466:K466"/>
    <mergeCell ref="I467:K467"/>
    <mergeCell ref="A467:C467"/>
    <mergeCell ref="D467:H467"/>
    <mergeCell ref="I464:K464"/>
    <mergeCell ref="I465:K465"/>
    <mergeCell ref="A464:C464"/>
    <mergeCell ref="D464:H464"/>
    <mergeCell ref="L461:P461"/>
    <mergeCell ref="Q461:S461"/>
    <mergeCell ref="A462:C462"/>
    <mergeCell ref="D462:H462"/>
    <mergeCell ref="L462:P462"/>
    <mergeCell ref="Q462:S462"/>
    <mergeCell ref="A463:C463"/>
    <mergeCell ref="D463:H463"/>
    <mergeCell ref="L463:P463"/>
    <mergeCell ref="Q463:S463"/>
    <mergeCell ref="L458:P458"/>
    <mergeCell ref="Q458:S458"/>
    <mergeCell ref="A459:C459"/>
    <mergeCell ref="D459:H459"/>
    <mergeCell ref="L459:P459"/>
    <mergeCell ref="Q459:S459"/>
    <mergeCell ref="A460:C460"/>
    <mergeCell ref="D460:H460"/>
    <mergeCell ref="L460:P460"/>
    <mergeCell ref="Q460:S460"/>
    <mergeCell ref="I462:K462"/>
    <mergeCell ref="I463:K463"/>
    <mergeCell ref="I460:K460"/>
    <mergeCell ref="I461:K461"/>
    <mergeCell ref="A461:C461"/>
    <mergeCell ref="D461:H461"/>
    <mergeCell ref="I458:K458"/>
    <mergeCell ref="I459:K459"/>
    <mergeCell ref="A458:C458"/>
    <mergeCell ref="D458:H458"/>
    <mergeCell ref="L455:P455"/>
    <mergeCell ref="Q455:S455"/>
    <mergeCell ref="A456:C456"/>
    <mergeCell ref="D456:H456"/>
    <mergeCell ref="L456:P456"/>
    <mergeCell ref="Q456:S456"/>
    <mergeCell ref="A457:C457"/>
    <mergeCell ref="D457:H457"/>
    <mergeCell ref="L457:P457"/>
    <mergeCell ref="Q457:S457"/>
    <mergeCell ref="L452:P452"/>
    <mergeCell ref="Q452:S452"/>
    <mergeCell ref="A453:C453"/>
    <mergeCell ref="D453:H453"/>
    <mergeCell ref="L453:P453"/>
    <mergeCell ref="Q453:S453"/>
    <mergeCell ref="A454:C454"/>
    <mergeCell ref="D454:H454"/>
    <mergeCell ref="L454:P454"/>
    <mergeCell ref="Q454:S454"/>
    <mergeCell ref="I456:K456"/>
    <mergeCell ref="I457:K457"/>
    <mergeCell ref="I454:K454"/>
    <mergeCell ref="I455:K455"/>
    <mergeCell ref="A455:C455"/>
    <mergeCell ref="D455:H455"/>
    <mergeCell ref="I452:K452"/>
    <mergeCell ref="I453:K453"/>
    <mergeCell ref="A452:C452"/>
    <mergeCell ref="D452:H452"/>
    <mergeCell ref="L449:P449"/>
    <mergeCell ref="Q449:S449"/>
    <mergeCell ref="A450:C450"/>
    <mergeCell ref="D450:H450"/>
    <mergeCell ref="L450:P450"/>
    <mergeCell ref="Q450:S450"/>
    <mergeCell ref="A451:C451"/>
    <mergeCell ref="D451:H451"/>
    <mergeCell ref="L451:P451"/>
    <mergeCell ref="Q451:S451"/>
    <mergeCell ref="L446:P446"/>
    <mergeCell ref="Q446:S446"/>
    <mergeCell ref="A447:C447"/>
    <mergeCell ref="D447:H447"/>
    <mergeCell ref="L447:P447"/>
    <mergeCell ref="Q447:S447"/>
    <mergeCell ref="A448:C448"/>
    <mergeCell ref="D448:H448"/>
    <mergeCell ref="L448:P448"/>
    <mergeCell ref="Q448:S448"/>
    <mergeCell ref="I450:K450"/>
    <mergeCell ref="I451:K451"/>
    <mergeCell ref="I448:K448"/>
    <mergeCell ref="I449:K449"/>
    <mergeCell ref="A449:C449"/>
    <mergeCell ref="D449:H449"/>
    <mergeCell ref="I446:K446"/>
    <mergeCell ref="I447:K447"/>
    <mergeCell ref="A446:C446"/>
    <mergeCell ref="D446:H446"/>
    <mergeCell ref="L443:P443"/>
    <mergeCell ref="Q443:S443"/>
    <mergeCell ref="A444:C444"/>
    <mergeCell ref="D444:H444"/>
    <mergeCell ref="L444:P444"/>
    <mergeCell ref="Q444:S444"/>
    <mergeCell ref="A445:C445"/>
    <mergeCell ref="D445:H445"/>
    <mergeCell ref="L445:P445"/>
    <mergeCell ref="Q445:S445"/>
    <mergeCell ref="L440:P440"/>
    <mergeCell ref="Q440:S440"/>
    <mergeCell ref="A441:C441"/>
    <mergeCell ref="D441:H441"/>
    <mergeCell ref="L441:P441"/>
    <mergeCell ref="Q441:S441"/>
    <mergeCell ref="A442:C442"/>
    <mergeCell ref="D442:H442"/>
    <mergeCell ref="L442:P442"/>
    <mergeCell ref="Q442:S442"/>
    <mergeCell ref="I444:K444"/>
    <mergeCell ref="I445:K445"/>
    <mergeCell ref="I442:K442"/>
    <mergeCell ref="I443:K443"/>
    <mergeCell ref="A443:C443"/>
    <mergeCell ref="D443:H443"/>
    <mergeCell ref="I440:K440"/>
    <mergeCell ref="I441:K441"/>
    <mergeCell ref="A440:C440"/>
    <mergeCell ref="D440:H440"/>
    <mergeCell ref="L437:P437"/>
    <mergeCell ref="Q437:S437"/>
    <mergeCell ref="A438:C438"/>
    <mergeCell ref="D438:H438"/>
    <mergeCell ref="L438:P438"/>
    <mergeCell ref="Q438:S438"/>
    <mergeCell ref="A439:C439"/>
    <mergeCell ref="D439:H439"/>
    <mergeCell ref="L439:P439"/>
    <mergeCell ref="Q439:S439"/>
    <mergeCell ref="A434:C434"/>
    <mergeCell ref="D434:H434"/>
    <mergeCell ref="L434:P434"/>
    <mergeCell ref="Q434:S434"/>
    <mergeCell ref="A435:C435"/>
    <mergeCell ref="D435:H435"/>
    <mergeCell ref="L435:P435"/>
    <mergeCell ref="Q435:S435"/>
    <mergeCell ref="A436:C436"/>
    <mergeCell ref="D436:H436"/>
    <mergeCell ref="L436:P436"/>
    <mergeCell ref="Q436:S436"/>
    <mergeCell ref="I438:K438"/>
    <mergeCell ref="I439:K439"/>
    <mergeCell ref="I436:K436"/>
    <mergeCell ref="I437:K437"/>
    <mergeCell ref="A437:C437"/>
    <mergeCell ref="D437:H437"/>
    <mergeCell ref="I434:K434"/>
    <mergeCell ref="I435:K435"/>
    <mergeCell ref="L425:P425"/>
    <mergeCell ref="Q422:S422"/>
    <mergeCell ref="A431:C431"/>
    <mergeCell ref="D431:H431"/>
    <mergeCell ref="L431:P431"/>
    <mergeCell ref="Q431:S431"/>
    <mergeCell ref="A432:C432"/>
    <mergeCell ref="D432:H432"/>
    <mergeCell ref="L432:P432"/>
    <mergeCell ref="Q432:S432"/>
    <mergeCell ref="A433:C433"/>
    <mergeCell ref="D433:H433"/>
    <mergeCell ref="L433:P433"/>
    <mergeCell ref="Q433:S433"/>
    <mergeCell ref="D428:H428"/>
    <mergeCell ref="L428:P428"/>
    <mergeCell ref="Q428:S428"/>
    <mergeCell ref="A429:C429"/>
    <mergeCell ref="D429:H429"/>
    <mergeCell ref="L429:P429"/>
    <mergeCell ref="Q429:S429"/>
    <mergeCell ref="A430:C430"/>
    <mergeCell ref="D430:H430"/>
    <mergeCell ref="L430:P430"/>
    <mergeCell ref="Q430:S430"/>
    <mergeCell ref="I428:K428"/>
    <mergeCell ref="I429:K429"/>
    <mergeCell ref="I430:K430"/>
    <mergeCell ref="I431:K431"/>
    <mergeCell ref="I432:K432"/>
    <mergeCell ref="I433:K433"/>
    <mergeCell ref="A428:C428"/>
    <mergeCell ref="A623:P623"/>
    <mergeCell ref="I383:K383"/>
    <mergeCell ref="I384:K384"/>
    <mergeCell ref="A415:B415"/>
    <mergeCell ref="A417:B417"/>
    <mergeCell ref="A419:B419"/>
    <mergeCell ref="I386:K386"/>
    <mergeCell ref="I385:K385"/>
    <mergeCell ref="Q425:S425"/>
    <mergeCell ref="A426:C426"/>
    <mergeCell ref="D426:H426"/>
    <mergeCell ref="L426:P426"/>
    <mergeCell ref="Q426:S426"/>
    <mergeCell ref="A427:C427"/>
    <mergeCell ref="D427:H427"/>
    <mergeCell ref="L427:P427"/>
    <mergeCell ref="Q427:S427"/>
    <mergeCell ref="L422:P422"/>
    <mergeCell ref="D422:H422"/>
    <mergeCell ref="A422:C422"/>
    <mergeCell ref="I422:K422"/>
    <mergeCell ref="D423:H423"/>
    <mergeCell ref="A423:C423"/>
    <mergeCell ref="I423:K423"/>
    <mergeCell ref="L423:P423"/>
    <mergeCell ref="A424:C424"/>
    <mergeCell ref="D424:H424"/>
    <mergeCell ref="L424:P424"/>
    <mergeCell ref="A425:C425"/>
    <mergeCell ref="D425:H425"/>
    <mergeCell ref="Q423:S423"/>
    <mergeCell ref="I424:K424"/>
    <mergeCell ref="O209:AA209"/>
    <mergeCell ref="P256:AA256"/>
    <mergeCell ref="O210:O212"/>
    <mergeCell ref="L155:M155"/>
    <mergeCell ref="N155:O155"/>
    <mergeCell ref="F310:G310"/>
    <mergeCell ref="C344:F344"/>
    <mergeCell ref="I344:M344"/>
    <mergeCell ref="G336:H336"/>
    <mergeCell ref="M49:N49"/>
    <mergeCell ref="O33:P33"/>
    <mergeCell ref="Q33:R33"/>
    <mergeCell ref="S33:T33"/>
    <mergeCell ref="I622:K622"/>
    <mergeCell ref="I620:K620"/>
    <mergeCell ref="I621:K621"/>
    <mergeCell ref="A620:C620"/>
    <mergeCell ref="D620:H620"/>
    <mergeCell ref="I618:K618"/>
    <mergeCell ref="I619:K619"/>
    <mergeCell ref="I616:K616"/>
    <mergeCell ref="I617:K617"/>
    <mergeCell ref="A617:C617"/>
    <mergeCell ref="D617:H617"/>
    <mergeCell ref="I614:K614"/>
    <mergeCell ref="I615:K615"/>
    <mergeCell ref="A614:C614"/>
    <mergeCell ref="D614:H614"/>
    <mergeCell ref="I425:K425"/>
    <mergeCell ref="I426:K426"/>
    <mergeCell ref="I427:K427"/>
    <mergeCell ref="Q424:S424"/>
    <mergeCell ref="AD15:AE15"/>
    <mergeCell ref="M35:N35"/>
    <mergeCell ref="M36:N36"/>
    <mergeCell ref="S210:U210"/>
    <mergeCell ref="V210:X210"/>
    <mergeCell ref="Y210:AA210"/>
    <mergeCell ref="P212:AA212"/>
    <mergeCell ref="P225:AA225"/>
    <mergeCell ref="O241:O243"/>
    <mergeCell ref="P241:R241"/>
    <mergeCell ref="S241:U241"/>
    <mergeCell ref="V241:X241"/>
    <mergeCell ref="Y241:AA241"/>
    <mergeCell ref="P243:AA243"/>
    <mergeCell ref="M47:N47"/>
    <mergeCell ref="M48:N48"/>
    <mergeCell ref="AD21:AE21"/>
    <mergeCell ref="AD27:AE27"/>
    <mergeCell ref="M44:N44"/>
    <mergeCell ref="U33:V33"/>
    <mergeCell ref="M50:N50"/>
    <mergeCell ref="M37:N37"/>
    <mergeCell ref="M38:N38"/>
    <mergeCell ref="M39:N39"/>
    <mergeCell ref="M40:N40"/>
    <mergeCell ref="M41:N41"/>
    <mergeCell ref="M42:N42"/>
    <mergeCell ref="M43:N43"/>
    <mergeCell ref="M45:N45"/>
    <mergeCell ref="M46:N46"/>
    <mergeCell ref="M33:N34"/>
    <mergeCell ref="P210:R210"/>
    <mergeCell ref="AL155:AM155"/>
    <mergeCell ref="AN155:AO155"/>
    <mergeCell ref="AP155:AQ155"/>
    <mergeCell ref="A198:B198"/>
    <mergeCell ref="A194:B194"/>
    <mergeCell ref="A195:B195"/>
    <mergeCell ref="A196:B196"/>
    <mergeCell ref="A197:B197"/>
    <mergeCell ref="P155:Q155"/>
    <mergeCell ref="R155:S155"/>
    <mergeCell ref="T155:U155"/>
    <mergeCell ref="V155:W155"/>
    <mergeCell ref="X155:Y155"/>
    <mergeCell ref="Z155:AA155"/>
    <mergeCell ref="AB155:AC155"/>
    <mergeCell ref="AD155:AE155"/>
    <mergeCell ref="A191:B191"/>
    <mergeCell ref="H155:I155"/>
    <mergeCell ref="J155:K155"/>
    <mergeCell ref="C192:E192"/>
    <mergeCell ref="F192:G192"/>
    <mergeCell ref="AR155:AS155"/>
    <mergeCell ref="B154:I154"/>
    <mergeCell ref="V154:AA154"/>
    <mergeCell ref="AB154:AG154"/>
    <mergeCell ref="AH154:AK154"/>
    <mergeCell ref="AL154:AS154"/>
    <mergeCell ref="A420:B420"/>
    <mergeCell ref="H421:K421"/>
    <mergeCell ref="A414:B414"/>
    <mergeCell ref="A416:B416"/>
    <mergeCell ref="A412:B412"/>
    <mergeCell ref="A413:B413"/>
    <mergeCell ref="A406:B407"/>
    <mergeCell ref="D365:E365"/>
    <mergeCell ref="K365:M365"/>
    <mergeCell ref="D360:E360"/>
    <mergeCell ref="K360:M360"/>
    <mergeCell ref="D361:E361"/>
    <mergeCell ref="AF155:AG155"/>
    <mergeCell ref="AH155:AI155"/>
    <mergeCell ref="AJ155:AK155"/>
    <mergeCell ref="K355:M355"/>
    <mergeCell ref="D356:E356"/>
    <mergeCell ref="K356:M356"/>
    <mergeCell ref="D351:E352"/>
    <mergeCell ref="F351:M351"/>
    <mergeCell ref="K352:M352"/>
    <mergeCell ref="D353:E353"/>
    <mergeCell ref="K353:M353"/>
    <mergeCell ref="F307:G307"/>
    <mergeCell ref="F308:G308"/>
    <mergeCell ref="F309:G309"/>
    <mergeCell ref="F333:G333"/>
    <mergeCell ref="I333:J333"/>
    <mergeCell ref="K333:M333"/>
    <mergeCell ref="C327:D329"/>
    <mergeCell ref="E327:E329"/>
    <mergeCell ref="F327:G329"/>
    <mergeCell ref="H327:H329"/>
    <mergeCell ref="C346:F346"/>
    <mergeCell ref="C375:D375"/>
    <mergeCell ref="E375:F375"/>
    <mergeCell ref="H375:I375"/>
    <mergeCell ref="J375:K375"/>
    <mergeCell ref="H377:I377"/>
    <mergeCell ref="H376:I376"/>
    <mergeCell ref="F381:G381"/>
    <mergeCell ref="B381:E382"/>
    <mergeCell ref="D357:E357"/>
    <mergeCell ref="K357:M357"/>
    <mergeCell ref="D358:E358"/>
    <mergeCell ref="K358:M358"/>
    <mergeCell ref="D359:E359"/>
    <mergeCell ref="K359:M359"/>
    <mergeCell ref="B357:C357"/>
    <mergeCell ref="B358:C358"/>
    <mergeCell ref="B359:C359"/>
    <mergeCell ref="B360:C360"/>
    <mergeCell ref="B363:C363"/>
    <mergeCell ref="B364:C364"/>
    <mergeCell ref="B365:C365"/>
    <mergeCell ref="B366:C366"/>
    <mergeCell ref="B361:C361"/>
    <mergeCell ref="D366:E366"/>
    <mergeCell ref="A418:B418"/>
    <mergeCell ref="A409:B409"/>
    <mergeCell ref="A411:B411"/>
    <mergeCell ref="C406:E406"/>
    <mergeCell ref="A381:A382"/>
    <mergeCell ref="B383:E383"/>
    <mergeCell ref="B384:E384"/>
    <mergeCell ref="B385:E385"/>
    <mergeCell ref="B386:E386"/>
    <mergeCell ref="D354:E354"/>
    <mergeCell ref="K354:M354"/>
    <mergeCell ref="D355:E355"/>
    <mergeCell ref="B355:C355"/>
    <mergeCell ref="B356:C356"/>
    <mergeCell ref="B351:C352"/>
    <mergeCell ref="B353:C353"/>
    <mergeCell ref="H381:H382"/>
    <mergeCell ref="I381:K382"/>
    <mergeCell ref="B362:C362"/>
    <mergeCell ref="K366:M366"/>
    <mergeCell ref="D363:E363"/>
    <mergeCell ref="D362:E362"/>
    <mergeCell ref="K362:M362"/>
    <mergeCell ref="B354:C354"/>
    <mergeCell ref="K363:M363"/>
    <mergeCell ref="D364:E364"/>
    <mergeCell ref="K364:M364"/>
    <mergeCell ref="K361:M361"/>
    <mergeCell ref="D83:F83"/>
    <mergeCell ref="A84:B84"/>
    <mergeCell ref="D84:F84"/>
    <mergeCell ref="A33:A34"/>
    <mergeCell ref="B33:C33"/>
    <mergeCell ref="D33:E33"/>
    <mergeCell ref="F33:G33"/>
    <mergeCell ref="H33:I33"/>
    <mergeCell ref="J33:K33"/>
    <mergeCell ref="A90:E90"/>
    <mergeCell ref="B52:K52"/>
    <mergeCell ref="A81:B81"/>
    <mergeCell ref="K330:M330"/>
    <mergeCell ref="F314:G314"/>
    <mergeCell ref="F315:G315"/>
    <mergeCell ref="F317:G317"/>
    <mergeCell ref="F318:G318"/>
    <mergeCell ref="M317:N317"/>
    <mergeCell ref="M308:N308"/>
    <mergeCell ref="M309:N309"/>
    <mergeCell ref="M310:N310"/>
    <mergeCell ref="H278:K278"/>
    <mergeCell ref="C330:D330"/>
    <mergeCell ref="F330:G330"/>
    <mergeCell ref="I330:J330"/>
    <mergeCell ref="I109:K109"/>
    <mergeCell ref="K210:M210"/>
    <mergeCell ref="L33:L34"/>
    <mergeCell ref="A118:D118"/>
    <mergeCell ref="A119:D119"/>
    <mergeCell ref="A120:D120"/>
    <mergeCell ref="A121:D121"/>
    <mergeCell ref="F332:G332"/>
    <mergeCell ref="I332:J332"/>
    <mergeCell ref="I115:K115"/>
    <mergeCell ref="I116:K116"/>
    <mergeCell ref="I117:K117"/>
    <mergeCell ref="I118:K118"/>
    <mergeCell ref="I119:K119"/>
    <mergeCell ref="I120:K120"/>
    <mergeCell ref="I121:K121"/>
    <mergeCell ref="I122:K122"/>
    <mergeCell ref="I123:K123"/>
    <mergeCell ref="I124:K124"/>
    <mergeCell ref="I125:K125"/>
    <mergeCell ref="I126:K126"/>
    <mergeCell ref="I127:K127"/>
    <mergeCell ref="I128:K128"/>
    <mergeCell ref="I129:K129"/>
    <mergeCell ref="I130:K130"/>
    <mergeCell ref="I131:K131"/>
    <mergeCell ref="I132:K132"/>
    <mergeCell ref="I133:K133"/>
    <mergeCell ref="I134:K134"/>
    <mergeCell ref="I346:M346"/>
    <mergeCell ref="C339:F339"/>
    <mergeCell ref="G339:H339"/>
    <mergeCell ref="I339:J339"/>
    <mergeCell ref="K339:M339"/>
    <mergeCell ref="C340:F340"/>
    <mergeCell ref="G340:H340"/>
    <mergeCell ref="I340:J340"/>
    <mergeCell ref="K340:M340"/>
    <mergeCell ref="I343:M343"/>
    <mergeCell ref="C331:D331"/>
    <mergeCell ref="F331:G331"/>
    <mergeCell ref="I331:J331"/>
    <mergeCell ref="K331:M331"/>
    <mergeCell ref="C332:D332"/>
    <mergeCell ref="F316:G316"/>
    <mergeCell ref="K332:M332"/>
    <mergeCell ref="C333:D333"/>
    <mergeCell ref="I336:J336"/>
    <mergeCell ref="K336:M336"/>
    <mergeCell ref="G337:H337"/>
    <mergeCell ref="I337:J337"/>
    <mergeCell ref="K337:M337"/>
    <mergeCell ref="C338:F338"/>
    <mergeCell ref="G338:H338"/>
    <mergeCell ref="I338:J338"/>
    <mergeCell ref="K338:M338"/>
    <mergeCell ref="C345:F345"/>
    <mergeCell ref="I345:M345"/>
    <mergeCell ref="I327:J329"/>
    <mergeCell ref="K327:M329"/>
    <mergeCell ref="M318:N318"/>
    <mergeCell ref="A106:F106"/>
    <mergeCell ref="G106:H106"/>
    <mergeCell ref="A103:F103"/>
    <mergeCell ref="G103:H103"/>
    <mergeCell ref="A104:F104"/>
    <mergeCell ref="G104:H104"/>
    <mergeCell ref="A105:F105"/>
    <mergeCell ref="G105:H105"/>
    <mergeCell ref="I110:K110"/>
    <mergeCell ref="H15:I15"/>
    <mergeCell ref="J15:K15"/>
    <mergeCell ref="D81:F81"/>
    <mergeCell ref="D78:F78"/>
    <mergeCell ref="A79:B79"/>
    <mergeCell ref="D79:F79"/>
    <mergeCell ref="A80:B80"/>
    <mergeCell ref="B21:C21"/>
    <mergeCell ref="D21:E21"/>
    <mergeCell ref="F21:G21"/>
    <mergeCell ref="H21:I21"/>
    <mergeCell ref="J21:K21"/>
    <mergeCell ref="B27:C27"/>
    <mergeCell ref="D27:E27"/>
    <mergeCell ref="F27:G27"/>
    <mergeCell ref="H27:I27"/>
    <mergeCell ref="J27:K27"/>
    <mergeCell ref="D80:F80"/>
    <mergeCell ref="A85:B85"/>
    <mergeCell ref="D85:F85"/>
    <mergeCell ref="A82:B82"/>
    <mergeCell ref="D82:F82"/>
    <mergeCell ref="A83:B83"/>
    <mergeCell ref="A9:B9"/>
    <mergeCell ref="C9:K9"/>
    <mergeCell ref="A10:B10"/>
    <mergeCell ref="C10:K10"/>
    <mergeCell ref="A13:B13"/>
    <mergeCell ref="C13:H13"/>
    <mergeCell ref="A91:E91"/>
    <mergeCell ref="A88:E89"/>
    <mergeCell ref="F88:F89"/>
    <mergeCell ref="A100:F100"/>
    <mergeCell ref="G100:H100"/>
    <mergeCell ref="A101:F101"/>
    <mergeCell ref="G101:H101"/>
    <mergeCell ref="A102:F102"/>
    <mergeCell ref="G102:H102"/>
    <mergeCell ref="A92:E92"/>
    <mergeCell ref="A93:E93"/>
    <mergeCell ref="A94:E94"/>
    <mergeCell ref="A95:E95"/>
    <mergeCell ref="A96:E96"/>
    <mergeCell ref="A97:E97"/>
    <mergeCell ref="H92:O94"/>
    <mergeCell ref="M9:O9"/>
    <mergeCell ref="A52:A53"/>
    <mergeCell ref="A71:A75"/>
    <mergeCell ref="A77:K77"/>
    <mergeCell ref="A78:B78"/>
    <mergeCell ref="A11:B11"/>
    <mergeCell ref="A12:B12"/>
    <mergeCell ref="B15:C15"/>
    <mergeCell ref="D15:E15"/>
    <mergeCell ref="F15:G15"/>
    <mergeCell ref="A137:B137"/>
    <mergeCell ref="D137:E137"/>
    <mergeCell ref="G137:K137"/>
    <mergeCell ref="A138:B138"/>
    <mergeCell ref="D138:E138"/>
    <mergeCell ref="G138:K138"/>
    <mergeCell ref="I135:K135"/>
    <mergeCell ref="I136:K136"/>
    <mergeCell ref="A141:B141"/>
    <mergeCell ref="D141:E141"/>
    <mergeCell ref="G141:K141"/>
    <mergeCell ref="A142:B142"/>
    <mergeCell ref="D142:E142"/>
    <mergeCell ref="G142:K142"/>
    <mergeCell ref="A139:B139"/>
    <mergeCell ref="D139:E139"/>
    <mergeCell ref="G139:K139"/>
    <mergeCell ref="A140:B140"/>
    <mergeCell ref="D140:E140"/>
    <mergeCell ref="G140:K140"/>
    <mergeCell ref="A135:D135"/>
    <mergeCell ref="A136:D136"/>
    <mergeCell ref="A203:B203"/>
    <mergeCell ref="A204:B204"/>
    <mergeCell ref="C199:E199"/>
    <mergeCell ref="F199:G199"/>
    <mergeCell ref="A201:B201"/>
    <mergeCell ref="A202:B202"/>
    <mergeCell ref="A145:B145"/>
    <mergeCell ref="D145:E145"/>
    <mergeCell ref="G145:K145"/>
    <mergeCell ref="A146:B146"/>
    <mergeCell ref="D146:E146"/>
    <mergeCell ref="G146:K146"/>
    <mergeCell ref="A143:B143"/>
    <mergeCell ref="D143:E143"/>
    <mergeCell ref="G143:K143"/>
    <mergeCell ref="A144:B144"/>
    <mergeCell ref="D144:E144"/>
    <mergeCell ref="G144:K144"/>
    <mergeCell ref="A149:B149"/>
    <mergeCell ref="D149:E149"/>
    <mergeCell ref="G149:K149"/>
    <mergeCell ref="A150:B150"/>
    <mergeCell ref="D150:E150"/>
    <mergeCell ref="G150:K150"/>
    <mergeCell ref="A147:B147"/>
    <mergeCell ref="D147:E147"/>
    <mergeCell ref="G147:K147"/>
    <mergeCell ref="A148:B148"/>
    <mergeCell ref="D148:E148"/>
    <mergeCell ref="G148:K148"/>
    <mergeCell ref="A192:B193"/>
    <mergeCell ref="C274:E274"/>
    <mergeCell ref="F274:K274"/>
    <mergeCell ref="H275:K275"/>
    <mergeCell ref="A274:B275"/>
    <mergeCell ref="A199:B200"/>
    <mergeCell ref="H276:K276"/>
    <mergeCell ref="A163:A165"/>
    <mergeCell ref="B163:G163"/>
    <mergeCell ref="B164:C164"/>
    <mergeCell ref="D164:E164"/>
    <mergeCell ref="F164:G164"/>
    <mergeCell ref="A241:A243"/>
    <mergeCell ref="B241:D241"/>
    <mergeCell ref="H284:K284"/>
    <mergeCell ref="A285:B285"/>
    <mergeCell ref="H285:K285"/>
    <mergeCell ref="H277:K277"/>
    <mergeCell ref="A278:B278"/>
    <mergeCell ref="A240:J240"/>
    <mergeCell ref="A209:J209"/>
    <mergeCell ref="B212:J212"/>
    <mergeCell ref="B225:J225"/>
    <mergeCell ref="B243:J243"/>
    <mergeCell ref="B256:J256"/>
    <mergeCell ref="K241:M241"/>
    <mergeCell ref="A205:B205"/>
    <mergeCell ref="A210:A212"/>
    <mergeCell ref="B210:D210"/>
    <mergeCell ref="E210:G210"/>
    <mergeCell ref="H210:J210"/>
    <mergeCell ref="E241:G241"/>
    <mergeCell ref="H241:J241"/>
    <mergeCell ref="P9:T9"/>
    <mergeCell ref="M10:O10"/>
    <mergeCell ref="P10:T10"/>
    <mergeCell ref="D3:E3"/>
    <mergeCell ref="B3:C3"/>
    <mergeCell ref="H300:K300"/>
    <mergeCell ref="H295:K295"/>
    <mergeCell ref="A296:B296"/>
    <mergeCell ref="H296:K296"/>
    <mergeCell ref="A297:B297"/>
    <mergeCell ref="H297:K297"/>
    <mergeCell ref="H298:K298"/>
    <mergeCell ref="A299:B299"/>
    <mergeCell ref="H299:K299"/>
    <mergeCell ref="H289:K289"/>
    <mergeCell ref="A279:B279"/>
    <mergeCell ref="H279:K279"/>
    <mergeCell ref="A280:B280"/>
    <mergeCell ref="H280:K280"/>
    <mergeCell ref="H281:K281"/>
    <mergeCell ref="A282:B282"/>
    <mergeCell ref="H282:K282"/>
    <mergeCell ref="H283:K283"/>
    <mergeCell ref="L21:M21"/>
    <mergeCell ref="N21:O21"/>
    <mergeCell ref="P21:Q21"/>
    <mergeCell ref="R21:S21"/>
    <mergeCell ref="T21:U21"/>
    <mergeCell ref="A185:B186"/>
    <mergeCell ref="C185:E185"/>
    <mergeCell ref="F185:G185"/>
    <mergeCell ref="A190:B190"/>
    <mergeCell ref="J1:K1"/>
    <mergeCell ref="H1:I1"/>
    <mergeCell ref="C8:K8"/>
    <mergeCell ref="F1:G1"/>
    <mergeCell ref="D1:E1"/>
    <mergeCell ref="B1:C1"/>
    <mergeCell ref="P3:Q3"/>
    <mergeCell ref="N3:O3"/>
    <mergeCell ref="L3:M3"/>
    <mergeCell ref="J3:K3"/>
    <mergeCell ref="H3:I3"/>
    <mergeCell ref="F3:G3"/>
    <mergeCell ref="H6:I6"/>
    <mergeCell ref="M5:T5"/>
    <mergeCell ref="P6:T6"/>
    <mergeCell ref="M6:O6"/>
    <mergeCell ref="M7:O7"/>
    <mergeCell ref="P7:T7"/>
    <mergeCell ref="M8:O8"/>
    <mergeCell ref="P8:T8"/>
    <mergeCell ref="P1:Q1"/>
    <mergeCell ref="N1:O1"/>
    <mergeCell ref="L1:M1"/>
    <mergeCell ref="C6:D6"/>
    <mergeCell ref="E6:G6"/>
    <mergeCell ref="T1:AW3"/>
    <mergeCell ref="A5:B5"/>
    <mergeCell ref="C5:K5"/>
    <mergeCell ref="A6:B6"/>
    <mergeCell ref="A7:B7"/>
    <mergeCell ref="C7:K7"/>
    <mergeCell ref="A8:B8"/>
    <mergeCell ref="X15:Y15"/>
    <mergeCell ref="Z15:AA15"/>
    <mergeCell ref="AB15:AC15"/>
    <mergeCell ref="G11:H11"/>
    <mergeCell ref="E11:F11"/>
    <mergeCell ref="C11:D11"/>
    <mergeCell ref="G12:H12"/>
    <mergeCell ref="E12:F12"/>
    <mergeCell ref="C12:D12"/>
    <mergeCell ref="M11:O11"/>
    <mergeCell ref="P11:T11"/>
    <mergeCell ref="L15:M15"/>
    <mergeCell ref="N15:O15"/>
    <mergeCell ref="P15:Q15"/>
    <mergeCell ref="R15:S15"/>
    <mergeCell ref="T15:U15"/>
    <mergeCell ref="V15:W15"/>
    <mergeCell ref="V21:W21"/>
    <mergeCell ref="X21:Y21"/>
    <mergeCell ref="Z21:AA21"/>
    <mergeCell ref="AB21:AC21"/>
    <mergeCell ref="L27:M27"/>
    <mergeCell ref="N27:O27"/>
    <mergeCell ref="P27:Q27"/>
    <mergeCell ref="R27:S27"/>
    <mergeCell ref="T27:U27"/>
    <mergeCell ref="V27:W27"/>
    <mergeCell ref="X27:Y27"/>
    <mergeCell ref="Z27:AA27"/>
    <mergeCell ref="AB27:AC27"/>
    <mergeCell ref="O240:AA240"/>
    <mergeCell ref="B304:G304"/>
    <mergeCell ref="I304:N304"/>
    <mergeCell ref="M305:N305"/>
    <mergeCell ref="A286:B286"/>
    <mergeCell ref="A277:B277"/>
    <mergeCell ref="A284:B284"/>
    <mergeCell ref="H286:K286"/>
    <mergeCell ref="A287:B287"/>
    <mergeCell ref="H287:K287"/>
    <mergeCell ref="A187:B187"/>
    <mergeCell ref="A288:B288"/>
    <mergeCell ref="H288:K288"/>
    <mergeCell ref="A153:A156"/>
    <mergeCell ref="B155:C155"/>
    <mergeCell ref="D155:E155"/>
    <mergeCell ref="F155:G155"/>
    <mergeCell ref="A188:B188"/>
    <mergeCell ref="A189:B189"/>
    <mergeCell ref="T324:U324"/>
    <mergeCell ref="T325:U325"/>
    <mergeCell ref="M306:N306"/>
    <mergeCell ref="M307:N307"/>
    <mergeCell ref="P304:U304"/>
    <mergeCell ref="T305:U305"/>
    <mergeCell ref="T306:U306"/>
    <mergeCell ref="T307:U307"/>
    <mergeCell ref="A290:B290"/>
    <mergeCell ref="H290:K290"/>
    <mergeCell ref="A291:B291"/>
    <mergeCell ref="H291:K291"/>
    <mergeCell ref="A292:B292"/>
    <mergeCell ref="H292:K292"/>
    <mergeCell ref="A293:B293"/>
    <mergeCell ref="H293:K293"/>
    <mergeCell ref="A294:B294"/>
    <mergeCell ref="H294:K294"/>
    <mergeCell ref="A300:B300"/>
    <mergeCell ref="M311:N311"/>
    <mergeCell ref="M312:N312"/>
    <mergeCell ref="M313:N313"/>
    <mergeCell ref="M314:N314"/>
    <mergeCell ref="M315:N315"/>
    <mergeCell ref="M316:N316"/>
    <mergeCell ref="T308:U308"/>
    <mergeCell ref="T309:U309"/>
    <mergeCell ref="F305:G305"/>
    <mergeCell ref="F306:G306"/>
    <mergeCell ref="F311:G311"/>
    <mergeCell ref="F312:G312"/>
    <mergeCell ref="F313:G313"/>
    <mergeCell ref="AB362:AC362"/>
    <mergeCell ref="T310:U310"/>
    <mergeCell ref="T311:U311"/>
    <mergeCell ref="T312:U312"/>
    <mergeCell ref="T313:U313"/>
    <mergeCell ref="T314:U314"/>
    <mergeCell ref="T315:U315"/>
    <mergeCell ref="T316:U316"/>
    <mergeCell ref="T317:U317"/>
    <mergeCell ref="T318:U318"/>
    <mergeCell ref="AB359:AC359"/>
    <mergeCell ref="P359:Q359"/>
    <mergeCell ref="W359:Y359"/>
    <mergeCell ref="P360:Q360"/>
    <mergeCell ref="W360:Y360"/>
    <mergeCell ref="P361:Q361"/>
    <mergeCell ref="W361:Y361"/>
    <mergeCell ref="P362:Q362"/>
    <mergeCell ref="W362:Y362"/>
    <mergeCell ref="T340:U340"/>
    <mergeCell ref="T341:U341"/>
    <mergeCell ref="P356:Q356"/>
    <mergeCell ref="W356:Y356"/>
    <mergeCell ref="P357:Q357"/>
    <mergeCell ref="W357:Y357"/>
    <mergeCell ref="P358:Q358"/>
    <mergeCell ref="W358:Y358"/>
    <mergeCell ref="T319:U319"/>
    <mergeCell ref="T320:U320"/>
    <mergeCell ref="T321:U321"/>
    <mergeCell ref="T322:U322"/>
    <mergeCell ref="T323:U323"/>
    <mergeCell ref="T339:U339"/>
    <mergeCell ref="AI360:AK360"/>
    <mergeCell ref="T342:U342"/>
    <mergeCell ref="T343:U343"/>
    <mergeCell ref="T344:U344"/>
    <mergeCell ref="T345:U345"/>
    <mergeCell ref="T346:U346"/>
    <mergeCell ref="T347:U347"/>
    <mergeCell ref="T348:U348"/>
    <mergeCell ref="T349:U349"/>
    <mergeCell ref="P365:Q365"/>
    <mergeCell ref="W365:Y365"/>
    <mergeCell ref="P366:Q366"/>
    <mergeCell ref="W366:Y366"/>
    <mergeCell ref="AA350:AK350"/>
    <mergeCell ref="AA351:AA352"/>
    <mergeCell ref="AB351:AC352"/>
    <mergeCell ref="AD351:AK351"/>
    <mergeCell ref="AI352:AK352"/>
    <mergeCell ref="AB353:AC353"/>
    <mergeCell ref="AI353:AK353"/>
    <mergeCell ref="AB354:AC354"/>
    <mergeCell ref="AI354:AK354"/>
    <mergeCell ref="AB355:AC355"/>
    <mergeCell ref="AI355:AK355"/>
    <mergeCell ref="AB356:AC356"/>
    <mergeCell ref="AI356:AK356"/>
    <mergeCell ref="AB357:AC357"/>
    <mergeCell ref="AI357:AK357"/>
    <mergeCell ref="AB358:AC358"/>
    <mergeCell ref="AB361:AC361"/>
    <mergeCell ref="AI361:AK361"/>
    <mergeCell ref="P364:Q364"/>
    <mergeCell ref="AI362:AK362"/>
    <mergeCell ref="AB363:AC363"/>
    <mergeCell ref="AI363:AK363"/>
    <mergeCell ref="AB360:AC360"/>
    <mergeCell ref="P363:Q363"/>
    <mergeCell ref="W363:Y363"/>
    <mergeCell ref="P354:Q354"/>
    <mergeCell ref="W354:Y354"/>
    <mergeCell ref="P355:Q355"/>
    <mergeCell ref="T326:U326"/>
    <mergeCell ref="T327:U327"/>
    <mergeCell ref="T328:U328"/>
    <mergeCell ref="T329:U329"/>
    <mergeCell ref="T330:U330"/>
    <mergeCell ref="T331:U331"/>
    <mergeCell ref="T332:U332"/>
    <mergeCell ref="T333:U333"/>
    <mergeCell ref="T334:U334"/>
    <mergeCell ref="AI359:AK359"/>
    <mergeCell ref="W355:Y355"/>
    <mergeCell ref="O350:Y350"/>
    <mergeCell ref="O351:O352"/>
    <mergeCell ref="P351:Q352"/>
    <mergeCell ref="R351:Y351"/>
    <mergeCell ref="W352:Y352"/>
    <mergeCell ref="P353:Q353"/>
    <mergeCell ref="W353:Y353"/>
    <mergeCell ref="T335:U335"/>
    <mergeCell ref="T336:U336"/>
    <mergeCell ref="T337:U337"/>
    <mergeCell ref="T338:U338"/>
    <mergeCell ref="W364:Y364"/>
    <mergeCell ref="AI358:AK358"/>
    <mergeCell ref="I393:K393"/>
    <mergeCell ref="I394:K394"/>
    <mergeCell ref="I395:K395"/>
    <mergeCell ref="I396:K396"/>
    <mergeCell ref="I397:K397"/>
    <mergeCell ref="B396:E396"/>
    <mergeCell ref="B397:E397"/>
    <mergeCell ref="AB364:AC364"/>
    <mergeCell ref="AI364:AK364"/>
    <mergeCell ref="AB365:AC365"/>
    <mergeCell ref="AI365:AK365"/>
    <mergeCell ref="AB366:AC366"/>
    <mergeCell ref="AI366:AK366"/>
    <mergeCell ref="AB367:AC367"/>
    <mergeCell ref="AI367:AK367"/>
    <mergeCell ref="I387:K387"/>
    <mergeCell ref="I388:K388"/>
    <mergeCell ref="I389:K389"/>
    <mergeCell ref="I390:K390"/>
    <mergeCell ref="I391:K391"/>
    <mergeCell ref="I392:K392"/>
    <mergeCell ref="B387:E387"/>
    <mergeCell ref="B388:E388"/>
    <mergeCell ref="B389:E389"/>
    <mergeCell ref="B390:E390"/>
    <mergeCell ref="B391:E391"/>
    <mergeCell ref="B392:E392"/>
    <mergeCell ref="B393:E393"/>
    <mergeCell ref="B394:E394"/>
    <mergeCell ref="B395:E395"/>
  </mergeCells>
  <conditionalFormatting sqref="C205:G205">
    <cfRule type="cellIs" dxfId="68" priority="69" operator="equal">
      <formula>0</formula>
    </cfRule>
  </conditionalFormatting>
  <conditionalFormatting sqref="C198:G198">
    <cfRule type="cellIs" dxfId="67" priority="68" operator="equal">
      <formula>0</formula>
    </cfRule>
  </conditionalFormatting>
  <conditionalFormatting sqref="C191:G191">
    <cfRule type="cellIs" dxfId="66" priority="67" operator="equal">
      <formula>0</formula>
    </cfRule>
  </conditionalFormatting>
  <dataValidations xWindow="744" yWindow="543" count="90">
    <dataValidation type="list" allowBlank="1" showInputMessage="1" showErrorMessage="1" sqref="F137:F150">
      <formula1>"District, Division, Region, National, International"</formula1>
    </dataValidation>
    <dataValidation type="list" allowBlank="1" showInputMessage="1" showErrorMessage="1" sqref="D137:E150 G110:G136">
      <formula1>"Student, Teacher, School Head, School"</formula1>
    </dataValidation>
    <dataValidation type="list" allowBlank="1" showInputMessage="1" showErrorMessage="1" sqref="D53">
      <formula1>"English, Math, Science, Filipino, MAPEH, EPP/TLE, APP, EsP,Others"</formula1>
    </dataValidation>
    <dataValidation allowBlank="1" showInputMessage="1" showErrorMessage="1" promptTitle="SY before Previous SY" prompt="Format: YYYY-YYYY_x000a_(ex. 2016-2017)" sqref="C11"/>
    <dataValidation allowBlank="1" showInputMessage="1" showErrorMessage="1" promptTitle="Previous School Year" prompt="Format: YYYY-YYYY_x000a_(ex. 2017-2018)" sqref="E11"/>
    <dataValidation allowBlank="1" showInputMessage="1" showErrorMessage="1" promptTitle="Current School Year" prompt="Format: YYYY-YYYY_x000a_(ex. 2018-2019)" sqref="G11"/>
    <dataValidation allowBlank="1" showInputMessage="1" showErrorMessage="1" promptTitle="To jump from 1 cell to another," prompt="use &quot;Tab&quot; or &quot;Arrow&quot; keys on your keyboard. Cells without background color were unlocked for you to input data. Input messages like this will guide you filling up the data tables. Go to Instructions for more info." sqref="C5:K5"/>
    <dataValidation allowBlank="1" showInputMessage="1" showErrorMessage="1" promptTitle="Your 6-digit school ID No." prompt="(ex. 304326)" sqref="C6:D6"/>
    <dataValidation type="list" errorStyle="warning" allowBlank="1" showInputMessage="1" showErrorMessage="1" errorTitle="Type correct format" error="or simply select from list." promptTitle="Click &quot;▼&quot;" prompt="Then select the classification of your school from dropdown list." sqref="H6">
      <formula1>Classification_of_Schools</formula1>
    </dataValidation>
    <dataValidation type="whole" operator="greaterThanOrEqual" allowBlank="1" showInputMessage="1" showErrorMessage="1" errorTitle="Type a Whole Number" error="(ex. 15)" promptTitle="Number of enrollees" prompt="Total enrollees of school by SY, gender, and level. Skip level if not offered, no need to put ZERO (0)._x000a_" sqref="F26:G26 B17:AE19 F23:AE25 B23:E26 B29:AE31">
      <formula1>0</formula1>
    </dataValidation>
    <dataValidation type="whole" operator="greaterThanOrEqual" allowBlank="1" showInputMessage="1" showErrorMessage="1" errorTitle="Type a Whole Number" error="(ex. 15)" promptTitle="Wasted male" prompt="Total number for the Current SY by level. No need to put ZERO (0) values._x000a_" sqref="D35:D42">
      <formula1>0</formula1>
    </dataValidation>
    <dataValidation type="whole" operator="greaterThanOrEqual" allowBlank="1" showInputMessage="1" showErrorMessage="1" errorTitle="Type a Whole Number" error="(ex. 15)" promptTitle="Severely wasted female" prompt="Total number for the Current SY by level. No need to put ZERO (0) values._x000a_" sqref="C35:C42">
      <formula1>0</formula1>
    </dataValidation>
    <dataValidation type="whole" operator="greaterThanOrEqual" allowBlank="1" showInputMessage="1" showErrorMessage="1" errorTitle="Type a Whole Number" error="(ex. 15)" promptTitle="Severely wasted male" prompt="Total number for the Current SY by level. No need to put ZERO (0) values._x000a_" sqref="B35:B42">
      <formula1>0</formula1>
    </dataValidation>
    <dataValidation type="whole" operator="greaterThanOrEqual" allowBlank="1" showInputMessage="1" showErrorMessage="1" errorTitle="Type a Whole Number" error="(ex. 15)" promptTitle="Wasted female" prompt="Total number for the Current SY by level. No need to put ZERO (0) values._x000a_" sqref="E35:E42">
      <formula1>0</formula1>
    </dataValidation>
    <dataValidation type="whole" operator="greaterThanOrEqual" allowBlank="1" showInputMessage="1" showErrorMessage="1" errorTitle="Type a Whole Number" error="(ex. 15)" promptTitle="Normal male" prompt="Total number for the Current SY by level. No need to put ZERO (0) values._x000a_" sqref="E43:E48 F35:F42 S35:S48">
      <formula1>0</formula1>
    </dataValidation>
    <dataValidation type="whole" operator="greaterThanOrEqual" allowBlank="1" showInputMessage="1" showErrorMessage="1" errorTitle="Type a Whole Number" error="(ex. 15)" promptTitle="Normal female" prompt="Total number for the Current SY by level. No need to put ZERO (0) values._x000a_" sqref="F43:F48 G35:G42 T35:T48">
      <formula1>0</formula1>
    </dataValidation>
    <dataValidation type="whole" operator="greaterThanOrEqual" allowBlank="1" showInputMessage="1" showErrorMessage="1" errorTitle="Type a Whole Number" error="(ex. 15)" promptTitle="Overweight male" prompt="Total number for the Current SY by level. No need to put ZERO (0) values._x000a_" sqref="H35:H42">
      <formula1>0</formula1>
    </dataValidation>
    <dataValidation type="whole" operator="greaterThanOrEqual" allowBlank="1" showInputMessage="1" showErrorMessage="1" errorTitle="Type a Whole Number" error="(ex. 15)" promptTitle="Overweight female" prompt="Total number for the Current SY by level. No need to put ZERO (0) values._x000a_" sqref="I35:I48">
      <formula1>0</formula1>
    </dataValidation>
    <dataValidation type="whole" operator="greaterThanOrEqual" allowBlank="1" showInputMessage="1" showErrorMessage="1" errorTitle="Type a Whole Number" error="(ex. 15)" promptTitle="Obese male" prompt="Total number for the Current SY by level. No need to put ZERO (0) values._x000a_" sqref="J35:J48">
      <formula1>0</formula1>
    </dataValidation>
    <dataValidation type="whole" operator="greaterThanOrEqual" allowBlank="1" showInputMessage="1" showErrorMessage="1" errorTitle="Type a Whole Number" error="(ex. 15)" promptTitle="Obese female" prompt="Total number for the Current SY by level. No need to put ZERO (0) values._x000a_" sqref="K35:K48">
      <formula1>0</formula1>
    </dataValidation>
    <dataValidation type="whole" operator="greaterThanOrEqual" allowBlank="1" showInputMessage="1" showErrorMessage="1" errorTitle="Type a Whole Number" error="(ex. 15)" promptTitle="Educational background" prompt="Teachers may be categorized only once. Choose the highest educational level he/she attained." sqref="F90:F94 F96:F97">
      <formula1>0</formula1>
    </dataValidation>
    <dataValidation type="whole" operator="greaterThanOrEqual" allowBlank="1" showInputMessage="1" showErrorMessage="1" errorTitle="Type an amount" error="(ex. 1,500)" promptTitle="Total amount annually" prompt="For the Current SY" sqref="G101:H106">
      <formula1>0</formula1>
    </dataValidation>
    <dataValidation operator="greaterThan" allowBlank="1" showInputMessage="1" showErrorMessage="1" errorTitle="Input Year" error="ex. 2018" promptTitle="Date of Award " prompt="Use the format mm/dd/yyyy_x000a_ex. 1/20/2019" sqref="F110:F136"/>
    <dataValidation type="list" allowBlank="1" showInputMessage="1" showErrorMessage="1" errorTitle="Select from the dropdown list" promptTitle="Select from the dropdown list" prompt="Minimum level is District." sqref="H110:H136">
      <formula1>"District, Division, Region, National, International"</formula1>
    </dataValidation>
    <dataValidation allowBlank="1" showInputMessage="1" showErrorMessage="1" promptTitle="Award-giving body" prompt="Must be recognized by DepEd_x000a_(ex. Schools Division Office)" sqref="L110:M110 I110:I136"/>
    <dataValidation type="list" errorStyle="warning" allowBlank="1" showInputMessage="1" showErrorMessage="1" errorTitle="Only change if this SY;" error="has no available data" promptTitle="Change SY if," prompt="No data is available" sqref="B164:C164">
      <formula1>$C$11</formula1>
    </dataValidation>
    <dataValidation type="whole" operator="greaterThanOrEqual" allowBlank="1" showInputMessage="1" showErrorMessage="1" errorTitle="Type a Whole Number" error="(ex. 5)" promptTitle="Number of dropouts" prompt="Total dropouts of school by SY, gender, and cause. No need to put ZERO (0)._x000a_" sqref="AT157:AV159">
      <formula1>0</formula1>
    </dataValidation>
    <dataValidation type="whole" operator="greaterThanOrEqual" allowBlank="1" showInputMessage="1" showErrorMessage="1" errorTitle="Type a Whole Number" error="(ex. 15)" promptTitle="Number of Teachers" prompt="Nationally-funded only._x000a_Multi-grade teachers may be classified only once. Use number of students/load in classifying." sqref="C306:D318 J306:K318 Q306:R318">
      <formula1>0</formula1>
    </dataValidation>
    <dataValidation type="whole" operator="greaterThanOrEqual" allowBlank="1" showInputMessage="1" showErrorMessage="1" errorTitle="Type a Whole Number" error="(ex. 15)" promptTitle="Number of Classrooms" prompt="In good condition._x000a_Total per grade level for the current SY." sqref="R353:S365 F353:G365 AD353:AE366">
      <formula1>0</formula1>
    </dataValidation>
    <dataValidation type="whole" operator="greaterThanOrEqual" allowBlank="1" showInputMessage="1" showErrorMessage="1" errorTitle="Type a Whole Number" error="(ex. 15)" promptTitle="Number of Classrooms" prompt="For repair classrooms._x000a_Total per grade level for the current SY." sqref="AF353:AG366 T353:U365 H353:I365">
      <formula1>0</formula1>
    </dataValidation>
    <dataValidation type="whole" operator="greaterThanOrEqual" allowBlank="1" showInputMessage="1" showErrorMessage="1" errorTitle="Type a Whole Number" error="(ex. 150)" promptTitle="Number of seats" prompt="Total seats of school for the current SY._x000a_" sqref="C371">
      <formula1>0</formula1>
    </dataValidation>
    <dataValidation type="whole" operator="greaterThanOrEqual" allowBlank="1" showInputMessage="1" showErrorMessage="1" errorTitle="Type a Whole Number" error="(ex. 5)" promptTitle="Functional toilets (Male)" prompt="Total toilets of school for the current SY._x000a_" sqref="C377">
      <formula1>0</formula1>
    </dataValidation>
    <dataValidation type="whole" operator="greaterThanOrEqual" allowBlank="1" showInputMessage="1" showErrorMessage="1" errorTitle="Type a Whole Number" error="(ex. 5)" promptTitle="Functional toilets (Female)" prompt="Total toilets of school for the current SY._x000a_" sqref="E377">
      <formula1>0</formula1>
    </dataValidation>
    <dataValidation type="whole" operator="greaterThanOrEqual" allowBlank="1" showInputMessage="1" showErrorMessage="1" errorTitle="Type a Whole Number" error="(ex. 15)" promptTitle="Toilet bowls (Female)" prompt="Total toilets bowls of school for the current SY._x000a_" sqref="J377">
      <formula1>0</formula1>
    </dataValidation>
    <dataValidation type="whole" operator="greaterThanOrEqual" allowBlank="1" showInputMessage="1" showErrorMessage="1" sqref="C416:G416 C411:G414 C420:G420 C418:G418 C409:G409 F383:F397">
      <formula1>0</formula1>
    </dataValidation>
    <dataValidation allowBlank="1" showInputMessage="1" showErrorMessage="1" promptTitle="Implementer" prompt="(ex. PTA)" sqref="A383:A397"/>
    <dataValidation allowBlank="1" showInputMessage="1" showErrorMessage="1" promptTitle="Project Title" prompt="(ex. School Fencing)" sqref="B383:B397"/>
    <dataValidation type="whole" operator="greaterThanOrEqual" allowBlank="1" showInputMessage="1" showErrorMessage="1" errorTitle="Type a Whole Number" error="(ex. 150)" promptTitle="Number of desks" prompt="Total desks of school for the current SY._x000a_" sqref="E371">
      <formula1>0</formula1>
    </dataValidation>
    <dataValidation type="whole" operator="greaterThanOrEqual" allowBlank="1" showInputMessage="1" showErrorMessage="1" errorTitle="Type a Whole Number" error="(ex. 150)" promptTitle="Capacity per desk" prompt="Number of learners per desk_x000a_" sqref="F371">
      <formula1>0</formula1>
    </dataValidation>
    <dataValidation type="whole" operator="greaterThanOrEqual" allowBlank="1" showInputMessage="1" showErrorMessage="1" errorTitle="Type a Whole Number" error="(ex. 150)" promptTitle="Number of tables" prompt="Total tables of school for the current SY._x000a_" sqref="G371">
      <formula1>0</formula1>
    </dataValidation>
    <dataValidation type="whole" operator="greaterThanOrEqual" allowBlank="1" showInputMessage="1" showErrorMessage="1" errorTitle="Type a Whole Number" error="(ex. 150)" promptTitle="Capacity per table" prompt="Number of learners per table_x000a_" sqref="H371">
      <formula1>0</formula1>
    </dataValidation>
    <dataValidation type="decimal" allowBlank="1" showInputMessage="1" showErrorMessage="1" errorTitle="Type a Whole Number" error="(ex. 100)" promptTitle="Promotion Rate" prompt="School promotion rate by SY, gender, and level._x000a_(ex. 99)" sqref="B166:G180">
      <formula1>0</formula1>
      <formula2>100</formula2>
    </dataValidation>
    <dataValidation type="list" allowBlank="1" showInputMessage="1" showErrorMessage="1" promptTitle="Select Grade" prompt="from List if needed" sqref="A187:B190 A194:B197 A201:B204">
      <formula1>"Kindergarten,Grade 1,Grade 2,Grade 3,Grade 4,Grade 5,Grade 6,Grade 7,Grade 8,Grade 9,Grade 10,Grade 11,Grade 12"</formula1>
    </dataValidation>
    <dataValidation type="list" allowBlank="1" showInputMessage="1" showErrorMessage="1" promptTitle="General Partner Type" prompt="Select from the drop-down list the type of partner." sqref="A423:A622">
      <formula1>General_Partner_Type</formula1>
    </dataValidation>
    <dataValidation type="whole" operator="greaterThanOrEqual" allowBlank="1" showInputMessage="1" showErrorMessage="1" errorTitle="Type a Whole Number" error="(ex. 5)" promptTitle="Number of dropouts" prompt="Total dropouts of school by SY, gender, and cause. if there is no dropout, you need to put ZERO (0)._x000a_" sqref="B157:AS159">
      <formula1>0</formula1>
    </dataValidation>
    <dataValidation type="list" errorStyle="warning" allowBlank="1" showInputMessage="1" showErrorMessage="1" errorTitle="Only change if this SY;" error="has no available data" promptTitle="Change SY if," prompt="No data is available" sqref="D164:G164">
      <formula1>$E$11</formula1>
    </dataValidation>
    <dataValidation type="whole" operator="greaterThanOrEqual" allowBlank="1" showInputMessage="1" showErrorMessage="1" errorTitle="Type a Whole Number" error="(ex. 15)" promptTitle="Severely stunted male" prompt="Total number for the Current SY by level. No need to put ZERO (0) values._x000a_" sqref="O35:O49">
      <formula1>0</formula1>
    </dataValidation>
    <dataValidation type="whole" operator="greaterThanOrEqual" allowBlank="1" showInputMessage="1" showErrorMessage="1" errorTitle="Type a Whole Number" error="(ex. 15)" promptTitle="Severely stunded female" prompt="Total number for the Current SY by level. No need to put ZERO (0) values._x000a_" sqref="P35:P49 B43:B49">
      <formula1>0</formula1>
    </dataValidation>
    <dataValidation type="whole" operator="greaterThanOrEqual" allowBlank="1" showInputMessage="1" showErrorMessage="1" errorTitle="Type a Whole Number" error="(ex. 15)" promptTitle="Stunted male" prompt="Total number for the Current SY by level. No need to put ZERO (0) values._x000a_" sqref="Q35:Q49 C43:C49">
      <formula1>0</formula1>
    </dataValidation>
    <dataValidation type="whole" operator="greaterThanOrEqual" allowBlank="1" showInputMessage="1" showErrorMessage="1" errorTitle="Type a Whole Number" error="(ex. 15)" promptTitle="Stunted female" prompt="Total number for the Current SY by level. No need to put ZERO (0) values._x000a_" sqref="R35:R49 D43:D49">
      <formula1>0</formula1>
    </dataValidation>
    <dataValidation type="whole" operator="greaterThanOrEqual" allowBlank="1" showInputMessage="1" showErrorMessage="1" errorTitle="Type a Whole Number" error="(ex. 15)" promptTitle="Tall male" prompt="Total number for the Current SY by level. No need to put ZERO (0) values._x000a_" sqref="G43:G49 U35:U49">
      <formula1>0</formula1>
    </dataValidation>
    <dataValidation type="whole" operator="greaterThanOrEqual" allowBlank="1" showInputMessage="1" showErrorMessage="1" errorTitle="Type a Whole Number" error="(ex. 15)" promptTitle="Tall female" prompt="Total number for the Current SY by level. No need to put ZERO (0) values._x000a_" sqref="V35:V49 H43:H49">
      <formula1>0</formula1>
    </dataValidation>
    <dataValidation type="whole" operator="greaterThanOrEqual" allowBlank="1" showInputMessage="1" showErrorMessage="1" errorTitle="Type a Whole Number" error="(ex. 15)" promptTitle="Books (based on SF3)" prompt="Total number for the Current SY by level and subject." sqref="E54:E68 G54:I61 K54:K68 B54:C68 D62:D68 F62:I68">
      <formula1>0</formula1>
    </dataValidation>
    <dataValidation type="whole" operator="greaterThanOrEqual" allowBlank="1" showInputMessage="1" showErrorMessage="1" errorTitle="Type a Whole Number" error="(ex. 15)" promptTitle="GST-English Pre-test" prompt="20-14_x000a_Total for current school SY by gender and level. Skip level if not offered, no need to put ZERO (0)._x000a_" sqref="C213:D224">
      <formula1>0</formula1>
    </dataValidation>
    <dataValidation type="whole" operator="greaterThanOrEqual" allowBlank="1" showInputMessage="1" showErrorMessage="1" errorTitle="Type a Whole Number" error="(ex. 15)" promptTitle="GST-English Pre-test" prompt="13-8_x000a_Total for current school SY by gender and level. Skip level if not offered, no need to put ZERO (0)._x000a_" sqref="F213:G224">
      <formula1>0</formula1>
    </dataValidation>
    <dataValidation type="whole" operator="greaterThanOrEqual" allowBlank="1" showInputMessage="1" showErrorMessage="1" errorTitle="Type a Whole Number" error="(ex. 15)" promptTitle="GST-English Pre-test" prompt="7-0_x000a_Total for current school SY by gender and level. Skip level if not offered, no need to put ZERO (0)._x000a_" sqref="I213:J224">
      <formula1>0</formula1>
    </dataValidation>
    <dataValidation type="whole" operator="greaterThanOrEqual" allowBlank="1" showInputMessage="1" showErrorMessage="1" errorTitle="Type a Whole Number" error="(ex. 15)" promptTitle="GST-English Post-test" prompt="20-14_x000a_Total for current school SY by gender and level. Skip level if not offered, no need to put ZERO (0)._x000a_" sqref="C226:D237">
      <formula1>0</formula1>
    </dataValidation>
    <dataValidation type="whole" operator="greaterThanOrEqual" allowBlank="1" showInputMessage="1" showErrorMessage="1" errorTitle="Type a Whole Number" error="(ex. 15)" promptTitle="GST-English Post-test" prompt="13-8_x000a_Total for current school SY by gender and level. Skip level if not offered, no need to put ZERO (0)._x000a_" sqref="F226:G237">
      <formula1>0</formula1>
    </dataValidation>
    <dataValidation type="whole" operator="greaterThanOrEqual" allowBlank="1" showInputMessage="1" showErrorMessage="1" errorTitle="Type a Whole Number" error="(ex. 15)" promptTitle="GST-English Post-test" prompt="7-0_x000a_Total for current school SY by gender and level. Skip level if not offered, no need to put ZERO (0)._x000a_" sqref="I226:J237">
      <formula1>0</formula1>
    </dataValidation>
    <dataValidation type="whole" operator="greaterThanOrEqual" allowBlank="1" showInputMessage="1" showErrorMessage="1" errorTitle="Type a Whole Number" error="(ex. 15)" promptTitle="GST-Filipino Pre-test" prompt="20-14_x000a_Total for current school SY by gender and level. Skip level if not offered, no need to put ZERO (0)._x000a_" sqref="C244:D255">
      <formula1>0</formula1>
    </dataValidation>
    <dataValidation type="whole" operator="greaterThanOrEqual" allowBlank="1" showInputMessage="1" showErrorMessage="1" errorTitle="Type a Whole Number" error="(ex. 15)" promptTitle="GST-Filipino Post-test" prompt="20-14_x000a_Total for current school SY by gender and level. Skip level if not offered, no need to put ZERO (0)._x000a_" sqref="C257:D268">
      <formula1>0</formula1>
    </dataValidation>
    <dataValidation type="whole" operator="greaterThanOrEqual" allowBlank="1" showInputMessage="1" showErrorMessage="1" errorTitle="Type a Whole Number" error="(ex. 15)" promptTitle="GST-Filipino Pre-test" prompt="13-8_x000a_Total for current school SY by gender and level. Skip level if not offered, no need to put ZERO (0)._x000a_" sqref="F244:G255">
      <formula1>0</formula1>
    </dataValidation>
    <dataValidation type="whole" operator="greaterThanOrEqual" allowBlank="1" showInputMessage="1" showErrorMessage="1" errorTitle="Type a Whole Number" error="(ex. 15)" promptTitle="GST-Filipino Post-test" prompt="13-8_x000a_Total for current school SY by gender and level. Skip level if not offered, no need to put ZERO (0)._x000a_" sqref="F257:G268">
      <formula1>0</formula1>
    </dataValidation>
    <dataValidation type="whole" operator="greaterThanOrEqual" allowBlank="1" showInputMessage="1" showErrorMessage="1" errorTitle="Type a Whole Number" error="(ex. 15)" promptTitle="GST-Filipino Pre-test" prompt="7-0_x000a_Total for current school SY by gender and level. Skip level if not offered, no need to put ZERO (0)._x000a_" sqref="I244:J255">
      <formula1>0</formula1>
    </dataValidation>
    <dataValidation type="whole" operator="greaterThanOrEqual" allowBlank="1" showInputMessage="1" showErrorMessage="1" errorTitle="Type a Whole Number" error="(ex. 15)" promptTitle="GST-Filipino Post-test" prompt="7-0_x000a_Total for current school SY by gender and level. Skip level if not offered, no need to put ZERO (0)._x000a_" sqref="I257:J268">
      <formula1>0</formula1>
    </dataValidation>
    <dataValidation type="whole" operator="greaterThanOrEqual" allowBlank="1" showInputMessage="1" showErrorMessage="1" errorTitle="Type a Whole Number" error="(ex. 15)" promptTitle="Toilet (Shared)" prompt="Total toilets shared of school for the current SY._x000a_" sqref="H377:I377">
      <formula1>0</formula1>
    </dataValidation>
    <dataValidation errorStyle="warning" allowBlank="1" showInputMessage="1" showErrorMessage="1" errorTitle="Type correct format" error="or simply select from list." sqref="J6"/>
    <dataValidation type="list" errorStyle="warning" allowBlank="1" showInputMessage="1" showErrorMessage="1" errorTitle="Type correct format" error="or simply select from list." promptTitle="Click &quot;▼&quot;" prompt="This part shall be fill-in only if the classification of school is Elementary. Select the class organization of your school from dropdown list. If classification of school is other than Elementary, just leave this cell/field blank." sqref="K6">
      <formula1>INDIRECT(SUBSTITUTE(H6,"+","_"))</formula1>
    </dataValidation>
    <dataValidation type="list" allowBlank="1" showInputMessage="1" showErrorMessage="1" sqref="H383:H397">
      <formula1>AIP_status</formula1>
    </dataValidation>
    <dataValidation allowBlank="1" showInputMessage="1" showErrorMessage="1" promptTitle="Reasons of Project Status" prompt="(Ex. Project was cancelled due to budget constraints)" sqref="I383:K397"/>
    <dataValidation type="list" allowBlank="1" showInputMessage="1" showErrorMessage="1" sqref="G383:G397">
      <formula1>Source</formula1>
    </dataValidation>
    <dataValidation allowBlank="1" showInputMessage="1" showErrorMessage="1" promptTitle="Amount/ Value of Contribution" prompt="Input the amount/ value of the contribution." sqref="Q423:S623"/>
    <dataValidation type="list" allowBlank="1" showInputMessage="1" showErrorMessage="1" promptTitle="Type of Contribution" prompt="Select from the drop-down list the type of contribution." sqref="I423:I622">
      <formula1>Contribution_Type</formula1>
    </dataValidation>
    <dataValidation type="list" allowBlank="1" showInputMessage="1" showErrorMessage="1" promptTitle="Specific Partner Type" prompt="Select from the drop-down list the specific type of partner." sqref="D423:D622">
      <formula1>INDIRECT(SUBSTITUTE(A423," ","_"))</formula1>
    </dataValidation>
    <dataValidation type="list" allowBlank="1" showInputMessage="1" showErrorMessage="1" promptTitle="Specific Type of Contribution" prompt="Select from the drop-down list the specific type of contribution." sqref="L423:L622">
      <formula1>INDIRECT(SUBSTITUTE(I423," ","_"))</formula1>
    </dataValidation>
    <dataValidation type="list" errorStyle="warning" allowBlank="1" showInputMessage="1" showErrorMessage="1" errorTitle="No available Data?" error="Change only if this SY has no available data" promptTitle="No available data?" prompt="Change only if no data is available in the above SY." sqref="F185:G185">
      <formula1>$C$11</formula1>
    </dataValidation>
    <dataValidation type="list" errorStyle="warning" allowBlank="1" showInputMessage="1" showErrorMessage="1" errorTitle="No available Data?" error="Change only if this SY has no available data" promptTitle="No available data?" prompt="Change only if no data is available in the above SY." sqref="F192:G192">
      <formula1>$E$11</formula1>
    </dataValidation>
    <dataValidation type="list" errorStyle="warning" allowBlank="1" showInputMessage="1" showErrorMessage="1" errorTitle="No available Data?" error="Change only if this SY has no available data" promptTitle="No available data?" prompt="Change only if no data is available in the above SY." sqref="F199:G199">
      <formula1>$G$11</formula1>
    </dataValidation>
    <dataValidation allowBlank="1" showInputMessage="1" showErrorMessage="1" prompt="This field will be reflected as Light Red field with Dark Red text if the total by grade level does not match with the total enrolment.," sqref="L35:L50 W35:W50"/>
    <dataValidation type="whole" operator="greaterThanOrEqual" allowBlank="1" showInputMessage="1" showErrorMessage="1" errorTitle="Type a Whole Number" error="(ex. 15)" promptTitle="Books (based on SF3)" prompt="Total number for the Current SY by level and subject. (For Grades 3-12 only)" sqref="D54:D61">
      <formula1>0</formula1>
    </dataValidation>
    <dataValidation type="whole" operator="greaterThanOrEqual" allowBlank="1" showInputMessage="1" showErrorMessage="1" errorTitle="Type a Whole Number" error="(ex. 15)" promptTitle="Books (based on SF3)" prompt="Total number for the Current SY by level and subject. (for Grades 4-12 only)" sqref="F54:F61">
      <formula1>0</formula1>
    </dataValidation>
    <dataValidation type="whole" operator="greaterThanOrEqual" allowBlank="1" showInputMessage="1" showErrorMessage="1" errorTitle="Type a Whole Number" error="(ex. 15)" promptTitle="Books (based on SF3)" prompt="Total number for the Current SY by level and subject. (Only for Kindergarten to Grade 3)" sqref="J54:J68">
      <formula1>0</formula1>
    </dataValidation>
    <dataValidation type="list" allowBlank="1" showInputMessage="1" showErrorMessage="1" sqref="E110:E136">
      <formula1>RANK</formula1>
    </dataValidation>
    <dataValidation allowBlank="1" showInputMessage="1" showErrorMessage="1" promptTitle="Title of award (Current SY only)" prompt="(ex. Best Brigada Eskwela Implementer)_x000a_Note: Arrange chronologically the awards from the latest to at least 2 years back. In case the alloted spaces do not warrant the number of awards, please include only major awards." sqref="A110:D136"/>
    <dataValidation allowBlank="1" showInputMessage="1" showErrorMessage="1" promptTitle="School Year" prompt="Three current school years where Drop Out Rate from (EBEIS-LIS) are available." sqref="A157:A159"/>
    <dataValidation allowBlank="1" showInputMessage="1" showErrorMessage="1" promptTitle="General Partner Type" prompt="Select from the drop-down list the type of partner." sqref="A623"/>
    <dataValidation type="whole" operator="greaterThanOrEqual" allowBlank="1" showInputMessage="1" showErrorMessage="1" errorTitle="Type a Whole Number" error="(ex. 15)" promptTitle="Number of Teachers" prompt="For SY before Previous SY_x000a_Number of Teachers actually teaching in the school (warm-bodies)_x000a_" sqref="C12:D12">
      <formula1>0</formula1>
    </dataValidation>
    <dataValidation type="whole" operator="greaterThanOrEqual" allowBlank="1" showInputMessage="1" showErrorMessage="1" errorTitle="Type a Whole Number" error="(ex. 15)" promptTitle="Number of Teachers" prompt="For Previous SY_x000a_Number of Teachers actually teaching in school (warm-bodies)_x000a_" sqref="E12:F12">
      <formula1>0</formula1>
    </dataValidation>
    <dataValidation type="whole" operator="greaterThanOrEqual" allowBlank="1" showInputMessage="1" showErrorMessage="1" errorTitle="Type a Whole Number" error="(ex. 15)" promptTitle="Number of Teachers" prompt="For Current SY_x000a_Number of Teachers actually teaching in school (warm-bodies)_x000a_" sqref="G12:H12">
      <formula1>0</formula1>
    </dataValidation>
    <dataValidation operator="greaterThanOrEqual" allowBlank="1" showInputMessage="1" showErrorMessage="1" errorTitle="Type a Whole Number" error="(ex. 15)" promptTitle="Educational background" prompt="Teachers may be categorized only once. Choose the highest educational level he/she attained." sqref="F95"/>
  </dataValidations>
  <hyperlinks>
    <hyperlink ref="A3" location="Data!A5:K12" tooltip="School Profile" display="School Profile"/>
    <hyperlink ref="B1" location="Data!A14:G30" tooltip="Enrolment" display="Enrolment"/>
    <hyperlink ref="B3" location="Data!A179:G201" tooltip="NAT Results" display="NAT Results"/>
    <hyperlink ref="P1" location="Data!A159:G176" tooltip="Promotion Rate" display="Promotion Rate"/>
    <hyperlink ref="N1" location="Data!A150:O157" tooltip="Dropout Rate" display="Dropout Rate"/>
    <hyperlink ref="L1" location="Data!A106:G148" tooltip="School Awards" display="School Awards"/>
    <hyperlink ref="J1" location="Data!A97:H104" tooltip="Funding Sources" display="Funding Sources"/>
    <hyperlink ref="H1" location="Data!A85:F95" tooltip="Teachers' Professional Development" display="Teachers' Professional Development"/>
    <hyperlink ref="F1" location="Data!A50:I66" tooltip="Learners' Materials" display="Learners' Materials"/>
    <hyperlink ref="D1" location="Data!A32:K48" tooltip="Health &amp; Nutrition" display="Health &amp; Nutrition"/>
    <hyperlink ref="P3" location="Data!A399:K428" tooltip="Stakeholders' Participation" display="Stakeholders' Participation"/>
    <hyperlink ref="N3" location="Data!A375:H393" tooltip="Status of AIP" display="Status of AIP"/>
    <hyperlink ref="L3" location="Data!B365:E367" tooltip="Learner-Seat Ratio" display="Learner-Seat Ratio"/>
    <hyperlink ref="J3" location="Data!C370:K373" tooltip="Learner-Toilet Ratio" display="Learner-Toilet Ratio"/>
    <hyperlink ref="H3" location="Data!C346:M362" tooltip="Learner- Classroom Ratio" display="Learner- Classroom Ratio"/>
    <hyperlink ref="F3" location="Data!B299:G314" tooltip="Learner- Teacher Ratio" display="Learner- Teacher Ratio"/>
    <hyperlink ref="D3" location="Data!A204:J264" tooltip="Oral Fluency" display="Oral Fluency"/>
    <hyperlink ref="L3:M3" location="Data!C369:H371" tooltip="Learner-Seat Ratio" display="Learner-Seat Ratio"/>
    <hyperlink ref="J3:K3" location="Data!C372:I377" tooltip="Learner-Toilet Ratio" display="Learner-Toilet Ratio"/>
    <hyperlink ref="B1:C1" location="Data!A14:AC30" tooltip="Enrolment" display="Enrolment"/>
    <hyperlink ref="N1:O1" location="Data!A150:S157" tooltip="Dropout Rate" display="Dropout Rate"/>
    <hyperlink ref="N3:O3" location="Data!A381:K397" tooltip="Status of AIP" display="Status of AIP"/>
    <hyperlink ref="P3:Q3" location="Data!A422:S623" tooltip="Stakeholders' Participation" display="Stakeholders' Participation"/>
    <hyperlink ref="H3:I3" location="Data!C350:M366" tooltip="Learner- Classroom Ratio" display="Learner- Classroom Ratio"/>
    <hyperlink ref="B3:C3" location="Data!A183:G205" tooltip="NAT Results" display="NAT Results"/>
  </hyperlinks>
  <pageMargins left="0.7" right="0.7" top="0.75" bottom="0.75" header="0.3" footer="0.3"/>
  <pageSetup paperSize="9" scale="89" orientation="portrait" horizontalDpi="4294967293" verticalDpi="0" r:id="rId1"/>
  <drawing r:id="rId2"/>
  <extLst>
    <ext xmlns:x14="http://schemas.microsoft.com/office/spreadsheetml/2009/9/main" uri="{78C0D931-6437-407d-A8EE-F0AAD7539E65}">
      <x14:conditionalFormattings>
        <x14:conditionalFormatting xmlns:xm="http://schemas.microsoft.com/office/excel/2006/main">
          <x14:cfRule type="cellIs" priority="54" operator="greaterThan" id="{B1D46991-0E50-4D50-9861-1CCF2A5EC757}">
            <xm:f>Helper!$AL$221</xm:f>
            <x14:dxf>
              <font>
                <color rgb="FF9C0006"/>
              </font>
              <fill>
                <patternFill>
                  <bgColor rgb="FFFFC7CE"/>
                </patternFill>
              </fill>
            </x14:dxf>
          </x14:cfRule>
          <x14:cfRule type="cellIs" priority="66" operator="lessThan" id="{83EA4CA0-E920-4B66-8B36-72F97261D7A0}">
            <xm:f>Helper!$AL$221</xm:f>
            <x14:dxf>
              <font>
                <color rgb="FF9C0006"/>
              </font>
              <fill>
                <patternFill>
                  <bgColor rgb="FFFFC7CE"/>
                </patternFill>
              </fill>
            </x14:dxf>
          </x14:cfRule>
          <xm:sqref>L35</xm:sqref>
        </x14:conditionalFormatting>
        <x14:conditionalFormatting xmlns:xm="http://schemas.microsoft.com/office/excel/2006/main">
          <x14:cfRule type="cellIs" priority="53" operator="greaterThan" id="{DF3B0B5A-A1FC-4013-A1DB-39E4F288929B}">
            <xm:f>Helper!$AL$222</xm:f>
            <x14:dxf>
              <font>
                <color rgb="FF9C0006"/>
              </font>
              <fill>
                <patternFill>
                  <bgColor rgb="FFFFC7CE"/>
                </patternFill>
              </fill>
            </x14:dxf>
          </x14:cfRule>
          <x14:cfRule type="cellIs" priority="65" operator="lessThan" id="{7AEC7699-245A-4B18-B010-9D31032F00EE}">
            <xm:f>Helper!$AL$222</xm:f>
            <x14:dxf>
              <font>
                <color rgb="FF9C0006"/>
              </font>
              <fill>
                <patternFill>
                  <bgColor rgb="FFFFC7CE"/>
                </patternFill>
              </fill>
            </x14:dxf>
          </x14:cfRule>
          <xm:sqref>L36</xm:sqref>
        </x14:conditionalFormatting>
        <x14:conditionalFormatting xmlns:xm="http://schemas.microsoft.com/office/excel/2006/main">
          <x14:cfRule type="cellIs" priority="52" operator="greaterThan" id="{A4D616AB-492E-4BC3-BCD2-D9F89FF21D05}">
            <xm:f>Helper!$AL$223</xm:f>
            <x14:dxf>
              <font>
                <color rgb="FF9C0006"/>
              </font>
              <fill>
                <patternFill>
                  <bgColor rgb="FFFFC7CE"/>
                </patternFill>
              </fill>
            </x14:dxf>
          </x14:cfRule>
          <x14:cfRule type="cellIs" priority="64" operator="lessThan" id="{F636F1A2-0A91-4EE3-A520-3B153ABF5DDF}">
            <xm:f>Helper!$AL$223</xm:f>
            <x14:dxf>
              <font>
                <color rgb="FF9C0006"/>
              </font>
              <fill>
                <patternFill>
                  <bgColor rgb="FFFFC7CE"/>
                </patternFill>
              </fill>
            </x14:dxf>
          </x14:cfRule>
          <xm:sqref>L37</xm:sqref>
        </x14:conditionalFormatting>
        <x14:conditionalFormatting xmlns:xm="http://schemas.microsoft.com/office/excel/2006/main">
          <x14:cfRule type="cellIs" priority="51" operator="greaterThan" id="{B787D7DD-4295-4CEC-B79E-4EBCD7E81382}">
            <xm:f>Helper!$AL$224</xm:f>
            <x14:dxf>
              <font>
                <color rgb="FF9C0006"/>
              </font>
              <fill>
                <patternFill>
                  <bgColor rgb="FFFFC7CE"/>
                </patternFill>
              </fill>
            </x14:dxf>
          </x14:cfRule>
          <x14:cfRule type="cellIs" priority="63" operator="lessThan" id="{E9ABB6E5-CC47-490C-929D-561C80B6A9D0}">
            <xm:f>Helper!$AL$224</xm:f>
            <x14:dxf>
              <font>
                <color rgb="FF9C0006"/>
              </font>
              <fill>
                <patternFill>
                  <bgColor rgb="FFFFC7CE"/>
                </patternFill>
              </fill>
            </x14:dxf>
          </x14:cfRule>
          <xm:sqref>L38</xm:sqref>
        </x14:conditionalFormatting>
        <x14:conditionalFormatting xmlns:xm="http://schemas.microsoft.com/office/excel/2006/main">
          <x14:cfRule type="cellIs" priority="50" operator="greaterThan" id="{2B0FF894-E8C1-46E5-92FE-47E8754A3416}">
            <xm:f>Helper!$AL$225</xm:f>
            <x14:dxf>
              <font>
                <color rgb="FF9C0006"/>
              </font>
              <fill>
                <patternFill>
                  <bgColor rgb="FFFFC7CE"/>
                </patternFill>
              </fill>
            </x14:dxf>
          </x14:cfRule>
          <x14:cfRule type="cellIs" priority="62" operator="lessThan" id="{A88DCD78-CFFE-4FFC-97E0-FE7EA95D3E92}">
            <xm:f>Helper!$AL$225</xm:f>
            <x14:dxf>
              <font>
                <color rgb="FF9C0006"/>
              </font>
              <fill>
                <patternFill>
                  <bgColor rgb="FFFFC7CE"/>
                </patternFill>
              </fill>
            </x14:dxf>
          </x14:cfRule>
          <xm:sqref>L39</xm:sqref>
        </x14:conditionalFormatting>
        <x14:conditionalFormatting xmlns:xm="http://schemas.microsoft.com/office/excel/2006/main">
          <x14:cfRule type="cellIs" priority="49" operator="greaterThan" id="{7F7B0226-5F26-4D0A-B27E-E0E8F33CFFD9}">
            <xm:f>Helper!$AL$226</xm:f>
            <x14:dxf>
              <font>
                <color rgb="FF9C0006"/>
              </font>
              <fill>
                <patternFill>
                  <bgColor rgb="FFFFC7CE"/>
                </patternFill>
              </fill>
            </x14:dxf>
          </x14:cfRule>
          <x14:cfRule type="cellIs" priority="61" operator="lessThan" id="{BC3E82B5-B2EF-4014-9E1F-5D6D4909775F}">
            <xm:f>Helper!$AL$226</xm:f>
            <x14:dxf>
              <font>
                <color rgb="FF9C0006"/>
              </font>
              <fill>
                <patternFill>
                  <bgColor rgb="FFFFC7CE"/>
                </patternFill>
              </fill>
            </x14:dxf>
          </x14:cfRule>
          <xm:sqref>L40</xm:sqref>
        </x14:conditionalFormatting>
        <x14:conditionalFormatting xmlns:xm="http://schemas.microsoft.com/office/excel/2006/main">
          <x14:cfRule type="cellIs" priority="48" operator="greaterThan" id="{9DCA9BD9-D2CF-48A6-933C-15487649510F}">
            <xm:f>Helper!$AL$227</xm:f>
            <x14:dxf>
              <font>
                <color rgb="FF9C0006"/>
              </font>
              <fill>
                <patternFill>
                  <bgColor rgb="FFFFC7CE"/>
                </patternFill>
              </fill>
            </x14:dxf>
          </x14:cfRule>
          <x14:cfRule type="cellIs" priority="60" operator="lessThan" id="{29489B91-4E12-4458-A78C-08E981A67BBE}">
            <xm:f>Helper!$AL$227</xm:f>
            <x14:dxf>
              <font>
                <color rgb="FF9C0006"/>
              </font>
              <fill>
                <patternFill>
                  <bgColor rgb="FFFFC7CE"/>
                </patternFill>
              </fill>
            </x14:dxf>
          </x14:cfRule>
          <xm:sqref>L41</xm:sqref>
        </x14:conditionalFormatting>
        <x14:conditionalFormatting xmlns:xm="http://schemas.microsoft.com/office/excel/2006/main">
          <x14:cfRule type="cellIs" priority="47" operator="greaterThan" id="{068D1216-91BB-4D52-BEA9-316668AFB57D}">
            <xm:f>Helper!$AL$228</xm:f>
            <x14:dxf>
              <font>
                <color rgb="FF9C0006"/>
              </font>
              <fill>
                <patternFill>
                  <bgColor rgb="FFFFC7CE"/>
                </patternFill>
              </fill>
            </x14:dxf>
          </x14:cfRule>
          <x14:cfRule type="cellIs" priority="59" operator="lessThan" id="{B4758626-547F-43FE-A7F0-1E091A6A90DD}">
            <xm:f>Helper!$AL$228</xm:f>
            <x14:dxf>
              <font>
                <color rgb="FF9C0006"/>
              </font>
              <fill>
                <patternFill>
                  <bgColor rgb="FFFFC7CE"/>
                </patternFill>
              </fill>
            </x14:dxf>
          </x14:cfRule>
          <xm:sqref>L42</xm:sqref>
        </x14:conditionalFormatting>
        <x14:conditionalFormatting xmlns:xm="http://schemas.microsoft.com/office/excel/2006/main">
          <x14:cfRule type="cellIs" priority="55" operator="greaterThan" id="{DDD3CA1F-567A-445D-B4A3-45F58CB4069A}">
            <xm:f>Helper!$AL$229</xm:f>
            <x14:dxf>
              <font>
                <color rgb="FF9C0006"/>
              </font>
              <fill>
                <patternFill>
                  <bgColor rgb="FFFFC7CE"/>
                </patternFill>
              </fill>
            </x14:dxf>
          </x14:cfRule>
          <x14:cfRule type="cellIs" priority="58" operator="lessThan" id="{90109D9A-FA57-4BC0-8E94-7FA72A01D6DC}">
            <xm:f>Helper!$AL$229</xm:f>
            <x14:dxf>
              <font>
                <color rgb="FF9C0006"/>
              </font>
              <fill>
                <patternFill>
                  <bgColor rgb="FFFFC7CE"/>
                </patternFill>
              </fill>
            </x14:dxf>
          </x14:cfRule>
          <xm:sqref>L43</xm:sqref>
        </x14:conditionalFormatting>
        <x14:conditionalFormatting xmlns:xm="http://schemas.microsoft.com/office/excel/2006/main">
          <x14:cfRule type="cellIs" priority="46" operator="greaterThan" id="{C668C8B3-A300-41A6-8413-E71A21CAE611}">
            <xm:f>Helper!$AL$230</xm:f>
            <x14:dxf>
              <font>
                <color rgb="FF9C0006"/>
              </font>
              <fill>
                <patternFill>
                  <bgColor rgb="FFFFC7CE"/>
                </patternFill>
              </fill>
            </x14:dxf>
          </x14:cfRule>
          <x14:cfRule type="cellIs" priority="57" operator="lessThan" id="{977B46BA-796E-4AF6-A5E0-160327CD26D2}">
            <xm:f>Helper!$AL$230</xm:f>
            <x14:dxf>
              <font>
                <color rgb="FF9C0006"/>
              </font>
              <fill>
                <patternFill>
                  <bgColor rgb="FFFFC7CE"/>
                </patternFill>
              </fill>
            </x14:dxf>
          </x14:cfRule>
          <xm:sqref>L44</xm:sqref>
        </x14:conditionalFormatting>
        <x14:conditionalFormatting xmlns:xm="http://schemas.microsoft.com/office/excel/2006/main">
          <x14:cfRule type="cellIs" priority="44" operator="greaterThan" id="{6322FF7C-BAA8-4F56-8219-01218C73241D}">
            <xm:f>Helper!$AL$231</xm:f>
            <x14:dxf>
              <font>
                <color rgb="FF9C0006"/>
              </font>
              <fill>
                <patternFill>
                  <bgColor rgb="FFFFC7CE"/>
                </patternFill>
              </fill>
            </x14:dxf>
          </x14:cfRule>
          <x14:cfRule type="cellIs" priority="45" operator="lessThan" id="{59F4ED40-D5CB-4CF6-A2EA-AA0C8811EDAB}">
            <xm:f>Helper!$AL$231</xm:f>
            <x14:dxf>
              <font>
                <color rgb="FF9C0006"/>
              </font>
              <fill>
                <patternFill>
                  <bgColor rgb="FFFFC7CE"/>
                </patternFill>
              </fill>
            </x14:dxf>
          </x14:cfRule>
          <x14:cfRule type="cellIs" priority="56" operator="lessThan" id="{4C0F0172-376B-43CC-A3F6-37FF72E86A94}">
            <xm:f>Helper!$AL$231</xm:f>
            <x14:dxf>
              <font>
                <color rgb="FF9C0006"/>
              </font>
              <fill>
                <patternFill>
                  <bgColor rgb="FFFFC7CE"/>
                </patternFill>
              </fill>
            </x14:dxf>
          </x14:cfRule>
          <xm:sqref>L45</xm:sqref>
        </x14:conditionalFormatting>
        <x14:conditionalFormatting xmlns:xm="http://schemas.microsoft.com/office/excel/2006/main">
          <x14:cfRule type="cellIs" priority="42" operator="greaterThan" id="{38521C6F-56BA-475B-9BB7-238E29859998}">
            <xm:f>Helper!$AL$232</xm:f>
            <x14:dxf>
              <font>
                <color rgb="FF9C0006"/>
              </font>
              <fill>
                <patternFill>
                  <bgColor rgb="FFFFC7CE"/>
                </patternFill>
              </fill>
            </x14:dxf>
          </x14:cfRule>
          <x14:cfRule type="cellIs" priority="43" operator="lessThan" id="{08260942-CE7B-4DE8-82B1-B2BE049A8FF6}">
            <xm:f>Helper!$AL$232</xm:f>
            <x14:dxf>
              <font>
                <color rgb="FF9C0006"/>
              </font>
              <fill>
                <patternFill>
                  <bgColor rgb="FFFFC7CE"/>
                </patternFill>
              </fill>
            </x14:dxf>
          </x14:cfRule>
          <xm:sqref>L46</xm:sqref>
        </x14:conditionalFormatting>
        <x14:conditionalFormatting xmlns:xm="http://schemas.microsoft.com/office/excel/2006/main">
          <x14:cfRule type="cellIs" priority="40" operator="greaterThan" id="{C6F06603-A429-43B0-BCD7-0D2AE4BC7F96}">
            <xm:f>Helper!$AL$233</xm:f>
            <x14:dxf>
              <font>
                <color rgb="FF9C0006"/>
              </font>
              <fill>
                <patternFill>
                  <bgColor rgb="FFFFC7CE"/>
                </patternFill>
              </fill>
            </x14:dxf>
          </x14:cfRule>
          <x14:cfRule type="cellIs" priority="41" operator="lessThan" id="{5FC8E917-B08D-4903-99BF-056011AEE9E8}">
            <xm:f>Helper!$AL$233</xm:f>
            <x14:dxf>
              <font>
                <color rgb="FF9C0006"/>
              </font>
              <fill>
                <patternFill>
                  <bgColor rgb="FFFFC7CE"/>
                </patternFill>
              </fill>
            </x14:dxf>
          </x14:cfRule>
          <xm:sqref>L47</xm:sqref>
        </x14:conditionalFormatting>
        <x14:conditionalFormatting xmlns:xm="http://schemas.microsoft.com/office/excel/2006/main">
          <x14:cfRule type="cellIs" priority="38" operator="greaterThan" id="{0E3CFDF7-F9E9-4C15-B021-E0DD127F6401}">
            <xm:f>Helper!$AL$234</xm:f>
            <x14:dxf>
              <font>
                <color rgb="FF9C0006"/>
              </font>
              <fill>
                <patternFill>
                  <bgColor rgb="FFFFC7CE"/>
                </patternFill>
              </fill>
            </x14:dxf>
          </x14:cfRule>
          <x14:cfRule type="cellIs" priority="39" operator="lessThan" id="{E32AAB25-6BF3-4DA2-9666-925C381EAC10}">
            <xm:f>Helper!$AL$234</xm:f>
            <x14:dxf>
              <font>
                <color rgb="FF9C0006"/>
              </font>
              <fill>
                <patternFill>
                  <bgColor rgb="FFFFC7CE"/>
                </patternFill>
              </fill>
            </x14:dxf>
          </x14:cfRule>
          <xm:sqref>L48</xm:sqref>
        </x14:conditionalFormatting>
        <x14:conditionalFormatting xmlns:xm="http://schemas.microsoft.com/office/excel/2006/main">
          <x14:cfRule type="cellIs" priority="36" operator="lessThan" id="{E0EA1B65-C0DF-45C7-9512-DE98E192CB2A}">
            <xm:f>Helper!$AL$235</xm:f>
            <x14:dxf>
              <font>
                <color rgb="FF9C0006"/>
              </font>
              <fill>
                <patternFill>
                  <bgColor rgb="FFFFC7CE"/>
                </patternFill>
              </fill>
            </x14:dxf>
          </x14:cfRule>
          <x14:cfRule type="cellIs" priority="37" operator="greaterThan" id="{DAF53B19-3819-403A-80C3-419145FA7119}">
            <xm:f>Helper!$AL$235</xm:f>
            <x14:dxf>
              <font>
                <color rgb="FF9C0006"/>
              </font>
              <fill>
                <patternFill>
                  <bgColor rgb="FFFFC7CE"/>
                </patternFill>
              </fill>
            </x14:dxf>
          </x14:cfRule>
          <xm:sqref>L49</xm:sqref>
        </x14:conditionalFormatting>
        <x14:conditionalFormatting xmlns:xm="http://schemas.microsoft.com/office/excel/2006/main">
          <x14:cfRule type="cellIs" priority="23" operator="greaterThan" id="{FC32C320-4580-4C42-B4EB-03F7561E6446}">
            <xm:f>Helper!$AL$221</xm:f>
            <x14:dxf>
              <font>
                <color rgb="FF9C0006"/>
              </font>
              <fill>
                <patternFill>
                  <bgColor rgb="FFFFC7CE"/>
                </patternFill>
              </fill>
            </x14:dxf>
          </x14:cfRule>
          <x14:cfRule type="cellIs" priority="35" operator="lessThan" id="{4982865F-8F48-4552-84C2-3A882EA0D144}">
            <xm:f>Helper!$AL$221</xm:f>
            <x14:dxf>
              <font>
                <color rgb="FF9C0006"/>
              </font>
              <fill>
                <patternFill>
                  <bgColor rgb="FFFFC7CE"/>
                </patternFill>
              </fill>
            </x14:dxf>
          </x14:cfRule>
          <xm:sqref>W35</xm:sqref>
        </x14:conditionalFormatting>
        <x14:conditionalFormatting xmlns:xm="http://schemas.microsoft.com/office/excel/2006/main">
          <x14:cfRule type="cellIs" priority="22" operator="greaterThan" id="{6C85D013-0EE9-4E5A-AFBA-65F098B67941}">
            <xm:f>Helper!$AL$222</xm:f>
            <x14:dxf>
              <font>
                <color rgb="FF9C0006"/>
              </font>
              <fill>
                <patternFill>
                  <bgColor rgb="FFFFC7CE"/>
                </patternFill>
              </fill>
            </x14:dxf>
          </x14:cfRule>
          <x14:cfRule type="cellIs" priority="34" operator="lessThan" id="{191D0407-3BB5-40A1-B0E1-8EC737D96EDC}">
            <xm:f>Helper!$AL$222</xm:f>
            <x14:dxf>
              <font>
                <color rgb="FF9C0006"/>
              </font>
              <fill>
                <patternFill>
                  <bgColor rgb="FFFFC7CE"/>
                </patternFill>
              </fill>
            </x14:dxf>
          </x14:cfRule>
          <xm:sqref>W36</xm:sqref>
        </x14:conditionalFormatting>
        <x14:conditionalFormatting xmlns:xm="http://schemas.microsoft.com/office/excel/2006/main">
          <x14:cfRule type="cellIs" priority="21" operator="greaterThan" id="{71D3C7B4-7E71-4B53-BCE0-E83B138038AE}">
            <xm:f>Helper!$AL$223</xm:f>
            <x14:dxf>
              <font>
                <color rgb="FF9C0006"/>
              </font>
              <fill>
                <patternFill>
                  <bgColor rgb="FFFFC7CE"/>
                </patternFill>
              </fill>
            </x14:dxf>
          </x14:cfRule>
          <x14:cfRule type="cellIs" priority="33" operator="lessThan" id="{82604806-58F2-4E83-AA29-73AFBBE8D7CF}">
            <xm:f>Helper!$AL$223</xm:f>
            <x14:dxf>
              <font>
                <color rgb="FF9C0006"/>
              </font>
              <fill>
                <patternFill>
                  <bgColor rgb="FFFFC7CE"/>
                </patternFill>
              </fill>
            </x14:dxf>
          </x14:cfRule>
          <xm:sqref>W37</xm:sqref>
        </x14:conditionalFormatting>
        <x14:conditionalFormatting xmlns:xm="http://schemas.microsoft.com/office/excel/2006/main">
          <x14:cfRule type="cellIs" priority="20" operator="greaterThan" id="{F0C5AC26-614A-48AA-B018-5BD27C5A1562}">
            <xm:f>Helper!$AL$224</xm:f>
            <x14:dxf>
              <font>
                <color rgb="FF9C0006"/>
              </font>
              <fill>
                <patternFill>
                  <bgColor rgb="FFFFC7CE"/>
                </patternFill>
              </fill>
            </x14:dxf>
          </x14:cfRule>
          <x14:cfRule type="cellIs" priority="32" operator="lessThan" id="{C5802F6C-4423-4FA1-AB03-06BFC09D9DB1}">
            <xm:f>Helper!$AL$224</xm:f>
            <x14:dxf>
              <font>
                <color rgb="FF9C0006"/>
              </font>
              <fill>
                <patternFill>
                  <bgColor rgb="FFFFC7CE"/>
                </patternFill>
              </fill>
            </x14:dxf>
          </x14:cfRule>
          <xm:sqref>W38</xm:sqref>
        </x14:conditionalFormatting>
        <x14:conditionalFormatting xmlns:xm="http://schemas.microsoft.com/office/excel/2006/main">
          <x14:cfRule type="cellIs" priority="19" operator="greaterThan" id="{16D1046D-D35B-4677-BA63-57CFCC6A03F6}">
            <xm:f>Helper!$AL$225</xm:f>
            <x14:dxf>
              <font>
                <color rgb="FF9C0006"/>
              </font>
              <fill>
                <patternFill>
                  <bgColor rgb="FFFFC7CE"/>
                </patternFill>
              </fill>
            </x14:dxf>
          </x14:cfRule>
          <x14:cfRule type="cellIs" priority="31" operator="lessThan" id="{97AD1B86-9A82-4EC0-860E-C46F1D34461A}">
            <xm:f>Helper!$AL$225</xm:f>
            <x14:dxf>
              <font>
                <color rgb="FF9C0006"/>
              </font>
              <fill>
                <patternFill>
                  <bgColor rgb="FFFFC7CE"/>
                </patternFill>
              </fill>
            </x14:dxf>
          </x14:cfRule>
          <xm:sqref>W39</xm:sqref>
        </x14:conditionalFormatting>
        <x14:conditionalFormatting xmlns:xm="http://schemas.microsoft.com/office/excel/2006/main">
          <x14:cfRule type="cellIs" priority="18" operator="greaterThan" id="{C634EEB7-D3C5-4193-B73B-5A4C3F18CA3F}">
            <xm:f>Helper!$AL$226</xm:f>
            <x14:dxf>
              <font>
                <color rgb="FF9C0006"/>
              </font>
              <fill>
                <patternFill>
                  <bgColor rgb="FFFFC7CE"/>
                </patternFill>
              </fill>
            </x14:dxf>
          </x14:cfRule>
          <x14:cfRule type="cellIs" priority="30" operator="lessThan" id="{05F57788-A172-47EB-AF02-C511E17F921B}">
            <xm:f>Helper!$AL$226</xm:f>
            <x14:dxf>
              <font>
                <color rgb="FF9C0006"/>
              </font>
              <fill>
                <patternFill>
                  <bgColor rgb="FFFFC7CE"/>
                </patternFill>
              </fill>
            </x14:dxf>
          </x14:cfRule>
          <xm:sqref>W40</xm:sqref>
        </x14:conditionalFormatting>
        <x14:conditionalFormatting xmlns:xm="http://schemas.microsoft.com/office/excel/2006/main">
          <x14:cfRule type="cellIs" priority="17" operator="greaterThan" id="{B49EF0EB-88D5-48C2-AE07-0F4C8CE1DC7C}">
            <xm:f>Helper!$AL$227</xm:f>
            <x14:dxf>
              <font>
                <color rgb="FF9C0006"/>
              </font>
              <fill>
                <patternFill>
                  <bgColor rgb="FFFFC7CE"/>
                </patternFill>
              </fill>
            </x14:dxf>
          </x14:cfRule>
          <x14:cfRule type="cellIs" priority="29" operator="lessThan" id="{2FEE4992-E295-4060-870A-69F7D3728298}">
            <xm:f>Helper!$AL$227</xm:f>
            <x14:dxf>
              <font>
                <color rgb="FF9C0006"/>
              </font>
              <fill>
                <patternFill>
                  <bgColor rgb="FFFFC7CE"/>
                </patternFill>
              </fill>
            </x14:dxf>
          </x14:cfRule>
          <xm:sqref>W41</xm:sqref>
        </x14:conditionalFormatting>
        <x14:conditionalFormatting xmlns:xm="http://schemas.microsoft.com/office/excel/2006/main">
          <x14:cfRule type="cellIs" priority="16" operator="greaterThan" id="{F40A1D0D-9C3A-433A-B105-3900FFB60B00}">
            <xm:f>Helper!$AL$228</xm:f>
            <x14:dxf>
              <font>
                <color rgb="FF9C0006"/>
              </font>
              <fill>
                <patternFill>
                  <bgColor rgb="FFFFC7CE"/>
                </patternFill>
              </fill>
            </x14:dxf>
          </x14:cfRule>
          <x14:cfRule type="cellIs" priority="28" operator="lessThan" id="{CFB89264-9282-41C4-8F67-7CD27A572EF6}">
            <xm:f>Helper!$AL$228</xm:f>
            <x14:dxf>
              <font>
                <color rgb="FF9C0006"/>
              </font>
              <fill>
                <patternFill>
                  <bgColor rgb="FFFFC7CE"/>
                </patternFill>
              </fill>
            </x14:dxf>
          </x14:cfRule>
          <xm:sqref>W42</xm:sqref>
        </x14:conditionalFormatting>
        <x14:conditionalFormatting xmlns:xm="http://schemas.microsoft.com/office/excel/2006/main">
          <x14:cfRule type="cellIs" priority="24" operator="greaterThan" id="{F25A1BE8-4982-4B5C-BF6D-72651CC0DACF}">
            <xm:f>Helper!$AL$229</xm:f>
            <x14:dxf>
              <font>
                <color rgb="FF9C0006"/>
              </font>
              <fill>
                <patternFill>
                  <bgColor rgb="FFFFC7CE"/>
                </patternFill>
              </fill>
            </x14:dxf>
          </x14:cfRule>
          <x14:cfRule type="cellIs" priority="27" operator="lessThan" id="{BFE45002-13FB-46CA-B50B-8DFBA68BF4FB}">
            <xm:f>Helper!$AL$229</xm:f>
            <x14:dxf>
              <font>
                <color rgb="FF9C0006"/>
              </font>
              <fill>
                <patternFill>
                  <bgColor rgb="FFFFC7CE"/>
                </patternFill>
              </fill>
            </x14:dxf>
          </x14:cfRule>
          <xm:sqref>W43</xm:sqref>
        </x14:conditionalFormatting>
        <x14:conditionalFormatting xmlns:xm="http://schemas.microsoft.com/office/excel/2006/main">
          <x14:cfRule type="cellIs" priority="15" operator="greaterThan" id="{62606623-9BDB-40C3-8FB0-EF166DC46CAC}">
            <xm:f>Helper!$AL$230</xm:f>
            <x14:dxf>
              <font>
                <color rgb="FF9C0006"/>
              </font>
              <fill>
                <patternFill>
                  <bgColor rgb="FFFFC7CE"/>
                </patternFill>
              </fill>
            </x14:dxf>
          </x14:cfRule>
          <x14:cfRule type="cellIs" priority="26" operator="lessThan" id="{2075742D-06A1-4339-96A0-CCB45D34631B}">
            <xm:f>Helper!$AL$230</xm:f>
            <x14:dxf>
              <font>
                <color rgb="FF9C0006"/>
              </font>
              <fill>
                <patternFill>
                  <bgColor rgb="FFFFC7CE"/>
                </patternFill>
              </fill>
            </x14:dxf>
          </x14:cfRule>
          <xm:sqref>W44</xm:sqref>
        </x14:conditionalFormatting>
        <x14:conditionalFormatting xmlns:xm="http://schemas.microsoft.com/office/excel/2006/main">
          <x14:cfRule type="cellIs" priority="13" operator="greaterThan" id="{D7293F0A-9CC2-456A-A46A-35550451E2D0}">
            <xm:f>Helper!$AL$231</xm:f>
            <x14:dxf>
              <font>
                <color rgb="FF9C0006"/>
              </font>
              <fill>
                <patternFill>
                  <bgColor rgb="FFFFC7CE"/>
                </patternFill>
              </fill>
            </x14:dxf>
          </x14:cfRule>
          <x14:cfRule type="cellIs" priority="14" operator="lessThan" id="{3172FD30-8CA5-4C2E-9CFE-4FEAB0259DA1}">
            <xm:f>Helper!$AL$231</xm:f>
            <x14:dxf>
              <font>
                <color rgb="FF9C0006"/>
              </font>
              <fill>
                <patternFill>
                  <bgColor rgb="FFFFC7CE"/>
                </patternFill>
              </fill>
            </x14:dxf>
          </x14:cfRule>
          <x14:cfRule type="cellIs" priority="25" operator="lessThan" id="{D525C86E-0D0F-4A65-8546-836B4C83161B}">
            <xm:f>Helper!$AL$231</xm:f>
            <x14:dxf>
              <font>
                <color rgb="FF9C0006"/>
              </font>
              <fill>
                <patternFill>
                  <bgColor rgb="FFFFC7CE"/>
                </patternFill>
              </fill>
            </x14:dxf>
          </x14:cfRule>
          <xm:sqref>W45</xm:sqref>
        </x14:conditionalFormatting>
        <x14:conditionalFormatting xmlns:xm="http://schemas.microsoft.com/office/excel/2006/main">
          <x14:cfRule type="cellIs" priority="11" operator="greaterThan" id="{56E432B9-8081-486B-8647-B6988406B535}">
            <xm:f>Helper!$AL$232</xm:f>
            <x14:dxf>
              <font>
                <color rgb="FF9C0006"/>
              </font>
              <fill>
                <patternFill>
                  <bgColor rgb="FFFFC7CE"/>
                </patternFill>
              </fill>
            </x14:dxf>
          </x14:cfRule>
          <x14:cfRule type="cellIs" priority="12" operator="lessThan" id="{640BA1A2-476F-4AF8-A492-58FF545F3AB8}">
            <xm:f>Helper!$AL$232</xm:f>
            <x14:dxf>
              <font>
                <color rgb="FF9C0006"/>
              </font>
              <fill>
                <patternFill>
                  <bgColor rgb="FFFFC7CE"/>
                </patternFill>
              </fill>
            </x14:dxf>
          </x14:cfRule>
          <xm:sqref>W46</xm:sqref>
        </x14:conditionalFormatting>
        <x14:conditionalFormatting xmlns:xm="http://schemas.microsoft.com/office/excel/2006/main">
          <x14:cfRule type="cellIs" priority="9" operator="greaterThan" id="{1CD87D57-43AC-4D7F-8882-98B466E1B3E5}">
            <xm:f>Helper!$AL$233</xm:f>
            <x14:dxf>
              <font>
                <color rgb="FF9C0006"/>
              </font>
              <fill>
                <patternFill>
                  <bgColor rgb="FFFFC7CE"/>
                </patternFill>
              </fill>
            </x14:dxf>
          </x14:cfRule>
          <x14:cfRule type="cellIs" priority="10" operator="lessThan" id="{39A168D8-70FD-4B2B-B7B3-2173130D5594}">
            <xm:f>Helper!$AL$233</xm:f>
            <x14:dxf>
              <font>
                <color rgb="FF9C0006"/>
              </font>
              <fill>
                <patternFill>
                  <bgColor rgb="FFFFC7CE"/>
                </patternFill>
              </fill>
            </x14:dxf>
          </x14:cfRule>
          <xm:sqref>W47</xm:sqref>
        </x14:conditionalFormatting>
        <x14:conditionalFormatting xmlns:xm="http://schemas.microsoft.com/office/excel/2006/main">
          <x14:cfRule type="cellIs" priority="7" operator="greaterThan" id="{576BA4F2-C337-42EF-872A-92ED2EA2369B}">
            <xm:f>Helper!$AL$234</xm:f>
            <x14:dxf>
              <font>
                <color rgb="FF9C0006"/>
              </font>
              <fill>
                <patternFill>
                  <bgColor rgb="FFFFC7CE"/>
                </patternFill>
              </fill>
            </x14:dxf>
          </x14:cfRule>
          <x14:cfRule type="cellIs" priority="8" operator="lessThan" id="{55A94F9D-A606-493F-AF92-F3C202DA4F4A}">
            <xm:f>Helper!$AL$234</xm:f>
            <x14:dxf>
              <font>
                <color rgb="FF9C0006"/>
              </font>
              <fill>
                <patternFill>
                  <bgColor rgb="FFFFC7CE"/>
                </patternFill>
              </fill>
            </x14:dxf>
          </x14:cfRule>
          <xm:sqref>W48</xm:sqref>
        </x14:conditionalFormatting>
        <x14:conditionalFormatting xmlns:xm="http://schemas.microsoft.com/office/excel/2006/main">
          <x14:cfRule type="cellIs" priority="5" operator="lessThan" id="{BC828D44-6EB1-4A2C-AB8F-49A786CD1178}">
            <xm:f>Helper!$AL$235</xm:f>
            <x14:dxf>
              <font>
                <color rgb="FF9C0006"/>
              </font>
              <fill>
                <patternFill>
                  <bgColor rgb="FFFFC7CE"/>
                </patternFill>
              </fill>
            </x14:dxf>
          </x14:cfRule>
          <x14:cfRule type="cellIs" priority="6" operator="greaterThan" id="{DA503582-56B1-4373-BD72-8A7282319B38}">
            <xm:f>Helper!$AL$235</xm:f>
            <x14:dxf>
              <font>
                <color rgb="FF9C0006"/>
              </font>
              <fill>
                <patternFill>
                  <bgColor rgb="FFFFC7CE"/>
                </patternFill>
              </fill>
            </x14:dxf>
          </x14:cfRule>
          <xm:sqref>W49</xm:sqref>
        </x14:conditionalFormatting>
        <x14:conditionalFormatting xmlns:xm="http://schemas.microsoft.com/office/excel/2006/main">
          <x14:cfRule type="cellIs" priority="3" operator="lessThan" id="{F4C5A4DD-2421-4DC2-B2F2-0D96C2E35CBC}">
            <xm:f>Helper!$AL$236</xm:f>
            <x14:dxf>
              <font>
                <color rgb="FF9C0006"/>
              </font>
              <fill>
                <patternFill>
                  <bgColor rgb="FFFFC7CE"/>
                </patternFill>
              </fill>
            </x14:dxf>
          </x14:cfRule>
          <x14:cfRule type="cellIs" priority="4" operator="greaterThan" id="{764D4C9C-A415-45C2-A514-191DDDB37DC4}">
            <xm:f>Helper!$AL$236</xm:f>
            <x14:dxf>
              <font>
                <color rgb="FF9C0006"/>
              </font>
              <fill>
                <patternFill>
                  <bgColor rgb="FFFFC7CE"/>
                </patternFill>
              </fill>
            </x14:dxf>
          </x14:cfRule>
          <xm:sqref>L50</xm:sqref>
        </x14:conditionalFormatting>
        <x14:conditionalFormatting xmlns:xm="http://schemas.microsoft.com/office/excel/2006/main">
          <x14:cfRule type="cellIs" priority="1" operator="lessThan" id="{E147B56A-576B-45C4-8C38-8986109D9A26}">
            <xm:f>Helper!$AL$236</xm:f>
            <x14:dxf>
              <font>
                <color rgb="FF9C0006"/>
              </font>
              <fill>
                <patternFill>
                  <bgColor rgb="FFFFC7CE"/>
                </patternFill>
              </fill>
            </x14:dxf>
          </x14:cfRule>
          <x14:cfRule type="cellIs" priority="2" operator="greaterThan" id="{2B2D535A-7289-4415-BA85-E36C1D29F23C}">
            <xm:f>Helper!$AL$236</xm:f>
            <x14:dxf>
              <font>
                <color rgb="FF9C0006"/>
              </font>
              <fill>
                <patternFill>
                  <bgColor rgb="FFFFC7CE"/>
                </patternFill>
              </fill>
            </x14:dxf>
          </x14:cfRule>
          <xm:sqref>W50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showGridLines="0" zoomScale="145" zoomScaleNormal="145" workbookViewId="0">
      <pane xSplit="10" ySplit="3" topLeftCell="K17" activePane="bottomRight" state="frozen"/>
      <selection pane="topRight" activeCell="K1" sqref="K1"/>
      <selection pane="bottomLeft" activeCell="A4" sqref="A4"/>
      <selection pane="bottomRight" sqref="A1:J3"/>
    </sheetView>
  </sheetViews>
  <sheetFormatPr defaultRowHeight="14.4"/>
  <cols>
    <col min="7" max="10" width="6.109375" customWidth="1"/>
  </cols>
  <sheetData>
    <row r="1" spans="1:10" ht="15.75" customHeight="1">
      <c r="A1" s="451"/>
      <c r="B1" s="451"/>
      <c r="C1" s="451"/>
      <c r="D1" s="451"/>
      <c r="E1" s="451"/>
      <c r="F1" s="451"/>
      <c r="G1" s="451"/>
      <c r="H1" s="451"/>
      <c r="I1" s="451"/>
      <c r="J1" s="451"/>
    </row>
    <row r="2" spans="1:10" ht="15.75" customHeight="1">
      <c r="A2" s="451"/>
      <c r="B2" s="451"/>
      <c r="C2" s="451"/>
      <c r="D2" s="451"/>
      <c r="E2" s="451"/>
      <c r="F2" s="451"/>
      <c r="G2" s="451"/>
      <c r="H2" s="451"/>
      <c r="I2" s="451"/>
      <c r="J2" s="451"/>
    </row>
    <row r="3" spans="1:10" ht="15.75" customHeight="1">
      <c r="A3" s="451"/>
      <c r="B3" s="451"/>
      <c r="C3" s="451"/>
      <c r="D3" s="451"/>
      <c r="E3" s="451"/>
      <c r="F3" s="451"/>
      <c r="G3" s="451"/>
      <c r="H3" s="451"/>
      <c r="I3" s="451"/>
      <c r="J3" s="451"/>
    </row>
    <row r="4" spans="1:10" ht="4.5" customHeight="1"/>
    <row r="5" spans="1:10" ht="29.25" customHeight="1">
      <c r="A5" s="124" t="s">
        <v>740</v>
      </c>
      <c r="B5" s="125"/>
      <c r="C5" s="125"/>
      <c r="D5" s="125"/>
      <c r="E5" s="125"/>
      <c r="F5" s="125"/>
      <c r="G5" s="125"/>
      <c r="H5" s="125"/>
      <c r="I5" s="125"/>
      <c r="J5" s="125"/>
    </row>
    <row r="6" spans="1:10" ht="99" customHeight="1">
      <c r="A6" s="452" t="s">
        <v>754</v>
      </c>
      <c r="B6" s="452"/>
      <c r="C6" s="452"/>
      <c r="D6" s="452"/>
      <c r="E6" s="452"/>
      <c r="F6" s="452"/>
      <c r="G6" s="452"/>
      <c r="H6" s="452"/>
      <c r="I6" s="452"/>
      <c r="J6" s="452"/>
    </row>
    <row r="7" spans="1:10" ht="18.75" customHeight="1">
      <c r="A7" s="153"/>
      <c r="B7" s="153"/>
      <c r="C7" s="153"/>
      <c r="D7" s="153"/>
      <c r="E7" s="153"/>
      <c r="F7" s="153"/>
      <c r="G7" s="153"/>
      <c r="H7" s="153"/>
      <c r="I7" s="153"/>
      <c r="J7" s="153"/>
    </row>
    <row r="8" spans="1:10" ht="18.75" customHeight="1">
      <c r="A8" s="153"/>
      <c r="B8" s="153"/>
      <c r="C8" s="153"/>
      <c r="D8" s="153"/>
      <c r="E8" s="153"/>
      <c r="F8" s="153"/>
      <c r="G8" s="153"/>
      <c r="H8" s="153"/>
      <c r="I8" s="153"/>
      <c r="J8" s="153"/>
    </row>
    <row r="9" spans="1:10" ht="18.75" customHeight="1">
      <c r="A9" s="153"/>
      <c r="B9" s="153"/>
      <c r="C9" s="153"/>
      <c r="D9" s="153"/>
      <c r="E9" s="153"/>
      <c r="F9" s="153"/>
      <c r="G9" s="153"/>
      <c r="H9" s="153"/>
      <c r="I9" s="153"/>
      <c r="J9" s="153"/>
    </row>
    <row r="10" spans="1:10" ht="18.75" customHeight="1">
      <c r="A10" s="153"/>
      <c r="B10" s="153"/>
      <c r="C10" s="153"/>
      <c r="D10" s="153"/>
      <c r="E10" s="153"/>
      <c r="F10" s="153"/>
      <c r="G10" s="153"/>
      <c r="H10" s="153"/>
      <c r="I10" s="153"/>
      <c r="J10" s="153"/>
    </row>
    <row r="11" spans="1:10" ht="18" customHeight="1">
      <c r="A11" s="153"/>
      <c r="B11" s="153"/>
      <c r="C11" s="153"/>
      <c r="D11" s="153"/>
      <c r="E11" s="153"/>
      <c r="F11" s="153"/>
      <c r="G11" s="153"/>
      <c r="H11" s="153"/>
      <c r="I11" s="153"/>
      <c r="J11" s="153"/>
    </row>
    <row r="12" spans="1:10" ht="18" customHeight="1">
      <c r="A12" s="153"/>
      <c r="B12" s="153"/>
      <c r="C12" s="153"/>
      <c r="D12" s="153"/>
      <c r="E12" s="153"/>
      <c r="F12" s="153"/>
      <c r="G12" s="153"/>
      <c r="H12" s="153"/>
      <c r="I12" s="153"/>
      <c r="J12" s="153"/>
    </row>
    <row r="13" spans="1:10">
      <c r="A13" s="452"/>
      <c r="B13" s="452"/>
      <c r="C13" s="452"/>
      <c r="D13" s="452"/>
      <c r="E13" s="452"/>
      <c r="F13" s="452"/>
      <c r="G13" s="452"/>
      <c r="H13" s="452"/>
      <c r="I13" s="452"/>
      <c r="J13" s="452"/>
    </row>
    <row r="14" spans="1:10">
      <c r="A14" s="153"/>
      <c r="B14" s="153"/>
      <c r="C14" s="153"/>
      <c r="D14" s="153"/>
      <c r="E14" s="153"/>
      <c r="F14" s="153"/>
      <c r="G14" s="153"/>
      <c r="H14" s="153"/>
      <c r="I14" s="153"/>
      <c r="J14" s="153"/>
    </row>
    <row r="15" spans="1:10" ht="40.5" customHeight="1">
      <c r="A15" s="452"/>
      <c r="B15" s="452"/>
      <c r="C15" s="452"/>
      <c r="D15" s="452"/>
      <c r="E15" s="452"/>
      <c r="F15" s="452"/>
      <c r="G15" s="452"/>
      <c r="H15" s="452"/>
      <c r="I15" s="452"/>
      <c r="J15" s="452"/>
    </row>
    <row r="16" spans="1:10" ht="77.25" customHeight="1">
      <c r="A16" s="450" t="s">
        <v>976</v>
      </c>
      <c r="B16" s="450"/>
      <c r="C16" s="450"/>
      <c r="D16" s="450"/>
      <c r="E16" s="450"/>
      <c r="F16" s="450"/>
      <c r="G16" s="450"/>
      <c r="H16" s="450"/>
      <c r="I16" s="450"/>
      <c r="J16" s="450"/>
    </row>
    <row r="17" spans="1:10" ht="29.25" customHeight="1">
      <c r="A17" s="154"/>
      <c r="B17" s="154"/>
      <c r="C17" s="154"/>
      <c r="D17" s="154"/>
      <c r="E17" s="154"/>
      <c r="F17" s="154"/>
      <c r="G17" s="154"/>
      <c r="H17" s="154"/>
      <c r="I17" s="154"/>
      <c r="J17" s="154"/>
    </row>
    <row r="18" spans="1:10" ht="29.25" customHeight="1">
      <c r="A18" s="154"/>
      <c r="B18" s="154"/>
      <c r="C18" s="154"/>
      <c r="D18" s="154"/>
      <c r="E18" s="154"/>
      <c r="F18" s="154"/>
      <c r="G18" s="154"/>
      <c r="H18" s="154"/>
      <c r="I18" s="154"/>
      <c r="J18" s="154"/>
    </row>
    <row r="19" spans="1:10" ht="29.25" customHeight="1">
      <c r="A19" s="154"/>
      <c r="B19" s="154"/>
      <c r="C19" s="154"/>
      <c r="D19" s="154"/>
      <c r="E19" s="154"/>
      <c r="F19" s="154"/>
      <c r="G19" s="154"/>
      <c r="H19" s="154"/>
      <c r="I19" s="154"/>
      <c r="J19" s="154"/>
    </row>
    <row r="20" spans="1:10" ht="29.25" customHeight="1">
      <c r="A20" s="154"/>
      <c r="B20" s="154"/>
      <c r="C20" s="154"/>
      <c r="D20" s="154"/>
      <c r="E20" s="154"/>
      <c r="F20" s="154"/>
      <c r="G20" s="154"/>
      <c r="H20" s="154"/>
      <c r="I20" s="154"/>
      <c r="J20" s="154"/>
    </row>
    <row r="21" spans="1:10" ht="29.25" customHeight="1">
      <c r="A21" s="154"/>
      <c r="B21" s="154"/>
      <c r="C21" s="154"/>
      <c r="D21" s="154"/>
      <c r="E21" s="154"/>
      <c r="F21" s="154"/>
      <c r="G21" s="154"/>
      <c r="H21" s="154"/>
      <c r="I21" s="154"/>
      <c r="J21" s="154"/>
    </row>
    <row r="22" spans="1:10" ht="29.25" customHeight="1">
      <c r="A22" s="154"/>
      <c r="B22" s="154"/>
      <c r="C22" s="154"/>
      <c r="D22" s="154"/>
      <c r="E22" s="154"/>
      <c r="F22" s="154"/>
      <c r="G22" s="154"/>
      <c r="H22" s="154"/>
      <c r="I22" s="154"/>
      <c r="J22" s="154"/>
    </row>
    <row r="23" spans="1:10" ht="16.5" customHeight="1">
      <c r="A23" s="154"/>
      <c r="B23" s="154"/>
      <c r="C23" s="154"/>
      <c r="D23" s="154"/>
      <c r="E23" s="154"/>
      <c r="F23" s="154"/>
      <c r="G23" s="154"/>
      <c r="H23" s="154"/>
      <c r="I23" s="154"/>
      <c r="J23" s="154"/>
    </row>
    <row r="24" spans="1:10" ht="54" customHeight="1">
      <c r="A24" s="449" t="s">
        <v>741</v>
      </c>
      <c r="B24" s="449"/>
      <c r="C24" s="449"/>
      <c r="D24" s="449"/>
      <c r="E24" s="449"/>
      <c r="F24" s="449"/>
      <c r="G24" s="449"/>
      <c r="H24" s="449"/>
      <c r="I24" s="449"/>
      <c r="J24" s="449"/>
    </row>
    <row r="25" spans="1:10" ht="42" customHeight="1">
      <c r="A25" s="450" t="s">
        <v>742</v>
      </c>
      <c r="B25" s="450"/>
      <c r="C25" s="450"/>
      <c r="D25" s="450"/>
      <c r="E25" s="450"/>
      <c r="F25" s="450"/>
      <c r="G25" s="450"/>
      <c r="H25" s="450"/>
      <c r="I25" s="450"/>
      <c r="J25" s="450"/>
    </row>
    <row r="26" spans="1:10" ht="45" customHeight="1">
      <c r="A26" s="49"/>
      <c r="B26" s="49"/>
      <c r="C26" s="49"/>
      <c r="D26" s="49"/>
      <c r="E26" s="49"/>
      <c r="F26" s="49"/>
      <c r="G26" s="49"/>
      <c r="H26" s="49"/>
      <c r="I26" s="49"/>
      <c r="J26" s="49"/>
    </row>
    <row r="27" spans="1:10" ht="5.25" customHeight="1">
      <c r="A27" s="49"/>
      <c r="B27" s="49"/>
      <c r="C27" s="49"/>
      <c r="D27" s="49"/>
      <c r="E27" s="49"/>
      <c r="F27" s="49"/>
      <c r="G27" s="49"/>
      <c r="H27" s="49"/>
      <c r="I27" s="49"/>
      <c r="J27" s="49"/>
    </row>
    <row r="28" spans="1:10" ht="78.75" customHeight="1">
      <c r="A28" s="450" t="s">
        <v>945</v>
      </c>
      <c r="B28" s="450"/>
      <c r="C28" s="450"/>
      <c r="D28" s="450"/>
      <c r="E28" s="450"/>
      <c r="F28" s="450"/>
      <c r="G28" s="450"/>
      <c r="H28" s="450"/>
      <c r="I28" s="450"/>
      <c r="J28" s="450"/>
    </row>
    <row r="29" spans="1:10" ht="105" customHeight="1">
      <c r="A29" s="450" t="s">
        <v>944</v>
      </c>
      <c r="B29" s="450"/>
      <c r="C29" s="450"/>
      <c r="D29" s="450"/>
      <c r="E29" s="450"/>
      <c r="F29" s="450"/>
      <c r="G29" s="450"/>
      <c r="H29" s="450"/>
      <c r="I29" s="450"/>
      <c r="J29" s="450"/>
    </row>
    <row r="30" spans="1:10" ht="15.75" customHeight="1">
      <c r="A30" s="154"/>
      <c r="B30" s="154"/>
      <c r="C30" s="154"/>
      <c r="D30" s="154"/>
      <c r="E30" s="154"/>
      <c r="F30" s="154"/>
      <c r="G30" s="154"/>
      <c r="H30" s="154"/>
      <c r="I30" s="154"/>
      <c r="J30" s="154"/>
    </row>
    <row r="31" spans="1:10" ht="15.75" customHeight="1">
      <c r="A31" s="154"/>
      <c r="B31" s="154"/>
      <c r="C31" s="154"/>
      <c r="D31" s="154"/>
      <c r="E31" s="154"/>
      <c r="F31" s="154"/>
      <c r="G31" s="154"/>
      <c r="H31" s="154"/>
      <c r="I31" s="154"/>
      <c r="J31" s="154"/>
    </row>
    <row r="32" spans="1:10" ht="15.75" customHeight="1">
      <c r="A32" s="154"/>
      <c r="B32" s="154"/>
      <c r="C32" s="154"/>
      <c r="D32" s="154"/>
      <c r="E32" s="154"/>
      <c r="F32" s="154"/>
      <c r="G32" s="154"/>
      <c r="H32" s="154"/>
      <c r="I32" s="154"/>
      <c r="J32" s="154"/>
    </row>
    <row r="33" spans="1:10" ht="15.75" customHeight="1">
      <c r="A33" s="154"/>
      <c r="B33" s="154"/>
      <c r="C33" s="154"/>
      <c r="D33" s="154"/>
      <c r="E33" s="154"/>
      <c r="F33" s="154"/>
      <c r="G33" s="154"/>
      <c r="H33" s="154"/>
      <c r="I33" s="154"/>
      <c r="J33" s="154"/>
    </row>
    <row r="34" spans="1:10" ht="15.75" customHeight="1">
      <c r="A34" s="154"/>
      <c r="B34" s="154"/>
      <c r="C34" s="154"/>
      <c r="D34" s="154"/>
      <c r="E34" s="154"/>
      <c r="F34" s="154"/>
      <c r="G34" s="154"/>
      <c r="H34" s="154"/>
      <c r="I34" s="154"/>
      <c r="J34" s="154"/>
    </row>
    <row r="35" spans="1:10" ht="15.75" customHeight="1">
      <c r="A35" s="154"/>
      <c r="B35" s="154"/>
      <c r="C35" s="154"/>
      <c r="D35" s="154"/>
      <c r="E35" s="154"/>
      <c r="F35" s="154"/>
      <c r="G35" s="154"/>
      <c r="H35" s="154"/>
      <c r="I35" s="154"/>
      <c r="J35" s="154"/>
    </row>
    <row r="36" spans="1:10" ht="15.75" customHeight="1">
      <c r="A36" s="154"/>
      <c r="B36" s="154"/>
      <c r="C36" s="154"/>
      <c r="D36" s="154"/>
      <c r="E36" s="154"/>
      <c r="F36" s="154"/>
      <c r="G36" s="154"/>
      <c r="H36" s="154"/>
      <c r="I36" s="154"/>
      <c r="J36" s="154"/>
    </row>
    <row r="37" spans="1:10" ht="16.5" customHeight="1">
      <c r="A37" s="154"/>
      <c r="B37" s="154"/>
      <c r="C37" s="154"/>
      <c r="D37" s="154"/>
      <c r="E37" s="154"/>
      <c r="F37" s="154"/>
      <c r="G37" s="154"/>
      <c r="H37" s="154"/>
      <c r="I37" s="154"/>
      <c r="J37" s="154"/>
    </row>
    <row r="38" spans="1:10" ht="16.5" customHeight="1">
      <c r="A38" s="154"/>
      <c r="B38" s="154"/>
      <c r="C38" s="154"/>
      <c r="D38" s="154"/>
      <c r="E38" s="154"/>
      <c r="F38" s="154"/>
      <c r="G38" s="154"/>
      <c r="H38" s="154"/>
      <c r="I38" s="154"/>
      <c r="J38" s="154"/>
    </row>
    <row r="39" spans="1:10" ht="16.5" customHeight="1">
      <c r="A39" s="154"/>
      <c r="B39" s="154"/>
      <c r="C39" s="154"/>
      <c r="D39" s="154"/>
      <c r="E39" s="154"/>
      <c r="F39" s="154"/>
      <c r="G39" s="154"/>
      <c r="H39" s="154"/>
      <c r="I39" s="154"/>
      <c r="J39" s="154"/>
    </row>
    <row r="40" spans="1:10" ht="16.5" customHeight="1">
      <c r="A40" s="154"/>
      <c r="B40" s="154"/>
      <c r="C40" s="154"/>
      <c r="D40" s="154"/>
      <c r="E40" s="154"/>
      <c r="F40" s="154"/>
      <c r="G40" s="154"/>
      <c r="H40" s="154"/>
      <c r="I40" s="154"/>
      <c r="J40" s="154"/>
    </row>
    <row r="41" spans="1:10" ht="14.25" customHeight="1">
      <c r="A41" s="154"/>
      <c r="B41" s="154"/>
      <c r="C41" s="154"/>
      <c r="D41" s="154"/>
      <c r="E41" s="154"/>
      <c r="F41" s="154"/>
      <c r="G41" s="154"/>
      <c r="H41" s="154"/>
      <c r="I41" s="154"/>
      <c r="J41" s="154"/>
    </row>
    <row r="42" spans="1:10" ht="14.25" customHeight="1">
      <c r="A42" s="154"/>
      <c r="B42" s="154"/>
      <c r="C42" s="154"/>
      <c r="D42" s="154"/>
      <c r="E42" s="154"/>
      <c r="F42" s="154"/>
      <c r="G42" s="154"/>
      <c r="H42" s="154"/>
      <c r="I42" s="154"/>
      <c r="J42" s="154"/>
    </row>
    <row r="44" spans="1:10" ht="16.5" customHeight="1">
      <c r="A44" s="49"/>
      <c r="B44" s="49"/>
      <c r="C44" s="49"/>
      <c r="D44" s="49"/>
      <c r="E44" s="49"/>
      <c r="F44" s="49"/>
      <c r="G44" s="49"/>
      <c r="H44" s="49"/>
      <c r="I44" s="49"/>
      <c r="J44" s="49"/>
    </row>
    <row r="45" spans="1:10" ht="16.5" customHeight="1">
      <c r="A45" s="49"/>
      <c r="B45" s="49"/>
      <c r="C45" s="49"/>
      <c r="D45" s="49"/>
      <c r="E45" s="49"/>
      <c r="F45" s="49"/>
      <c r="G45" s="49"/>
      <c r="H45" s="49"/>
      <c r="I45" s="49"/>
      <c r="J45" s="49"/>
    </row>
    <row r="46" spans="1:10" ht="6" customHeight="1"/>
    <row r="47" spans="1:10" ht="80.25" customHeight="1">
      <c r="A47" s="450" t="s">
        <v>977</v>
      </c>
      <c r="B47" s="450"/>
      <c r="C47" s="450"/>
      <c r="D47" s="450"/>
      <c r="E47" s="450"/>
      <c r="F47" s="450"/>
      <c r="G47" s="450"/>
      <c r="H47" s="450"/>
      <c r="I47" s="450"/>
      <c r="J47" s="450"/>
    </row>
    <row r="58" spans="1:10" ht="39" customHeight="1">
      <c r="A58" s="450" t="s">
        <v>743</v>
      </c>
      <c r="B58" s="450"/>
      <c r="C58" s="450"/>
      <c r="D58" s="450"/>
      <c r="E58" s="450"/>
      <c r="F58" s="450"/>
      <c r="G58" s="450"/>
      <c r="H58" s="450"/>
      <c r="I58" s="450"/>
      <c r="J58" s="450"/>
    </row>
    <row r="61" spans="1:10" ht="18">
      <c r="A61" s="278" t="s">
        <v>779</v>
      </c>
    </row>
    <row r="62" spans="1:10">
      <c r="A62" s="279" t="s">
        <v>780</v>
      </c>
    </row>
    <row r="63" spans="1:10" ht="109.5" customHeight="1">
      <c r="A63" s="447" t="s">
        <v>782</v>
      </c>
      <c r="B63" s="447"/>
      <c r="C63" s="447"/>
      <c r="D63" s="447"/>
      <c r="E63" s="447"/>
      <c r="F63" s="447"/>
      <c r="G63" s="447"/>
      <c r="H63" s="447"/>
      <c r="I63" s="447"/>
      <c r="J63" s="447"/>
    </row>
    <row r="64" spans="1:10">
      <c r="A64" s="279" t="s">
        <v>781</v>
      </c>
    </row>
    <row r="65" spans="1:10" ht="109.5" customHeight="1">
      <c r="A65" s="447" t="s">
        <v>783</v>
      </c>
      <c r="B65" s="447"/>
      <c r="C65" s="447"/>
      <c r="D65" s="447"/>
      <c r="E65" s="447"/>
      <c r="F65" s="447"/>
      <c r="G65" s="447"/>
      <c r="H65" s="447"/>
      <c r="I65" s="447"/>
      <c r="J65" s="447"/>
    </row>
    <row r="66" spans="1:10" ht="33.75" customHeight="1">
      <c r="A66" s="448" t="s">
        <v>784</v>
      </c>
      <c r="B66" s="448"/>
      <c r="C66" s="448"/>
      <c r="D66" s="448"/>
      <c r="E66" s="448"/>
      <c r="F66" s="448"/>
      <c r="G66" s="448"/>
      <c r="H66" s="448"/>
      <c r="I66" s="448"/>
      <c r="J66" s="448"/>
    </row>
    <row r="67" spans="1:10" ht="97.5" customHeight="1">
      <c r="A67" s="447" t="s">
        <v>785</v>
      </c>
      <c r="B67" s="447"/>
      <c r="C67" s="447"/>
      <c r="D67" s="447"/>
      <c r="E67" s="447"/>
      <c r="F67" s="447"/>
      <c r="G67" s="447"/>
      <c r="H67" s="447"/>
      <c r="I67" s="447"/>
      <c r="J67" s="447"/>
    </row>
  </sheetData>
  <sheetProtection algorithmName="SHA-512" hashValue="Hc0qnnoUTh2xsfokn0OUcMZAmnbZoLanJnxfZ/m4suVESXFffIKh5o7BHg9j8J8VAQdN9hHOIQp4EEVQOd0SiA==" saltValue="OtdWyLS5zytDNL5ykCb0DA==" spinCount="100000" sheet="1" objects="1" scenarios="1"/>
  <mergeCells count="15">
    <mergeCell ref="A1:J3"/>
    <mergeCell ref="A6:J6"/>
    <mergeCell ref="A13:J13"/>
    <mergeCell ref="A15:J15"/>
    <mergeCell ref="A16:J16"/>
    <mergeCell ref="A63:J63"/>
    <mergeCell ref="A65:J65"/>
    <mergeCell ref="A67:J67"/>
    <mergeCell ref="A66:J66"/>
    <mergeCell ref="A24:J24"/>
    <mergeCell ref="A25:J25"/>
    <mergeCell ref="A28:J28"/>
    <mergeCell ref="A29:J29"/>
    <mergeCell ref="A47:J47"/>
    <mergeCell ref="A58:J5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6"/>
  <sheetViews>
    <sheetView showGridLines="0" showRowColHeaders="0" zoomScale="130" zoomScaleNormal="130" workbookViewId="0">
      <pane xSplit="3" ySplit="4" topLeftCell="D29" activePane="bottomRight" state="frozen"/>
      <selection pane="topRight" activeCell="D1" sqref="D1"/>
      <selection pane="bottomLeft" activeCell="A5" sqref="A5"/>
      <selection pane="bottomRight" sqref="A1:C3"/>
    </sheetView>
  </sheetViews>
  <sheetFormatPr defaultColWidth="8.88671875" defaultRowHeight="14.4"/>
  <cols>
    <col min="1" max="1" width="25.44140625" style="9" customWidth="1"/>
    <col min="2" max="2" width="2.109375" style="9" hidden="1" customWidth="1"/>
    <col min="3" max="3" width="60.6640625" style="9" customWidth="1"/>
    <col min="4" max="4" width="17.44140625" style="9" customWidth="1"/>
    <col min="5" max="5" width="68.44140625" style="9" customWidth="1"/>
    <col min="6" max="16384" width="8.88671875" style="9"/>
  </cols>
  <sheetData>
    <row r="1" spans="1:3" ht="22.5" customHeight="1">
      <c r="A1" s="451"/>
      <c r="B1" s="451"/>
      <c r="C1" s="451"/>
    </row>
    <row r="2" spans="1:3" ht="3" customHeight="1">
      <c r="A2" s="451"/>
      <c r="B2" s="451"/>
      <c r="C2" s="451"/>
    </row>
    <row r="3" spans="1:3" ht="22.5" customHeight="1">
      <c r="A3" s="453"/>
      <c r="B3" s="453"/>
      <c r="C3" s="453"/>
    </row>
    <row r="4" spans="1:3" s="5" customFormat="1">
      <c r="A4" s="4" t="s">
        <v>118</v>
      </c>
      <c r="B4" s="4"/>
      <c r="C4" s="4" t="s">
        <v>119</v>
      </c>
    </row>
    <row r="5" spans="1:3" s="8" customFormat="1">
      <c r="A5" s="378" t="s">
        <v>124</v>
      </c>
      <c r="B5" s="7"/>
      <c r="C5" s="379" t="s">
        <v>125</v>
      </c>
    </row>
    <row r="6" spans="1:3" s="8" customFormat="1" ht="57.6">
      <c r="A6" s="378" t="s">
        <v>172</v>
      </c>
      <c r="B6" s="7"/>
      <c r="C6" s="379" t="s">
        <v>886</v>
      </c>
    </row>
    <row r="7" spans="1:3" s="8" customFormat="1" ht="72">
      <c r="A7" s="378" t="s">
        <v>156</v>
      </c>
      <c r="B7" s="7"/>
      <c r="C7" s="379" t="s">
        <v>157</v>
      </c>
    </row>
    <row r="8" spans="1:3" s="8" customFormat="1" ht="28.8">
      <c r="A8" s="378" t="s">
        <v>147</v>
      </c>
      <c r="B8" s="7"/>
      <c r="C8" s="379" t="s">
        <v>887</v>
      </c>
    </row>
    <row r="9" spans="1:3" s="8" customFormat="1" ht="28.8">
      <c r="A9" s="378" t="s">
        <v>194</v>
      </c>
      <c r="B9" s="7"/>
      <c r="C9" s="379" t="s">
        <v>888</v>
      </c>
    </row>
    <row r="10" spans="1:3" s="8" customFormat="1" ht="43.2">
      <c r="A10" s="378" t="s">
        <v>889</v>
      </c>
      <c r="B10" s="7"/>
      <c r="C10" s="380" t="s">
        <v>890</v>
      </c>
    </row>
    <row r="11" spans="1:3" s="8" customFormat="1" ht="28.8">
      <c r="A11" s="378" t="s">
        <v>149</v>
      </c>
      <c r="B11" s="7"/>
      <c r="C11" s="379" t="s">
        <v>891</v>
      </c>
    </row>
    <row r="12" spans="1:3" s="8" customFormat="1" ht="86.4">
      <c r="A12" s="378" t="s">
        <v>48</v>
      </c>
      <c r="B12" s="7"/>
      <c r="C12" s="381" t="s">
        <v>177</v>
      </c>
    </row>
    <row r="13" spans="1:3" s="8" customFormat="1" ht="57.6">
      <c r="A13" s="378" t="s">
        <v>178</v>
      </c>
      <c r="B13" s="7"/>
      <c r="C13" s="381" t="s">
        <v>179</v>
      </c>
    </row>
    <row r="14" spans="1:3" s="8" customFormat="1" ht="100.8">
      <c r="A14" s="378" t="s">
        <v>184</v>
      </c>
      <c r="B14" s="7"/>
      <c r="C14" s="381" t="s">
        <v>185</v>
      </c>
    </row>
    <row r="15" spans="1:3" s="8" customFormat="1">
      <c r="A15" s="378" t="s">
        <v>126</v>
      </c>
      <c r="B15" s="7"/>
      <c r="C15" s="379" t="s">
        <v>127</v>
      </c>
    </row>
    <row r="16" spans="1:3" s="8" customFormat="1" ht="100.8">
      <c r="A16" s="378" t="s">
        <v>173</v>
      </c>
      <c r="B16" s="7"/>
      <c r="C16" s="379" t="s">
        <v>174</v>
      </c>
    </row>
    <row r="17" spans="1:3" s="8" customFormat="1" ht="86.4">
      <c r="A17" s="382" t="s">
        <v>186</v>
      </c>
      <c r="B17" s="383"/>
      <c r="C17" s="381" t="s">
        <v>187</v>
      </c>
    </row>
    <row r="18" spans="1:3" s="8" customFormat="1">
      <c r="A18" s="378" t="s">
        <v>63</v>
      </c>
      <c r="B18" s="7"/>
      <c r="C18" s="384" t="s">
        <v>892</v>
      </c>
    </row>
    <row r="19" spans="1:3" s="8" customFormat="1" ht="28.8">
      <c r="A19" s="378" t="s">
        <v>64</v>
      </c>
      <c r="B19" s="7"/>
      <c r="C19" s="385" t="s">
        <v>893</v>
      </c>
    </row>
    <row r="20" spans="1:3" s="8" customFormat="1">
      <c r="A20" s="378" t="s">
        <v>144</v>
      </c>
      <c r="B20" s="7"/>
      <c r="C20" s="380" t="s">
        <v>894</v>
      </c>
    </row>
    <row r="21" spans="1:3" s="8" customFormat="1">
      <c r="A21" s="378" t="s">
        <v>154</v>
      </c>
      <c r="B21" s="7"/>
      <c r="C21" s="386" t="s">
        <v>155</v>
      </c>
    </row>
    <row r="22" spans="1:3" s="8" customFormat="1" ht="43.2">
      <c r="A22" s="378" t="s">
        <v>158</v>
      </c>
      <c r="B22" s="7"/>
      <c r="C22" s="379" t="s">
        <v>159</v>
      </c>
    </row>
    <row r="23" spans="1:3" s="8" customFormat="1" ht="43.2">
      <c r="A23" s="378" t="s">
        <v>200</v>
      </c>
      <c r="B23" s="7"/>
      <c r="C23" s="387" t="s">
        <v>895</v>
      </c>
    </row>
    <row r="24" spans="1:3" s="8" customFormat="1">
      <c r="A24" s="378" t="s">
        <v>128</v>
      </c>
      <c r="B24" s="7"/>
      <c r="C24" s="379" t="s">
        <v>129</v>
      </c>
    </row>
    <row r="25" spans="1:3" s="8" customFormat="1">
      <c r="A25" s="378" t="s">
        <v>130</v>
      </c>
      <c r="B25" s="7"/>
      <c r="C25" s="379" t="s">
        <v>131</v>
      </c>
    </row>
    <row r="26" spans="1:3" s="8" customFormat="1" ht="57.6">
      <c r="A26" s="378" t="s">
        <v>50</v>
      </c>
      <c r="B26" s="7"/>
      <c r="C26" s="388" t="s">
        <v>896</v>
      </c>
    </row>
    <row r="27" spans="1:3" s="8" customFormat="1" ht="57.6">
      <c r="A27" s="378" t="s">
        <v>140</v>
      </c>
      <c r="B27" s="7"/>
      <c r="C27" s="385" t="s">
        <v>141</v>
      </c>
    </row>
    <row r="28" spans="1:3" s="8" customFormat="1" ht="28.8">
      <c r="A28" s="378" t="s">
        <v>70</v>
      </c>
      <c r="B28" s="7"/>
      <c r="C28" s="379" t="s">
        <v>132</v>
      </c>
    </row>
    <row r="29" spans="1:3" s="8" customFormat="1">
      <c r="A29" s="378" t="s">
        <v>163</v>
      </c>
      <c r="B29" s="7"/>
      <c r="C29" s="384" t="s">
        <v>897</v>
      </c>
    </row>
    <row r="30" spans="1:3" s="8" customFormat="1" ht="100.8">
      <c r="A30" s="378" t="s">
        <v>180</v>
      </c>
      <c r="B30" s="7"/>
      <c r="C30" s="379" t="s">
        <v>181</v>
      </c>
    </row>
    <row r="31" spans="1:3" s="8" customFormat="1" ht="43.2">
      <c r="A31" s="378" t="s">
        <v>133</v>
      </c>
      <c r="B31" s="7"/>
      <c r="C31" s="380" t="s">
        <v>898</v>
      </c>
    </row>
    <row r="32" spans="1:3" s="8" customFormat="1" ht="43.2">
      <c r="A32" s="378" t="s">
        <v>899</v>
      </c>
      <c r="B32" s="7"/>
      <c r="C32" s="379" t="s">
        <v>900</v>
      </c>
    </row>
    <row r="33" spans="1:3" s="8" customFormat="1">
      <c r="A33" s="378" t="s">
        <v>66</v>
      </c>
      <c r="B33" s="7"/>
      <c r="C33" s="384" t="s">
        <v>901</v>
      </c>
    </row>
    <row r="34" spans="1:3" s="8" customFormat="1">
      <c r="A34" s="378" t="s">
        <v>202</v>
      </c>
      <c r="B34" s="7"/>
      <c r="C34" s="379" t="s">
        <v>203</v>
      </c>
    </row>
    <row r="35" spans="1:3" s="8" customFormat="1" ht="28.8">
      <c r="A35" s="378" t="s">
        <v>90</v>
      </c>
      <c r="B35" s="7"/>
      <c r="C35" s="389" t="s">
        <v>902</v>
      </c>
    </row>
    <row r="36" spans="1:3" s="8" customFormat="1" ht="28.8">
      <c r="A36" s="378" t="s">
        <v>150</v>
      </c>
      <c r="B36" s="7"/>
      <c r="C36" s="381" t="s">
        <v>151</v>
      </c>
    </row>
    <row r="37" spans="1:3" s="8" customFormat="1" ht="28.8">
      <c r="A37" s="378" t="s">
        <v>167</v>
      </c>
      <c r="B37" s="7"/>
      <c r="C37" s="379" t="s">
        <v>168</v>
      </c>
    </row>
    <row r="38" spans="1:3" s="8" customFormat="1" ht="28.8">
      <c r="A38" s="378" t="s">
        <v>134</v>
      </c>
      <c r="B38" s="7"/>
      <c r="C38" s="380" t="s">
        <v>903</v>
      </c>
    </row>
    <row r="39" spans="1:3" s="8" customFormat="1" ht="57.6">
      <c r="A39" s="378" t="s">
        <v>904</v>
      </c>
      <c r="B39" s="7"/>
      <c r="C39" s="379" t="s">
        <v>905</v>
      </c>
    </row>
    <row r="40" spans="1:3" s="8" customFormat="1">
      <c r="A40" s="378" t="s">
        <v>169</v>
      </c>
      <c r="B40" s="7"/>
      <c r="C40" s="379" t="s">
        <v>170</v>
      </c>
    </row>
    <row r="41" spans="1:3" s="8" customFormat="1" ht="28.8">
      <c r="A41" s="378" t="s">
        <v>165</v>
      </c>
      <c r="B41" s="7"/>
      <c r="C41" s="379" t="s">
        <v>166</v>
      </c>
    </row>
    <row r="42" spans="1:3" s="8" customFormat="1">
      <c r="A42" s="378" t="s">
        <v>117</v>
      </c>
      <c r="B42" s="7"/>
      <c r="C42" s="379" t="s">
        <v>906</v>
      </c>
    </row>
    <row r="43" spans="1:3" s="8" customFormat="1">
      <c r="A43" s="378" t="s">
        <v>2</v>
      </c>
      <c r="B43" s="7"/>
      <c r="C43" s="379" t="s">
        <v>148</v>
      </c>
    </row>
    <row r="44" spans="1:3" s="8" customFormat="1" ht="43.2">
      <c r="A44" s="378" t="s">
        <v>143</v>
      </c>
      <c r="B44" s="7"/>
      <c r="C44" s="390" t="s">
        <v>907</v>
      </c>
    </row>
    <row r="45" spans="1:3" s="8" customFormat="1" ht="28.8">
      <c r="A45" s="378" t="s">
        <v>908</v>
      </c>
      <c r="B45" s="7"/>
      <c r="C45" s="390" t="s">
        <v>909</v>
      </c>
    </row>
    <row r="46" spans="1:3" s="8" customFormat="1" ht="57.6">
      <c r="A46" s="378" t="s">
        <v>162</v>
      </c>
      <c r="B46" s="7"/>
      <c r="C46" s="390" t="s">
        <v>910</v>
      </c>
    </row>
    <row r="47" spans="1:3" s="8" customFormat="1">
      <c r="A47" s="378" t="s">
        <v>72</v>
      </c>
      <c r="B47" s="7"/>
      <c r="C47" s="379" t="s">
        <v>911</v>
      </c>
    </row>
    <row r="48" spans="1:3" s="8" customFormat="1" ht="86.4">
      <c r="A48" s="378" t="s">
        <v>912</v>
      </c>
      <c r="B48" s="7"/>
      <c r="C48" s="379" t="s">
        <v>913</v>
      </c>
    </row>
    <row r="49" spans="1:3" s="8" customFormat="1" ht="28.8">
      <c r="A49" s="378" t="s">
        <v>120</v>
      </c>
      <c r="B49" s="7"/>
      <c r="C49" s="379" t="s">
        <v>121</v>
      </c>
    </row>
    <row r="50" spans="1:3" s="8" customFormat="1">
      <c r="A50" s="378" t="s">
        <v>65</v>
      </c>
      <c r="B50" s="7"/>
      <c r="C50" s="384" t="s">
        <v>914</v>
      </c>
    </row>
    <row r="51" spans="1:3" s="8" customFormat="1" ht="28.8">
      <c r="A51" s="378" t="s">
        <v>161</v>
      </c>
      <c r="B51" s="7"/>
      <c r="C51" s="391" t="s">
        <v>915</v>
      </c>
    </row>
    <row r="52" spans="1:3" s="8" customFormat="1">
      <c r="A52" s="378" t="s">
        <v>95</v>
      </c>
      <c r="B52" s="7"/>
      <c r="C52" s="384" t="s">
        <v>916</v>
      </c>
    </row>
    <row r="53" spans="1:3" s="8" customFormat="1">
      <c r="A53" s="378" t="s">
        <v>93</v>
      </c>
      <c r="B53" s="7"/>
      <c r="C53" s="384" t="s">
        <v>917</v>
      </c>
    </row>
    <row r="54" spans="1:3" s="8" customFormat="1">
      <c r="A54" s="378" t="s">
        <v>94</v>
      </c>
      <c r="B54" s="7"/>
      <c r="C54" s="384" t="s">
        <v>918</v>
      </c>
    </row>
    <row r="55" spans="1:3" s="8" customFormat="1" ht="28.8">
      <c r="A55" s="378" t="s">
        <v>152</v>
      </c>
      <c r="B55" s="7"/>
      <c r="C55" s="379" t="s">
        <v>153</v>
      </c>
    </row>
    <row r="56" spans="1:3" s="8" customFormat="1" ht="43.2">
      <c r="A56" s="378" t="s">
        <v>197</v>
      </c>
      <c r="B56" s="7"/>
      <c r="C56" s="388" t="s">
        <v>919</v>
      </c>
    </row>
    <row r="57" spans="1:3" s="8" customFormat="1">
      <c r="A57" s="378" t="s">
        <v>196</v>
      </c>
      <c r="B57" s="7"/>
      <c r="C57" s="379" t="s">
        <v>920</v>
      </c>
    </row>
    <row r="58" spans="1:3" s="8" customFormat="1" ht="72">
      <c r="A58" s="378" t="s">
        <v>182</v>
      </c>
      <c r="B58" s="7"/>
      <c r="C58" s="379" t="s">
        <v>183</v>
      </c>
    </row>
    <row r="59" spans="1:3" s="8" customFormat="1" ht="43.2">
      <c r="A59" s="382" t="s">
        <v>188</v>
      </c>
      <c r="B59" s="383"/>
      <c r="C59" s="381" t="s">
        <v>189</v>
      </c>
    </row>
    <row r="60" spans="1:3" s="8" customFormat="1" ht="72">
      <c r="A60" s="378" t="s">
        <v>190</v>
      </c>
      <c r="B60" s="7"/>
      <c r="C60" s="379" t="s">
        <v>191</v>
      </c>
    </row>
    <row r="61" spans="1:3" s="8" customFormat="1" ht="28.8">
      <c r="A61" s="378" t="s">
        <v>171</v>
      </c>
      <c r="B61" s="7"/>
      <c r="C61" s="385" t="s">
        <v>921</v>
      </c>
    </row>
    <row r="62" spans="1:3" s="8" customFormat="1" ht="28.8">
      <c r="A62" s="378" t="s">
        <v>160</v>
      </c>
      <c r="B62" s="7"/>
      <c r="C62" s="380" t="s">
        <v>922</v>
      </c>
    </row>
    <row r="63" spans="1:3" s="8" customFormat="1" ht="28.8">
      <c r="A63" s="378" t="s">
        <v>97</v>
      </c>
      <c r="B63" s="7"/>
      <c r="C63" s="380" t="s">
        <v>923</v>
      </c>
    </row>
    <row r="64" spans="1:3" s="8" customFormat="1" ht="28.8">
      <c r="A64" s="378" t="s">
        <v>69</v>
      </c>
      <c r="B64" s="7"/>
      <c r="C64" s="380" t="s">
        <v>924</v>
      </c>
    </row>
    <row r="65" spans="1:5" s="8" customFormat="1" ht="28.8">
      <c r="A65" s="378" t="s">
        <v>145</v>
      </c>
      <c r="B65" s="7"/>
      <c r="C65" s="392" t="s">
        <v>925</v>
      </c>
    </row>
    <row r="66" spans="1:5" s="8" customFormat="1" ht="28.8">
      <c r="A66" s="378" t="s">
        <v>68</v>
      </c>
      <c r="B66" s="7"/>
      <c r="C66" s="380" t="s">
        <v>926</v>
      </c>
    </row>
    <row r="67" spans="1:5" s="8" customFormat="1">
      <c r="A67" s="378" t="s">
        <v>122</v>
      </c>
      <c r="B67" s="7"/>
      <c r="C67" s="379" t="s">
        <v>123</v>
      </c>
    </row>
    <row r="68" spans="1:5" s="8" customFormat="1" ht="100.8">
      <c r="A68" s="378" t="s">
        <v>927</v>
      </c>
      <c r="B68" s="7"/>
      <c r="C68" s="393" t="s">
        <v>928</v>
      </c>
    </row>
    <row r="69" spans="1:5" s="8" customFormat="1" ht="126.6" customHeight="1">
      <c r="A69" s="378" t="s">
        <v>96</v>
      </c>
      <c r="B69" s="7"/>
      <c r="C69" s="380" t="s">
        <v>929</v>
      </c>
    </row>
    <row r="70" spans="1:5" ht="86.4" customHeight="1">
      <c r="A70" s="378" t="s">
        <v>175</v>
      </c>
      <c r="B70" s="7"/>
      <c r="C70" s="381" t="s">
        <v>176</v>
      </c>
    </row>
    <row r="71" spans="1:5" ht="57.6">
      <c r="A71" s="382" t="s">
        <v>192</v>
      </c>
      <c r="B71" s="383"/>
      <c r="C71" s="381" t="s">
        <v>193</v>
      </c>
      <c r="E71" s="10"/>
    </row>
    <row r="72" spans="1:5">
      <c r="A72" s="378" t="s">
        <v>206</v>
      </c>
      <c r="B72" s="7"/>
      <c r="C72" s="384" t="s">
        <v>930</v>
      </c>
    </row>
    <row r="73" spans="1:5">
      <c r="A73" s="378" t="s">
        <v>201</v>
      </c>
      <c r="B73" s="7"/>
      <c r="C73" s="387" t="s">
        <v>931</v>
      </c>
    </row>
    <row r="74" spans="1:5">
      <c r="A74" s="378" t="s">
        <v>198</v>
      </c>
      <c r="B74" s="7"/>
      <c r="C74" s="388" t="s">
        <v>199</v>
      </c>
    </row>
    <row r="75" spans="1:5">
      <c r="A75" s="378" t="s">
        <v>204</v>
      </c>
      <c r="B75" s="7"/>
      <c r="C75" s="379" t="s">
        <v>205</v>
      </c>
    </row>
    <row r="76" spans="1:5" ht="57.6">
      <c r="A76" s="378" t="s">
        <v>29</v>
      </c>
      <c r="B76" s="7"/>
      <c r="C76" s="388" t="s">
        <v>932</v>
      </c>
    </row>
    <row r="77" spans="1:5" ht="28.8">
      <c r="A77" s="378" t="s">
        <v>137</v>
      </c>
      <c r="B77" s="7"/>
      <c r="C77" s="380" t="s">
        <v>933</v>
      </c>
    </row>
    <row r="78" spans="1:5">
      <c r="A78" s="378" t="s">
        <v>51</v>
      </c>
      <c r="B78" s="7"/>
      <c r="C78" s="384" t="s">
        <v>934</v>
      </c>
    </row>
    <row r="79" spans="1:5" ht="43.2">
      <c r="A79" s="378" t="s">
        <v>164</v>
      </c>
      <c r="B79" s="7"/>
      <c r="C79" s="380" t="s">
        <v>935</v>
      </c>
    </row>
    <row r="80" spans="1:5">
      <c r="A80" s="378" t="s">
        <v>136</v>
      </c>
      <c r="B80" s="7"/>
      <c r="C80" s="384" t="s">
        <v>936</v>
      </c>
    </row>
    <row r="81" spans="1:3">
      <c r="A81" s="378" t="s">
        <v>67</v>
      </c>
      <c r="B81" s="7"/>
      <c r="C81" s="394" t="s">
        <v>937</v>
      </c>
    </row>
    <row r="82" spans="1:3" ht="57.6">
      <c r="A82" s="378" t="s">
        <v>138</v>
      </c>
      <c r="B82" s="7"/>
      <c r="C82" s="388" t="s">
        <v>938</v>
      </c>
    </row>
    <row r="83" spans="1:3">
      <c r="A83" s="378" t="s">
        <v>135</v>
      </c>
      <c r="B83" s="7"/>
      <c r="C83" s="385" t="s">
        <v>939</v>
      </c>
    </row>
    <row r="84" spans="1:3" ht="28.8">
      <c r="A84" s="378" t="s">
        <v>146</v>
      </c>
      <c r="B84" s="7"/>
      <c r="C84" s="380" t="s">
        <v>940</v>
      </c>
    </row>
    <row r="85" spans="1:3">
      <c r="A85" s="378" t="s">
        <v>139</v>
      </c>
      <c r="B85" s="7"/>
      <c r="C85" s="380" t="s">
        <v>941</v>
      </c>
    </row>
    <row r="86" spans="1:3">
      <c r="A86" s="395" t="s">
        <v>28</v>
      </c>
      <c r="B86" s="396"/>
      <c r="C86" s="397" t="s">
        <v>195</v>
      </c>
    </row>
  </sheetData>
  <sheetProtection algorithmName="SHA-512" hashValue="v6qWwisWh0IMSXt0tgmiP4SIJfpEzOIZK8pCuchZffRvJfv4QDTD9sMItGqwGARTCI4vA+9i+UA8HGvsAWqXVA==" saltValue="So0UL4fqLKW66b0/cbrxVg==" spinCount="100000" sheet="1" objects="1" scenarios="1"/>
  <sortState ref="A5:C91">
    <sortCondition ref="A5"/>
  </sortState>
  <mergeCells count="1">
    <mergeCell ref="A1:C3"/>
  </mergeCells>
  <pageMargins left="0.7" right="0.7" top="0.75" bottom="0.75" header="0.3" footer="0.3"/>
  <pageSetup paperSize="9" orientation="portrait" verticalDpi="3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showGridLines="0" showRowColHeaders="0" workbookViewId="0">
      <pane xSplit="10" ySplit="3" topLeftCell="K4" activePane="bottomRight" state="frozen"/>
      <selection pane="topRight" activeCell="K1" sqref="K1"/>
      <selection pane="bottomLeft" activeCell="A4" sqref="A4"/>
      <selection pane="bottomRight" sqref="A1:J3"/>
    </sheetView>
  </sheetViews>
  <sheetFormatPr defaultRowHeight="14.4"/>
  <sheetData>
    <row r="1" spans="1:10" ht="16.5" customHeight="1">
      <c r="A1" s="451"/>
      <c r="B1" s="451"/>
      <c r="C1" s="451"/>
      <c r="D1" s="451"/>
      <c r="E1" s="451"/>
      <c r="F1" s="451"/>
      <c r="G1" s="451"/>
      <c r="H1" s="451"/>
      <c r="I1" s="451"/>
      <c r="J1" s="451"/>
    </row>
    <row r="2" spans="1:10" ht="16.5" customHeight="1">
      <c r="A2" s="451"/>
      <c r="B2" s="451"/>
      <c r="C2" s="451"/>
      <c r="D2" s="451"/>
      <c r="E2" s="451"/>
      <c r="F2" s="451"/>
      <c r="G2" s="451"/>
      <c r="H2" s="451"/>
      <c r="I2" s="451"/>
      <c r="J2" s="451"/>
    </row>
    <row r="3" spans="1:10" ht="15" customHeight="1">
      <c r="A3" s="451"/>
      <c r="B3" s="451"/>
      <c r="C3" s="451"/>
      <c r="D3" s="451"/>
      <c r="E3" s="451"/>
      <c r="F3" s="451"/>
      <c r="G3" s="451"/>
      <c r="H3" s="451"/>
      <c r="I3" s="451"/>
      <c r="J3" s="451"/>
    </row>
  </sheetData>
  <sheetProtection algorithmName="SHA-512" hashValue="LQV7X0MdMqrN7zjnTmtOskNFwOLzLiuftXOO9N37vj0C2eFQjSQqOS5eS9KUXcakQEE3fCk4LxZ4WLLwDLglag==" saltValue="TAx3jPJp5Fpmr+z5z6Oqaw==" spinCount="100000" sheet="1" objects="1" scenarios="1"/>
  <mergeCells count="1">
    <mergeCell ref="A1:J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showRowColHeaders="0" zoomScale="130" zoomScaleNormal="130" workbookViewId="0">
      <pane xSplit="5" ySplit="4" topLeftCell="F7" activePane="bottomRight" state="frozen"/>
      <selection pane="topRight" activeCell="F1" sqref="F1"/>
      <selection pane="bottomLeft" activeCell="A5" sqref="A5"/>
      <selection pane="bottomRight" sqref="A1:E3"/>
    </sheetView>
  </sheetViews>
  <sheetFormatPr defaultColWidth="8.88671875" defaultRowHeight="14.4"/>
  <cols>
    <col min="1" max="1" width="17.5546875" style="9" customWidth="1"/>
    <col min="2" max="2" width="11.6640625" style="9" customWidth="1"/>
    <col min="3" max="3" width="26.6640625" style="9" customWidth="1"/>
    <col min="4" max="4" width="13.33203125" style="9" customWidth="1"/>
    <col min="5" max="5" width="7.109375" style="9" bestFit="1" customWidth="1"/>
    <col min="6" max="6" width="17.44140625" style="9" customWidth="1"/>
    <col min="7" max="7" width="68.44140625" style="9" customWidth="1"/>
    <col min="8" max="16384" width="8.88671875" style="9"/>
  </cols>
  <sheetData>
    <row r="1" spans="1:6" ht="24" customHeight="1">
      <c r="A1" s="451"/>
      <c r="B1" s="451"/>
      <c r="C1" s="451"/>
      <c r="D1" s="451"/>
      <c r="E1" s="451"/>
    </row>
    <row r="2" spans="1:6" ht="3" customHeight="1">
      <c r="A2" s="451"/>
      <c r="B2" s="451"/>
      <c r="C2" s="451"/>
      <c r="D2" s="451"/>
      <c r="E2" s="451"/>
    </row>
    <row r="3" spans="1:6" ht="20.25" customHeight="1">
      <c r="A3" s="453"/>
      <c r="B3" s="453"/>
      <c r="C3" s="453"/>
      <c r="D3" s="453"/>
      <c r="E3" s="453"/>
    </row>
    <row r="4" spans="1:6" s="5" customFormat="1">
      <c r="A4" s="4" t="s">
        <v>328</v>
      </c>
      <c r="B4" s="4" t="s">
        <v>332</v>
      </c>
      <c r="C4" s="4" t="s">
        <v>251</v>
      </c>
      <c r="D4" s="4" t="s">
        <v>64</v>
      </c>
      <c r="E4" s="4" t="s">
        <v>97</v>
      </c>
      <c r="F4" s="5" t="s">
        <v>126</v>
      </c>
    </row>
    <row r="5" spans="1:6" s="5" customFormat="1" ht="43.2">
      <c r="A5" s="6" t="s">
        <v>309</v>
      </c>
      <c r="B5" s="6" t="s">
        <v>331</v>
      </c>
      <c r="C5" s="7" t="s">
        <v>986</v>
      </c>
      <c r="D5" s="7" t="s">
        <v>987</v>
      </c>
      <c r="E5" s="7" t="s">
        <v>985</v>
      </c>
      <c r="F5" s="440" t="s">
        <v>978</v>
      </c>
    </row>
    <row r="6" spans="1:6" s="8" customFormat="1" ht="43.2">
      <c r="A6" s="6" t="s">
        <v>305</v>
      </c>
      <c r="B6" s="6" t="s">
        <v>306</v>
      </c>
      <c r="C6" s="7" t="s">
        <v>986</v>
      </c>
      <c r="D6" s="7" t="s">
        <v>987</v>
      </c>
      <c r="E6" s="7" t="s">
        <v>985</v>
      </c>
      <c r="F6" s="438" t="s">
        <v>979</v>
      </c>
    </row>
    <row r="7" spans="1:6" s="8" customFormat="1">
      <c r="A7" s="6" t="s">
        <v>252</v>
      </c>
      <c r="B7" s="6" t="s">
        <v>304</v>
      </c>
      <c r="C7" s="6" t="s">
        <v>308</v>
      </c>
      <c r="D7" s="7" t="s">
        <v>259</v>
      </c>
      <c r="E7" s="7" t="s">
        <v>258</v>
      </c>
      <c r="F7" s="438" t="s">
        <v>980</v>
      </c>
    </row>
    <row r="8" spans="1:6" s="8" customFormat="1">
      <c r="A8" s="6" t="s">
        <v>253</v>
      </c>
      <c r="B8" s="6" t="s">
        <v>304</v>
      </c>
      <c r="C8" s="6" t="s">
        <v>254</v>
      </c>
      <c r="D8" s="6" t="s">
        <v>255</v>
      </c>
      <c r="E8" s="6" t="s">
        <v>260</v>
      </c>
      <c r="F8" s="438" t="s">
        <v>981</v>
      </c>
    </row>
    <row r="9" spans="1:6">
      <c r="A9" s="6" t="s">
        <v>262</v>
      </c>
      <c r="B9" s="6" t="s">
        <v>304</v>
      </c>
      <c r="C9" s="6" t="s">
        <v>256</v>
      </c>
      <c r="D9" s="6" t="s">
        <v>257</v>
      </c>
      <c r="E9" s="6" t="s">
        <v>261</v>
      </c>
      <c r="F9" s="439" t="s">
        <v>982</v>
      </c>
    </row>
    <row r="10" spans="1:6" ht="43.2">
      <c r="A10" s="6" t="s">
        <v>310</v>
      </c>
      <c r="B10" s="6" t="s">
        <v>327</v>
      </c>
      <c r="C10" s="7" t="s">
        <v>986</v>
      </c>
      <c r="D10" s="7" t="s">
        <v>987</v>
      </c>
      <c r="E10" s="7" t="s">
        <v>985</v>
      </c>
      <c r="F10" s="439" t="s">
        <v>983</v>
      </c>
    </row>
    <row r="11" spans="1:6" ht="43.2">
      <c r="A11" s="6" t="s">
        <v>311</v>
      </c>
      <c r="B11" s="6" t="s">
        <v>327</v>
      </c>
      <c r="C11" s="7" t="s">
        <v>986</v>
      </c>
      <c r="D11" s="7" t="s">
        <v>987</v>
      </c>
      <c r="E11" s="7" t="s">
        <v>985</v>
      </c>
      <c r="F11" s="439" t="s">
        <v>984</v>
      </c>
    </row>
    <row r="12" spans="1:6" ht="28.8">
      <c r="A12" s="6" t="s">
        <v>333</v>
      </c>
      <c r="B12" s="6" t="s">
        <v>327</v>
      </c>
      <c r="C12" s="6" t="s">
        <v>988</v>
      </c>
      <c r="D12" s="7" t="s">
        <v>989</v>
      </c>
      <c r="E12" s="7" t="s">
        <v>985</v>
      </c>
    </row>
    <row r="13" spans="1:6" ht="28.8">
      <c r="A13" s="6" t="s">
        <v>334</v>
      </c>
      <c r="B13" s="6" t="s">
        <v>327</v>
      </c>
      <c r="C13" s="6" t="s">
        <v>988</v>
      </c>
      <c r="D13" s="7" t="s">
        <v>990</v>
      </c>
      <c r="E13" s="7" t="s">
        <v>985</v>
      </c>
    </row>
    <row r="14" spans="1:6" ht="28.8">
      <c r="A14" s="6" t="s">
        <v>335</v>
      </c>
      <c r="B14" s="6" t="s">
        <v>327</v>
      </c>
      <c r="C14" s="6" t="s">
        <v>988</v>
      </c>
      <c r="D14" s="7" t="s">
        <v>990</v>
      </c>
      <c r="E14" s="7" t="s">
        <v>985</v>
      </c>
    </row>
    <row r="15" spans="1:6" ht="43.2">
      <c r="A15" s="6" t="s">
        <v>336</v>
      </c>
      <c r="B15" s="6" t="s">
        <v>327</v>
      </c>
      <c r="C15" s="7" t="s">
        <v>991</v>
      </c>
      <c r="D15" s="7" t="s">
        <v>992</v>
      </c>
      <c r="E15" s="7" t="s">
        <v>985</v>
      </c>
    </row>
    <row r="16" spans="1:6" ht="43.2">
      <c r="A16" s="6" t="s">
        <v>337</v>
      </c>
      <c r="B16" s="6" t="s">
        <v>327</v>
      </c>
      <c r="C16" s="7" t="s">
        <v>991</v>
      </c>
      <c r="D16" s="7" t="s">
        <v>992</v>
      </c>
      <c r="E16" s="7" t="s">
        <v>985</v>
      </c>
    </row>
    <row r="17" spans="1:5" ht="43.2">
      <c r="A17" s="6" t="s">
        <v>768</v>
      </c>
      <c r="B17" s="6" t="s">
        <v>327</v>
      </c>
      <c r="C17" s="7" t="s">
        <v>991</v>
      </c>
      <c r="D17" s="7" t="s">
        <v>992</v>
      </c>
      <c r="E17" s="7" t="s">
        <v>985</v>
      </c>
    </row>
    <row r="18" spans="1:5">
      <c r="A18" s="6"/>
      <c r="B18" s="6" t="s">
        <v>326</v>
      </c>
      <c r="C18" s="6"/>
      <c r="D18" s="7" t="s">
        <v>312</v>
      </c>
      <c r="E18" s="7" t="s">
        <v>313</v>
      </c>
    </row>
    <row r="19" spans="1:5">
      <c r="A19" s="6"/>
      <c r="B19" s="6" t="s">
        <v>326</v>
      </c>
      <c r="C19" s="6"/>
      <c r="D19" s="7" t="s">
        <v>314</v>
      </c>
      <c r="E19" s="7" t="s">
        <v>315</v>
      </c>
    </row>
    <row r="20" spans="1:5">
      <c r="A20" s="6"/>
      <c r="B20" s="6" t="s">
        <v>326</v>
      </c>
      <c r="C20" s="6"/>
      <c r="D20" s="7" t="s">
        <v>316</v>
      </c>
      <c r="E20" s="7" t="s">
        <v>317</v>
      </c>
    </row>
    <row r="21" spans="1:5">
      <c r="A21" s="6"/>
      <c r="B21" s="6" t="s">
        <v>326</v>
      </c>
      <c r="C21" s="6"/>
      <c r="D21" s="7" t="s">
        <v>257</v>
      </c>
      <c r="E21" s="7" t="s">
        <v>261</v>
      </c>
    </row>
    <row r="22" spans="1:5" ht="16.5" customHeight="1">
      <c r="A22" s="6"/>
      <c r="B22" s="6" t="s">
        <v>326</v>
      </c>
      <c r="C22" s="6"/>
      <c r="D22" s="7" t="s">
        <v>318</v>
      </c>
      <c r="E22" s="7" t="s">
        <v>258</v>
      </c>
    </row>
    <row r="23" spans="1:5">
      <c r="A23" s="6"/>
      <c r="B23" s="6" t="s">
        <v>326</v>
      </c>
      <c r="C23" s="6"/>
      <c r="D23" s="7" t="s">
        <v>319</v>
      </c>
      <c r="E23" s="7" t="s">
        <v>258</v>
      </c>
    </row>
    <row r="24" spans="1:5">
      <c r="A24" s="6"/>
      <c r="B24" s="6" t="s">
        <v>326</v>
      </c>
      <c r="C24" s="6"/>
      <c r="D24" s="7" t="s">
        <v>321</v>
      </c>
      <c r="E24" s="7" t="s">
        <v>320</v>
      </c>
    </row>
    <row r="25" spans="1:5">
      <c r="A25" s="6"/>
      <c r="B25" s="6" t="s">
        <v>326</v>
      </c>
      <c r="C25" s="6"/>
      <c r="D25" s="7" t="s">
        <v>322</v>
      </c>
      <c r="E25" s="7" t="s">
        <v>323</v>
      </c>
    </row>
    <row r="26" spans="1:5">
      <c r="A26" s="6"/>
      <c r="B26" s="6" t="s">
        <v>326</v>
      </c>
      <c r="C26" s="6"/>
      <c r="D26" s="7" t="s">
        <v>255</v>
      </c>
      <c r="E26" s="7" t="s">
        <v>260</v>
      </c>
    </row>
    <row r="27" spans="1:5">
      <c r="A27" s="6"/>
      <c r="B27" s="6" t="s">
        <v>326</v>
      </c>
      <c r="C27" s="6"/>
      <c r="D27" s="7" t="s">
        <v>324</v>
      </c>
      <c r="E27" s="7" t="s">
        <v>325</v>
      </c>
    </row>
    <row r="28" spans="1:5">
      <c r="A28" s="6"/>
      <c r="B28" s="6" t="s">
        <v>326</v>
      </c>
      <c r="C28" s="6"/>
      <c r="D28" s="7" t="s">
        <v>338</v>
      </c>
      <c r="E28" s="7" t="s">
        <v>325</v>
      </c>
    </row>
    <row r="29" spans="1:5" ht="13.5" customHeight="1"/>
    <row r="30" spans="1:5">
      <c r="A30" s="6"/>
      <c r="B30" s="6"/>
      <c r="C30" s="6"/>
      <c r="D30" s="7"/>
      <c r="E30" s="7"/>
    </row>
    <row r="31" spans="1:5">
      <c r="A31" s="6"/>
      <c r="B31" s="6"/>
      <c r="C31" s="6"/>
      <c r="D31" s="7"/>
      <c r="E31" s="7"/>
    </row>
  </sheetData>
  <sheetProtection algorithmName="SHA-512" hashValue="l06bOl71+TTLlxG1VUKrsPkB3P2xooMQ7Fx+93OGf1ZtoS06gncVZZYUS7tVP5o7vt0dHn3aMgS0qUi4Xceeiw==" saltValue="98l1ZcIIv/3QaMS+ipZ4fw==" spinCount="100000" sheet="1" objects="1" scenarios="1"/>
  <mergeCells count="1">
    <mergeCell ref="A1:E3"/>
  </mergeCells>
  <pageMargins left="0.7" right="0.7" top="0.75" bottom="0.75" header="0.3" footer="0.3"/>
  <pageSetup paperSize="9" orientation="portrait"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5"/>
  <sheetViews>
    <sheetView showGridLines="0" showRowColHeaders="0" tabSelected="1" zoomScaleNormal="100" workbookViewId="0">
      <pane ySplit="3" topLeftCell="A116" activePane="bottomLeft" state="frozen"/>
      <selection sqref="A1:E3"/>
      <selection pane="bottomLeft" activeCell="E151" sqref="E151:J167"/>
    </sheetView>
  </sheetViews>
  <sheetFormatPr defaultColWidth="9.109375" defaultRowHeight="14.4"/>
  <cols>
    <col min="1" max="9" width="9" style="155" customWidth="1"/>
    <col min="10" max="11" width="6" style="155" customWidth="1"/>
    <col min="12" max="18" width="9" style="155" customWidth="1"/>
    <col min="19" max="16384" width="9.109375" style="155"/>
  </cols>
  <sheetData>
    <row r="1" spans="1:14" s="40" customFormat="1" ht="35.25" customHeight="1" thickTop="1" thickBot="1">
      <c r="A1" s="43"/>
      <c r="B1" s="44" t="s">
        <v>112</v>
      </c>
      <c r="C1" s="44" t="s">
        <v>211</v>
      </c>
      <c r="D1" s="78" t="s">
        <v>329</v>
      </c>
      <c r="E1" s="45" t="s">
        <v>138</v>
      </c>
      <c r="F1" s="44" t="s">
        <v>140</v>
      </c>
      <c r="G1" s="44" t="s">
        <v>212</v>
      </c>
      <c r="H1" s="46" t="s">
        <v>213</v>
      </c>
      <c r="I1" s="73" t="s">
        <v>98</v>
      </c>
      <c r="J1" s="494"/>
      <c r="K1" s="495"/>
    </row>
    <row r="2" spans="1:14" s="40" customFormat="1" ht="0.75" customHeight="1" thickTop="1" thickBot="1">
      <c r="A2" s="43"/>
      <c r="B2" s="155"/>
      <c r="C2" s="155"/>
      <c r="D2" s="155"/>
      <c r="E2" s="155"/>
      <c r="F2" s="155"/>
      <c r="G2" s="155"/>
      <c r="H2" s="155"/>
      <c r="I2" s="155"/>
      <c r="J2" s="496"/>
      <c r="K2" s="497"/>
    </row>
    <row r="3" spans="1:14" s="40" customFormat="1" ht="36" customHeight="1" thickTop="1" thickBot="1">
      <c r="A3" s="52" t="s">
        <v>209</v>
      </c>
      <c r="B3" s="46" t="s">
        <v>216</v>
      </c>
      <c r="C3" s="77" t="s">
        <v>292</v>
      </c>
      <c r="D3" s="54" t="s">
        <v>214</v>
      </c>
      <c r="E3" s="54" t="s">
        <v>215</v>
      </c>
      <c r="F3" s="54" t="s">
        <v>117</v>
      </c>
      <c r="G3" s="54" t="s">
        <v>169</v>
      </c>
      <c r="H3" s="290" t="s">
        <v>814</v>
      </c>
      <c r="I3" s="74" t="s">
        <v>164</v>
      </c>
      <c r="J3" s="498"/>
      <c r="K3" s="499"/>
      <c r="N3" s="53"/>
    </row>
    <row r="4" spans="1:14" s="40" customFormat="1" ht="4.5" customHeight="1" thickTop="1"/>
    <row r="5" spans="1:14" ht="6.75" customHeight="1"/>
    <row r="19" spans="1:10" ht="15" customHeight="1">
      <c r="A19" s="14"/>
      <c r="B19" s="14"/>
      <c r="C19" s="502" t="str">
        <f>IF(Data!C5="","",Data!C5)</f>
        <v>MERIDA VOCATIONAL SCHOOL</v>
      </c>
      <c r="D19" s="502"/>
      <c r="E19" s="502"/>
      <c r="F19" s="502"/>
      <c r="G19" s="502"/>
      <c r="H19" s="502"/>
      <c r="I19" s="15"/>
      <c r="J19" s="14"/>
    </row>
    <row r="20" spans="1:10" ht="15" customHeight="1">
      <c r="A20" s="14"/>
      <c r="B20" s="14"/>
      <c r="C20" s="502"/>
      <c r="D20" s="502"/>
      <c r="E20" s="502"/>
      <c r="F20" s="502"/>
      <c r="G20" s="502"/>
      <c r="H20" s="502"/>
      <c r="I20" s="15"/>
      <c r="J20" s="14"/>
    </row>
    <row r="21" spans="1:10" ht="15" customHeight="1">
      <c r="A21" s="14"/>
      <c r="B21" s="14"/>
      <c r="C21" s="502"/>
      <c r="D21" s="502"/>
      <c r="E21" s="502"/>
      <c r="F21" s="502"/>
      <c r="G21" s="502"/>
      <c r="H21" s="502"/>
      <c r="I21" s="15"/>
      <c r="J21" s="14"/>
    </row>
    <row r="22" spans="1:10" ht="15" customHeight="1">
      <c r="A22" s="14"/>
      <c r="B22" s="14"/>
      <c r="C22" s="503" t="str">
        <f>IF(Data!C7="","",Data!C7)</f>
        <v>Poblacion, Merida, Leyte</v>
      </c>
      <c r="D22" s="503"/>
      <c r="E22" s="503"/>
      <c r="F22" s="503"/>
      <c r="G22" s="503"/>
      <c r="H22" s="503"/>
      <c r="I22" s="16"/>
      <c r="J22" s="14"/>
    </row>
    <row r="23" spans="1:10" ht="15" customHeight="1">
      <c r="A23" s="14"/>
      <c r="B23" s="14"/>
      <c r="C23" s="503"/>
      <c r="D23" s="503"/>
      <c r="E23" s="503"/>
      <c r="F23" s="503"/>
      <c r="G23" s="503"/>
      <c r="H23" s="503"/>
      <c r="I23" s="16"/>
      <c r="J23" s="14"/>
    </row>
    <row r="24" spans="1:10" ht="15" customHeight="1">
      <c r="A24" s="14"/>
      <c r="B24" s="14"/>
      <c r="C24" s="503"/>
      <c r="D24" s="503"/>
      <c r="E24" s="503"/>
      <c r="F24" s="503"/>
      <c r="G24" s="503"/>
      <c r="H24" s="503"/>
      <c r="I24" s="16"/>
      <c r="J24" s="14"/>
    </row>
    <row r="25" spans="1:10" ht="23.4">
      <c r="A25" s="14"/>
      <c r="B25" s="14"/>
      <c r="C25" s="504" t="str">
        <f>IF(Data!C6="","",CONCATENATE(Data!A6,Data!C6))</f>
        <v>School ID:303408</v>
      </c>
      <c r="D25" s="504"/>
      <c r="E25" s="504"/>
      <c r="F25" s="504"/>
      <c r="G25" s="504"/>
      <c r="H25" s="504"/>
      <c r="I25" s="14"/>
      <c r="J25" s="14"/>
    </row>
    <row r="26" spans="1:10">
      <c r="A26" s="14"/>
      <c r="B26" s="14"/>
      <c r="C26" s="477" t="str">
        <f>IF(Data!H6="","",Data!H6)</f>
        <v>Junior High School (w/ SHS)</v>
      </c>
      <c r="D26" s="477"/>
      <c r="E26" s="477"/>
      <c r="F26" s="477"/>
      <c r="G26" s="477"/>
      <c r="H26" s="477"/>
      <c r="I26" s="14"/>
      <c r="J26" s="14"/>
    </row>
    <row r="27" spans="1:10">
      <c r="C27" s="477" t="str">
        <f>IF(Data!G11="","",CONCATENATE("S.Y."," ",Data!G11))</f>
        <v>S.Y. 2018-2019</v>
      </c>
      <c r="D27" s="477"/>
      <c r="E27" s="477"/>
      <c r="F27" s="477"/>
      <c r="G27" s="477"/>
      <c r="H27" s="477"/>
    </row>
    <row r="59" spans="1:11" ht="28.2">
      <c r="A59" s="143" t="s">
        <v>96</v>
      </c>
      <c r="B59" s="17"/>
      <c r="C59" s="17"/>
      <c r="D59" s="17"/>
      <c r="E59" s="17"/>
      <c r="F59" s="17"/>
      <c r="G59" s="17"/>
      <c r="H59" s="17"/>
      <c r="I59" s="17"/>
      <c r="J59" s="17"/>
      <c r="K59" s="17"/>
    </row>
    <row r="60" spans="1:11" ht="25.2">
      <c r="A60" s="142" t="s">
        <v>130</v>
      </c>
      <c r="B60" s="17"/>
      <c r="C60" s="17"/>
      <c r="D60" s="17"/>
      <c r="E60" s="17"/>
      <c r="F60" s="17"/>
      <c r="G60" s="17"/>
      <c r="H60" s="17"/>
      <c r="I60" s="17"/>
      <c r="J60" s="17"/>
      <c r="K60" s="17"/>
    </row>
    <row r="61" spans="1:11">
      <c r="K61" s="12"/>
    </row>
    <row r="92" spans="1:11">
      <c r="A92" s="507" t="str">
        <f>INDEX(Helper!$L$221:$L$225,MATCH(Home!$O$1,Helper!$A$221:$A$225,0))</f>
        <v>From SY 2017-2018 the number of male enrollees increased from 741 to 772, and the number of female enrollees increased from 677 to 733. This can be attributed to:</v>
      </c>
      <c r="B92" s="507"/>
      <c r="C92" s="507"/>
      <c r="D92" s="507"/>
      <c r="E92" s="507"/>
      <c r="F92" s="507"/>
      <c r="G92" s="507"/>
      <c r="H92" s="507"/>
      <c r="I92" s="507"/>
      <c r="J92" s="507"/>
      <c r="K92" s="19"/>
    </row>
    <row r="93" spans="1:11">
      <c r="A93" s="507"/>
      <c r="B93" s="507"/>
      <c r="C93" s="507"/>
      <c r="D93" s="507"/>
      <c r="E93" s="507"/>
      <c r="F93" s="507"/>
      <c r="G93" s="507"/>
      <c r="H93" s="507"/>
      <c r="I93" s="507"/>
      <c r="J93" s="507"/>
      <c r="K93" s="19"/>
    </row>
    <row r="94" spans="1:11">
      <c r="A94" s="507"/>
      <c r="B94" s="507"/>
      <c r="C94" s="507"/>
      <c r="D94" s="507"/>
      <c r="E94" s="507"/>
      <c r="F94" s="507"/>
      <c r="G94" s="507"/>
      <c r="H94" s="507"/>
      <c r="I94" s="507"/>
      <c r="J94" s="507"/>
      <c r="K94" s="19"/>
    </row>
    <row r="95" spans="1:11">
      <c r="A95" s="507"/>
      <c r="B95" s="507"/>
      <c r="C95" s="507"/>
      <c r="D95" s="507"/>
      <c r="E95" s="507"/>
      <c r="F95" s="507"/>
      <c r="G95" s="507"/>
      <c r="H95" s="507"/>
      <c r="I95" s="507"/>
      <c r="J95" s="507"/>
      <c r="K95" s="19"/>
    </row>
    <row r="96" spans="1:11">
      <c r="A96" s="507"/>
      <c r="B96" s="507"/>
      <c r="C96" s="507"/>
      <c r="D96" s="507"/>
      <c r="E96" s="507"/>
      <c r="F96" s="507"/>
      <c r="G96" s="507"/>
      <c r="H96" s="507"/>
      <c r="I96" s="507"/>
      <c r="J96" s="507"/>
      <c r="K96" s="19"/>
    </row>
    <row r="97" spans="1:11">
      <c r="A97" s="507"/>
      <c r="B97" s="507"/>
      <c r="C97" s="507"/>
      <c r="D97" s="507"/>
      <c r="E97" s="507"/>
      <c r="F97" s="507"/>
      <c r="G97" s="507"/>
      <c r="H97" s="507"/>
      <c r="I97" s="507"/>
      <c r="J97" s="507"/>
      <c r="K97" s="19"/>
    </row>
    <row r="98" spans="1:11">
      <c r="A98" s="507"/>
      <c r="B98" s="507"/>
      <c r="C98" s="507"/>
      <c r="D98" s="507"/>
      <c r="E98" s="507"/>
      <c r="F98" s="507"/>
      <c r="G98" s="507"/>
      <c r="H98" s="507"/>
      <c r="I98" s="507"/>
      <c r="J98" s="507"/>
      <c r="K98" s="19"/>
    </row>
    <row r="99" spans="1:11">
      <c r="A99" s="507"/>
      <c r="B99" s="507"/>
      <c r="C99" s="507"/>
      <c r="D99" s="507"/>
      <c r="E99" s="507"/>
      <c r="F99" s="507"/>
      <c r="G99" s="507"/>
      <c r="H99" s="507"/>
      <c r="I99" s="507"/>
      <c r="J99" s="507"/>
      <c r="K99" s="19"/>
    </row>
    <row r="100" spans="1:11" ht="15" customHeight="1">
      <c r="A100" s="510" t="s">
        <v>806</v>
      </c>
      <c r="B100" s="510"/>
      <c r="C100" s="510"/>
      <c r="D100" s="510"/>
      <c r="E100" s="510"/>
      <c r="F100" s="510"/>
      <c r="G100" s="510"/>
      <c r="H100" s="510"/>
      <c r="I100" s="510"/>
      <c r="J100" s="510"/>
      <c r="K100" s="19"/>
    </row>
    <row r="101" spans="1:11" ht="15" customHeight="1">
      <c r="A101" s="510"/>
      <c r="B101" s="510"/>
      <c r="C101" s="510"/>
      <c r="D101" s="510"/>
      <c r="E101" s="510"/>
      <c r="F101" s="510"/>
      <c r="G101" s="510"/>
      <c r="H101" s="510"/>
      <c r="I101" s="510"/>
      <c r="J101" s="510"/>
      <c r="K101" s="19"/>
    </row>
    <row r="102" spans="1:11" ht="15" customHeight="1">
      <c r="A102" s="510"/>
      <c r="B102" s="510"/>
      <c r="C102" s="510"/>
      <c r="D102" s="510"/>
      <c r="E102" s="510"/>
      <c r="F102" s="510"/>
      <c r="G102" s="510"/>
      <c r="H102" s="510"/>
      <c r="I102" s="510"/>
      <c r="J102" s="510"/>
      <c r="K102" s="19"/>
    </row>
    <row r="103" spans="1:11" ht="15" customHeight="1">
      <c r="A103" s="510"/>
      <c r="B103" s="510"/>
      <c r="C103" s="510"/>
      <c r="D103" s="510"/>
      <c r="E103" s="510"/>
      <c r="F103" s="510"/>
      <c r="G103" s="510"/>
      <c r="H103" s="510"/>
      <c r="I103" s="510"/>
      <c r="J103" s="510"/>
      <c r="K103" s="19"/>
    </row>
    <row r="104" spans="1:11" ht="15" customHeight="1">
      <c r="A104" s="510"/>
      <c r="B104" s="510"/>
      <c r="C104" s="510"/>
      <c r="D104" s="510"/>
      <c r="E104" s="510"/>
      <c r="F104" s="510"/>
      <c r="G104" s="510"/>
      <c r="H104" s="510"/>
      <c r="I104" s="510"/>
      <c r="J104" s="510"/>
      <c r="K104" s="19"/>
    </row>
    <row r="105" spans="1:11" ht="15" customHeight="1">
      <c r="A105" s="510"/>
      <c r="B105" s="510"/>
      <c r="C105" s="510"/>
      <c r="D105" s="510"/>
      <c r="E105" s="510"/>
      <c r="F105" s="510"/>
      <c r="G105" s="510"/>
      <c r="H105" s="510"/>
      <c r="I105" s="510"/>
      <c r="J105" s="510"/>
      <c r="K105" s="19"/>
    </row>
    <row r="106" spans="1:11" ht="15" customHeight="1">
      <c r="A106" s="510"/>
      <c r="B106" s="510"/>
      <c r="C106" s="510"/>
      <c r="D106" s="510"/>
      <c r="E106" s="510"/>
      <c r="F106" s="510"/>
      <c r="G106" s="510"/>
      <c r="H106" s="510"/>
      <c r="I106" s="510"/>
      <c r="J106" s="510"/>
      <c r="K106" s="19"/>
    </row>
    <row r="107" spans="1:11" ht="15" customHeight="1">
      <c r="A107" s="510"/>
      <c r="B107" s="510"/>
      <c r="C107" s="510"/>
      <c r="D107" s="510"/>
      <c r="E107" s="510"/>
      <c r="F107" s="510"/>
      <c r="G107" s="510"/>
      <c r="H107" s="510"/>
      <c r="I107" s="510"/>
      <c r="J107" s="510"/>
      <c r="K107" s="19"/>
    </row>
    <row r="108" spans="1:11" ht="15" customHeight="1">
      <c r="A108" s="510"/>
      <c r="B108" s="510"/>
      <c r="C108" s="510"/>
      <c r="D108" s="510"/>
      <c r="E108" s="510"/>
      <c r="F108" s="510"/>
      <c r="G108" s="510"/>
      <c r="H108" s="510"/>
      <c r="I108" s="510"/>
      <c r="J108" s="510"/>
      <c r="K108" s="19"/>
    </row>
    <row r="109" spans="1:11" ht="15" customHeight="1">
      <c r="A109" s="510"/>
      <c r="B109" s="510"/>
      <c r="C109" s="510"/>
      <c r="D109" s="510"/>
      <c r="E109" s="510"/>
      <c r="F109" s="510"/>
      <c r="G109" s="510"/>
      <c r="H109" s="510"/>
      <c r="I109" s="510"/>
      <c r="J109" s="510"/>
      <c r="K109" s="19"/>
    </row>
    <row r="110" spans="1:11" ht="15" customHeight="1">
      <c r="A110" s="510"/>
      <c r="B110" s="510"/>
      <c r="C110" s="510"/>
      <c r="D110" s="510"/>
      <c r="E110" s="510"/>
      <c r="F110" s="510"/>
      <c r="G110" s="510"/>
      <c r="H110" s="510"/>
      <c r="I110" s="510"/>
      <c r="J110" s="510"/>
      <c r="K110" s="19"/>
    </row>
    <row r="111" spans="1:11" ht="11.25" customHeight="1">
      <c r="A111" s="510"/>
      <c r="B111" s="510"/>
      <c r="C111" s="510"/>
      <c r="D111" s="510"/>
      <c r="E111" s="510"/>
      <c r="F111" s="510"/>
      <c r="G111" s="510"/>
      <c r="H111" s="510"/>
      <c r="I111" s="510"/>
      <c r="J111" s="510"/>
      <c r="K111" s="12"/>
    </row>
    <row r="112" spans="1:11" ht="11.25" customHeight="1"/>
    <row r="113" spans="1:11" ht="11.25" customHeight="1"/>
    <row r="114" spans="1:11" ht="28.8">
      <c r="A114" s="20"/>
      <c r="B114" s="17"/>
      <c r="C114" s="17"/>
      <c r="D114" s="17"/>
      <c r="E114" s="17"/>
      <c r="F114" s="17"/>
      <c r="G114" s="17"/>
      <c r="H114" s="17"/>
      <c r="I114" s="17"/>
      <c r="J114" s="17"/>
      <c r="K114" s="17"/>
    </row>
    <row r="115" spans="1:11" ht="25.2">
      <c r="A115" s="142" t="s">
        <v>133</v>
      </c>
      <c r="B115" s="17"/>
      <c r="C115" s="17"/>
      <c r="D115" s="17"/>
      <c r="E115" s="17"/>
      <c r="F115" s="17"/>
      <c r="G115" s="17"/>
      <c r="H115" s="17"/>
      <c r="I115" s="17"/>
      <c r="J115" s="17"/>
      <c r="K115" s="17"/>
    </row>
    <row r="151" spans="5:10">
      <c r="E151" s="505" t="str">
        <f>INDEX(Helper!$S$242:$S$246,MATCH(Home!$O$1,Helper!$A$242:$A$246,0))</f>
        <v>In the current school year, 14.77 percent (114 of 772) of the male learners fall outside normal health status while 7.91 percent (58 of 733) of the female learners fall outside normal health status.</v>
      </c>
      <c r="F151" s="505"/>
      <c r="G151" s="505"/>
      <c r="H151" s="505"/>
      <c r="I151" s="505"/>
      <c r="J151" s="505"/>
    </row>
    <row r="152" spans="5:10">
      <c r="E152" s="505"/>
      <c r="F152" s="505"/>
      <c r="G152" s="505"/>
      <c r="H152" s="505"/>
      <c r="I152" s="505"/>
      <c r="J152" s="505"/>
    </row>
    <row r="153" spans="5:10">
      <c r="E153" s="505"/>
      <c r="F153" s="505"/>
      <c r="G153" s="505"/>
      <c r="H153" s="505"/>
      <c r="I153" s="505"/>
      <c r="J153" s="505"/>
    </row>
    <row r="154" spans="5:10">
      <c r="E154" s="505"/>
      <c r="F154" s="505"/>
      <c r="G154" s="505"/>
      <c r="H154" s="505"/>
      <c r="I154" s="505"/>
      <c r="J154" s="505"/>
    </row>
    <row r="155" spans="5:10">
      <c r="E155" s="505"/>
      <c r="F155" s="505"/>
      <c r="G155" s="505"/>
      <c r="H155" s="505"/>
      <c r="I155" s="505"/>
      <c r="J155" s="505"/>
    </row>
    <row r="156" spans="5:10">
      <c r="E156" s="505"/>
      <c r="F156" s="505"/>
      <c r="G156" s="505"/>
      <c r="H156" s="505"/>
      <c r="I156" s="505"/>
      <c r="J156" s="505"/>
    </row>
    <row r="157" spans="5:10">
      <c r="E157" s="505"/>
      <c r="F157" s="505"/>
      <c r="G157" s="505"/>
      <c r="H157" s="505"/>
      <c r="I157" s="505"/>
      <c r="J157" s="505"/>
    </row>
    <row r="158" spans="5:10">
      <c r="E158" s="505"/>
      <c r="F158" s="505"/>
      <c r="G158" s="505"/>
      <c r="H158" s="505"/>
      <c r="I158" s="505"/>
      <c r="J158" s="505"/>
    </row>
    <row r="159" spans="5:10">
      <c r="E159" s="505"/>
      <c r="F159" s="505"/>
      <c r="G159" s="505"/>
      <c r="H159" s="505"/>
      <c r="I159" s="505"/>
      <c r="J159" s="505"/>
    </row>
    <row r="160" spans="5:10">
      <c r="E160" s="505"/>
      <c r="F160" s="505"/>
      <c r="G160" s="505"/>
      <c r="H160" s="505"/>
      <c r="I160" s="505"/>
      <c r="J160" s="505"/>
    </row>
    <row r="161" spans="1:11">
      <c r="E161" s="505"/>
      <c r="F161" s="505"/>
      <c r="G161" s="505"/>
      <c r="H161" s="505"/>
      <c r="I161" s="505"/>
      <c r="J161" s="505"/>
    </row>
    <row r="162" spans="1:11">
      <c r="E162" s="505"/>
      <c r="F162" s="505"/>
      <c r="G162" s="505"/>
      <c r="H162" s="505"/>
      <c r="I162" s="505"/>
      <c r="J162" s="505"/>
    </row>
    <row r="163" spans="1:11">
      <c r="E163" s="505"/>
      <c r="F163" s="505"/>
      <c r="G163" s="505"/>
      <c r="H163" s="505"/>
      <c r="I163" s="505"/>
      <c r="J163" s="505"/>
    </row>
    <row r="164" spans="1:11">
      <c r="E164" s="505"/>
      <c r="F164" s="505"/>
      <c r="G164" s="505"/>
      <c r="H164" s="505"/>
      <c r="I164" s="505"/>
      <c r="J164" s="505"/>
    </row>
    <row r="165" spans="1:11">
      <c r="E165" s="505"/>
      <c r="F165" s="505"/>
      <c r="G165" s="505"/>
      <c r="H165" s="505"/>
      <c r="I165" s="505"/>
      <c r="J165" s="505"/>
    </row>
    <row r="166" spans="1:11">
      <c r="E166" s="505"/>
      <c r="F166" s="505"/>
      <c r="G166" s="505"/>
      <c r="H166" s="505"/>
      <c r="I166" s="505"/>
      <c r="J166" s="505"/>
    </row>
    <row r="167" spans="1:11" ht="9.75" customHeight="1">
      <c r="E167" s="505"/>
      <c r="F167" s="505"/>
      <c r="G167" s="505"/>
      <c r="H167" s="505"/>
      <c r="I167" s="505"/>
      <c r="J167" s="505"/>
    </row>
    <row r="168" spans="1:11" ht="9.75" customHeight="1"/>
    <row r="169" spans="1:11" ht="28.8">
      <c r="A169" s="20"/>
      <c r="B169" s="17"/>
      <c r="C169" s="17"/>
      <c r="D169" s="17"/>
      <c r="E169" s="17"/>
      <c r="F169" s="17"/>
      <c r="G169" s="17"/>
      <c r="H169" s="17"/>
      <c r="I169" s="17"/>
      <c r="J169" s="17"/>
      <c r="K169" s="17"/>
    </row>
    <row r="170" spans="1:11" ht="25.2">
      <c r="A170" s="142" t="s">
        <v>227</v>
      </c>
      <c r="B170" s="17"/>
      <c r="C170" s="17"/>
      <c r="D170" s="17"/>
      <c r="E170" s="17"/>
      <c r="F170" s="17"/>
      <c r="G170" s="17"/>
      <c r="H170" s="17"/>
      <c r="I170" s="17"/>
      <c r="J170" s="17"/>
      <c r="K170" s="17"/>
    </row>
    <row r="172" spans="1:11">
      <c r="A172" s="506"/>
      <c r="B172" s="506"/>
      <c r="C172" s="506"/>
      <c r="D172" s="506"/>
      <c r="E172" s="506"/>
      <c r="F172" s="506"/>
      <c r="G172" s="506"/>
      <c r="H172" s="506"/>
      <c r="I172" s="506"/>
      <c r="J172" s="506"/>
    </row>
    <row r="173" spans="1:11">
      <c r="A173" s="506"/>
      <c r="B173" s="157"/>
      <c r="C173" s="157"/>
      <c r="D173" s="157"/>
      <c r="E173" s="157"/>
      <c r="F173" s="157"/>
      <c r="G173" s="157"/>
      <c r="H173" s="157"/>
      <c r="I173" s="157"/>
      <c r="J173" s="157"/>
    </row>
    <row r="174" spans="1:11" ht="28.5" customHeight="1">
      <c r="A174" s="21"/>
      <c r="B174" s="156"/>
      <c r="C174" s="156"/>
      <c r="D174" s="156"/>
      <c r="E174" s="156"/>
      <c r="F174" s="156"/>
      <c r="G174" s="156"/>
      <c r="H174" s="156"/>
      <c r="I174" s="156"/>
      <c r="J174" s="156"/>
    </row>
    <row r="175" spans="1:11">
      <c r="A175" s="21"/>
      <c r="B175" s="156"/>
      <c r="C175" s="156"/>
      <c r="D175" s="156"/>
      <c r="E175" s="156"/>
      <c r="F175" s="156"/>
      <c r="G175" s="156"/>
      <c r="H175" s="156"/>
      <c r="I175" s="156"/>
      <c r="J175" s="156"/>
    </row>
    <row r="176" spans="1:11">
      <c r="A176" s="21"/>
      <c r="B176" s="156"/>
      <c r="C176" s="156"/>
      <c r="D176" s="156"/>
      <c r="E176" s="156"/>
      <c r="F176" s="156"/>
      <c r="G176" s="156"/>
      <c r="H176" s="156"/>
      <c r="I176" s="156"/>
      <c r="J176" s="156"/>
    </row>
    <row r="177" spans="1:10">
      <c r="A177" s="21"/>
      <c r="B177" s="156"/>
      <c r="C177" s="156"/>
      <c r="D177" s="156"/>
      <c r="E177" s="156"/>
      <c r="F177" s="156"/>
      <c r="G177" s="156"/>
      <c r="H177" s="156"/>
      <c r="I177" s="156"/>
      <c r="J177" s="156"/>
    </row>
    <row r="178" spans="1:10">
      <c r="A178" s="21"/>
      <c r="B178" s="156"/>
      <c r="C178" s="156"/>
      <c r="D178" s="156"/>
      <c r="E178" s="156"/>
      <c r="F178" s="156"/>
      <c r="G178" s="156"/>
      <c r="H178" s="156"/>
      <c r="I178" s="156"/>
      <c r="J178" s="156"/>
    </row>
    <row r="179" spans="1:10">
      <c r="A179" s="21"/>
      <c r="B179" s="156"/>
      <c r="C179" s="156"/>
      <c r="D179" s="156"/>
      <c r="E179" s="156"/>
      <c r="F179" s="156"/>
      <c r="G179" s="156"/>
      <c r="H179" s="156"/>
      <c r="I179" s="156"/>
      <c r="J179" s="156"/>
    </row>
    <row r="180" spans="1:10">
      <c r="A180" s="21"/>
      <c r="B180" s="156"/>
      <c r="C180" s="156"/>
      <c r="D180" s="156"/>
      <c r="E180" s="156"/>
      <c r="F180" s="156"/>
      <c r="G180" s="156"/>
      <c r="H180" s="156"/>
      <c r="I180" s="156"/>
      <c r="J180" s="156"/>
    </row>
    <row r="181" spans="1:10">
      <c r="A181" s="21"/>
      <c r="B181" s="156"/>
      <c r="C181" s="156"/>
      <c r="D181" s="156"/>
      <c r="E181" s="156"/>
      <c r="F181" s="156"/>
      <c r="G181" s="156"/>
      <c r="H181" s="156"/>
      <c r="I181" s="156"/>
      <c r="J181" s="156"/>
    </row>
    <row r="182" spans="1:10">
      <c r="A182" s="21"/>
      <c r="B182" s="156"/>
      <c r="C182" s="156"/>
      <c r="D182" s="156"/>
      <c r="E182" s="156"/>
      <c r="F182" s="156"/>
      <c r="G182" s="156"/>
      <c r="H182" s="156"/>
      <c r="I182" s="156"/>
      <c r="J182" s="156"/>
    </row>
    <row r="183" spans="1:10">
      <c r="A183" s="21"/>
      <c r="B183" s="156"/>
      <c r="C183" s="156"/>
      <c r="D183" s="156"/>
      <c r="E183" s="156"/>
      <c r="F183" s="156"/>
      <c r="G183" s="156"/>
      <c r="H183" s="156"/>
      <c r="I183" s="156"/>
      <c r="J183" s="156"/>
    </row>
    <row r="184" spans="1:10">
      <c r="A184" s="21"/>
      <c r="B184" s="156"/>
      <c r="C184" s="156"/>
      <c r="D184" s="156"/>
      <c r="E184" s="156"/>
      <c r="F184" s="156"/>
      <c r="G184" s="156"/>
      <c r="H184" s="156"/>
      <c r="I184" s="156"/>
      <c r="J184" s="156"/>
    </row>
    <row r="185" spans="1:10">
      <c r="A185" s="21"/>
      <c r="B185" s="156"/>
      <c r="C185" s="156"/>
      <c r="D185" s="156"/>
      <c r="E185" s="156"/>
      <c r="F185" s="156"/>
      <c r="G185" s="156"/>
      <c r="H185" s="156"/>
      <c r="I185" s="156"/>
      <c r="J185" s="156"/>
    </row>
    <row r="186" spans="1:10">
      <c r="A186" s="21"/>
      <c r="B186" s="156"/>
      <c r="C186" s="156"/>
      <c r="D186" s="156"/>
      <c r="E186" s="156"/>
      <c r="F186" s="156"/>
      <c r="G186" s="156"/>
      <c r="H186" s="156"/>
      <c r="I186" s="156"/>
      <c r="J186" s="156"/>
    </row>
    <row r="187" spans="1:10" ht="23.25" customHeight="1"/>
    <row r="188" spans="1:10" s="13" customFormat="1" ht="23.25" customHeight="1">
      <c r="A188" s="158"/>
      <c r="B188" s="22"/>
      <c r="C188" s="158"/>
    </row>
    <row r="189" spans="1:10" s="13" customFormat="1" ht="23.25" customHeight="1">
      <c r="A189" s="501"/>
    </row>
    <row r="190" spans="1:10" s="13" customFormat="1" ht="23.25" customHeight="1">
      <c r="A190" s="501"/>
    </row>
    <row r="191" spans="1:10" s="13" customFormat="1" ht="23.25" customHeight="1">
      <c r="A191" s="501"/>
    </row>
    <row r="192" spans="1:10" s="13" customFormat="1" ht="23.25" customHeight="1">
      <c r="A192" s="501"/>
    </row>
    <row r="193" spans="1:11" s="13" customFormat="1" ht="23.25" customHeight="1">
      <c r="A193" s="501"/>
    </row>
    <row r="194" spans="1:11" s="13" customFormat="1" ht="23.25" customHeight="1">
      <c r="A194" s="23"/>
      <c r="B194" s="88"/>
      <c r="C194" s="88"/>
      <c r="D194" s="88"/>
      <c r="E194" s="88"/>
      <c r="F194" s="23"/>
      <c r="G194" s="88"/>
      <c r="H194" s="88"/>
      <c r="I194" s="88"/>
      <c r="J194" s="88"/>
    </row>
    <row r="195" spans="1:11" s="13" customFormat="1" ht="23.25" customHeight="1">
      <c r="A195" s="23"/>
      <c r="B195" s="88"/>
      <c r="C195" s="88"/>
      <c r="D195" s="88"/>
      <c r="E195" s="88"/>
      <c r="F195" s="23"/>
      <c r="G195" s="88"/>
      <c r="H195" s="88"/>
      <c r="I195" s="88"/>
      <c r="J195" s="88"/>
      <c r="K195" s="23"/>
    </row>
    <row r="196" spans="1:11" s="13" customFormat="1" ht="23.25" customHeight="1">
      <c r="A196" s="23"/>
      <c r="B196" s="88"/>
      <c r="C196" s="88"/>
      <c r="D196" s="88"/>
      <c r="E196" s="88"/>
      <c r="F196" s="23"/>
      <c r="G196" s="88"/>
      <c r="H196" s="88"/>
      <c r="I196" s="88"/>
      <c r="J196" s="88"/>
    </row>
    <row r="197" spans="1:11" s="13" customFormat="1" ht="23.25" customHeight="1">
      <c r="A197" s="23"/>
      <c r="B197" s="88"/>
      <c r="C197" s="88"/>
      <c r="D197" s="88"/>
      <c r="E197" s="88"/>
      <c r="F197" s="23"/>
      <c r="G197" s="88"/>
      <c r="H197" s="88"/>
      <c r="I197" s="88"/>
      <c r="J197" s="88"/>
    </row>
    <row r="198" spans="1:11" s="13" customFormat="1" ht="23.25" customHeight="1">
      <c r="A198" s="23"/>
      <c r="B198" s="88"/>
      <c r="C198" s="88"/>
      <c r="D198" s="88"/>
      <c r="E198" s="88"/>
      <c r="F198" s="23"/>
      <c r="G198" s="88"/>
      <c r="H198" s="88"/>
      <c r="I198" s="88"/>
      <c r="J198" s="88"/>
    </row>
    <row r="199" spans="1:11" s="13" customFormat="1" ht="23.25" customHeight="1">
      <c r="A199" s="23"/>
      <c r="B199" s="512" t="str">
        <f>INDEX(Helper!$G$284:$G$288,MATCH(Home!$O$1,Helper!$A$284:$A$288,0))</f>
        <v>The grade level with the highest percentage of available learning materials  is Grade 9 with 88.71 percent as compared to other grade levels.</v>
      </c>
      <c r="C199" s="512"/>
      <c r="D199" s="512"/>
      <c r="E199" s="512"/>
      <c r="F199" s="23"/>
      <c r="G199" s="513" t="str">
        <f>INDEX(Helper!$G$263:$G$267,MATCH(Home!$O$1,Helper!$A$263:$A$267,0))</f>
        <v>The learning area with the highest percentage in terms of availability of books is English with 155.55 percent as compared to other subjects.</v>
      </c>
      <c r="H199" s="513"/>
      <c r="I199" s="513"/>
      <c r="J199" s="513"/>
    </row>
    <row r="200" spans="1:11" s="13" customFormat="1" ht="23.25" customHeight="1">
      <c r="A200" s="23"/>
      <c r="B200" s="512"/>
      <c r="C200" s="512"/>
      <c r="D200" s="512"/>
      <c r="E200" s="512"/>
      <c r="F200" s="23"/>
      <c r="G200" s="513"/>
      <c r="H200" s="513"/>
      <c r="I200" s="513"/>
      <c r="J200" s="513"/>
    </row>
    <row r="201" spans="1:11" s="13" customFormat="1" ht="23.25" customHeight="1">
      <c r="A201" s="23"/>
      <c r="B201" s="512"/>
      <c r="C201" s="512"/>
      <c r="D201" s="512"/>
      <c r="E201" s="512"/>
      <c r="F201" s="23"/>
      <c r="G201" s="513"/>
      <c r="H201" s="513"/>
      <c r="I201" s="513"/>
      <c r="J201" s="513"/>
    </row>
    <row r="202" spans="1:11" s="13" customFormat="1" ht="23.25" customHeight="1">
      <c r="A202" s="23"/>
      <c r="B202" s="512"/>
      <c r="C202" s="512"/>
      <c r="D202" s="512"/>
      <c r="E202" s="512"/>
      <c r="F202" s="23"/>
      <c r="G202" s="513"/>
      <c r="H202" s="513"/>
      <c r="I202" s="513"/>
      <c r="J202" s="513"/>
    </row>
    <row r="203" spans="1:11" s="13" customFormat="1" ht="23.25" customHeight="1">
      <c r="A203" s="23"/>
      <c r="B203" s="512"/>
      <c r="C203" s="512"/>
      <c r="D203" s="512"/>
      <c r="E203" s="512"/>
      <c r="F203" s="23"/>
      <c r="G203" s="513"/>
      <c r="H203" s="513"/>
      <c r="I203" s="513"/>
      <c r="J203" s="513"/>
    </row>
    <row r="204" spans="1:11" ht="23.25" customHeight="1">
      <c r="A204" s="23"/>
      <c r="B204" s="512"/>
      <c r="C204" s="512"/>
      <c r="D204" s="512"/>
      <c r="E204" s="512"/>
      <c r="F204" s="23"/>
      <c r="G204" s="513"/>
      <c r="H204" s="513"/>
      <c r="I204" s="513"/>
      <c r="J204" s="513"/>
    </row>
    <row r="205" spans="1:11" ht="23.25" customHeight="1">
      <c r="A205" s="23"/>
      <c r="B205" s="512"/>
      <c r="C205" s="512"/>
      <c r="D205" s="512"/>
      <c r="E205" s="512"/>
      <c r="F205" s="23"/>
      <c r="G205" s="513"/>
      <c r="H205" s="513"/>
      <c r="I205" s="513"/>
      <c r="J205" s="513"/>
    </row>
    <row r="206" spans="1:11" ht="23.25" customHeight="1">
      <c r="A206" s="23"/>
      <c r="B206" s="512"/>
      <c r="C206" s="512"/>
      <c r="D206" s="512"/>
      <c r="E206" s="512"/>
      <c r="F206" s="23"/>
      <c r="G206" s="513"/>
      <c r="H206" s="513"/>
      <c r="I206" s="513"/>
      <c r="J206" s="513"/>
    </row>
    <row r="207" spans="1:11" ht="23.25" customHeight="1">
      <c r="A207" s="17"/>
      <c r="B207" s="17"/>
      <c r="C207" s="17"/>
      <c r="D207" s="17"/>
      <c r="E207" s="17"/>
      <c r="F207" s="17"/>
      <c r="G207" s="17"/>
      <c r="H207" s="17"/>
      <c r="I207" s="17"/>
      <c r="J207" s="17"/>
      <c r="K207" s="17"/>
    </row>
    <row r="208" spans="1:11" ht="23.25" customHeight="1">
      <c r="A208" s="17"/>
      <c r="B208" s="17"/>
      <c r="C208" s="17"/>
      <c r="D208" s="17"/>
      <c r="E208" s="17"/>
      <c r="F208" s="17"/>
      <c r="G208" s="17"/>
      <c r="H208" s="17"/>
      <c r="I208" s="17"/>
      <c r="J208" s="17"/>
      <c r="K208" s="17"/>
    </row>
    <row r="210" spans="1:11" ht="28.8">
      <c r="A210" s="20"/>
      <c r="B210" s="17"/>
      <c r="C210" s="17"/>
      <c r="D210" s="17"/>
      <c r="E210" s="17"/>
      <c r="F210" s="17"/>
      <c r="G210" s="17"/>
      <c r="H210" s="17"/>
      <c r="I210" s="17"/>
      <c r="J210" s="17"/>
      <c r="K210" s="17"/>
    </row>
    <row r="211" spans="1:11" ht="25.8">
      <c r="A211" s="18" t="s">
        <v>138</v>
      </c>
      <c r="B211" s="17"/>
      <c r="C211" s="17"/>
      <c r="D211" s="17"/>
      <c r="E211" s="17"/>
      <c r="F211" s="17"/>
      <c r="G211" s="17"/>
      <c r="H211" s="17"/>
      <c r="I211" s="17"/>
      <c r="J211" s="17"/>
      <c r="K211" s="17"/>
    </row>
    <row r="244" spans="4:10">
      <c r="D244" s="511" t="str">
        <f>INDEX(Helper!$K$305:$K$309,MATCH(Home!$O$1,Helper!$A$305:$A$309,0))</f>
        <v>In the current school year, the highest educational attainment of most teachers is Master's Degree (Units) with 34 out of 57 or 59.65 percent of the total number of teachers.</v>
      </c>
      <c r="E244" s="511"/>
      <c r="F244" s="511"/>
      <c r="G244" s="511"/>
      <c r="H244" s="511"/>
      <c r="I244" s="511"/>
      <c r="J244" s="511"/>
    </row>
    <row r="245" spans="4:10">
      <c r="D245" s="511"/>
      <c r="E245" s="511"/>
      <c r="F245" s="511"/>
      <c r="G245" s="511"/>
      <c r="H245" s="511"/>
      <c r="I245" s="511"/>
      <c r="J245" s="511"/>
    </row>
    <row r="246" spans="4:10" ht="15" customHeight="1">
      <c r="D246" s="511"/>
      <c r="E246" s="511"/>
      <c r="F246" s="511"/>
      <c r="G246" s="511"/>
      <c r="H246" s="511"/>
      <c r="I246" s="511"/>
      <c r="J246" s="511"/>
    </row>
    <row r="247" spans="4:10" ht="15" customHeight="1">
      <c r="D247" s="511"/>
      <c r="E247" s="511"/>
      <c r="F247" s="511"/>
      <c r="G247" s="511"/>
      <c r="H247" s="511"/>
      <c r="I247" s="511"/>
      <c r="J247" s="511"/>
    </row>
    <row r="248" spans="4:10" ht="15" customHeight="1">
      <c r="D248" s="511"/>
      <c r="E248" s="511"/>
      <c r="F248" s="511"/>
      <c r="G248" s="511"/>
      <c r="H248" s="511"/>
      <c r="I248" s="511"/>
      <c r="J248" s="511"/>
    </row>
    <row r="249" spans="4:10" ht="15" customHeight="1">
      <c r="D249" s="511"/>
      <c r="E249" s="511"/>
      <c r="F249" s="511"/>
      <c r="G249" s="511"/>
      <c r="H249" s="511"/>
      <c r="I249" s="511"/>
      <c r="J249" s="511"/>
    </row>
    <row r="250" spans="4:10" ht="15" customHeight="1">
      <c r="D250" s="511"/>
      <c r="E250" s="511"/>
      <c r="F250" s="511"/>
      <c r="G250" s="511"/>
      <c r="H250" s="511"/>
      <c r="I250" s="511"/>
      <c r="J250" s="511"/>
    </row>
    <row r="251" spans="4:10" ht="15" customHeight="1">
      <c r="D251" s="511"/>
      <c r="E251" s="511"/>
      <c r="F251" s="511"/>
      <c r="G251" s="511"/>
      <c r="H251" s="511"/>
      <c r="I251" s="511"/>
      <c r="J251" s="511"/>
    </row>
    <row r="252" spans="4:10" ht="15" customHeight="1">
      <c r="D252" s="511"/>
      <c r="E252" s="511"/>
      <c r="F252" s="511"/>
      <c r="G252" s="511"/>
      <c r="H252" s="511"/>
      <c r="I252" s="511"/>
      <c r="J252" s="511"/>
    </row>
    <row r="253" spans="4:10" ht="15" customHeight="1">
      <c r="D253" s="511"/>
      <c r="E253" s="511"/>
      <c r="F253" s="511"/>
      <c r="G253" s="511"/>
      <c r="H253" s="511"/>
      <c r="I253" s="511"/>
      <c r="J253" s="511"/>
    </row>
    <row r="254" spans="4:10" ht="15" customHeight="1">
      <c r="D254" s="511"/>
      <c r="E254" s="511"/>
      <c r="F254" s="511"/>
      <c r="G254" s="511"/>
      <c r="H254" s="511"/>
      <c r="I254" s="511"/>
      <c r="J254" s="511"/>
    </row>
    <row r="255" spans="4:10" ht="15" customHeight="1">
      <c r="D255" s="511"/>
      <c r="E255" s="511"/>
      <c r="F255" s="511"/>
      <c r="G255" s="511"/>
      <c r="H255" s="511"/>
      <c r="I255" s="511"/>
      <c r="J255" s="511"/>
    </row>
    <row r="256" spans="4:10" ht="15" customHeight="1">
      <c r="D256" s="511"/>
      <c r="E256" s="511"/>
      <c r="F256" s="511"/>
      <c r="G256" s="511"/>
      <c r="H256" s="511"/>
      <c r="I256" s="511"/>
      <c r="J256" s="511"/>
    </row>
    <row r="257" spans="1:11" ht="15" customHeight="1">
      <c r="D257" s="511"/>
      <c r="E257" s="511"/>
      <c r="F257" s="511"/>
      <c r="G257" s="511"/>
      <c r="H257" s="511"/>
      <c r="I257" s="511"/>
      <c r="J257" s="511"/>
    </row>
    <row r="258" spans="1:11" ht="15" customHeight="1">
      <c r="D258" s="511"/>
      <c r="E258" s="511"/>
      <c r="F258" s="511"/>
      <c r="G258" s="511"/>
      <c r="H258" s="511"/>
      <c r="I258" s="511"/>
      <c r="J258" s="511"/>
    </row>
    <row r="259" spans="1:11" ht="15" customHeight="1">
      <c r="D259" s="511"/>
      <c r="E259" s="511"/>
      <c r="F259" s="511"/>
      <c r="G259" s="511"/>
      <c r="H259" s="511"/>
      <c r="I259" s="511"/>
      <c r="J259" s="511"/>
    </row>
    <row r="260" spans="1:11">
      <c r="D260" s="511"/>
      <c r="E260" s="511"/>
      <c r="F260" s="511"/>
      <c r="G260" s="511"/>
      <c r="H260" s="511"/>
      <c r="I260" s="511"/>
      <c r="J260" s="511"/>
    </row>
    <row r="261" spans="1:11">
      <c r="D261" s="511"/>
      <c r="E261" s="511"/>
      <c r="F261" s="511"/>
      <c r="G261" s="511"/>
      <c r="H261" s="511"/>
      <c r="I261" s="511"/>
      <c r="J261" s="511"/>
    </row>
    <row r="262" spans="1:11" ht="6.75" customHeight="1"/>
    <row r="263" spans="1:11" ht="6.75" customHeight="1"/>
    <row r="264" spans="1:11" ht="6.75" customHeight="1"/>
    <row r="265" spans="1:11" ht="28.8">
      <c r="A265" s="20"/>
      <c r="B265" s="17"/>
      <c r="C265" s="17"/>
      <c r="D265" s="17"/>
      <c r="E265" s="17"/>
      <c r="F265" s="17"/>
      <c r="G265" s="17"/>
      <c r="H265" s="17"/>
      <c r="I265" s="17"/>
      <c r="J265" s="17"/>
      <c r="K265" s="17"/>
    </row>
    <row r="266" spans="1:11" ht="25.2">
      <c r="A266" s="142" t="s">
        <v>228</v>
      </c>
      <c r="B266" s="17"/>
      <c r="C266" s="17"/>
      <c r="D266" s="17"/>
      <c r="E266" s="17"/>
      <c r="F266" s="17"/>
      <c r="G266" s="17"/>
      <c r="H266" s="17"/>
      <c r="I266" s="17"/>
      <c r="J266" s="17"/>
      <c r="K266" s="17"/>
    </row>
    <row r="291" spans="2:10" ht="15" thickBot="1"/>
    <row r="292" spans="2:10">
      <c r="B292" s="509" t="s">
        <v>42</v>
      </c>
      <c r="C292" s="509"/>
      <c r="D292" s="509"/>
      <c r="E292" s="509"/>
      <c r="F292" s="509"/>
      <c r="G292" s="509"/>
      <c r="H292" s="508">
        <f>IF(Helper!A48="","",Helper!A48)</f>
        <v>104000</v>
      </c>
      <c r="I292" s="508"/>
    </row>
    <row r="293" spans="2:10">
      <c r="B293" s="518" t="s">
        <v>43</v>
      </c>
      <c r="C293" s="518"/>
      <c r="D293" s="518"/>
      <c r="E293" s="518"/>
      <c r="F293" s="518"/>
      <c r="G293" s="518"/>
      <c r="H293" s="517">
        <f>IF(Helper!B48="","",Helper!B48)</f>
        <v>0</v>
      </c>
      <c r="I293" s="517"/>
    </row>
    <row r="294" spans="2:10">
      <c r="B294" s="518" t="s">
        <v>44</v>
      </c>
      <c r="C294" s="518"/>
      <c r="D294" s="518"/>
      <c r="E294" s="518"/>
      <c r="F294" s="518"/>
      <c r="G294" s="518"/>
      <c r="H294" s="517">
        <f>IF(Helper!C48="","",Helper!C48)</f>
        <v>147000</v>
      </c>
      <c r="I294" s="517"/>
    </row>
    <row r="295" spans="2:10">
      <c r="B295" s="518" t="s">
        <v>45</v>
      </c>
      <c r="C295" s="518"/>
      <c r="D295" s="518"/>
      <c r="E295" s="518"/>
      <c r="F295" s="518"/>
      <c r="G295" s="518"/>
      <c r="H295" s="517">
        <f>IF(Helper!D48="","",Helper!D48)</f>
        <v>10000</v>
      </c>
      <c r="I295" s="517"/>
    </row>
    <row r="296" spans="2:10">
      <c r="B296" s="518" t="s">
        <v>46</v>
      </c>
      <c r="C296" s="518"/>
      <c r="D296" s="518"/>
      <c r="E296" s="518"/>
      <c r="F296" s="518"/>
      <c r="G296" s="518"/>
      <c r="H296" s="517">
        <f>IF(Helper!E48="","",Helper!E48)</f>
        <v>278713</v>
      </c>
      <c r="I296" s="517"/>
    </row>
    <row r="297" spans="2:10">
      <c r="B297" s="518" t="s">
        <v>47</v>
      </c>
      <c r="C297" s="518"/>
      <c r="D297" s="518"/>
      <c r="E297" s="518"/>
      <c r="F297" s="518"/>
      <c r="G297" s="518"/>
      <c r="H297" s="517">
        <f>IF(Helper!F48="","",Helper!F48)</f>
        <v>106131</v>
      </c>
      <c r="I297" s="517"/>
    </row>
    <row r="298" spans="2:10" ht="15" thickBot="1">
      <c r="B298" s="485" t="s">
        <v>18</v>
      </c>
      <c r="C298" s="485"/>
      <c r="D298" s="485"/>
      <c r="E298" s="485"/>
      <c r="F298" s="485"/>
      <c r="G298" s="485"/>
      <c r="H298" s="486">
        <f>IF(SUM(H292:I297)&lt;1,"",SUM(H292:I297))</f>
        <v>645844</v>
      </c>
      <c r="I298" s="486"/>
    </row>
    <row r="299" spans="2:10" ht="15" customHeight="1">
      <c r="D299" s="426"/>
      <c r="E299" s="426"/>
      <c r="F299" s="426"/>
      <c r="G299" s="426"/>
      <c r="H299" s="426"/>
      <c r="I299" s="426"/>
      <c r="J299" s="426"/>
    </row>
    <row r="300" spans="2:10" ht="15" customHeight="1">
      <c r="D300" s="487" t="str">
        <f>INDEX(Helper!$P$326:$P$330,MATCH(Home!$O$1,Helper!$A$326:$A$330,0))</f>
        <v>The biggest source of school funding came from the Donations amounting to Php 278,713.00 or 43.15 percent of the total fund source. Other sources are Local Government Unit funds, Others, General Appropriations Act (School MOOE), Canteen funds and General Appropriations Act (Subsidy for Special Programs).</v>
      </c>
      <c r="E300" s="487"/>
      <c r="F300" s="487"/>
      <c r="G300" s="487"/>
      <c r="H300" s="487"/>
      <c r="I300" s="487"/>
      <c r="J300" s="487"/>
    </row>
    <row r="301" spans="2:10" ht="15" customHeight="1">
      <c r="D301" s="487"/>
      <c r="E301" s="487"/>
      <c r="F301" s="487"/>
      <c r="G301" s="487"/>
      <c r="H301" s="487"/>
      <c r="I301" s="487"/>
      <c r="J301" s="487"/>
    </row>
    <row r="302" spans="2:10" ht="15" customHeight="1">
      <c r="D302" s="487"/>
      <c r="E302" s="487"/>
      <c r="F302" s="487"/>
      <c r="G302" s="487"/>
      <c r="H302" s="487"/>
      <c r="I302" s="487"/>
      <c r="J302" s="487"/>
    </row>
    <row r="303" spans="2:10" ht="15" customHeight="1">
      <c r="D303" s="487"/>
      <c r="E303" s="487"/>
      <c r="F303" s="487"/>
      <c r="G303" s="487"/>
      <c r="H303" s="487"/>
      <c r="I303" s="487"/>
      <c r="J303" s="487"/>
    </row>
    <row r="304" spans="2:10" ht="15" customHeight="1">
      <c r="D304" s="487"/>
      <c r="E304" s="487"/>
      <c r="F304" s="487"/>
      <c r="G304" s="487"/>
      <c r="H304" s="487"/>
      <c r="I304" s="487"/>
      <c r="J304" s="487"/>
    </row>
    <row r="305" spans="1:11" ht="15" customHeight="1">
      <c r="D305" s="487"/>
      <c r="E305" s="487"/>
      <c r="F305" s="487"/>
      <c r="G305" s="487"/>
      <c r="H305" s="487"/>
      <c r="I305" s="487"/>
      <c r="J305" s="487"/>
    </row>
    <row r="306" spans="1:11" ht="15" customHeight="1">
      <c r="D306" s="487"/>
      <c r="E306" s="487"/>
      <c r="F306" s="487"/>
      <c r="G306" s="487"/>
      <c r="H306" s="487"/>
      <c r="I306" s="487"/>
      <c r="J306" s="487"/>
    </row>
    <row r="307" spans="1:11" ht="15" customHeight="1">
      <c r="D307" s="487"/>
      <c r="E307" s="487"/>
      <c r="F307" s="487"/>
      <c r="G307" s="487"/>
      <c r="H307" s="487"/>
      <c r="I307" s="487"/>
      <c r="J307" s="487"/>
    </row>
    <row r="308" spans="1:11" ht="15" customHeight="1">
      <c r="D308" s="487"/>
      <c r="E308" s="487"/>
      <c r="F308" s="487"/>
      <c r="G308" s="487"/>
      <c r="H308" s="487"/>
      <c r="I308" s="487"/>
      <c r="J308" s="487"/>
    </row>
    <row r="309" spans="1:11" ht="15" customHeight="1">
      <c r="D309" s="487"/>
      <c r="E309" s="487"/>
      <c r="F309" s="487"/>
      <c r="G309" s="487"/>
      <c r="H309" s="487"/>
      <c r="I309" s="487"/>
      <c r="J309" s="487"/>
    </row>
    <row r="310" spans="1:11" ht="15" customHeight="1">
      <c r="D310" s="487"/>
      <c r="E310" s="487"/>
      <c r="F310" s="487"/>
      <c r="G310" s="487"/>
      <c r="H310" s="487"/>
      <c r="I310" s="487"/>
      <c r="J310" s="487"/>
    </row>
    <row r="311" spans="1:11" ht="15" customHeight="1">
      <c r="D311" s="487"/>
      <c r="E311" s="487"/>
      <c r="F311" s="487"/>
      <c r="G311" s="487"/>
      <c r="H311" s="487"/>
      <c r="I311" s="487"/>
      <c r="J311" s="487"/>
    </row>
    <row r="312" spans="1:11" ht="15" customHeight="1">
      <c r="D312" s="487"/>
      <c r="E312" s="487"/>
      <c r="F312" s="487"/>
      <c r="G312" s="487"/>
      <c r="H312" s="487"/>
      <c r="I312" s="487"/>
      <c r="J312" s="487"/>
    </row>
    <row r="313" spans="1:11" ht="15" customHeight="1">
      <c r="D313" s="487"/>
      <c r="E313" s="487"/>
      <c r="F313" s="487"/>
      <c r="G313" s="487"/>
      <c r="H313" s="487"/>
      <c r="I313" s="487"/>
      <c r="J313" s="487"/>
    </row>
    <row r="314" spans="1:11" ht="15" customHeight="1">
      <c r="D314" s="487"/>
      <c r="E314" s="487"/>
      <c r="F314" s="487"/>
      <c r="G314" s="487"/>
      <c r="H314" s="487"/>
      <c r="I314" s="487"/>
      <c r="J314" s="487"/>
    </row>
    <row r="315" spans="1:11" ht="15" customHeight="1">
      <c r="D315" s="487"/>
      <c r="E315" s="487"/>
      <c r="F315" s="487"/>
      <c r="G315" s="487"/>
      <c r="H315" s="487"/>
      <c r="I315" s="487"/>
      <c r="J315" s="487"/>
    </row>
    <row r="316" spans="1:11" ht="15" customHeight="1">
      <c r="D316" s="487"/>
      <c r="E316" s="487"/>
      <c r="F316" s="487"/>
      <c r="G316" s="487"/>
      <c r="H316" s="487"/>
      <c r="I316" s="487"/>
      <c r="J316" s="487"/>
    </row>
    <row r="317" spans="1:11" ht="8.25" customHeight="1"/>
    <row r="318" spans="1:11" ht="8.25" customHeight="1"/>
    <row r="319" spans="1:11" ht="8.25" customHeight="1"/>
    <row r="320" spans="1:11" ht="28.8">
      <c r="A320" s="20"/>
      <c r="B320" s="17"/>
      <c r="C320" s="17"/>
      <c r="D320" s="17"/>
      <c r="E320" s="17"/>
      <c r="F320" s="17"/>
      <c r="G320" s="17"/>
      <c r="H320" s="17"/>
      <c r="I320" s="17"/>
      <c r="J320" s="17"/>
      <c r="K320" s="17"/>
    </row>
    <row r="321" spans="1:11" ht="25.8">
      <c r="A321" s="18" t="s">
        <v>145</v>
      </c>
      <c r="B321" s="17"/>
      <c r="C321" s="17"/>
      <c r="D321" s="17"/>
      <c r="E321" s="17"/>
      <c r="F321" s="17"/>
      <c r="G321" s="17"/>
      <c r="H321" s="17"/>
      <c r="I321" s="17"/>
      <c r="J321" s="17"/>
      <c r="K321" s="17"/>
    </row>
    <row r="323" spans="1:11" ht="30" customHeight="1">
      <c r="A323" s="491" t="s">
        <v>60</v>
      </c>
      <c r="B323" s="492"/>
      <c r="C323" s="492"/>
      <c r="D323" s="493"/>
      <c r="E323" s="406" t="s">
        <v>961</v>
      </c>
      <c r="F323" s="91" t="s">
        <v>967</v>
      </c>
      <c r="G323" s="91" t="s">
        <v>59</v>
      </c>
      <c r="H323" s="91" t="s">
        <v>2</v>
      </c>
      <c r="I323" s="489" t="s">
        <v>662</v>
      </c>
      <c r="J323" s="489"/>
      <c r="K323" s="489"/>
    </row>
    <row r="324" spans="1:11" ht="16.5" customHeight="1">
      <c r="A324" s="488" t="str">
        <f>IF(Data!A110="","",Data!A110)</f>
        <v>Scouting ( Scout Membership Against Potentials Secondary Big Category)</v>
      </c>
      <c r="B324" s="488"/>
      <c r="C324" s="488"/>
      <c r="D324" s="488"/>
      <c r="E324" s="432">
        <f>IF(Data!E110="","",Data!E110)</f>
        <v>5</v>
      </c>
      <c r="F324" s="407">
        <f>IF(Data!F110="","",Data!F110)</f>
        <v>43546</v>
      </c>
      <c r="G324" s="407" t="str">
        <f>IF(Data!G110="","",Data!G110)</f>
        <v>Student</v>
      </c>
      <c r="H324" s="407" t="str">
        <f>IF(Data!H110="","",Data!H110)</f>
        <v>Division</v>
      </c>
      <c r="I324" s="490" t="str">
        <f>IF(Data!I110="","",Data!I110)</f>
        <v>Governor's Office</v>
      </c>
      <c r="J324" s="490"/>
      <c r="K324" s="490"/>
    </row>
    <row r="325" spans="1:11">
      <c r="A325" s="483" t="str">
        <f>IF(Data!A111="","",Data!A111)</f>
        <v>Scouting (2019 Award of Commendation on Woodbagdge Holder)</v>
      </c>
      <c r="B325" s="483"/>
      <c r="C325" s="483"/>
      <c r="D325" s="483"/>
      <c r="E325" s="433" t="str">
        <f>IF(Data!E111="","",Data!E111)</f>
        <v>First</v>
      </c>
      <c r="F325" s="405">
        <f>IF(Data!F111="","",Data!F111)</f>
        <v>43547</v>
      </c>
      <c r="G325" s="405" t="str">
        <f>IF(Data!G111="","",Data!G111)</f>
        <v>Teacher</v>
      </c>
      <c r="H325" s="405" t="str">
        <f>IF(Data!H111="","",Data!H111)</f>
        <v>Division</v>
      </c>
      <c r="I325" s="481" t="str">
        <f>IF(Data!I111="","",Data!I111)</f>
        <v>Division Office</v>
      </c>
      <c r="J325" s="481"/>
      <c r="K325" s="481"/>
    </row>
    <row r="326" spans="1:11">
      <c r="A326" s="483" t="str">
        <f>IF(Data!A112="","",Data!A112)</f>
        <v>Reading Interpretation</v>
      </c>
      <c r="B326" s="483"/>
      <c r="C326" s="483"/>
      <c r="D326" s="483"/>
      <c r="E326" s="433" t="str">
        <f>IF(Data!E112="","",Data!E112)</f>
        <v>First</v>
      </c>
      <c r="F326" s="405">
        <f>IF(Data!F112="","",Data!F112)</f>
        <v>43424</v>
      </c>
      <c r="G326" s="405" t="str">
        <f>IF(Data!G112="","",Data!G112)</f>
        <v>Student</v>
      </c>
      <c r="H326" s="405" t="str">
        <f>IF(Data!H112="","",Data!H112)</f>
        <v>District</v>
      </c>
      <c r="I326" s="481" t="str">
        <f>IF(Data!I112="","",Data!I112)</f>
        <v>Division Office</v>
      </c>
      <c r="J326" s="481"/>
      <c r="K326" s="481"/>
    </row>
    <row r="327" spans="1:11">
      <c r="A327" s="483" t="str">
        <f>IF(Data!A113="","",Data!A113)</f>
        <v>Mathematics ( Math Quiz)</v>
      </c>
      <c r="B327" s="483"/>
      <c r="C327" s="483"/>
      <c r="D327" s="483"/>
      <c r="E327" s="433" t="str">
        <f>IF(Data!E113="","",Data!E113)</f>
        <v>Third</v>
      </c>
      <c r="F327" s="405" t="str">
        <f>IF(Data!F113="","",Data!F113)</f>
        <v/>
      </c>
      <c r="G327" s="405" t="str">
        <f>IF(Data!G113="","",Data!G113)</f>
        <v>Student</v>
      </c>
      <c r="H327" s="405" t="str">
        <f>IF(Data!H113="","",Data!H113)</f>
        <v>District</v>
      </c>
      <c r="I327" s="481" t="str">
        <f>IF(Data!I113="","",Data!I113)</f>
        <v>Division Office</v>
      </c>
      <c r="J327" s="481"/>
      <c r="K327" s="481"/>
    </row>
    <row r="328" spans="1:11">
      <c r="A328" s="483" t="str">
        <f>IF(Data!A114="","",Data!A114)</f>
        <v>Provincial Meet ( Arnis)</v>
      </c>
      <c r="B328" s="483"/>
      <c r="C328" s="483"/>
      <c r="D328" s="483"/>
      <c r="E328" s="433" t="str">
        <f>IF(Data!E114="","",Data!E114)</f>
        <v>Second</v>
      </c>
      <c r="F328" s="405">
        <f>IF(Data!F114="","",Data!F114)</f>
        <v>43405</v>
      </c>
      <c r="G328" s="405" t="str">
        <f>IF(Data!G114="","",Data!G114)</f>
        <v>Student</v>
      </c>
      <c r="H328" s="405" t="str">
        <f>IF(Data!H114="","",Data!H114)</f>
        <v>Division</v>
      </c>
      <c r="I328" s="481" t="str">
        <f>IF(Data!I114="","",Data!I114)</f>
        <v>Division Office</v>
      </c>
      <c r="J328" s="481"/>
      <c r="K328" s="481"/>
    </row>
    <row r="329" spans="1:11">
      <c r="A329" s="483" t="str">
        <f>IF(Data!A115="","",Data!A115)</f>
        <v>Softball</v>
      </c>
      <c r="B329" s="483"/>
      <c r="C329" s="483"/>
      <c r="D329" s="483"/>
      <c r="E329" s="433" t="str">
        <f>IF(Data!E115="","",Data!E115)</f>
        <v>First</v>
      </c>
      <c r="F329" s="405" t="str">
        <f>IF(Data!F115="","",Data!F115)</f>
        <v/>
      </c>
      <c r="G329" s="405" t="str">
        <f>IF(Data!G115="","",Data!G115)</f>
        <v>Student</v>
      </c>
      <c r="H329" s="405" t="str">
        <f>IF(Data!H115="","",Data!H115)</f>
        <v>Region</v>
      </c>
      <c r="I329" s="481" t="str">
        <f>IF(Data!I115="","",Data!I115)</f>
        <v/>
      </c>
      <c r="J329" s="481"/>
      <c r="K329" s="481"/>
    </row>
    <row r="330" spans="1:11">
      <c r="A330" s="483" t="str">
        <f>IF(Data!A116="","",Data!A116)</f>
        <v>Baseball</v>
      </c>
      <c r="B330" s="483"/>
      <c r="C330" s="483"/>
      <c r="D330" s="483"/>
      <c r="E330" s="433" t="str">
        <f>IF(Data!E116="","",Data!E116)</f>
        <v>First</v>
      </c>
      <c r="F330" s="405" t="str">
        <f>IF(Data!F116="","",Data!F116)</f>
        <v/>
      </c>
      <c r="G330" s="405" t="str">
        <f>IF(Data!G116="","",Data!G116)</f>
        <v>Student</v>
      </c>
      <c r="H330" s="405" t="str">
        <f>IF(Data!H116="","",Data!H116)</f>
        <v>Region</v>
      </c>
      <c r="I330" s="481" t="str">
        <f>IF(Data!I116="","",Data!I116)</f>
        <v/>
      </c>
      <c r="J330" s="481"/>
      <c r="K330" s="481"/>
    </row>
    <row r="331" spans="1:11">
      <c r="A331" s="483" t="str">
        <f>IF(Data!A117="","",Data!A117)</f>
        <v>Table Tennis</v>
      </c>
      <c r="B331" s="483"/>
      <c r="C331" s="483"/>
      <c r="D331" s="483"/>
      <c r="E331" s="433" t="str">
        <f>IF(Data!E117="","",Data!E117)</f>
        <v>First</v>
      </c>
      <c r="F331" s="405" t="str">
        <f>IF(Data!F117="","",Data!F117)</f>
        <v/>
      </c>
      <c r="G331" s="405" t="str">
        <f>IF(Data!G117="","",Data!G117)</f>
        <v>Student</v>
      </c>
      <c r="H331" s="405" t="str">
        <f>IF(Data!H117="","",Data!H117)</f>
        <v>Division</v>
      </c>
      <c r="I331" s="481" t="str">
        <f>IF(Data!I117="","",Data!I117)</f>
        <v>Division Office</v>
      </c>
      <c r="J331" s="481"/>
      <c r="K331" s="481"/>
    </row>
    <row r="332" spans="1:11">
      <c r="A332" s="483" t="str">
        <f>IF(Data!A118="","",Data!A118)</f>
        <v>Badminton</v>
      </c>
      <c r="B332" s="483"/>
      <c r="C332" s="483"/>
      <c r="D332" s="483"/>
      <c r="E332" s="433" t="str">
        <f>IF(Data!E118="","",Data!E118)</f>
        <v>First</v>
      </c>
      <c r="F332" s="405" t="str">
        <f>IF(Data!F118="","",Data!F118)</f>
        <v/>
      </c>
      <c r="G332" s="405" t="str">
        <f>IF(Data!G118="","",Data!G118)</f>
        <v>Student</v>
      </c>
      <c r="H332" s="405" t="str">
        <f>IF(Data!H118="","",Data!H118)</f>
        <v>Division</v>
      </c>
      <c r="I332" s="481" t="str">
        <f>IF(Data!I118="","",Data!I118)</f>
        <v>Division Office</v>
      </c>
      <c r="J332" s="481"/>
      <c r="K332" s="481"/>
    </row>
    <row r="333" spans="1:11">
      <c r="A333" s="483" t="str">
        <f>IF(Data!A119="","",Data!A119)</f>
        <v>Taekwondo</v>
      </c>
      <c r="B333" s="483"/>
      <c r="C333" s="483"/>
      <c r="D333" s="483"/>
      <c r="E333" s="433" t="str">
        <f>IF(Data!E119="","",Data!E119)</f>
        <v>First</v>
      </c>
      <c r="F333" s="405" t="str">
        <f>IF(Data!F119="","",Data!F119)</f>
        <v/>
      </c>
      <c r="G333" s="405" t="str">
        <f>IF(Data!G119="","",Data!G119)</f>
        <v>Student</v>
      </c>
      <c r="H333" s="405" t="str">
        <f>IF(Data!H119="","",Data!H119)</f>
        <v>Division</v>
      </c>
      <c r="I333" s="481" t="str">
        <f>IF(Data!I119="","",Data!I119)</f>
        <v>Division Office</v>
      </c>
      <c r="J333" s="481"/>
      <c r="K333" s="481"/>
    </row>
    <row r="334" spans="1:11">
      <c r="A334" s="483" t="str">
        <f>IF(Data!A120="","",Data!A120)</f>
        <v>Yes -o Camp</v>
      </c>
      <c r="B334" s="483"/>
      <c r="C334" s="483"/>
      <c r="D334" s="483"/>
      <c r="E334" s="433" t="str">
        <f>IF(Data!E120="","",Data!E120)</f>
        <v>Fourth</v>
      </c>
      <c r="F334" s="405" t="str">
        <f>IF(Data!F120="","",Data!F120)</f>
        <v/>
      </c>
      <c r="G334" s="405" t="str">
        <f>IF(Data!G120="","",Data!G120)</f>
        <v>Student</v>
      </c>
      <c r="H334" s="405" t="str">
        <f>IF(Data!H120="","",Data!H120)</f>
        <v>Division</v>
      </c>
      <c r="I334" s="481" t="str">
        <f>IF(Data!I120="","",Data!I120)</f>
        <v>Division Office</v>
      </c>
      <c r="J334" s="481"/>
      <c r="K334" s="481"/>
    </row>
    <row r="335" spans="1:11">
      <c r="A335" s="483" t="str">
        <f>IF(Data!A121="","",Data!A121)</f>
        <v>Technolympics (Dressmaking Contest)</v>
      </c>
      <c r="B335" s="483"/>
      <c r="C335" s="483"/>
      <c r="D335" s="483"/>
      <c r="E335" s="433" t="str">
        <f>IF(Data!E121="","",Data!E121)</f>
        <v>Third</v>
      </c>
      <c r="F335" s="405" t="str">
        <f>IF(Data!F121="","",Data!F121)</f>
        <v/>
      </c>
      <c r="G335" s="405" t="str">
        <f>IF(Data!G121="","",Data!G121)</f>
        <v>Student</v>
      </c>
      <c r="H335" s="405" t="str">
        <f>IF(Data!H121="","",Data!H121)</f>
        <v>Division</v>
      </c>
      <c r="I335" s="481" t="str">
        <f>IF(Data!I121="","",Data!I121)</f>
        <v>Division Office</v>
      </c>
      <c r="J335" s="481"/>
      <c r="K335" s="481"/>
    </row>
    <row r="336" spans="1:11">
      <c r="A336" s="483" t="str">
        <f>IF(Data!A122="","",Data!A122)</f>
        <v>Technolympics(Automotice Servicing)</v>
      </c>
      <c r="B336" s="483"/>
      <c r="C336" s="483"/>
      <c r="D336" s="483"/>
      <c r="E336" s="433" t="str">
        <f>IF(Data!E122="","",Data!E122)</f>
        <v>Fifth</v>
      </c>
      <c r="F336" s="405" t="str">
        <f>IF(Data!F122="","",Data!F122)</f>
        <v/>
      </c>
      <c r="G336" s="405" t="str">
        <f>IF(Data!G122="","",Data!G122)</f>
        <v>Student</v>
      </c>
      <c r="H336" s="405" t="str">
        <f>IF(Data!H122="","",Data!H122)</f>
        <v>Division</v>
      </c>
      <c r="I336" s="481" t="str">
        <f>IF(Data!I122="","",Data!I122)</f>
        <v>Division Office</v>
      </c>
      <c r="J336" s="481"/>
      <c r="K336" s="481"/>
    </row>
    <row r="337" spans="1:11">
      <c r="A337" s="483" t="str">
        <f>IF(Data!A123="","",Data!A123)</f>
        <v/>
      </c>
      <c r="B337" s="483"/>
      <c r="C337" s="483"/>
      <c r="D337" s="483"/>
      <c r="E337" s="433" t="str">
        <f>IF(Data!E123="","",Data!E123)</f>
        <v/>
      </c>
      <c r="F337" s="405" t="str">
        <f>IF(Data!F123="","",Data!F123)</f>
        <v/>
      </c>
      <c r="G337" s="405" t="str">
        <f>IF(Data!G123="","",Data!G123)</f>
        <v/>
      </c>
      <c r="H337" s="405" t="str">
        <f>IF(Data!H123="","",Data!H123)</f>
        <v/>
      </c>
      <c r="I337" s="481" t="str">
        <f>IF(Data!I123="","",Data!I123)</f>
        <v/>
      </c>
      <c r="J337" s="481"/>
      <c r="K337" s="481"/>
    </row>
    <row r="338" spans="1:11">
      <c r="A338" s="483" t="str">
        <f>IF(Data!A124="","",Data!A124)</f>
        <v/>
      </c>
      <c r="B338" s="483"/>
      <c r="C338" s="483"/>
      <c r="D338" s="483"/>
      <c r="E338" s="433" t="str">
        <f>IF(Data!E124="","",Data!E124)</f>
        <v/>
      </c>
      <c r="F338" s="405" t="str">
        <f>IF(Data!F124="","",Data!F124)</f>
        <v/>
      </c>
      <c r="G338" s="405" t="str">
        <f>IF(Data!G124="","",Data!G124)</f>
        <v/>
      </c>
      <c r="H338" s="405" t="str">
        <f>IF(Data!H124="","",Data!H124)</f>
        <v/>
      </c>
      <c r="I338" s="481" t="str">
        <f>IF(Data!I124="","",Data!I124)</f>
        <v/>
      </c>
      <c r="J338" s="481"/>
      <c r="K338" s="481"/>
    </row>
    <row r="339" spans="1:11">
      <c r="A339" s="483" t="str">
        <f>IF(Data!A125="","",Data!A125)</f>
        <v/>
      </c>
      <c r="B339" s="483"/>
      <c r="C339" s="483"/>
      <c r="D339" s="483"/>
      <c r="E339" s="433" t="str">
        <f>IF(Data!E125="","",Data!E125)</f>
        <v/>
      </c>
      <c r="F339" s="405" t="str">
        <f>IF(Data!F125="","",Data!F125)</f>
        <v/>
      </c>
      <c r="G339" s="405" t="str">
        <f>IF(Data!G125="","",Data!G125)</f>
        <v/>
      </c>
      <c r="H339" s="405" t="str">
        <f>IF(Data!H125="","",Data!H125)</f>
        <v/>
      </c>
      <c r="I339" s="481" t="str">
        <f>IF(Data!I125="","",Data!I125)</f>
        <v/>
      </c>
      <c r="J339" s="481"/>
      <c r="K339" s="481"/>
    </row>
    <row r="340" spans="1:11">
      <c r="A340" s="483" t="str">
        <f>IF(Data!A126="","",Data!A126)</f>
        <v/>
      </c>
      <c r="B340" s="483"/>
      <c r="C340" s="483"/>
      <c r="D340" s="483"/>
      <c r="E340" s="433" t="str">
        <f>IF(Data!E126="","",Data!E126)</f>
        <v/>
      </c>
      <c r="F340" s="405" t="str">
        <f>IF(Data!F126="","",Data!F126)</f>
        <v/>
      </c>
      <c r="G340" s="405" t="str">
        <f>IF(Data!G126="","",Data!G126)</f>
        <v/>
      </c>
      <c r="H340" s="405" t="str">
        <f>IF(Data!H126="","",Data!H126)</f>
        <v/>
      </c>
      <c r="I340" s="481" t="str">
        <f>IF(Data!I126="","",Data!I126)</f>
        <v/>
      </c>
      <c r="J340" s="481"/>
      <c r="K340" s="481"/>
    </row>
    <row r="341" spans="1:11">
      <c r="A341" s="483" t="str">
        <f>IF(Data!A127="","",Data!A127)</f>
        <v/>
      </c>
      <c r="B341" s="483"/>
      <c r="C341" s="483"/>
      <c r="D341" s="483"/>
      <c r="E341" s="433" t="str">
        <f>IF(Data!E127="","",Data!E127)</f>
        <v/>
      </c>
      <c r="F341" s="405" t="str">
        <f>IF(Data!F127="","",Data!F127)</f>
        <v/>
      </c>
      <c r="G341" s="405" t="str">
        <f>IF(Data!G127="","",Data!G127)</f>
        <v/>
      </c>
      <c r="H341" s="405" t="str">
        <f>IF(Data!H127="","",Data!H127)</f>
        <v/>
      </c>
      <c r="I341" s="481" t="str">
        <f>IF(Data!I127="","",Data!I127)</f>
        <v/>
      </c>
      <c r="J341" s="481"/>
      <c r="K341" s="481"/>
    </row>
    <row r="342" spans="1:11">
      <c r="A342" s="483" t="str">
        <f>IF(Data!A128="","",Data!A128)</f>
        <v/>
      </c>
      <c r="B342" s="483"/>
      <c r="C342" s="483"/>
      <c r="D342" s="483"/>
      <c r="E342" s="433" t="str">
        <f>IF(Data!E128="","",Data!E128)</f>
        <v/>
      </c>
      <c r="F342" s="405" t="str">
        <f>IF(Data!F128="","",Data!F128)</f>
        <v/>
      </c>
      <c r="G342" s="405" t="str">
        <f>IF(Data!G128="","",Data!G128)</f>
        <v/>
      </c>
      <c r="H342" s="405" t="str">
        <f>IF(Data!H128="","",Data!H128)</f>
        <v/>
      </c>
      <c r="I342" s="481" t="str">
        <f>IF(Data!I128="","",Data!I128)</f>
        <v/>
      </c>
      <c r="J342" s="481"/>
      <c r="K342" s="481"/>
    </row>
    <row r="343" spans="1:11">
      <c r="A343" s="483" t="str">
        <f>IF(Data!A129="","",Data!A129)</f>
        <v/>
      </c>
      <c r="B343" s="483"/>
      <c r="C343" s="483"/>
      <c r="D343" s="483"/>
      <c r="E343" s="433" t="str">
        <f>IF(Data!E129="","",Data!E129)</f>
        <v/>
      </c>
      <c r="F343" s="405" t="str">
        <f>IF(Data!F129="","",Data!F129)</f>
        <v/>
      </c>
      <c r="G343" s="405" t="str">
        <f>IF(Data!G129="","",Data!G129)</f>
        <v/>
      </c>
      <c r="H343" s="405" t="str">
        <f>IF(Data!H129="","",Data!H129)</f>
        <v/>
      </c>
      <c r="I343" s="481" t="str">
        <f>IF(Data!I129="","",Data!I129)</f>
        <v/>
      </c>
      <c r="J343" s="481"/>
      <c r="K343" s="481"/>
    </row>
    <row r="344" spans="1:11">
      <c r="A344" s="483" t="str">
        <f>IF(Data!A130="","",Data!A130)</f>
        <v/>
      </c>
      <c r="B344" s="483"/>
      <c r="C344" s="483"/>
      <c r="D344" s="483"/>
      <c r="E344" s="433" t="str">
        <f>IF(Data!E130="","",Data!E130)</f>
        <v/>
      </c>
      <c r="F344" s="405" t="str">
        <f>IF(Data!F130="","",Data!F130)</f>
        <v/>
      </c>
      <c r="G344" s="405" t="str">
        <f>IF(Data!G130="","",Data!G130)</f>
        <v/>
      </c>
      <c r="H344" s="405" t="str">
        <f>IF(Data!H130="","",Data!H130)</f>
        <v/>
      </c>
      <c r="I344" s="481" t="str">
        <f>IF(Data!I130="","",Data!I130)</f>
        <v/>
      </c>
      <c r="J344" s="481"/>
      <c r="K344" s="481"/>
    </row>
    <row r="345" spans="1:11">
      <c r="A345" s="483" t="str">
        <f>IF(Data!A131="","",Data!A131)</f>
        <v/>
      </c>
      <c r="B345" s="483"/>
      <c r="C345" s="483"/>
      <c r="D345" s="483"/>
      <c r="E345" s="433" t="str">
        <f>IF(Data!E131="","",Data!E131)</f>
        <v/>
      </c>
      <c r="F345" s="405" t="str">
        <f>IF(Data!F131="","",Data!F131)</f>
        <v/>
      </c>
      <c r="G345" s="405" t="str">
        <f>IF(Data!G131="","",Data!G131)</f>
        <v/>
      </c>
      <c r="H345" s="405" t="str">
        <f>IF(Data!H131="","",Data!H131)</f>
        <v/>
      </c>
      <c r="I345" s="481" t="str">
        <f>IF(Data!I131="","",Data!I131)</f>
        <v/>
      </c>
      <c r="J345" s="481"/>
      <c r="K345" s="481"/>
    </row>
    <row r="346" spans="1:11">
      <c r="A346" s="483" t="str">
        <f>IF(Data!A132="","",Data!A132)</f>
        <v/>
      </c>
      <c r="B346" s="483"/>
      <c r="C346" s="483"/>
      <c r="D346" s="483"/>
      <c r="E346" s="433" t="str">
        <f>IF(Data!E132="","",Data!E132)</f>
        <v/>
      </c>
      <c r="F346" s="405" t="str">
        <f>IF(Data!F132="","",Data!F132)</f>
        <v/>
      </c>
      <c r="G346" s="405" t="str">
        <f>IF(Data!G132="","",Data!G132)</f>
        <v/>
      </c>
      <c r="H346" s="405" t="str">
        <f>IF(Data!H132="","",Data!H132)</f>
        <v/>
      </c>
      <c r="I346" s="481" t="str">
        <f>IF(Data!I132="","",Data!I132)</f>
        <v/>
      </c>
      <c r="J346" s="481"/>
      <c r="K346" s="481"/>
    </row>
    <row r="347" spans="1:11">
      <c r="A347" s="483" t="str">
        <f>IF(Data!A133="","",Data!A133)</f>
        <v/>
      </c>
      <c r="B347" s="483"/>
      <c r="C347" s="483"/>
      <c r="D347" s="483"/>
      <c r="E347" s="433" t="str">
        <f>IF(Data!E133="","",Data!E133)</f>
        <v/>
      </c>
      <c r="F347" s="405" t="str">
        <f>IF(Data!F133="","",Data!F133)</f>
        <v/>
      </c>
      <c r="G347" s="405" t="str">
        <f>IF(Data!G133="","",Data!G133)</f>
        <v/>
      </c>
      <c r="H347" s="405" t="str">
        <f>IF(Data!H133="","",Data!H133)</f>
        <v/>
      </c>
      <c r="I347" s="481" t="str">
        <f>IF(Data!I133="","",Data!I133)</f>
        <v/>
      </c>
      <c r="J347" s="481"/>
      <c r="K347" s="481"/>
    </row>
    <row r="348" spans="1:11">
      <c r="A348" s="483" t="str">
        <f>IF(Data!A134="","",Data!A134)</f>
        <v/>
      </c>
      <c r="B348" s="483"/>
      <c r="C348" s="483"/>
      <c r="D348" s="483"/>
      <c r="E348" s="433" t="str">
        <f>IF(Data!E134="","",Data!E134)</f>
        <v/>
      </c>
      <c r="F348" s="405" t="str">
        <f>IF(Data!F134="","",Data!F134)</f>
        <v/>
      </c>
      <c r="G348" s="405" t="str">
        <f>IF(Data!G134="","",Data!G134)</f>
        <v/>
      </c>
      <c r="H348" s="405" t="str">
        <f>IF(Data!H134="","",Data!H134)</f>
        <v/>
      </c>
      <c r="I348" s="481" t="str">
        <f>IF(Data!I134="","",Data!I134)</f>
        <v/>
      </c>
      <c r="J348" s="481"/>
      <c r="K348" s="481"/>
    </row>
    <row r="349" spans="1:11">
      <c r="A349" s="483" t="str">
        <f>IF(Data!A135="","",Data!A135)</f>
        <v/>
      </c>
      <c r="B349" s="483"/>
      <c r="C349" s="483"/>
      <c r="D349" s="483"/>
      <c r="E349" s="433" t="str">
        <f>IF(Data!E135="","",Data!E135)</f>
        <v/>
      </c>
      <c r="F349" s="405" t="str">
        <f>IF(Data!F135="","",Data!F135)</f>
        <v/>
      </c>
      <c r="G349" s="405" t="str">
        <f>IF(Data!G135="","",Data!G135)</f>
        <v/>
      </c>
      <c r="H349" s="405" t="str">
        <f>IF(Data!H135="","",Data!H135)</f>
        <v/>
      </c>
      <c r="I349" s="481" t="str">
        <f>IF(Data!I135="","",Data!I135)</f>
        <v/>
      </c>
      <c r="J349" s="481"/>
      <c r="K349" s="481"/>
    </row>
    <row r="350" spans="1:11">
      <c r="A350" s="484" t="str">
        <f>IF(Data!A136="","",Data!A136)</f>
        <v/>
      </c>
      <c r="B350" s="484"/>
      <c r="C350" s="484"/>
      <c r="D350" s="484"/>
      <c r="E350" s="434" t="str">
        <f>IF(Data!E136="","",Data!E136)</f>
        <v/>
      </c>
      <c r="F350" s="408" t="str">
        <f>IF(Data!F136="","",Data!F136)</f>
        <v/>
      </c>
      <c r="G350" s="408" t="str">
        <f>IF(Data!G136="","",Data!G136)</f>
        <v/>
      </c>
      <c r="H350" s="408" t="str">
        <f>IF(Data!H136="","",Data!H136)</f>
        <v/>
      </c>
      <c r="I350" s="482" t="str">
        <f>IF(Data!I136="","",Data!I136)</f>
        <v/>
      </c>
      <c r="J350" s="482"/>
      <c r="K350" s="482"/>
    </row>
    <row r="351" spans="1:11">
      <c r="A351" s="467" t="str">
        <f>IF(Data!A137="","",Data!A137)</f>
        <v/>
      </c>
      <c r="B351" s="467"/>
      <c r="C351" s="155" t="str">
        <f>IF(Data!C137="","",Data!C137)</f>
        <v/>
      </c>
      <c r="D351" s="467" t="str">
        <f>IF(Data!D137="","",Data!D137)</f>
        <v/>
      </c>
      <c r="E351" s="467"/>
      <c r="F351" s="155" t="str">
        <f>IF(Data!F137="","",Data!F137)</f>
        <v/>
      </c>
      <c r="G351" s="467" t="str">
        <f>IF(Data!G137="","",Data!G137)</f>
        <v/>
      </c>
      <c r="H351" s="467"/>
      <c r="I351" s="467"/>
      <c r="J351" s="467"/>
      <c r="K351" s="24"/>
    </row>
    <row r="352" spans="1:11">
      <c r="A352" s="467" t="str">
        <f>IF(Data!A138="","",Data!A138)</f>
        <v/>
      </c>
      <c r="B352" s="467"/>
      <c r="C352" s="155" t="str">
        <f>IF(Data!C138="","",Data!C138)</f>
        <v/>
      </c>
      <c r="D352" s="467" t="str">
        <f>IF(Data!D138="","",Data!D138)</f>
        <v/>
      </c>
      <c r="E352" s="467"/>
      <c r="F352" s="155" t="str">
        <f>IF(Data!F138="","",Data!F138)</f>
        <v/>
      </c>
      <c r="G352" s="467" t="str">
        <f>IF(Data!G138="","",Data!G138)</f>
        <v/>
      </c>
      <c r="H352" s="467"/>
      <c r="I352" s="467"/>
      <c r="J352" s="467"/>
      <c r="K352" s="24"/>
    </row>
    <row r="353" spans="1:11">
      <c r="A353" s="467" t="str">
        <f>IF(Data!A139="","",Data!A139)</f>
        <v/>
      </c>
      <c r="B353" s="467"/>
      <c r="C353" s="155" t="str">
        <f>IF(Data!C139="","",Data!C139)</f>
        <v/>
      </c>
      <c r="D353" s="467" t="str">
        <f>IF(Data!D139="","",Data!D139)</f>
        <v/>
      </c>
      <c r="E353" s="467"/>
      <c r="F353" s="155" t="str">
        <f>IF(Data!F139="","",Data!F139)</f>
        <v/>
      </c>
      <c r="G353" s="467" t="str">
        <f>IF(Data!G139="","",Data!G139)</f>
        <v/>
      </c>
      <c r="H353" s="467"/>
      <c r="I353" s="467"/>
      <c r="J353" s="467"/>
      <c r="K353" s="24"/>
    </row>
    <row r="354" spans="1:11">
      <c r="A354" s="467" t="str">
        <f>IF(Data!A140="","",Data!A140)</f>
        <v/>
      </c>
      <c r="B354" s="467"/>
      <c r="C354" s="155" t="str">
        <f>IF(Data!C140="","",Data!C140)</f>
        <v/>
      </c>
      <c r="D354" s="467" t="str">
        <f>IF(Data!D140="","",Data!D140)</f>
        <v/>
      </c>
      <c r="E354" s="467"/>
      <c r="F354" s="155" t="str">
        <f>IF(Data!F140="","",Data!F140)</f>
        <v/>
      </c>
      <c r="G354" s="467" t="str">
        <f>IF(Data!G140="","",Data!G140)</f>
        <v/>
      </c>
      <c r="H354" s="467"/>
      <c r="I354" s="467"/>
      <c r="J354" s="467"/>
      <c r="K354" s="24"/>
    </row>
    <row r="355" spans="1:11">
      <c r="A355" s="467" t="str">
        <f>IF(Data!A141="","",Data!A141)</f>
        <v/>
      </c>
      <c r="B355" s="467"/>
      <c r="C355" s="155" t="str">
        <f>IF(Data!C141="","",Data!C141)</f>
        <v/>
      </c>
      <c r="D355" s="467" t="str">
        <f>IF(Data!D141="","",Data!D141)</f>
        <v/>
      </c>
      <c r="E355" s="467"/>
      <c r="F355" s="155" t="str">
        <f>IF(Data!F141="","",Data!F141)</f>
        <v/>
      </c>
      <c r="G355" s="467" t="str">
        <f>IF(Data!G141="","",Data!G141)</f>
        <v/>
      </c>
      <c r="H355" s="467"/>
      <c r="I355" s="467"/>
      <c r="J355" s="467"/>
      <c r="K355" s="24"/>
    </row>
    <row r="356" spans="1:11">
      <c r="A356" s="467" t="str">
        <f>IF(Data!A142="","",Data!A142)</f>
        <v/>
      </c>
      <c r="B356" s="467"/>
      <c r="C356" s="155" t="str">
        <f>IF(Data!C142="","",Data!C142)</f>
        <v/>
      </c>
      <c r="D356" s="467" t="str">
        <f>IF(Data!D142="","",Data!D142)</f>
        <v/>
      </c>
      <c r="E356" s="467"/>
      <c r="F356" s="155" t="str">
        <f>IF(Data!F142="","",Data!F142)</f>
        <v/>
      </c>
      <c r="G356" s="467" t="str">
        <f>IF(Data!G142="","",Data!G142)</f>
        <v/>
      </c>
      <c r="H356" s="467"/>
      <c r="I356" s="467"/>
      <c r="J356" s="467"/>
      <c r="K356" s="24"/>
    </row>
    <row r="357" spans="1:11">
      <c r="A357" s="467" t="str">
        <f>IF(Data!A143="","",Data!A143)</f>
        <v/>
      </c>
      <c r="B357" s="467"/>
      <c r="C357" s="155" t="str">
        <f>IF(Data!C143="","",Data!C143)</f>
        <v/>
      </c>
      <c r="D357" s="467" t="str">
        <f>IF(Data!D143="","",Data!D143)</f>
        <v/>
      </c>
      <c r="E357" s="467"/>
      <c r="F357" s="155" t="str">
        <f>IF(Data!F143="","",Data!F143)</f>
        <v/>
      </c>
      <c r="G357" s="467" t="str">
        <f>IF(Data!G143="","",Data!G143)</f>
        <v/>
      </c>
      <c r="H357" s="467"/>
      <c r="I357" s="467"/>
      <c r="J357" s="467"/>
      <c r="K357" s="24"/>
    </row>
    <row r="358" spans="1:11">
      <c r="A358" s="467" t="str">
        <f>IF(Data!A144="","",Data!A144)</f>
        <v/>
      </c>
      <c r="B358" s="467"/>
      <c r="C358" s="155" t="str">
        <f>IF(Data!C144="","",Data!C144)</f>
        <v/>
      </c>
      <c r="D358" s="467" t="str">
        <f>IF(Data!D144="","",Data!D144)</f>
        <v/>
      </c>
      <c r="E358" s="467"/>
      <c r="F358" s="155" t="str">
        <f>IF(Data!F144="","",Data!F144)</f>
        <v/>
      </c>
      <c r="G358" s="467" t="str">
        <f>IF(Data!G144="","",Data!G144)</f>
        <v/>
      </c>
      <c r="H358" s="467"/>
      <c r="I358" s="467"/>
      <c r="J358" s="467"/>
      <c r="K358" s="24"/>
    </row>
    <row r="359" spans="1:11">
      <c r="A359" s="467" t="str">
        <f>IF(Data!A145="","",Data!A145)</f>
        <v/>
      </c>
      <c r="B359" s="467"/>
      <c r="C359" s="155" t="str">
        <f>IF(Data!C145="","",Data!C145)</f>
        <v/>
      </c>
      <c r="D359" s="467" t="str">
        <f>IF(Data!D145="","",Data!D145)</f>
        <v/>
      </c>
      <c r="E359" s="467"/>
      <c r="F359" s="155" t="str">
        <f>IF(Data!F145="","",Data!F145)</f>
        <v/>
      </c>
      <c r="G359" s="467" t="str">
        <f>IF(Data!G145="","",Data!G145)</f>
        <v/>
      </c>
      <c r="H359" s="467"/>
      <c r="I359" s="467"/>
      <c r="J359" s="467"/>
      <c r="K359" s="24"/>
    </row>
    <row r="360" spans="1:11">
      <c r="A360" s="467" t="str">
        <f>IF(Data!A146="","",Data!A146)</f>
        <v/>
      </c>
      <c r="B360" s="467"/>
      <c r="C360" s="155" t="str">
        <f>IF(Data!C146="","",Data!C146)</f>
        <v/>
      </c>
      <c r="D360" s="467" t="str">
        <f>IF(Data!D146="","",Data!D146)</f>
        <v/>
      </c>
      <c r="E360" s="467"/>
      <c r="F360" s="155" t="str">
        <f>IF(Data!F146="","",Data!F146)</f>
        <v/>
      </c>
      <c r="G360" s="467" t="str">
        <f>IF(Data!G146="","",Data!G146)</f>
        <v/>
      </c>
      <c r="H360" s="467"/>
      <c r="I360" s="467"/>
      <c r="J360" s="467"/>
      <c r="K360" s="24"/>
    </row>
    <row r="361" spans="1:11">
      <c r="A361" s="467" t="str">
        <f>IF(Data!A147="","",Data!A147)</f>
        <v/>
      </c>
      <c r="B361" s="467"/>
      <c r="C361" s="155" t="str">
        <f>IF(Data!C147="","",Data!C147)</f>
        <v/>
      </c>
      <c r="D361" s="467" t="str">
        <f>IF(Data!D147="","",Data!D147)</f>
        <v/>
      </c>
      <c r="E361" s="467"/>
      <c r="F361" s="155" t="str">
        <f>IF(Data!F147="","",Data!F147)</f>
        <v/>
      </c>
      <c r="G361" s="467" t="str">
        <f>IF(Data!G147="","",Data!G147)</f>
        <v/>
      </c>
      <c r="H361" s="467"/>
      <c r="I361" s="467"/>
      <c r="J361" s="467"/>
      <c r="K361" s="24"/>
    </row>
    <row r="362" spans="1:11">
      <c r="A362" s="467" t="str">
        <f>IF(Data!A148="","",Data!A148)</f>
        <v/>
      </c>
      <c r="B362" s="467"/>
      <c r="C362" s="155" t="str">
        <f>IF(Data!C148="","",Data!C148)</f>
        <v/>
      </c>
      <c r="D362" s="467" t="str">
        <f>IF(Data!D148="","",Data!D148)</f>
        <v/>
      </c>
      <c r="E362" s="467"/>
      <c r="F362" s="155" t="str">
        <f>IF(Data!F148="","",Data!F148)</f>
        <v/>
      </c>
      <c r="G362" s="467" t="str">
        <f>IF(Data!G148="","",Data!G148)</f>
        <v/>
      </c>
      <c r="H362" s="467"/>
      <c r="I362" s="467"/>
      <c r="J362" s="467"/>
      <c r="K362" s="24"/>
    </row>
    <row r="363" spans="1:11">
      <c r="A363" s="467" t="str">
        <f>IF(Data!A149="","",Data!A149)</f>
        <v/>
      </c>
      <c r="B363" s="467"/>
      <c r="C363" s="155" t="str">
        <f>IF(Data!C149="","",Data!C149)</f>
        <v/>
      </c>
      <c r="D363" s="467" t="str">
        <f>IF(Data!D149="","",Data!D149)</f>
        <v/>
      </c>
      <c r="E363" s="467"/>
      <c r="F363" s="155" t="str">
        <f>IF(Data!F149="","",Data!F149)</f>
        <v/>
      </c>
      <c r="G363" s="467" t="str">
        <f>IF(Data!G149="","",Data!G149)</f>
        <v/>
      </c>
      <c r="H363" s="467"/>
      <c r="I363" s="467"/>
      <c r="J363" s="467"/>
      <c r="K363" s="24"/>
    </row>
    <row r="364" spans="1:11">
      <c r="A364" s="467" t="str">
        <f>IF(Data!A150="","",Data!A150)</f>
        <v/>
      </c>
      <c r="B364" s="467"/>
      <c r="C364" s="155" t="str">
        <f>IF(Data!C150="","",Data!C150)</f>
        <v/>
      </c>
      <c r="D364" s="467" t="str">
        <f>IF(Data!D150="","",Data!D150)</f>
        <v/>
      </c>
      <c r="E364" s="467"/>
      <c r="F364" s="155" t="str">
        <f>IF(Data!F150="","",Data!F150)</f>
        <v/>
      </c>
      <c r="G364" s="467" t="str">
        <f>IF(Data!G150="","",Data!G150)</f>
        <v/>
      </c>
      <c r="H364" s="467"/>
      <c r="I364" s="467"/>
      <c r="J364" s="467"/>
      <c r="K364" s="24"/>
    </row>
    <row r="368" spans="1:11">
      <c r="A368" s="17"/>
      <c r="B368" s="17"/>
      <c r="C368" s="17"/>
      <c r="D368" s="17"/>
      <c r="E368" s="17"/>
      <c r="F368" s="17"/>
      <c r="G368" s="17"/>
      <c r="H368" s="17"/>
      <c r="I368" s="17"/>
      <c r="J368" s="17"/>
      <c r="K368" s="17"/>
    </row>
    <row r="369" spans="1:11" ht="10.5" customHeight="1">
      <c r="A369" s="17"/>
      <c r="B369" s="17"/>
      <c r="C369" s="17"/>
      <c r="D369" s="17"/>
      <c r="E369" s="17"/>
      <c r="F369" s="17"/>
      <c r="G369" s="17"/>
      <c r="H369" s="17"/>
      <c r="I369" s="17"/>
      <c r="J369" s="17"/>
      <c r="K369" s="17"/>
    </row>
    <row r="370" spans="1:11" ht="10.5" customHeight="1">
      <c r="A370" s="17"/>
      <c r="B370" s="17"/>
      <c r="C370" s="17"/>
      <c r="D370" s="17"/>
      <c r="E370" s="17"/>
      <c r="F370" s="17"/>
      <c r="G370" s="17"/>
      <c r="H370" s="17"/>
      <c r="I370" s="17"/>
      <c r="J370" s="17"/>
      <c r="K370" s="17"/>
    </row>
    <row r="371" spans="1:11" ht="10.5" customHeight="1">
      <c r="A371" s="17"/>
      <c r="B371" s="17"/>
      <c r="C371" s="17"/>
      <c r="D371" s="17"/>
      <c r="E371" s="17"/>
      <c r="F371" s="17"/>
      <c r="G371" s="17"/>
      <c r="H371" s="17"/>
      <c r="I371" s="17"/>
      <c r="J371" s="17"/>
      <c r="K371" s="17"/>
    </row>
    <row r="372" spans="1:11" hidden="1"/>
    <row r="373" spans="1:11" hidden="1"/>
    <row r="374" spans="1:11" ht="19.5" customHeight="1">
      <c r="A374" s="20"/>
      <c r="B374" s="17"/>
      <c r="C374" s="17"/>
      <c r="D374" s="17"/>
      <c r="E374" s="17"/>
      <c r="F374" s="17"/>
      <c r="G374" s="17"/>
      <c r="H374" s="17"/>
      <c r="I374" s="17"/>
      <c r="J374" s="17"/>
      <c r="K374" s="17"/>
    </row>
    <row r="375" spans="1:11" ht="30" customHeight="1">
      <c r="A375" s="18" t="s">
        <v>229</v>
      </c>
      <c r="B375" s="17"/>
      <c r="C375" s="17"/>
      <c r="D375" s="17"/>
      <c r="E375" s="17"/>
      <c r="F375" s="17"/>
      <c r="G375" s="17"/>
      <c r="H375" s="17"/>
      <c r="I375" s="17"/>
      <c r="J375" s="17"/>
      <c r="K375" s="17"/>
    </row>
    <row r="376" spans="1:11" ht="15" customHeight="1">
      <c r="A376" s="25"/>
      <c r="B376" s="25"/>
      <c r="C376" s="25"/>
      <c r="D376" s="25"/>
      <c r="E376" s="25"/>
      <c r="F376" s="25"/>
      <c r="G376" s="25"/>
      <c r="H376" s="479" t="str">
        <f>INDEX(Helper!$V$347:$V$351,MATCH(Home!$O$1,Helper!$A$347:$A$351,0))</f>
        <v>The dropout rate of the school for S.Y. 2018-2019 is 0.07 percent or (1 out of 1505) as compared to the dropout rate of S.Y. 2017-2018 which is 0 percent or (0 out of 1418).  The most pressing cause is Individual- Related Factors</v>
      </c>
      <c r="I376" s="479"/>
      <c r="J376" s="479"/>
      <c r="K376" s="17"/>
    </row>
    <row r="377" spans="1:11" ht="15" customHeight="1">
      <c r="A377" s="25"/>
      <c r="B377" s="25"/>
      <c r="C377" s="25"/>
      <c r="D377" s="25"/>
      <c r="E377" s="25"/>
      <c r="F377" s="25"/>
      <c r="G377" s="25"/>
      <c r="H377" s="479"/>
      <c r="I377" s="479"/>
      <c r="J377" s="479"/>
      <c r="K377" s="17"/>
    </row>
    <row r="378" spans="1:11" ht="15" customHeight="1">
      <c r="A378" s="25"/>
      <c r="B378" s="25"/>
      <c r="C378" s="25"/>
      <c r="D378" s="25"/>
      <c r="E378" s="25"/>
      <c r="F378" s="25"/>
      <c r="G378" s="25"/>
      <c r="H378" s="479"/>
      <c r="I378" s="479"/>
      <c r="J378" s="479"/>
      <c r="K378" s="17"/>
    </row>
    <row r="379" spans="1:11" ht="15" customHeight="1">
      <c r="G379" s="25"/>
      <c r="H379" s="479"/>
      <c r="I379" s="479"/>
      <c r="J379" s="479"/>
      <c r="K379" s="17"/>
    </row>
    <row r="380" spans="1:11" ht="15" customHeight="1">
      <c r="G380" s="25"/>
      <c r="H380" s="479"/>
      <c r="I380" s="479"/>
      <c r="J380" s="479"/>
      <c r="K380" s="17"/>
    </row>
    <row r="381" spans="1:11" ht="15" customHeight="1">
      <c r="G381" s="25"/>
      <c r="H381" s="479"/>
      <c r="I381" s="479"/>
      <c r="J381" s="479"/>
      <c r="K381" s="17"/>
    </row>
    <row r="382" spans="1:11" ht="15" customHeight="1">
      <c r="G382" s="25"/>
      <c r="H382" s="479"/>
      <c r="I382" s="479"/>
      <c r="J382" s="479"/>
      <c r="K382" s="17"/>
    </row>
    <row r="383" spans="1:11" ht="15" customHeight="1">
      <c r="G383" s="25"/>
      <c r="H383" s="479"/>
      <c r="I383" s="479"/>
      <c r="J383" s="479"/>
      <c r="K383" s="17"/>
    </row>
    <row r="384" spans="1:11" ht="15" customHeight="1">
      <c r="G384" s="25"/>
      <c r="H384" s="479"/>
      <c r="I384" s="479"/>
      <c r="J384" s="479"/>
      <c r="K384" s="17"/>
    </row>
    <row r="385" spans="7:11" ht="15" customHeight="1">
      <c r="G385" s="25"/>
      <c r="H385" s="479"/>
      <c r="I385" s="479"/>
      <c r="J385" s="479"/>
      <c r="K385" s="17"/>
    </row>
    <row r="386" spans="7:11" ht="15" customHeight="1">
      <c r="G386" s="25"/>
      <c r="H386" s="479"/>
      <c r="I386" s="479"/>
      <c r="J386" s="479"/>
      <c r="K386" s="17"/>
    </row>
    <row r="387" spans="7:11" ht="15" customHeight="1">
      <c r="G387" s="25"/>
      <c r="H387" s="479"/>
      <c r="I387" s="479"/>
      <c r="J387" s="479"/>
      <c r="K387" s="17"/>
    </row>
    <row r="388" spans="7:11" ht="15" customHeight="1">
      <c r="G388" s="25"/>
      <c r="H388" s="479"/>
      <c r="I388" s="479"/>
      <c r="J388" s="479"/>
      <c r="K388" s="17"/>
    </row>
    <row r="389" spans="7:11" ht="15" customHeight="1">
      <c r="G389" s="25"/>
      <c r="H389" s="479"/>
      <c r="I389" s="479"/>
      <c r="J389" s="479"/>
      <c r="K389" s="17"/>
    </row>
    <row r="390" spans="7:11" ht="15" customHeight="1">
      <c r="G390" s="25"/>
      <c r="H390" s="479"/>
      <c r="I390" s="479"/>
      <c r="J390" s="479"/>
      <c r="K390" s="17"/>
    </row>
    <row r="391" spans="7:11" ht="15" customHeight="1">
      <c r="G391" s="25"/>
      <c r="H391" s="479"/>
      <c r="I391" s="479"/>
      <c r="J391" s="479"/>
      <c r="K391" s="17"/>
    </row>
    <row r="392" spans="7:11" ht="15" customHeight="1">
      <c r="G392" s="25"/>
      <c r="H392" s="479"/>
      <c r="I392" s="479"/>
      <c r="J392" s="479"/>
      <c r="K392" s="17"/>
    </row>
    <row r="393" spans="7:11">
      <c r="G393" s="25"/>
      <c r="H393" s="479"/>
      <c r="I393" s="479"/>
      <c r="J393" s="479"/>
      <c r="K393" s="17"/>
    </row>
    <row r="394" spans="7:11">
      <c r="G394" s="25"/>
      <c r="H394" s="479"/>
      <c r="I394" s="479"/>
      <c r="J394" s="479"/>
      <c r="K394" s="17"/>
    </row>
    <row r="395" spans="7:11">
      <c r="G395" s="25"/>
      <c r="H395" s="479"/>
      <c r="I395" s="479"/>
      <c r="J395" s="479"/>
      <c r="K395" s="17"/>
    </row>
    <row r="396" spans="7:11">
      <c r="G396" s="25"/>
      <c r="H396" s="26"/>
      <c r="I396" s="26"/>
      <c r="J396" s="26"/>
      <c r="K396" s="17"/>
    </row>
    <row r="397" spans="7:11">
      <c r="G397" s="25"/>
      <c r="H397" s="26"/>
      <c r="I397" s="26"/>
      <c r="J397" s="26"/>
      <c r="K397" s="17"/>
    </row>
    <row r="398" spans="7:11">
      <c r="G398" s="25"/>
      <c r="H398" s="26"/>
      <c r="I398" s="26"/>
      <c r="J398" s="26"/>
      <c r="K398" s="17"/>
    </row>
    <row r="399" spans="7:11">
      <c r="G399" s="25"/>
      <c r="H399" s="26"/>
      <c r="I399" s="26"/>
      <c r="J399" s="26"/>
      <c r="K399" s="17"/>
    </row>
    <row r="400" spans="7:11">
      <c r="G400" s="25"/>
      <c r="H400" s="25"/>
      <c r="I400" s="25"/>
      <c r="J400" s="25"/>
      <c r="K400" s="17"/>
    </row>
    <row r="401" spans="1:11">
      <c r="A401" s="25"/>
      <c r="B401" s="25"/>
      <c r="C401" s="25"/>
      <c r="D401" s="25"/>
      <c r="E401" s="25"/>
      <c r="F401" s="25"/>
      <c r="G401" s="25"/>
      <c r="H401" s="25"/>
      <c r="I401" s="25"/>
      <c r="J401" s="25"/>
      <c r="K401" s="17"/>
    </row>
    <row r="402" spans="1:11" ht="23.4">
      <c r="A402" s="525" t="s">
        <v>809</v>
      </c>
      <c r="B402" s="525"/>
      <c r="C402" s="525"/>
      <c r="D402" s="525"/>
      <c r="E402" s="42"/>
      <c r="F402" s="42"/>
      <c r="G402" s="25"/>
      <c r="H402" s="25"/>
      <c r="I402" s="25"/>
      <c r="J402" s="25"/>
      <c r="K402" s="17"/>
    </row>
    <row r="403" spans="1:11">
      <c r="A403" s="514"/>
      <c r="B403" s="514"/>
      <c r="C403" s="514"/>
      <c r="D403" s="514"/>
      <c r="E403" s="17"/>
      <c r="F403" s="17"/>
      <c r="G403" s="25"/>
      <c r="H403" s="25"/>
      <c r="I403" s="25"/>
      <c r="J403" s="25"/>
      <c r="K403" s="17"/>
    </row>
    <row r="404" spans="1:11">
      <c r="G404" s="25"/>
      <c r="H404" s="25"/>
      <c r="I404" s="25"/>
      <c r="J404" s="25"/>
      <c r="K404" s="17"/>
    </row>
    <row r="405" spans="1:11">
      <c r="G405" s="25"/>
      <c r="H405" s="25"/>
      <c r="I405" s="25"/>
      <c r="J405" s="25"/>
      <c r="K405" s="17"/>
    </row>
    <row r="406" spans="1:11">
      <c r="G406" s="25"/>
      <c r="H406" s="25"/>
      <c r="I406" s="25"/>
      <c r="J406" s="25"/>
      <c r="K406" s="17"/>
    </row>
    <row r="407" spans="1:11">
      <c r="G407" s="25"/>
      <c r="H407" s="25"/>
      <c r="I407" s="25"/>
      <c r="J407" s="25"/>
      <c r="K407" s="17"/>
    </row>
    <row r="408" spans="1:11">
      <c r="G408" s="25"/>
      <c r="H408" s="25"/>
      <c r="I408" s="25"/>
      <c r="J408" s="25"/>
      <c r="K408" s="17"/>
    </row>
    <row r="409" spans="1:11">
      <c r="G409" s="25"/>
      <c r="H409" s="25"/>
      <c r="I409" s="25"/>
      <c r="J409" s="25"/>
      <c r="K409" s="17"/>
    </row>
    <row r="410" spans="1:11">
      <c r="G410" s="25"/>
      <c r="H410" s="25"/>
      <c r="I410" s="25"/>
      <c r="J410" s="25"/>
      <c r="K410" s="17"/>
    </row>
    <row r="411" spans="1:11">
      <c r="G411" s="25"/>
      <c r="H411" s="25"/>
      <c r="I411" s="25"/>
      <c r="J411" s="25"/>
      <c r="K411" s="17"/>
    </row>
    <row r="412" spans="1:11">
      <c r="G412" s="25"/>
      <c r="H412" s="25"/>
      <c r="I412" s="25"/>
      <c r="J412" s="25"/>
      <c r="K412" s="17"/>
    </row>
    <row r="413" spans="1:11">
      <c r="G413" s="25"/>
      <c r="H413" s="25"/>
      <c r="I413" s="25"/>
      <c r="J413" s="25"/>
      <c r="K413" s="17"/>
    </row>
    <row r="414" spans="1:11">
      <c r="G414" s="25"/>
      <c r="H414" s="25"/>
      <c r="I414" s="25"/>
      <c r="J414" s="25"/>
      <c r="K414" s="17"/>
    </row>
    <row r="415" spans="1:11">
      <c r="G415" s="25"/>
      <c r="H415" s="25"/>
      <c r="I415" s="25"/>
      <c r="J415" s="25"/>
      <c r="K415" s="17"/>
    </row>
    <row r="416" spans="1:11">
      <c r="G416" s="25"/>
      <c r="H416" s="25"/>
      <c r="I416" s="25"/>
      <c r="J416" s="25"/>
      <c r="K416" s="17"/>
    </row>
    <row r="417" spans="1:11">
      <c r="A417" s="25"/>
      <c r="B417" s="25"/>
      <c r="C417" s="25"/>
      <c r="D417" s="25"/>
      <c r="E417" s="25"/>
      <c r="F417" s="25"/>
      <c r="G417" s="25"/>
      <c r="H417" s="25"/>
      <c r="I417" s="25"/>
      <c r="J417" s="25"/>
      <c r="K417" s="17"/>
    </row>
    <row r="418" spans="1:11">
      <c r="A418" s="25"/>
      <c r="B418" s="25"/>
      <c r="C418" s="25"/>
      <c r="D418" s="25"/>
      <c r="E418" s="25"/>
      <c r="F418" s="25"/>
      <c r="G418" s="25"/>
      <c r="H418" s="25"/>
      <c r="I418" s="25"/>
      <c r="J418" s="25"/>
      <c r="K418" s="17"/>
    </row>
    <row r="419" spans="1:11">
      <c r="A419" s="25"/>
      <c r="B419" s="25"/>
      <c r="C419" s="25"/>
      <c r="D419" s="25"/>
      <c r="E419" s="25"/>
      <c r="F419" s="25"/>
      <c r="G419" s="25"/>
      <c r="H419" s="25"/>
      <c r="I419" s="25"/>
      <c r="J419" s="25"/>
      <c r="K419" s="17"/>
    </row>
    <row r="420" spans="1:11">
      <c r="A420" s="25"/>
      <c r="B420" s="25"/>
      <c r="C420" s="25"/>
      <c r="D420" s="25"/>
      <c r="E420" s="25"/>
      <c r="F420" s="25"/>
      <c r="G420" s="25"/>
      <c r="H420" s="25"/>
      <c r="I420" s="25"/>
      <c r="J420" s="25"/>
      <c r="K420" s="17"/>
    </row>
    <row r="421" spans="1:11">
      <c r="A421" s="25"/>
      <c r="B421" s="25"/>
      <c r="C421" s="25"/>
      <c r="D421" s="25"/>
      <c r="E421" s="25"/>
      <c r="F421" s="25"/>
      <c r="G421" s="25"/>
      <c r="H421" s="25"/>
      <c r="I421" s="25"/>
      <c r="J421" s="25"/>
      <c r="K421" s="17"/>
    </row>
    <row r="422" spans="1:11">
      <c r="A422" s="25"/>
      <c r="B422" s="25"/>
      <c r="C422" s="25"/>
      <c r="D422" s="25"/>
      <c r="E422" s="25"/>
      <c r="F422" s="25"/>
      <c r="G422" s="25"/>
      <c r="H422" s="25"/>
      <c r="I422" s="25"/>
      <c r="J422" s="25"/>
      <c r="K422" s="17"/>
    </row>
    <row r="423" spans="1:11">
      <c r="A423" s="25"/>
      <c r="B423" s="25"/>
      <c r="C423" s="25"/>
      <c r="D423" s="25"/>
      <c r="E423" s="25"/>
      <c r="F423" s="25"/>
      <c r="G423" s="25"/>
      <c r="H423" s="25"/>
      <c r="I423" s="25"/>
      <c r="J423" s="25"/>
      <c r="K423" s="17"/>
    </row>
    <row r="424" spans="1:11">
      <c r="A424" s="25"/>
      <c r="B424" s="25"/>
      <c r="C424" s="25"/>
      <c r="D424" s="25"/>
      <c r="E424" s="25"/>
      <c r="F424" s="25"/>
      <c r="G424" s="25"/>
      <c r="H424" s="25"/>
      <c r="I424" s="25"/>
      <c r="J424" s="25"/>
      <c r="K424" s="17"/>
    </row>
    <row r="425" spans="1:11">
      <c r="A425" s="25"/>
      <c r="B425" s="25"/>
      <c r="C425" s="25"/>
      <c r="D425" s="25"/>
      <c r="E425" s="25"/>
      <c r="F425" s="25"/>
      <c r="G425" s="25"/>
      <c r="H425" s="25"/>
      <c r="I425" s="25"/>
      <c r="J425" s="25"/>
      <c r="K425" s="17"/>
    </row>
    <row r="426" spans="1:11">
      <c r="A426" s="17"/>
      <c r="B426" s="17"/>
      <c r="C426" s="17"/>
      <c r="D426" s="17"/>
      <c r="E426" s="17"/>
      <c r="F426" s="17"/>
      <c r="G426" s="17"/>
      <c r="H426" s="17"/>
      <c r="I426" s="17"/>
      <c r="J426" s="17"/>
      <c r="K426" s="17"/>
    </row>
    <row r="427" spans="1:11" ht="6.75" customHeight="1">
      <c r="A427" s="17"/>
      <c r="B427" s="17"/>
      <c r="C427" s="17"/>
      <c r="D427" s="17"/>
      <c r="E427" s="17"/>
      <c r="F427" s="17"/>
      <c r="G427" s="17"/>
      <c r="H427" s="17"/>
      <c r="I427" s="17"/>
      <c r="J427" s="17"/>
      <c r="K427" s="17"/>
    </row>
    <row r="428" spans="1:11" ht="6.75" customHeight="1"/>
    <row r="429" spans="1:11" ht="23.4">
      <c r="A429" s="27" t="s">
        <v>102</v>
      </c>
      <c r="B429" s="28"/>
      <c r="C429" s="28"/>
      <c r="D429" s="28"/>
      <c r="E429" s="28"/>
      <c r="F429" s="28"/>
      <c r="G429" s="28"/>
      <c r="H429" s="28"/>
      <c r="I429" s="28"/>
      <c r="J429" s="28"/>
      <c r="K429" s="17"/>
    </row>
    <row r="430" spans="1:11" ht="23.4">
      <c r="A430" s="27" t="s">
        <v>230</v>
      </c>
      <c r="B430" s="28"/>
      <c r="C430" s="28"/>
      <c r="D430" s="28"/>
      <c r="E430" s="28"/>
      <c r="F430" s="28"/>
      <c r="G430" s="28"/>
      <c r="H430" s="28"/>
      <c r="I430" s="28"/>
      <c r="J430" s="28"/>
      <c r="K430" s="17"/>
    </row>
    <row r="431" spans="1:11">
      <c r="A431" s="25"/>
      <c r="B431" s="25"/>
      <c r="C431" s="25"/>
      <c r="D431" s="25"/>
      <c r="E431" s="25"/>
      <c r="F431" s="25"/>
      <c r="G431" s="25"/>
      <c r="H431" s="25"/>
      <c r="I431" s="25"/>
      <c r="J431" s="25"/>
      <c r="K431" s="17"/>
    </row>
    <row r="432" spans="1:11">
      <c r="A432" s="25"/>
      <c r="B432" s="25"/>
      <c r="C432" s="25"/>
      <c r="D432" s="25"/>
      <c r="E432" s="25"/>
      <c r="F432" s="25"/>
      <c r="G432" s="25"/>
      <c r="H432" s="25"/>
      <c r="I432" s="25"/>
      <c r="J432" s="25"/>
      <c r="K432" s="17"/>
    </row>
    <row r="433" spans="1:11">
      <c r="A433" s="25"/>
      <c r="B433" s="25"/>
      <c r="C433" s="25"/>
      <c r="D433" s="25"/>
      <c r="E433" s="25"/>
      <c r="F433" s="25"/>
      <c r="G433" s="25"/>
      <c r="H433" s="25"/>
      <c r="I433" s="25"/>
      <c r="J433" s="25"/>
      <c r="K433" s="17"/>
    </row>
    <row r="435" spans="1:11" ht="15" customHeight="1">
      <c r="A435" s="515" t="str">
        <f>INDEX(Helper!$I$368:$I$372,MATCH(Home!$O$1,Helper!$A$368:$A$372,0))</f>
        <v>The average promotion rate in S.Y. 2018-2019 is at 93.09 percent as compared to the 98.55 percent of the previous school year.</v>
      </c>
      <c r="B435" s="515"/>
      <c r="C435" s="515"/>
      <c r="D435" s="515"/>
    </row>
    <row r="436" spans="1:11" ht="15" customHeight="1">
      <c r="A436" s="515"/>
      <c r="B436" s="515"/>
      <c r="C436" s="515"/>
      <c r="D436" s="515"/>
    </row>
    <row r="437" spans="1:11" ht="15" customHeight="1">
      <c r="A437" s="515"/>
      <c r="B437" s="515"/>
      <c r="C437" s="515"/>
      <c r="D437" s="515"/>
    </row>
    <row r="438" spans="1:11" ht="15" customHeight="1">
      <c r="A438" s="515"/>
      <c r="B438" s="515"/>
      <c r="C438" s="515"/>
      <c r="D438" s="515"/>
    </row>
    <row r="439" spans="1:11" ht="15" customHeight="1">
      <c r="A439" s="515"/>
      <c r="B439" s="515"/>
      <c r="C439" s="515"/>
      <c r="D439" s="515"/>
    </row>
    <row r="440" spans="1:11" ht="15" customHeight="1">
      <c r="A440" s="515"/>
      <c r="B440" s="515"/>
      <c r="C440" s="515"/>
      <c r="D440" s="515"/>
    </row>
    <row r="441" spans="1:11" ht="15" customHeight="1">
      <c r="A441" s="515"/>
      <c r="B441" s="515"/>
      <c r="C441" s="515"/>
      <c r="D441" s="515"/>
    </row>
    <row r="442" spans="1:11" ht="15" customHeight="1">
      <c r="A442" s="515"/>
      <c r="B442" s="515"/>
      <c r="C442" s="515"/>
      <c r="D442" s="515"/>
    </row>
    <row r="443" spans="1:11" ht="15" customHeight="1">
      <c r="A443" s="515"/>
      <c r="B443" s="515"/>
      <c r="C443" s="515"/>
      <c r="D443" s="515"/>
    </row>
    <row r="444" spans="1:11" ht="15" customHeight="1">
      <c r="A444" s="515"/>
      <c r="B444" s="515"/>
      <c r="C444" s="515"/>
      <c r="D444" s="515"/>
    </row>
    <row r="445" spans="1:11" ht="15" customHeight="1">
      <c r="A445" s="515"/>
      <c r="B445" s="515"/>
      <c r="C445" s="515"/>
      <c r="D445" s="515"/>
    </row>
    <row r="446" spans="1:11" ht="15" customHeight="1">
      <c r="A446" s="515"/>
      <c r="B446" s="515"/>
      <c r="C446" s="515"/>
      <c r="D446" s="515"/>
    </row>
    <row r="447" spans="1:11" ht="15" customHeight="1">
      <c r="A447" s="515"/>
      <c r="B447" s="515"/>
      <c r="C447" s="515"/>
      <c r="D447" s="515"/>
    </row>
    <row r="448" spans="1:11" ht="15" customHeight="1">
      <c r="A448" s="515"/>
      <c r="B448" s="515"/>
      <c r="C448" s="515"/>
      <c r="D448" s="515"/>
    </row>
    <row r="449" spans="1:10" ht="15" customHeight="1">
      <c r="A449" s="515"/>
      <c r="B449" s="515"/>
      <c r="C449" s="515"/>
      <c r="D449" s="515"/>
    </row>
    <row r="450" spans="1:10" ht="15" customHeight="1">
      <c r="A450" s="280"/>
      <c r="B450" s="280"/>
      <c r="C450" s="280"/>
      <c r="D450" s="280"/>
    </row>
    <row r="451" spans="1:10" ht="15" customHeight="1">
      <c r="A451" s="280"/>
      <c r="B451" s="280"/>
      <c r="C451" s="280"/>
      <c r="D451" s="280"/>
    </row>
    <row r="452" spans="1:10">
      <c r="A452" s="280"/>
      <c r="B452" s="280"/>
      <c r="C452" s="280"/>
      <c r="D452" s="280"/>
    </row>
    <row r="453" spans="1:10">
      <c r="A453" s="280"/>
      <c r="B453" s="280"/>
      <c r="C453" s="280"/>
      <c r="D453" s="280"/>
    </row>
    <row r="454" spans="1:10">
      <c r="B454" s="280"/>
      <c r="C454" s="280"/>
      <c r="D454" s="280"/>
    </row>
    <row r="458" spans="1:10" ht="15" customHeight="1">
      <c r="E458" s="473"/>
      <c r="F458" s="473"/>
      <c r="G458" s="473"/>
      <c r="H458" s="473"/>
      <c r="I458" s="473"/>
      <c r="J458" s="473"/>
    </row>
    <row r="459" spans="1:10" ht="15" customHeight="1">
      <c r="E459" s="473"/>
      <c r="F459" s="473"/>
      <c r="G459" s="473"/>
      <c r="H459" s="473"/>
      <c r="I459" s="473"/>
      <c r="J459" s="473"/>
    </row>
    <row r="460" spans="1:10" ht="15" customHeight="1">
      <c r="E460" s="473"/>
      <c r="F460" s="473"/>
      <c r="G460" s="473"/>
      <c r="H460" s="473"/>
      <c r="I460" s="473"/>
      <c r="J460" s="473"/>
    </row>
    <row r="461" spans="1:10" ht="15" customHeight="1">
      <c r="E461" s="473"/>
      <c r="F461" s="473"/>
      <c r="G461" s="473"/>
      <c r="H461" s="473"/>
      <c r="I461" s="473"/>
      <c r="J461" s="473"/>
    </row>
    <row r="462" spans="1:10" ht="15" customHeight="1">
      <c r="E462" s="473"/>
      <c r="F462" s="473"/>
      <c r="G462" s="473"/>
      <c r="H462" s="473"/>
      <c r="I462" s="473"/>
      <c r="J462" s="473"/>
    </row>
    <row r="463" spans="1:10" ht="15" customHeight="1">
      <c r="E463" s="473"/>
      <c r="F463" s="473"/>
      <c r="G463" s="473"/>
      <c r="H463" s="473"/>
      <c r="I463" s="473"/>
      <c r="J463" s="473"/>
    </row>
    <row r="464" spans="1:10" ht="15" customHeight="1">
      <c r="E464" s="473"/>
      <c r="F464" s="473"/>
      <c r="G464" s="473"/>
      <c r="H464" s="473"/>
      <c r="I464" s="473"/>
      <c r="J464" s="473"/>
    </row>
    <row r="465" spans="1:11" ht="15" customHeight="1">
      <c r="E465" s="473"/>
      <c r="F465" s="473"/>
      <c r="G465" s="473"/>
      <c r="H465" s="473"/>
      <c r="I465" s="473"/>
      <c r="J465" s="473"/>
    </row>
    <row r="466" spans="1:11" ht="15" customHeight="1">
      <c r="E466" s="473"/>
      <c r="F466" s="473"/>
      <c r="G466" s="473"/>
      <c r="H466" s="473"/>
      <c r="I466" s="473"/>
      <c r="J466" s="473"/>
    </row>
    <row r="467" spans="1:11" ht="15" customHeight="1">
      <c r="E467" s="473"/>
      <c r="F467" s="473"/>
      <c r="G467" s="473"/>
      <c r="H467" s="473"/>
      <c r="I467" s="473"/>
      <c r="J467" s="473"/>
    </row>
    <row r="468" spans="1:11" ht="15" customHeight="1">
      <c r="F468" s="89"/>
      <c r="G468" s="89"/>
      <c r="H468" s="89"/>
      <c r="I468" s="89"/>
      <c r="J468" s="89"/>
    </row>
    <row r="469" spans="1:11" ht="15" customHeight="1">
      <c r="F469" s="516" t="str">
        <f>INDEX(Helper!$G$389:$G$393,MATCH(Home!$O$1,Helper!$A$389:$A$393,0))</f>
        <v>The grade level with the highest Promotion Rate for the latest school year is  Grade 12 with 98.385 percent.</v>
      </c>
      <c r="G469" s="516"/>
      <c r="H469" s="516"/>
      <c r="I469" s="516"/>
      <c r="J469" s="516"/>
      <c r="K469" s="516"/>
    </row>
    <row r="470" spans="1:11" ht="15" customHeight="1">
      <c r="F470" s="516"/>
      <c r="G470" s="516"/>
      <c r="H470" s="516"/>
      <c r="I470" s="516"/>
      <c r="J470" s="516"/>
      <c r="K470" s="516"/>
    </row>
    <row r="471" spans="1:11" ht="15" customHeight="1">
      <c r="F471" s="516"/>
      <c r="G471" s="516"/>
      <c r="H471" s="516"/>
      <c r="I471" s="516"/>
      <c r="J471" s="516"/>
      <c r="K471" s="516"/>
    </row>
    <row r="472" spans="1:11" ht="15" customHeight="1">
      <c r="F472" s="516"/>
      <c r="G472" s="516"/>
      <c r="H472" s="516"/>
      <c r="I472" s="516"/>
      <c r="J472" s="516"/>
      <c r="K472" s="516"/>
    </row>
    <row r="473" spans="1:11" ht="15" customHeight="1">
      <c r="F473" s="516"/>
      <c r="G473" s="516"/>
      <c r="H473" s="516"/>
      <c r="I473" s="516"/>
      <c r="J473" s="516"/>
      <c r="K473" s="516"/>
    </row>
    <row r="474" spans="1:11" ht="15" customHeight="1">
      <c r="F474" s="516"/>
      <c r="G474" s="516"/>
      <c r="H474" s="516"/>
      <c r="I474" s="516"/>
      <c r="J474" s="516"/>
      <c r="K474" s="516"/>
    </row>
    <row r="475" spans="1:11" ht="15" customHeight="1">
      <c r="F475" s="516"/>
      <c r="G475" s="516"/>
      <c r="H475" s="516"/>
      <c r="I475" s="516"/>
      <c r="J475" s="516"/>
      <c r="K475" s="516"/>
    </row>
    <row r="476" spans="1:11" ht="15" customHeight="1">
      <c r="F476" s="516"/>
      <c r="G476" s="516"/>
      <c r="H476" s="516"/>
      <c r="I476" s="516"/>
      <c r="J476" s="516"/>
      <c r="K476" s="516"/>
    </row>
    <row r="477" spans="1:11">
      <c r="A477" s="17"/>
      <c r="B477" s="17"/>
      <c r="C477" s="17"/>
      <c r="D477" s="17"/>
      <c r="E477" s="17"/>
      <c r="F477" s="17"/>
      <c r="G477" s="17"/>
      <c r="H477" s="17"/>
      <c r="I477" s="17"/>
      <c r="J477" s="17"/>
      <c r="K477" s="17"/>
    </row>
    <row r="478" spans="1:11">
      <c r="A478" s="17"/>
      <c r="B478" s="17"/>
      <c r="C478" s="17"/>
      <c r="D478" s="17"/>
      <c r="E478" s="17"/>
      <c r="F478" s="17"/>
      <c r="G478" s="17"/>
      <c r="H478" s="17"/>
      <c r="I478" s="17"/>
      <c r="J478" s="17"/>
      <c r="K478" s="17"/>
    </row>
    <row r="479" spans="1:11">
      <c r="A479" s="17"/>
      <c r="B479" s="17"/>
      <c r="C479" s="17"/>
      <c r="D479" s="17"/>
      <c r="E479" s="17"/>
      <c r="F479" s="17"/>
      <c r="G479" s="17"/>
      <c r="H479" s="17"/>
      <c r="I479" s="17"/>
      <c r="J479" s="17"/>
      <c r="K479" s="17"/>
    </row>
    <row r="480" spans="1:11">
      <c r="A480" s="17"/>
      <c r="B480" s="17"/>
      <c r="C480" s="17"/>
      <c r="D480" s="17"/>
      <c r="E480" s="17"/>
      <c r="F480" s="17"/>
      <c r="G480" s="17"/>
      <c r="H480" s="17"/>
      <c r="I480" s="17"/>
      <c r="J480" s="17"/>
      <c r="K480" s="17"/>
    </row>
    <row r="481" spans="1:11">
      <c r="A481" s="17"/>
      <c r="B481" s="17"/>
      <c r="C481" s="17"/>
      <c r="D481" s="17"/>
      <c r="E481" s="17"/>
      <c r="F481" s="17"/>
      <c r="G481" s="17"/>
      <c r="H481" s="17"/>
      <c r="I481" s="17"/>
      <c r="J481" s="17"/>
      <c r="K481" s="17"/>
    </row>
    <row r="482" spans="1:11">
      <c r="A482" s="17"/>
      <c r="B482" s="17"/>
      <c r="C482" s="17"/>
      <c r="D482" s="17"/>
      <c r="E482" s="17"/>
      <c r="F482" s="17"/>
      <c r="G482" s="17"/>
      <c r="H482" s="17"/>
      <c r="I482" s="17"/>
      <c r="J482" s="17"/>
      <c r="K482" s="17"/>
    </row>
    <row r="484" spans="1:11" ht="28.8">
      <c r="A484" s="20"/>
      <c r="B484" s="17"/>
      <c r="C484" s="17"/>
      <c r="D484" s="17"/>
      <c r="E484" s="17"/>
      <c r="F484" s="17"/>
      <c r="G484" s="17"/>
      <c r="H484" s="17"/>
      <c r="I484" s="17"/>
      <c r="J484" s="17"/>
      <c r="K484" s="17"/>
    </row>
    <row r="485" spans="1:11" ht="20.399999999999999">
      <c r="A485" s="29" t="s">
        <v>231</v>
      </c>
      <c r="B485" s="17"/>
      <c r="C485" s="17"/>
      <c r="D485" s="17"/>
      <c r="E485" s="17"/>
      <c r="F485" s="17"/>
      <c r="G485" s="17"/>
      <c r="H485" s="17"/>
      <c r="I485" s="17"/>
      <c r="J485" s="17"/>
      <c r="K485" s="17"/>
    </row>
    <row r="486" spans="1:11" ht="20.399999999999999">
      <c r="A486" s="29"/>
      <c r="B486" s="25"/>
      <c r="C486" s="25"/>
      <c r="D486" s="25"/>
      <c r="E486" s="25"/>
      <c r="F486" s="25"/>
      <c r="G486" s="25"/>
      <c r="H486" s="25"/>
      <c r="I486" s="25"/>
      <c r="J486" s="25"/>
      <c r="K486" s="17"/>
    </row>
    <row r="490" spans="1:11">
      <c r="I490" s="25"/>
      <c r="J490" s="25"/>
    </row>
    <row r="515" spans="6:10">
      <c r="F515" s="500" t="str">
        <f>INDEX(Helper!$R$410:$R$414,MATCH(Home!$O$1,Helper!$A$410:$A$414,0))</f>
        <v/>
      </c>
      <c r="G515" s="500"/>
      <c r="H515" s="500"/>
      <c r="I515" s="500"/>
      <c r="J515" s="500"/>
    </row>
    <row r="516" spans="6:10">
      <c r="F516" s="500"/>
      <c r="G516" s="500"/>
      <c r="H516" s="500"/>
      <c r="I516" s="500"/>
      <c r="J516" s="500"/>
    </row>
    <row r="517" spans="6:10">
      <c r="F517" s="500"/>
      <c r="G517" s="500"/>
      <c r="H517" s="500"/>
      <c r="I517" s="500"/>
      <c r="J517" s="500"/>
    </row>
    <row r="518" spans="6:10">
      <c r="F518" s="500"/>
      <c r="G518" s="500"/>
      <c r="H518" s="500"/>
      <c r="I518" s="500"/>
      <c r="J518" s="500"/>
    </row>
    <row r="519" spans="6:10">
      <c r="F519" s="500"/>
      <c r="G519" s="500"/>
      <c r="H519" s="500"/>
      <c r="I519" s="500"/>
      <c r="J519" s="500"/>
    </row>
    <row r="520" spans="6:10">
      <c r="F520" s="500"/>
      <c r="G520" s="500"/>
      <c r="H520" s="500"/>
      <c r="I520" s="500"/>
      <c r="J520" s="500"/>
    </row>
    <row r="521" spans="6:10">
      <c r="F521" s="500"/>
      <c r="G521" s="500"/>
      <c r="H521" s="500"/>
      <c r="I521" s="500"/>
      <c r="J521" s="500"/>
    </row>
    <row r="522" spans="6:10">
      <c r="F522" s="500"/>
      <c r="G522" s="500"/>
      <c r="H522" s="500"/>
      <c r="I522" s="500"/>
      <c r="J522" s="500"/>
    </row>
    <row r="523" spans="6:10">
      <c r="F523" s="500"/>
      <c r="G523" s="500"/>
      <c r="H523" s="500"/>
      <c r="I523" s="500"/>
      <c r="J523" s="500"/>
    </row>
    <row r="524" spans="6:10">
      <c r="F524" s="500"/>
      <c r="G524" s="500"/>
      <c r="H524" s="500"/>
      <c r="I524" s="500"/>
      <c r="J524" s="500"/>
    </row>
    <row r="525" spans="6:10">
      <c r="F525" s="500"/>
      <c r="G525" s="500"/>
      <c r="H525" s="500"/>
      <c r="I525" s="500"/>
      <c r="J525" s="500"/>
    </row>
    <row r="526" spans="6:10">
      <c r="F526" s="500"/>
      <c r="G526" s="500"/>
      <c r="H526" s="500"/>
      <c r="I526" s="500"/>
      <c r="J526" s="500"/>
    </row>
    <row r="527" spans="6:10">
      <c r="F527" s="500"/>
      <c r="G527" s="500"/>
      <c r="H527" s="500"/>
      <c r="I527" s="500"/>
      <c r="J527" s="500"/>
    </row>
    <row r="528" spans="6:10">
      <c r="F528" s="500"/>
      <c r="G528" s="500"/>
      <c r="H528" s="500"/>
      <c r="I528" s="500"/>
      <c r="J528" s="500"/>
    </row>
    <row r="529" spans="1:11">
      <c r="F529" s="500"/>
      <c r="G529" s="500"/>
      <c r="H529" s="500"/>
      <c r="I529" s="500"/>
      <c r="J529" s="500"/>
    </row>
    <row r="530" spans="1:11">
      <c r="F530" s="500"/>
      <c r="G530" s="500"/>
      <c r="H530" s="500"/>
      <c r="I530" s="500"/>
      <c r="J530" s="500"/>
    </row>
    <row r="531" spans="1:11">
      <c r="F531" s="500"/>
      <c r="G531" s="500"/>
      <c r="H531" s="500"/>
      <c r="I531" s="500"/>
      <c r="J531" s="500"/>
    </row>
    <row r="532" spans="1:11">
      <c r="A532" s="17"/>
      <c r="B532" s="17"/>
      <c r="C532" s="17"/>
      <c r="D532" s="17"/>
      <c r="E532" s="17"/>
      <c r="F532" s="17"/>
      <c r="G532" s="17"/>
      <c r="H532" s="17"/>
      <c r="I532" s="17"/>
      <c r="J532" s="17"/>
      <c r="K532" s="17"/>
    </row>
    <row r="533" spans="1:11">
      <c r="A533" s="17"/>
      <c r="B533" s="17"/>
      <c r="C533" s="17"/>
      <c r="D533" s="17"/>
      <c r="E533" s="17"/>
      <c r="F533" s="17"/>
      <c r="G533" s="17"/>
      <c r="H533" s="17"/>
      <c r="I533" s="17"/>
      <c r="J533" s="17"/>
      <c r="K533" s="17"/>
    </row>
    <row r="534" spans="1:11">
      <c r="A534" s="17"/>
      <c r="B534" s="17"/>
      <c r="C534" s="17"/>
      <c r="D534" s="17"/>
      <c r="E534" s="17"/>
      <c r="F534" s="17"/>
      <c r="G534" s="17"/>
      <c r="H534" s="17"/>
      <c r="I534" s="17"/>
      <c r="J534" s="17"/>
      <c r="K534" s="17"/>
    </row>
    <row r="535" spans="1:11">
      <c r="A535" s="17"/>
      <c r="B535" s="17"/>
      <c r="C535" s="17"/>
      <c r="D535" s="17"/>
      <c r="E535" s="17"/>
      <c r="F535" s="17"/>
      <c r="G535" s="17"/>
      <c r="H535" s="17"/>
      <c r="I535" s="17"/>
      <c r="J535" s="17"/>
      <c r="K535" s="17"/>
    </row>
    <row r="536" spans="1:11" ht="8.25" customHeight="1">
      <c r="A536" s="17"/>
      <c r="B536" s="17"/>
      <c r="C536" s="17"/>
      <c r="D536" s="17"/>
      <c r="E536" s="17"/>
      <c r="F536" s="17"/>
      <c r="G536" s="17"/>
      <c r="H536" s="17"/>
      <c r="I536" s="17"/>
      <c r="J536" s="17"/>
      <c r="K536" s="17"/>
    </row>
    <row r="537" spans="1:11" ht="8.25" customHeight="1">
      <c r="A537" s="17"/>
      <c r="B537" s="17"/>
      <c r="C537" s="17"/>
      <c r="D537" s="17"/>
      <c r="E537" s="17"/>
      <c r="F537" s="17"/>
      <c r="G537" s="17"/>
      <c r="H537" s="17"/>
      <c r="I537" s="17"/>
      <c r="J537" s="17"/>
      <c r="K537" s="17"/>
    </row>
    <row r="538" spans="1:11" ht="8.25" customHeight="1"/>
    <row r="539" spans="1:11" ht="28.8">
      <c r="A539" s="20"/>
      <c r="B539" s="17"/>
      <c r="C539" s="17"/>
      <c r="D539" s="17"/>
      <c r="E539" s="17"/>
      <c r="F539" s="17"/>
      <c r="G539" s="17"/>
      <c r="H539" s="17"/>
      <c r="I539" s="17"/>
      <c r="J539" s="17"/>
      <c r="K539" s="17"/>
    </row>
    <row r="540" spans="1:11" ht="20.399999999999999">
      <c r="A540" s="29" t="s">
        <v>292</v>
      </c>
      <c r="B540" s="17"/>
      <c r="C540" s="17"/>
      <c r="D540" s="17"/>
      <c r="E540" s="17"/>
      <c r="F540" s="17"/>
      <c r="G540" s="17"/>
      <c r="H540" s="17"/>
      <c r="I540" s="17"/>
      <c r="J540" s="17"/>
      <c r="K540" s="17"/>
    </row>
    <row r="541" spans="1:11">
      <c r="A541" s="25"/>
      <c r="B541" s="25"/>
      <c r="C541" s="25"/>
      <c r="D541" s="25"/>
      <c r="E541" s="25"/>
      <c r="F541" s="25"/>
      <c r="G541" s="25"/>
      <c r="H541" s="25"/>
      <c r="I541" s="25"/>
      <c r="J541" s="25"/>
      <c r="K541" s="17"/>
    </row>
    <row r="542" spans="1:11" ht="15" customHeight="1">
      <c r="A542" s="480" t="str">
        <f>INDEX(Helper!$L$452:$L$471,MATCH(Home!$O$1,Helper!$A$452:$A$471,0))</f>
        <v>Results of the Group Screening Test (GST) in Phil-IRI during the pre-test in English showed Grade 11 has the highest number of learners who are reading at their level with 50.24 percent of the total GST takers. In Filipino, the percentage of learners who are reading at their level is at 77.02 percent, with Grade 12 having the highest percentage of learners passing the GST.</v>
      </c>
      <c r="B542" s="480"/>
      <c r="C542" s="480"/>
      <c r="D542" s="480"/>
      <c r="E542" s="480"/>
      <c r="F542" s="480"/>
      <c r="G542" s="25"/>
      <c r="H542" s="25"/>
      <c r="I542" s="25"/>
      <c r="J542" s="25"/>
      <c r="K542" s="17"/>
    </row>
    <row r="543" spans="1:11" ht="15" customHeight="1">
      <c r="A543" s="480"/>
      <c r="B543" s="480"/>
      <c r="C543" s="480"/>
      <c r="D543" s="480"/>
      <c r="E543" s="480"/>
      <c r="F543" s="480"/>
      <c r="G543" s="25"/>
      <c r="H543" s="25"/>
      <c r="I543" s="25"/>
      <c r="J543" s="25"/>
      <c r="K543" s="17"/>
    </row>
    <row r="544" spans="1:11" ht="15" customHeight="1">
      <c r="A544" s="480"/>
      <c r="B544" s="480"/>
      <c r="C544" s="480"/>
      <c r="D544" s="480"/>
      <c r="E544" s="480"/>
      <c r="F544" s="480"/>
      <c r="G544" s="25"/>
      <c r="H544" s="25"/>
      <c r="I544" s="25"/>
      <c r="J544" s="25"/>
      <c r="K544" s="17"/>
    </row>
    <row r="545" spans="1:11" ht="15" customHeight="1">
      <c r="A545" s="480"/>
      <c r="B545" s="480"/>
      <c r="C545" s="480"/>
      <c r="D545" s="480"/>
      <c r="E545" s="480"/>
      <c r="F545" s="480"/>
      <c r="G545" s="25"/>
      <c r="H545" s="25"/>
      <c r="I545" s="25"/>
      <c r="J545" s="25"/>
      <c r="K545" s="17"/>
    </row>
    <row r="546" spans="1:11" ht="15" customHeight="1">
      <c r="A546" s="480"/>
      <c r="B546" s="480"/>
      <c r="C546" s="480"/>
      <c r="D546" s="480"/>
      <c r="E546" s="480"/>
      <c r="F546" s="480"/>
      <c r="G546" s="25"/>
      <c r="H546" s="25"/>
      <c r="I546" s="25"/>
      <c r="J546" s="25"/>
      <c r="K546" s="17"/>
    </row>
    <row r="547" spans="1:11" ht="15" customHeight="1">
      <c r="A547" s="480"/>
      <c r="B547" s="480"/>
      <c r="C547" s="480"/>
      <c r="D547" s="480"/>
      <c r="E547" s="480"/>
      <c r="F547" s="480"/>
      <c r="G547" s="25"/>
      <c r="H547" s="25"/>
      <c r="I547" s="25"/>
      <c r="J547" s="25"/>
      <c r="K547" s="17"/>
    </row>
    <row r="548" spans="1:11" ht="15" customHeight="1">
      <c r="A548" s="480"/>
      <c r="B548" s="480"/>
      <c r="C548" s="480"/>
      <c r="D548" s="480"/>
      <c r="E548" s="480"/>
      <c r="F548" s="480"/>
      <c r="G548" s="25"/>
      <c r="H548" s="25"/>
      <c r="I548" s="25"/>
      <c r="J548" s="25"/>
      <c r="K548" s="17"/>
    </row>
    <row r="549" spans="1:11" ht="15" customHeight="1">
      <c r="A549" s="480"/>
      <c r="B549" s="480"/>
      <c r="C549" s="480"/>
      <c r="D549" s="480"/>
      <c r="E549" s="480"/>
      <c r="F549" s="480"/>
      <c r="G549" s="25"/>
      <c r="H549" s="25"/>
      <c r="I549" s="25"/>
      <c r="J549" s="25"/>
      <c r="K549" s="17"/>
    </row>
    <row r="550" spans="1:11" ht="15" customHeight="1">
      <c r="A550" s="480"/>
      <c r="B550" s="480"/>
      <c r="C550" s="480"/>
      <c r="D550" s="480"/>
      <c r="E550" s="480"/>
      <c r="F550" s="480"/>
      <c r="G550" s="25"/>
      <c r="H550" s="25"/>
      <c r="I550" s="25"/>
      <c r="J550" s="25"/>
      <c r="K550" s="17"/>
    </row>
    <row r="551" spans="1:11" ht="15" customHeight="1">
      <c r="A551" s="480"/>
      <c r="B551" s="480"/>
      <c r="C551" s="480"/>
      <c r="D551" s="480"/>
      <c r="E551" s="480"/>
      <c r="F551" s="480"/>
      <c r="G551" s="25"/>
      <c r="H551" s="25"/>
      <c r="I551" s="25"/>
      <c r="J551" s="25"/>
      <c r="K551" s="17"/>
    </row>
    <row r="552" spans="1:11" ht="15" customHeight="1">
      <c r="A552" s="480"/>
      <c r="B552" s="480"/>
      <c r="C552" s="480"/>
      <c r="D552" s="480"/>
      <c r="E552" s="480"/>
      <c r="F552" s="480"/>
      <c r="G552" s="25"/>
      <c r="H552" s="25"/>
      <c r="I552" s="25"/>
      <c r="J552" s="25"/>
      <c r="K552" s="17"/>
    </row>
    <row r="553" spans="1:11" ht="15" customHeight="1">
      <c r="A553" s="480"/>
      <c r="B553" s="480"/>
      <c r="C553" s="480"/>
      <c r="D553" s="480"/>
      <c r="E553" s="480"/>
      <c r="F553" s="480"/>
      <c r="G553" s="25"/>
      <c r="H553" s="25"/>
      <c r="I553" s="25"/>
      <c r="J553" s="25"/>
      <c r="K553" s="17"/>
    </row>
    <row r="554" spans="1:11" ht="15" customHeight="1">
      <c r="A554" s="480"/>
      <c r="B554" s="480"/>
      <c r="C554" s="480"/>
      <c r="D554" s="480"/>
      <c r="E554" s="480"/>
      <c r="F554" s="480"/>
      <c r="G554" s="25"/>
      <c r="H554" s="25"/>
      <c r="I554" s="25"/>
      <c r="J554" s="25"/>
      <c r="K554" s="17"/>
    </row>
    <row r="555" spans="1:11" ht="15" customHeight="1">
      <c r="A555" s="480"/>
      <c r="B555" s="480"/>
      <c r="C555" s="480"/>
      <c r="D555" s="480"/>
      <c r="E555" s="480"/>
      <c r="F555" s="480"/>
      <c r="G555" s="25"/>
      <c r="H555" s="25"/>
      <c r="I555" s="25"/>
      <c r="J555" s="25"/>
      <c r="K555" s="17"/>
    </row>
    <row r="556" spans="1:11" ht="15" customHeight="1">
      <c r="A556" s="480"/>
      <c r="B556" s="480"/>
      <c r="C556" s="480"/>
      <c r="D556" s="480"/>
      <c r="E556" s="480"/>
      <c r="F556" s="480"/>
      <c r="G556" s="30"/>
      <c r="H556" s="30"/>
      <c r="I556" s="30"/>
      <c r="J556" s="30"/>
    </row>
    <row r="557" spans="1:11" ht="15" customHeight="1">
      <c r="A557" s="480"/>
      <c r="B557" s="480"/>
      <c r="C557" s="480"/>
      <c r="D557" s="480"/>
      <c r="E557" s="480"/>
      <c r="F557" s="480"/>
      <c r="G557" s="30"/>
      <c r="H557" s="30"/>
      <c r="I557" s="30"/>
      <c r="J557" s="30"/>
    </row>
    <row r="558" spans="1:11">
      <c r="A558" s="30"/>
      <c r="B558" s="30"/>
      <c r="C558" s="30"/>
      <c r="D558" s="30"/>
      <c r="E558" s="30"/>
      <c r="F558" s="30"/>
      <c r="G558" s="30"/>
      <c r="H558" s="30"/>
      <c r="I558" s="30"/>
      <c r="J558" s="30"/>
    </row>
    <row r="559" spans="1:11">
      <c r="A559" s="30"/>
      <c r="B559" s="30"/>
      <c r="C559" s="30"/>
      <c r="D559" s="30"/>
      <c r="E559" s="30"/>
      <c r="F559" s="30"/>
      <c r="G559" s="30"/>
      <c r="H559" s="30"/>
      <c r="I559" s="30"/>
      <c r="J559" s="30"/>
    </row>
    <row r="560" spans="1:11">
      <c r="A560" s="30"/>
      <c r="B560" s="30"/>
      <c r="C560" s="30"/>
      <c r="D560" s="30"/>
      <c r="E560" s="30"/>
      <c r="F560" s="30"/>
      <c r="G560" s="30"/>
      <c r="H560" s="30"/>
      <c r="I560" s="30"/>
      <c r="J560" s="30"/>
    </row>
    <row r="561" spans="1:10">
      <c r="A561" s="30"/>
      <c r="B561" s="30"/>
      <c r="C561" s="30"/>
      <c r="D561" s="30"/>
      <c r="E561" s="30"/>
      <c r="F561" s="30"/>
      <c r="G561" s="30"/>
      <c r="H561" s="30"/>
      <c r="I561" s="30"/>
      <c r="J561" s="30"/>
    </row>
    <row r="587" spans="1:11">
      <c r="A587" s="17"/>
      <c r="B587" s="17"/>
      <c r="C587" s="17"/>
      <c r="D587" s="17"/>
      <c r="E587" s="17"/>
      <c r="F587" s="17"/>
      <c r="G587" s="17"/>
      <c r="H587" s="17"/>
      <c r="I587" s="17"/>
      <c r="J587" s="17"/>
      <c r="K587" s="17"/>
    </row>
    <row r="588" spans="1:11">
      <c r="A588" s="17"/>
      <c r="B588" s="17"/>
      <c r="C588" s="17"/>
      <c r="D588" s="17"/>
      <c r="E588" s="17"/>
      <c r="F588" s="17"/>
      <c r="G588" s="17"/>
      <c r="H588" s="17"/>
      <c r="I588" s="17"/>
      <c r="J588" s="17"/>
      <c r="K588" s="17"/>
    </row>
    <row r="589" spans="1:11">
      <c r="A589" s="17"/>
      <c r="B589" s="17"/>
      <c r="C589" s="17"/>
      <c r="D589" s="17"/>
      <c r="E589" s="17"/>
      <c r="F589" s="17"/>
      <c r="G589" s="17"/>
      <c r="H589" s="17"/>
      <c r="I589" s="17"/>
      <c r="J589" s="17"/>
      <c r="K589" s="17"/>
    </row>
    <row r="590" spans="1:11">
      <c r="A590" s="17"/>
      <c r="B590" s="17"/>
      <c r="C590" s="17"/>
      <c r="D590" s="17"/>
      <c r="E590" s="17"/>
      <c r="F590" s="17"/>
      <c r="G590" s="17"/>
      <c r="H590" s="17"/>
      <c r="I590" s="17"/>
      <c r="J590" s="17"/>
      <c r="K590" s="17"/>
    </row>
    <row r="591" spans="1:11">
      <c r="A591" s="17"/>
      <c r="B591" s="17"/>
      <c r="C591" s="17"/>
      <c r="D591" s="17"/>
      <c r="E591" s="17"/>
      <c r="F591" s="17"/>
      <c r="G591" s="17"/>
      <c r="H591" s="17"/>
      <c r="I591" s="17"/>
      <c r="J591" s="17"/>
      <c r="K591" s="17"/>
    </row>
    <row r="592" spans="1:11">
      <c r="A592" s="17"/>
      <c r="B592" s="17"/>
      <c r="C592" s="17"/>
      <c r="D592" s="17"/>
      <c r="E592" s="17"/>
      <c r="F592" s="17"/>
      <c r="G592" s="17"/>
      <c r="H592" s="17"/>
      <c r="I592" s="17"/>
      <c r="J592" s="17"/>
      <c r="K592" s="17"/>
    </row>
    <row r="594" spans="1:11">
      <c r="A594" s="17"/>
      <c r="B594" s="17"/>
      <c r="C594" s="17"/>
      <c r="D594" s="17"/>
      <c r="E594" s="17"/>
      <c r="F594" s="17"/>
      <c r="G594" s="17"/>
      <c r="H594" s="17"/>
      <c r="I594" s="17"/>
      <c r="J594" s="17"/>
      <c r="K594" s="17"/>
    </row>
    <row r="595" spans="1:11" ht="23.4">
      <c r="A595" s="31" t="s">
        <v>165</v>
      </c>
      <c r="B595" s="17"/>
      <c r="C595" s="17"/>
      <c r="D595" s="17"/>
      <c r="E595" s="17"/>
      <c r="F595" s="17"/>
      <c r="G595" s="17"/>
      <c r="H595" s="17"/>
      <c r="I595" s="17"/>
      <c r="J595" s="17"/>
      <c r="K595" s="17"/>
    </row>
    <row r="596" spans="1:11" ht="23.4">
      <c r="A596" s="31"/>
      <c r="B596" s="17"/>
      <c r="C596" s="17"/>
      <c r="D596" s="17"/>
      <c r="E596" s="17"/>
      <c r="F596" s="17"/>
      <c r="G596" s="17"/>
      <c r="H596" s="17"/>
      <c r="I596" s="17"/>
      <c r="J596" s="17"/>
      <c r="K596" s="17"/>
    </row>
    <row r="598" spans="1:11" ht="23.4">
      <c r="A598" s="33"/>
    </row>
    <row r="609" spans="1:10" ht="18">
      <c r="A609" s="34"/>
      <c r="B609" s="35"/>
    </row>
    <row r="617" spans="1:10">
      <c r="G617" s="478" t="str">
        <f>IF(Data!K6="Multi-Grade",Helper!DE116,IF(Data!K6="Combined (Mono-Grade &amp; Multi-Grade)",Helper!DE116,INDEX(Helper!$G$557:$G$561,MATCH(Home!$O$1,Helper!$A$557:$A$561,0))))</f>
        <v>The grade level with the highest learner to teacher ratio is Grade 7 which can still accommodate 10 learners per class as compared to the recommended pupil-teacher ratio.</v>
      </c>
      <c r="H617" s="478"/>
      <c r="I617" s="478"/>
      <c r="J617" s="478"/>
    </row>
    <row r="618" spans="1:10">
      <c r="G618" s="478"/>
      <c r="H618" s="478"/>
      <c r="I618" s="478"/>
      <c r="J618" s="478"/>
    </row>
    <row r="619" spans="1:10">
      <c r="G619" s="478"/>
      <c r="H619" s="478"/>
      <c r="I619" s="478"/>
      <c r="J619" s="478"/>
    </row>
    <row r="620" spans="1:10">
      <c r="G620" s="478"/>
      <c r="H620" s="478"/>
      <c r="I620" s="478"/>
      <c r="J620" s="478"/>
    </row>
    <row r="621" spans="1:10">
      <c r="G621" s="478"/>
      <c r="H621" s="478"/>
      <c r="I621" s="478"/>
      <c r="J621" s="478"/>
    </row>
    <row r="622" spans="1:10" ht="15" customHeight="1">
      <c r="E622" s="11"/>
      <c r="F622" s="11"/>
      <c r="G622" s="478"/>
      <c r="H622" s="478"/>
      <c r="I622" s="478"/>
      <c r="J622" s="478"/>
    </row>
    <row r="623" spans="1:10" ht="15" customHeight="1">
      <c r="E623" s="11"/>
      <c r="F623" s="11"/>
      <c r="G623" s="478"/>
      <c r="H623" s="478"/>
      <c r="I623" s="478"/>
      <c r="J623" s="478"/>
    </row>
    <row r="624" spans="1:10" ht="15" customHeight="1">
      <c r="E624" s="11"/>
      <c r="F624" s="11"/>
      <c r="G624" s="478"/>
      <c r="H624" s="478"/>
      <c r="I624" s="478"/>
      <c r="J624" s="478"/>
    </row>
    <row r="625" spans="5:10" ht="15" customHeight="1">
      <c r="E625" s="11"/>
      <c r="F625" s="11"/>
      <c r="G625" s="478"/>
      <c r="H625" s="478"/>
      <c r="I625" s="478"/>
      <c r="J625" s="478"/>
    </row>
    <row r="626" spans="5:10" ht="15" customHeight="1">
      <c r="E626" s="11"/>
      <c r="F626" s="11"/>
      <c r="G626" s="478"/>
      <c r="H626" s="478"/>
      <c r="I626" s="478"/>
      <c r="J626" s="478"/>
    </row>
    <row r="627" spans="5:10" ht="15" customHeight="1">
      <c r="E627" s="11"/>
      <c r="F627" s="11"/>
      <c r="G627" s="478"/>
      <c r="H627" s="478"/>
      <c r="I627" s="478"/>
      <c r="J627" s="478"/>
    </row>
    <row r="628" spans="5:10" ht="15" customHeight="1">
      <c r="E628" s="11"/>
      <c r="F628" s="11"/>
      <c r="G628" s="478"/>
      <c r="H628" s="478"/>
      <c r="I628" s="478"/>
      <c r="J628" s="478"/>
    </row>
    <row r="629" spans="5:10" ht="15" customHeight="1">
      <c r="E629" s="11"/>
      <c r="F629" s="11"/>
      <c r="G629" s="478"/>
      <c r="H629" s="478"/>
      <c r="I629" s="478"/>
      <c r="J629" s="478"/>
    </row>
    <row r="630" spans="5:10" ht="15" customHeight="1">
      <c r="E630" s="11"/>
      <c r="F630" s="11"/>
      <c r="G630" s="478"/>
      <c r="H630" s="478"/>
      <c r="I630" s="478"/>
      <c r="J630" s="478"/>
    </row>
    <row r="631" spans="5:10" ht="15" customHeight="1">
      <c r="E631" s="11"/>
      <c r="F631" s="11"/>
      <c r="G631" s="478"/>
      <c r="H631" s="478"/>
      <c r="I631" s="478"/>
      <c r="J631" s="478"/>
    </row>
    <row r="632" spans="5:10" ht="15" customHeight="1">
      <c r="E632" s="11"/>
      <c r="F632" s="11"/>
      <c r="G632" s="478"/>
      <c r="H632" s="478"/>
      <c r="I632" s="478"/>
      <c r="J632" s="478"/>
    </row>
    <row r="633" spans="5:10" ht="15" customHeight="1">
      <c r="E633" s="11"/>
      <c r="F633" s="11"/>
      <c r="G633" s="478"/>
      <c r="H633" s="478"/>
      <c r="I633" s="478"/>
      <c r="J633" s="478"/>
    </row>
    <row r="634" spans="5:10">
      <c r="G634" s="478"/>
      <c r="H634" s="478"/>
      <c r="I634" s="478"/>
      <c r="J634" s="478"/>
    </row>
    <row r="635" spans="5:10">
      <c r="G635" s="478"/>
      <c r="H635" s="478"/>
      <c r="I635" s="478"/>
      <c r="J635" s="478"/>
    </row>
    <row r="636" spans="5:10">
      <c r="G636" s="478"/>
      <c r="H636" s="478"/>
      <c r="I636" s="478"/>
      <c r="J636" s="478"/>
    </row>
    <row r="637" spans="5:10">
      <c r="G637" s="478"/>
      <c r="H637" s="478"/>
      <c r="I637" s="478"/>
      <c r="J637" s="478"/>
    </row>
    <row r="638" spans="5:10">
      <c r="G638" s="478"/>
      <c r="H638" s="478"/>
      <c r="I638" s="478"/>
      <c r="J638" s="478"/>
    </row>
    <row r="639" spans="5:10">
      <c r="G639" s="478"/>
      <c r="H639" s="478"/>
      <c r="I639" s="478"/>
      <c r="J639" s="478"/>
    </row>
    <row r="640" spans="5:10">
      <c r="G640" s="478"/>
      <c r="H640" s="478"/>
      <c r="I640" s="478"/>
      <c r="J640" s="478"/>
    </row>
    <row r="643" spans="1:11">
      <c r="A643" s="17"/>
      <c r="B643" s="17"/>
      <c r="C643" s="17"/>
      <c r="D643" s="17"/>
      <c r="E643" s="17"/>
      <c r="F643" s="17"/>
      <c r="G643" s="17"/>
      <c r="H643" s="17"/>
      <c r="I643" s="17"/>
      <c r="J643" s="17"/>
      <c r="K643" s="17"/>
    </row>
    <row r="644" spans="1:11">
      <c r="A644" s="17"/>
      <c r="B644" s="17"/>
      <c r="C644" s="17"/>
      <c r="D644" s="17"/>
      <c r="E644" s="17"/>
      <c r="F644" s="17"/>
      <c r="G644" s="17"/>
      <c r="H644" s="17"/>
      <c r="I644" s="17"/>
      <c r="J644" s="17"/>
      <c r="K644" s="17"/>
    </row>
    <row r="645" spans="1:11">
      <c r="A645" s="17"/>
      <c r="B645" s="17"/>
      <c r="C645" s="17"/>
      <c r="D645" s="17"/>
      <c r="E645" s="17"/>
      <c r="F645" s="17"/>
      <c r="G645" s="17"/>
      <c r="H645" s="17"/>
      <c r="I645" s="17"/>
      <c r="J645" s="17"/>
      <c r="K645" s="17"/>
    </row>
    <row r="646" spans="1:11">
      <c r="A646" s="17"/>
      <c r="B646" s="17"/>
      <c r="C646" s="17"/>
      <c r="D646" s="17"/>
      <c r="E646" s="17"/>
      <c r="F646" s="17"/>
      <c r="G646" s="17"/>
      <c r="H646" s="17"/>
      <c r="I646" s="17"/>
      <c r="J646" s="17"/>
      <c r="K646" s="17"/>
    </row>
    <row r="647" spans="1:11" ht="8.25" customHeight="1">
      <c r="A647" s="17"/>
      <c r="B647" s="17"/>
      <c r="C647" s="17"/>
      <c r="D647" s="17"/>
      <c r="E647" s="17"/>
      <c r="F647" s="17"/>
      <c r="G647" s="17"/>
      <c r="H647" s="17"/>
      <c r="I647" s="17"/>
      <c r="J647" s="17"/>
      <c r="K647" s="17"/>
    </row>
    <row r="648" spans="1:11" ht="8.25" customHeight="1"/>
    <row r="649" spans="1:11">
      <c r="A649" s="17"/>
      <c r="B649" s="17"/>
      <c r="C649" s="17"/>
      <c r="D649" s="17"/>
      <c r="E649" s="17"/>
      <c r="F649" s="17"/>
      <c r="G649" s="17"/>
      <c r="H649" s="17"/>
      <c r="I649" s="17"/>
      <c r="J649" s="17"/>
      <c r="K649" s="17"/>
    </row>
    <row r="650" spans="1:11" ht="23.4">
      <c r="A650" s="31" t="s">
        <v>167</v>
      </c>
      <c r="B650" s="17"/>
      <c r="C650" s="17"/>
      <c r="D650" s="17"/>
      <c r="E650" s="17"/>
      <c r="F650" s="17"/>
      <c r="G650" s="17"/>
      <c r="H650" s="17"/>
      <c r="I650" s="17"/>
      <c r="J650" s="17"/>
      <c r="K650" s="17"/>
    </row>
    <row r="651" spans="1:11" ht="23.4">
      <c r="A651" s="31"/>
      <c r="B651" s="17"/>
      <c r="C651" s="17"/>
      <c r="D651" s="17"/>
      <c r="E651" s="17"/>
      <c r="F651" s="17"/>
      <c r="G651" s="17"/>
      <c r="H651" s="17"/>
      <c r="I651" s="17"/>
      <c r="J651" s="17"/>
      <c r="K651" s="17"/>
    </row>
    <row r="653" spans="1:11" ht="15" customHeight="1">
      <c r="H653" s="475" t="str">
        <f>IF(Data!$K$6="Multi-Grade",Helper!$DE$124,IF(Data!$K$6="Combined (Mono-Grade &amp; Multi-Grade)",Helper!$DE$124,INDEX(Helper!$L$473:$L$477,MATCH(Home!$O$1,Helper!$A$473:$A$477,0))))</f>
        <v>The biggest class size is on Grade 7 with an average class size of 61 followed by Grade 11 with an average class size of 52 learner/s per class which is beyond the recommended learner-classroom ratio.</v>
      </c>
      <c r="I653" s="475"/>
      <c r="J653" s="475"/>
    </row>
    <row r="654" spans="1:11" ht="15" customHeight="1">
      <c r="H654" s="475"/>
      <c r="I654" s="475"/>
      <c r="J654" s="475"/>
    </row>
    <row r="655" spans="1:11" ht="15" customHeight="1">
      <c r="H655" s="475"/>
      <c r="I655" s="475"/>
      <c r="J655" s="475"/>
    </row>
    <row r="656" spans="1:11" ht="15" customHeight="1">
      <c r="H656" s="475"/>
      <c r="I656" s="475"/>
      <c r="J656" s="475"/>
    </row>
    <row r="657" spans="1:10" ht="15" customHeight="1">
      <c r="H657" s="475"/>
      <c r="I657" s="475"/>
      <c r="J657" s="475"/>
    </row>
    <row r="658" spans="1:10" ht="15" customHeight="1">
      <c r="H658" s="475"/>
      <c r="I658" s="475"/>
      <c r="J658" s="475"/>
    </row>
    <row r="659" spans="1:10" ht="15" customHeight="1">
      <c r="H659" s="475"/>
      <c r="I659" s="475"/>
      <c r="J659" s="475"/>
    </row>
    <row r="660" spans="1:10" ht="15" customHeight="1">
      <c r="H660" s="475"/>
      <c r="I660" s="475"/>
      <c r="J660" s="475"/>
    </row>
    <row r="661" spans="1:10" ht="15" customHeight="1">
      <c r="H661" s="475"/>
      <c r="I661" s="475"/>
      <c r="J661" s="475"/>
    </row>
    <row r="662" spans="1:10" ht="15" customHeight="1">
      <c r="H662" s="475"/>
      <c r="I662" s="475"/>
      <c r="J662" s="475"/>
    </row>
    <row r="663" spans="1:10" ht="15" customHeight="1">
      <c r="H663" s="475"/>
      <c r="I663" s="475"/>
      <c r="J663" s="475"/>
    </row>
    <row r="664" spans="1:10" ht="15" customHeight="1">
      <c r="H664" s="475"/>
      <c r="I664" s="475"/>
      <c r="J664" s="475"/>
    </row>
    <row r="665" spans="1:10" ht="15" customHeight="1">
      <c r="H665" s="475"/>
      <c r="I665" s="475"/>
      <c r="J665" s="475"/>
    </row>
    <row r="666" spans="1:10" ht="15" customHeight="1">
      <c r="H666" s="475"/>
      <c r="I666" s="475"/>
      <c r="J666" s="475"/>
    </row>
    <row r="667" spans="1:10" ht="15" customHeight="1">
      <c r="H667" s="475"/>
      <c r="I667" s="475"/>
      <c r="J667" s="475"/>
    </row>
    <row r="668" spans="1:10" ht="15" customHeight="1">
      <c r="H668" s="475"/>
      <c r="I668" s="475"/>
      <c r="J668" s="475"/>
    </row>
    <row r="669" spans="1:10" ht="15" customHeight="1">
      <c r="H669" s="475"/>
      <c r="I669" s="475"/>
      <c r="J669" s="475"/>
    </row>
    <row r="670" spans="1:10" ht="15" customHeight="1">
      <c r="A670" s="522" t="str">
        <f>IF(Helper!$G$494="","",INDEX(Helper!$G$494:$G$498,MATCH(Home!$O$1,Helper!$A$494:$A$498,0)))</f>
        <v>All classrooms utilized are standard instructional rooms.</v>
      </c>
      <c r="B670" s="522"/>
      <c r="C670" s="522"/>
      <c r="D670" s="522"/>
      <c r="E670" s="522"/>
      <c r="F670" s="522"/>
      <c r="H670" s="475"/>
      <c r="I670" s="475"/>
      <c r="J670" s="475"/>
    </row>
    <row r="671" spans="1:10" ht="15" customHeight="1">
      <c r="A671" s="522"/>
      <c r="B671" s="522"/>
      <c r="C671" s="522"/>
      <c r="D671" s="522"/>
      <c r="E671" s="522"/>
      <c r="F671" s="522"/>
      <c r="H671" s="475"/>
      <c r="I671" s="475"/>
      <c r="J671" s="475"/>
    </row>
    <row r="672" spans="1:10" ht="15" customHeight="1">
      <c r="A672" s="522"/>
      <c r="B672" s="522"/>
      <c r="C672" s="522"/>
      <c r="D672" s="522"/>
      <c r="E672" s="522"/>
      <c r="F672" s="522"/>
      <c r="H672" s="475"/>
      <c r="I672" s="475"/>
      <c r="J672" s="475"/>
    </row>
    <row r="673" spans="1:10" ht="15" customHeight="1">
      <c r="H673" s="475"/>
      <c r="I673" s="475"/>
      <c r="J673" s="475"/>
    </row>
    <row r="674" spans="1:10" ht="15" customHeight="1">
      <c r="A674" s="523" t="str">
        <f>IF(Helper!$G$515="","",INDEX(Helper!$G$515:$G$519,MATCH(Home!$O$1,Helper!$A$515:$A$519,0)))</f>
        <v>Generally, all classrooms utilized are in good condition.</v>
      </c>
      <c r="B674" s="523"/>
      <c r="C674" s="523"/>
      <c r="D674" s="523"/>
      <c r="E674" s="523"/>
      <c r="F674" s="523"/>
      <c r="H674" s="475"/>
      <c r="I674" s="475"/>
      <c r="J674" s="475"/>
    </row>
    <row r="675" spans="1:10" ht="15" customHeight="1">
      <c r="A675" s="523"/>
      <c r="B675" s="523"/>
      <c r="C675" s="523"/>
      <c r="D675" s="523"/>
      <c r="E675" s="523"/>
      <c r="F675" s="523"/>
      <c r="H675" s="475"/>
      <c r="I675" s="475"/>
      <c r="J675" s="475"/>
    </row>
    <row r="676" spans="1:10" ht="15" customHeight="1">
      <c r="A676" s="523"/>
      <c r="B676" s="523"/>
      <c r="C676" s="523"/>
      <c r="D676" s="523"/>
      <c r="E676" s="523"/>
      <c r="F676" s="523"/>
      <c r="H676" s="475"/>
      <c r="I676" s="475"/>
      <c r="J676" s="475"/>
    </row>
    <row r="677" spans="1:10" ht="15" customHeight="1">
      <c r="A677" s="474" t="str">
        <f>INDEX(Helper!$J$536:$J$540,MATCH(Home!$O$1,Helper!$A$536:$A$540,0))</f>
        <v>The school lack/s 2 classroom/s as of SY 2018-2019.</v>
      </c>
      <c r="B677" s="474"/>
      <c r="C677" s="474"/>
      <c r="D677" s="474"/>
      <c r="E677" s="474"/>
      <c r="F677" s="474"/>
      <c r="G677" s="474"/>
      <c r="H677" s="474"/>
      <c r="I677" s="474"/>
      <c r="J677" s="474"/>
    </row>
    <row r="678" spans="1:10" ht="15" customHeight="1">
      <c r="A678" s="474"/>
      <c r="B678" s="474"/>
      <c r="C678" s="474"/>
      <c r="D678" s="474"/>
      <c r="E678" s="474"/>
      <c r="F678" s="474"/>
      <c r="G678" s="474"/>
      <c r="H678" s="474"/>
      <c r="I678" s="474"/>
      <c r="J678" s="474"/>
    </row>
    <row r="679" spans="1:10" ht="15" customHeight="1">
      <c r="A679" s="474"/>
      <c r="B679" s="474"/>
      <c r="C679" s="474"/>
      <c r="D679" s="474"/>
      <c r="E679" s="474"/>
      <c r="F679" s="474"/>
      <c r="G679" s="474"/>
      <c r="H679" s="474"/>
      <c r="I679" s="474"/>
      <c r="J679" s="474"/>
    </row>
    <row r="680" spans="1:10" ht="15" customHeight="1">
      <c r="A680" s="474"/>
      <c r="B680" s="474"/>
      <c r="C680" s="474"/>
      <c r="D680" s="474"/>
      <c r="E680" s="474"/>
      <c r="F680" s="474"/>
      <c r="G680" s="474"/>
      <c r="H680" s="474"/>
      <c r="I680" s="474"/>
      <c r="J680" s="474"/>
    </row>
    <row r="681" spans="1:10" ht="15" customHeight="1">
      <c r="A681" s="90"/>
      <c r="B681" s="90"/>
      <c r="C681" s="90"/>
      <c r="D681" s="90"/>
      <c r="E681" s="90"/>
      <c r="F681" s="90"/>
      <c r="G681" s="90"/>
      <c r="H681" s="90"/>
      <c r="I681" s="90"/>
      <c r="J681" s="90"/>
    </row>
    <row r="682" spans="1:10" ht="15" customHeight="1">
      <c r="E682" s="2"/>
      <c r="F682" s="2"/>
      <c r="G682" s="2"/>
      <c r="H682" s="2"/>
      <c r="I682" s="2"/>
      <c r="J682" s="2"/>
    </row>
    <row r="683" spans="1:10" ht="15" customHeight="1">
      <c r="E683" s="2"/>
      <c r="F683" s="2"/>
      <c r="G683" s="2"/>
      <c r="H683" s="2"/>
      <c r="I683" s="2"/>
      <c r="J683" s="2"/>
    </row>
    <row r="684" spans="1:10" ht="15" customHeight="1">
      <c r="E684" s="2"/>
      <c r="F684" s="2"/>
      <c r="G684" s="2"/>
      <c r="H684" s="2"/>
      <c r="I684" s="2"/>
      <c r="J684" s="2"/>
    </row>
    <row r="685" spans="1:10" ht="15" customHeight="1">
      <c r="E685" s="2"/>
      <c r="F685" s="2"/>
      <c r="G685" s="2"/>
      <c r="H685" s="2"/>
      <c r="I685" s="2"/>
      <c r="J685" s="2"/>
    </row>
    <row r="686" spans="1:10" ht="15" customHeight="1">
      <c r="E686" s="2"/>
      <c r="F686" s="2"/>
      <c r="G686" s="2"/>
      <c r="H686" s="2"/>
      <c r="I686" s="2"/>
      <c r="J686" s="2"/>
    </row>
    <row r="687" spans="1:10" ht="15" customHeight="1">
      <c r="E687" s="2"/>
      <c r="F687" s="2"/>
      <c r="G687" s="2"/>
      <c r="H687" s="2"/>
      <c r="I687" s="2"/>
      <c r="J687" s="2"/>
    </row>
    <row r="688" spans="1:10" ht="15" customHeight="1">
      <c r="E688" s="2"/>
      <c r="F688" s="2"/>
      <c r="G688" s="2"/>
      <c r="H688" s="2"/>
      <c r="I688" s="2"/>
      <c r="J688" s="2"/>
    </row>
    <row r="696" spans="1:11" ht="18">
      <c r="D696" s="36"/>
    </row>
    <row r="698" spans="1:11">
      <c r="A698" s="17"/>
      <c r="B698" s="17"/>
      <c r="C698" s="17"/>
      <c r="D698" s="17"/>
      <c r="E698" s="17"/>
      <c r="F698" s="17"/>
      <c r="G698" s="17"/>
      <c r="H698" s="17"/>
      <c r="I698" s="17"/>
      <c r="J698" s="17"/>
      <c r="K698" s="17"/>
    </row>
    <row r="699" spans="1:11">
      <c r="A699" s="17"/>
      <c r="B699" s="17"/>
      <c r="C699" s="17"/>
      <c r="D699" s="17"/>
      <c r="E699" s="17"/>
      <c r="F699" s="17"/>
      <c r="G699" s="17"/>
      <c r="H699" s="17"/>
      <c r="I699" s="17"/>
      <c r="J699" s="17"/>
      <c r="K699" s="17"/>
    </row>
    <row r="700" spans="1:11">
      <c r="A700" s="17"/>
      <c r="B700" s="17"/>
      <c r="C700" s="17"/>
      <c r="D700" s="17"/>
      <c r="E700" s="17"/>
      <c r="F700" s="17"/>
      <c r="G700" s="17"/>
      <c r="H700" s="17"/>
      <c r="I700" s="17"/>
      <c r="J700" s="17"/>
      <c r="K700" s="17"/>
    </row>
    <row r="701" spans="1:11">
      <c r="A701" s="17"/>
      <c r="B701" s="17"/>
      <c r="C701" s="17"/>
      <c r="D701" s="17"/>
      <c r="E701" s="17"/>
      <c r="F701" s="17"/>
      <c r="G701" s="17"/>
      <c r="H701" s="17"/>
      <c r="I701" s="17"/>
      <c r="J701" s="17"/>
      <c r="K701" s="17"/>
    </row>
    <row r="702" spans="1:11">
      <c r="A702" s="17"/>
      <c r="B702" s="17"/>
      <c r="C702" s="17"/>
      <c r="D702" s="17"/>
      <c r="E702" s="17"/>
      <c r="F702" s="17"/>
      <c r="G702" s="17"/>
      <c r="H702" s="17"/>
      <c r="I702" s="17"/>
      <c r="J702" s="17"/>
      <c r="K702" s="17"/>
    </row>
    <row r="703" spans="1:11" ht="6" customHeight="1">
      <c r="A703" s="17"/>
      <c r="B703" s="17"/>
      <c r="C703" s="17"/>
      <c r="D703" s="17"/>
      <c r="E703" s="17"/>
      <c r="F703" s="17"/>
      <c r="G703" s="17"/>
      <c r="H703" s="17"/>
      <c r="I703" s="17"/>
      <c r="J703" s="17"/>
      <c r="K703" s="17"/>
    </row>
    <row r="704" spans="1:11" ht="6" customHeight="1"/>
    <row r="705" spans="1:11" ht="28.8">
      <c r="A705" s="20"/>
      <c r="B705" s="17"/>
      <c r="C705" s="17"/>
      <c r="D705" s="17"/>
      <c r="E705" s="17"/>
      <c r="F705" s="17"/>
      <c r="G705" s="17"/>
      <c r="H705" s="17"/>
      <c r="I705" s="17"/>
      <c r="J705" s="17"/>
      <c r="K705" s="17"/>
    </row>
    <row r="706" spans="1:11" ht="23.4">
      <c r="A706" s="31" t="s">
        <v>117</v>
      </c>
      <c r="B706" s="17"/>
      <c r="C706" s="17"/>
      <c r="D706" s="17"/>
      <c r="E706" s="17"/>
      <c r="F706" s="17"/>
      <c r="G706" s="17"/>
      <c r="H706" s="17"/>
      <c r="I706" s="17"/>
      <c r="J706" s="17"/>
      <c r="K706" s="17"/>
    </row>
    <row r="709" spans="1:11" ht="15" customHeight="1">
      <c r="B709" s="3"/>
      <c r="C709" s="3"/>
      <c r="D709" s="3"/>
      <c r="E709" s="3"/>
    </row>
    <row r="710" spans="1:11" ht="15" customHeight="1">
      <c r="B710" s="3"/>
      <c r="C710" s="3"/>
      <c r="D710" s="3"/>
      <c r="E710" s="3"/>
    </row>
    <row r="711" spans="1:11" ht="16.5" customHeight="1">
      <c r="A711" s="37"/>
      <c r="B711" s="3"/>
      <c r="C711" s="3"/>
      <c r="D711" s="3"/>
      <c r="E711" s="3"/>
    </row>
    <row r="712" spans="1:11" ht="15" customHeight="1">
      <c r="B712" s="3"/>
      <c r="C712" s="3"/>
      <c r="D712" s="3"/>
      <c r="E712" s="3"/>
    </row>
    <row r="713" spans="1:11" ht="15" customHeight="1">
      <c r="B713" s="3"/>
      <c r="C713" s="3"/>
      <c r="D713" s="3"/>
      <c r="E713" s="3"/>
    </row>
    <row r="714" spans="1:11" ht="15" customHeight="1">
      <c r="B714" s="3"/>
      <c r="C714" s="3"/>
      <c r="D714" s="3"/>
      <c r="E714" s="3"/>
    </row>
    <row r="715" spans="1:11" ht="15" customHeight="1">
      <c r="B715" s="3"/>
      <c r="C715" s="3"/>
      <c r="D715" s="3"/>
      <c r="E715" s="3"/>
    </row>
    <row r="716" spans="1:11" ht="15" customHeight="1">
      <c r="B716" s="3"/>
      <c r="C716" s="3"/>
      <c r="D716" s="3"/>
      <c r="E716" s="3"/>
    </row>
    <row r="717" spans="1:11" ht="15" customHeight="1">
      <c r="B717" s="3"/>
      <c r="C717" s="3"/>
      <c r="D717" s="3"/>
      <c r="E717" s="3"/>
    </row>
    <row r="718" spans="1:11" ht="15" customHeight="1">
      <c r="B718" s="3"/>
      <c r="C718" s="3"/>
      <c r="D718" s="3"/>
      <c r="E718" s="3"/>
    </row>
    <row r="719" spans="1:11" ht="15" customHeight="1">
      <c r="B719" s="3"/>
      <c r="C719" s="3"/>
      <c r="D719" s="3"/>
      <c r="E719" s="3"/>
    </row>
    <row r="720" spans="1:11" ht="15" customHeight="1">
      <c r="B720" s="3"/>
      <c r="C720" s="3"/>
      <c r="D720" s="3"/>
      <c r="E720" s="3"/>
    </row>
    <row r="721" spans="2:10" ht="15" customHeight="1">
      <c r="B721" s="3"/>
      <c r="C721" s="3"/>
      <c r="D721" s="3"/>
      <c r="E721" s="3"/>
    </row>
    <row r="734" spans="2:10" ht="18">
      <c r="D734" s="38" t="s">
        <v>218</v>
      </c>
    </row>
    <row r="736" spans="2:10" ht="15" customHeight="1">
      <c r="B736" s="519" t="str">
        <f>IF(Helper!B578="","",INDEX(Helper!J578:J582,MATCH(Home!$O$1,Helper!A578:A582,0)))</f>
        <v>There are currently lacking toilets for some learners. The learner-toilet ratio is 84:1, with a lacking of 12 toilet/s for the whole school. Majority of the toilets are shared between male and female learners.</v>
      </c>
      <c r="C736" s="519"/>
      <c r="D736" s="519"/>
      <c r="E736" s="519"/>
      <c r="F736" s="519"/>
      <c r="G736" s="519"/>
      <c r="H736" s="519"/>
      <c r="I736" s="519"/>
      <c r="J736" s="519"/>
    </row>
    <row r="737" spans="2:10" ht="15" customHeight="1">
      <c r="B737" s="519"/>
      <c r="C737" s="519"/>
      <c r="D737" s="519"/>
      <c r="E737" s="519"/>
      <c r="F737" s="519"/>
      <c r="G737" s="519"/>
      <c r="H737" s="519"/>
      <c r="I737" s="519"/>
      <c r="J737" s="519"/>
    </row>
    <row r="738" spans="2:10" ht="15" customHeight="1">
      <c r="B738" s="519"/>
      <c r="C738" s="519"/>
      <c r="D738" s="519"/>
      <c r="E738" s="519"/>
      <c r="F738" s="519"/>
      <c r="G738" s="519"/>
      <c r="H738" s="519"/>
      <c r="I738" s="519"/>
      <c r="J738" s="519"/>
    </row>
    <row r="739" spans="2:10" ht="15" customHeight="1">
      <c r="B739" s="519"/>
      <c r="C739" s="519"/>
      <c r="D739" s="519"/>
      <c r="E739" s="519"/>
      <c r="F739" s="519"/>
      <c r="G739" s="519"/>
      <c r="H739" s="519"/>
      <c r="I739" s="519"/>
      <c r="J739" s="519"/>
    </row>
    <row r="740" spans="2:10" ht="15" customHeight="1">
      <c r="B740" s="519"/>
      <c r="C740" s="519"/>
      <c r="D740" s="519"/>
      <c r="E740" s="519"/>
      <c r="F740" s="519"/>
      <c r="G740" s="519"/>
      <c r="H740" s="519"/>
      <c r="I740" s="519"/>
      <c r="J740" s="519"/>
    </row>
    <row r="741" spans="2:10" ht="15" customHeight="1">
      <c r="B741" s="519"/>
      <c r="C741" s="519"/>
      <c r="D741" s="519"/>
      <c r="E741" s="519"/>
      <c r="F741" s="519"/>
      <c r="G741" s="519"/>
      <c r="H741" s="519"/>
      <c r="I741" s="519"/>
      <c r="J741" s="519"/>
    </row>
    <row r="742" spans="2:10" ht="15" customHeight="1">
      <c r="B742" s="519"/>
      <c r="C742" s="519"/>
      <c r="D742" s="519"/>
      <c r="E742" s="519"/>
      <c r="F742" s="519"/>
      <c r="G742" s="519"/>
      <c r="H742" s="519"/>
      <c r="I742" s="519"/>
      <c r="J742" s="519"/>
    </row>
    <row r="743" spans="2:10" ht="15" customHeight="1">
      <c r="B743" s="519"/>
      <c r="C743" s="519"/>
      <c r="D743" s="519"/>
      <c r="E743" s="519"/>
      <c r="F743" s="519"/>
      <c r="G743" s="519"/>
      <c r="H743" s="519"/>
      <c r="I743" s="519"/>
      <c r="J743" s="519"/>
    </row>
    <row r="744" spans="2:10" ht="15" customHeight="1">
      <c r="B744" s="519"/>
      <c r="C744" s="519"/>
      <c r="D744" s="519"/>
      <c r="E744" s="519"/>
      <c r="F744" s="519"/>
      <c r="G744" s="519"/>
      <c r="H744" s="519"/>
      <c r="I744" s="519"/>
      <c r="J744" s="519"/>
    </row>
    <row r="745" spans="2:10" ht="15" customHeight="1">
      <c r="B745" s="519"/>
      <c r="C745" s="519"/>
      <c r="D745" s="519"/>
      <c r="E745" s="519"/>
      <c r="F745" s="519"/>
      <c r="G745" s="519"/>
      <c r="H745" s="519"/>
      <c r="I745" s="519"/>
      <c r="J745" s="519"/>
    </row>
    <row r="746" spans="2:10" ht="15" customHeight="1">
      <c r="B746" s="519"/>
      <c r="C746" s="519"/>
      <c r="D746" s="519"/>
      <c r="E746" s="519"/>
      <c r="F746" s="519"/>
      <c r="G746" s="519"/>
      <c r="H746" s="519"/>
      <c r="I746" s="519"/>
      <c r="J746" s="519"/>
    </row>
    <row r="747" spans="2:10" ht="15" customHeight="1">
      <c r="B747" s="519"/>
      <c r="C747" s="519"/>
      <c r="D747" s="519"/>
      <c r="E747" s="519"/>
      <c r="F747" s="519"/>
      <c r="G747" s="519"/>
      <c r="H747" s="519"/>
      <c r="I747" s="519"/>
      <c r="J747" s="519"/>
    </row>
    <row r="748" spans="2:10" ht="15" customHeight="1">
      <c r="B748" s="519"/>
      <c r="C748" s="519"/>
      <c r="D748" s="519"/>
      <c r="E748" s="519"/>
      <c r="F748" s="519"/>
      <c r="G748" s="519"/>
      <c r="H748" s="519"/>
      <c r="I748" s="519"/>
      <c r="J748" s="519"/>
    </row>
    <row r="749" spans="2:10" ht="15" customHeight="1">
      <c r="B749" s="519"/>
      <c r="C749" s="519"/>
      <c r="D749" s="519"/>
      <c r="E749" s="519"/>
      <c r="F749" s="519"/>
      <c r="G749" s="519"/>
      <c r="H749" s="519"/>
      <c r="I749" s="519"/>
      <c r="J749" s="519"/>
    </row>
    <row r="753" spans="1:11">
      <c r="A753" s="17"/>
      <c r="B753" s="17"/>
      <c r="C753" s="17"/>
      <c r="D753" s="17"/>
      <c r="E753" s="17"/>
      <c r="F753" s="17"/>
      <c r="G753" s="17"/>
      <c r="H753" s="17"/>
      <c r="I753" s="17"/>
      <c r="J753" s="17"/>
      <c r="K753" s="17"/>
    </row>
    <row r="754" spans="1:11">
      <c r="A754" s="17"/>
      <c r="B754" s="17"/>
      <c r="C754" s="17"/>
      <c r="D754" s="17"/>
      <c r="E754" s="17"/>
      <c r="F754" s="17"/>
      <c r="G754" s="17"/>
      <c r="H754" s="17"/>
      <c r="I754" s="17"/>
      <c r="J754" s="17"/>
      <c r="K754" s="17"/>
    </row>
    <row r="755" spans="1:11">
      <c r="A755" s="17"/>
      <c r="B755" s="17"/>
      <c r="C755" s="17"/>
      <c r="D755" s="17"/>
      <c r="E755" s="17"/>
      <c r="F755" s="17"/>
      <c r="G755" s="17"/>
      <c r="H755" s="17"/>
      <c r="I755" s="17"/>
      <c r="J755" s="17"/>
      <c r="K755" s="17"/>
    </row>
    <row r="756" spans="1:11">
      <c r="A756" s="17"/>
      <c r="B756" s="17"/>
      <c r="C756" s="17"/>
      <c r="D756" s="17"/>
      <c r="E756" s="17"/>
      <c r="F756" s="17"/>
      <c r="G756" s="17"/>
      <c r="H756" s="17"/>
      <c r="I756" s="17"/>
      <c r="J756" s="17"/>
      <c r="K756" s="17"/>
    </row>
    <row r="757" spans="1:11" ht="9.75" customHeight="1">
      <c r="A757" s="17"/>
      <c r="B757" s="17"/>
      <c r="C757" s="17"/>
      <c r="D757" s="17"/>
      <c r="E757" s="17"/>
      <c r="F757" s="17"/>
      <c r="G757" s="17"/>
      <c r="H757" s="17"/>
      <c r="I757" s="17"/>
      <c r="J757" s="17"/>
      <c r="K757" s="17"/>
    </row>
    <row r="758" spans="1:11" ht="9.75" customHeight="1">
      <c r="A758" s="17"/>
      <c r="B758" s="17"/>
      <c r="C758" s="17"/>
      <c r="D758" s="17"/>
      <c r="E758" s="17"/>
      <c r="F758" s="17"/>
      <c r="G758" s="17"/>
      <c r="H758" s="17"/>
      <c r="I758" s="17"/>
      <c r="J758" s="17"/>
      <c r="K758" s="17"/>
    </row>
    <row r="759" spans="1:11" ht="9.75" customHeight="1"/>
    <row r="760" spans="1:11" ht="28.8">
      <c r="A760" s="20"/>
      <c r="B760" s="17"/>
      <c r="C760" s="17"/>
      <c r="D760" s="17"/>
      <c r="E760" s="17"/>
      <c r="F760" s="17"/>
      <c r="G760" s="17"/>
      <c r="H760" s="17"/>
      <c r="I760" s="17"/>
      <c r="J760" s="17"/>
      <c r="K760" s="17"/>
    </row>
    <row r="761" spans="1:11" ht="23.4">
      <c r="A761" s="31" t="s">
        <v>169</v>
      </c>
      <c r="B761" s="17"/>
      <c r="C761" s="17"/>
      <c r="D761" s="17"/>
      <c r="E761" s="17"/>
      <c r="F761" s="17"/>
      <c r="G761" s="17"/>
      <c r="H761" s="17"/>
      <c r="I761" s="17"/>
      <c r="J761" s="17"/>
      <c r="K761" s="17"/>
    </row>
    <row r="764" spans="1:11" ht="15" customHeight="1">
      <c r="B764" s="524" t="str">
        <f>IF(Helper!J599="","",INDEX(Helper!J599:J603,MATCH(Home!$O$1,Helper!A599:A603,0)))</f>
        <v>Currently there are enough seats for all learners. The learner-seat ratio is 1.01:1, with an excess of 15 seat/s for the whole school.</v>
      </c>
      <c r="C764" s="524"/>
      <c r="D764" s="524"/>
      <c r="E764" s="524"/>
    </row>
    <row r="765" spans="1:11" ht="15" customHeight="1">
      <c r="B765" s="524"/>
      <c r="C765" s="524"/>
      <c r="D765" s="524"/>
      <c r="E765" s="524"/>
    </row>
    <row r="766" spans="1:11" ht="15" customHeight="1">
      <c r="B766" s="524"/>
      <c r="C766" s="524"/>
      <c r="D766" s="524"/>
      <c r="E766" s="524"/>
    </row>
    <row r="767" spans="1:11" ht="15" customHeight="1">
      <c r="B767" s="524"/>
      <c r="C767" s="524"/>
      <c r="D767" s="524"/>
      <c r="E767" s="524"/>
    </row>
    <row r="768" spans="1:11" ht="15" customHeight="1">
      <c r="B768" s="524"/>
      <c r="C768" s="524"/>
      <c r="D768" s="524"/>
      <c r="E768" s="524"/>
    </row>
    <row r="769" spans="2:5" ht="15" customHeight="1">
      <c r="B769" s="524"/>
      <c r="C769" s="524"/>
      <c r="D769" s="524"/>
      <c r="E769" s="524"/>
    </row>
    <row r="770" spans="2:5" ht="15" customHeight="1">
      <c r="B770" s="524"/>
      <c r="C770" s="524"/>
      <c r="D770" s="524"/>
      <c r="E770" s="524"/>
    </row>
    <row r="771" spans="2:5" ht="15" customHeight="1">
      <c r="B771" s="524"/>
      <c r="C771" s="524"/>
      <c r="D771" s="524"/>
      <c r="E771" s="524"/>
    </row>
    <row r="772" spans="2:5" ht="15" customHeight="1">
      <c r="B772" s="524"/>
      <c r="C772" s="524"/>
      <c r="D772" s="524"/>
      <c r="E772" s="524"/>
    </row>
    <row r="773" spans="2:5" ht="15" customHeight="1">
      <c r="B773" s="524"/>
      <c r="C773" s="524"/>
      <c r="D773" s="524"/>
      <c r="E773" s="524"/>
    </row>
    <row r="774" spans="2:5" ht="15" customHeight="1">
      <c r="B774" s="524"/>
      <c r="C774" s="524"/>
      <c r="D774" s="524"/>
      <c r="E774" s="524"/>
    </row>
    <row r="775" spans="2:5" ht="15" customHeight="1">
      <c r="B775" s="524"/>
      <c r="C775" s="524"/>
      <c r="D775" s="524"/>
      <c r="E775" s="524"/>
    </row>
    <row r="776" spans="2:5" ht="15" customHeight="1">
      <c r="B776" s="524"/>
      <c r="C776" s="524"/>
      <c r="D776" s="524"/>
      <c r="E776" s="524"/>
    </row>
    <row r="777" spans="2:5">
      <c r="B777" s="524"/>
      <c r="C777" s="524"/>
      <c r="D777" s="524"/>
      <c r="E777" s="524"/>
    </row>
    <row r="778" spans="2:5">
      <c r="B778" s="524"/>
      <c r="C778" s="524"/>
      <c r="D778" s="524"/>
      <c r="E778" s="524"/>
    </row>
    <row r="779" spans="2:5">
      <c r="B779" s="524"/>
      <c r="C779" s="524"/>
      <c r="D779" s="524"/>
      <c r="E779" s="524"/>
    </row>
    <row r="780" spans="2:5">
      <c r="B780" s="524"/>
      <c r="C780" s="524"/>
      <c r="D780" s="524"/>
      <c r="E780" s="524"/>
    </row>
    <row r="781" spans="2:5">
      <c r="B781" s="524"/>
      <c r="C781" s="524"/>
      <c r="D781" s="524"/>
      <c r="E781" s="524"/>
    </row>
    <row r="782" spans="2:5">
      <c r="B782" s="524"/>
      <c r="C782" s="524"/>
      <c r="D782" s="524"/>
      <c r="E782" s="524"/>
    </row>
    <row r="808" spans="1:11">
      <c r="A808" s="17"/>
      <c r="B808" s="17"/>
      <c r="C808" s="17"/>
      <c r="D808" s="17"/>
      <c r="E808" s="17"/>
      <c r="F808" s="17"/>
      <c r="G808" s="17"/>
      <c r="H808" s="17"/>
      <c r="I808" s="17"/>
      <c r="J808" s="17"/>
      <c r="K808" s="17"/>
    </row>
    <row r="809" spans="1:11">
      <c r="A809" s="17"/>
      <c r="B809" s="17"/>
      <c r="C809" s="17"/>
      <c r="D809" s="17"/>
      <c r="E809" s="17"/>
      <c r="F809" s="17"/>
      <c r="G809" s="17"/>
      <c r="H809" s="17"/>
      <c r="I809" s="17"/>
      <c r="J809" s="17"/>
      <c r="K809" s="17"/>
    </row>
    <row r="810" spans="1:11">
      <c r="A810" s="17"/>
      <c r="B810" s="17"/>
      <c r="C810" s="17"/>
      <c r="D810" s="17"/>
      <c r="E810" s="17"/>
      <c r="F810" s="17"/>
      <c r="G810" s="17"/>
      <c r="H810" s="17"/>
      <c r="I810" s="17"/>
      <c r="J810" s="17"/>
      <c r="K810" s="17"/>
    </row>
    <row r="811" spans="1:11">
      <c r="A811" s="17"/>
      <c r="B811" s="17"/>
      <c r="C811" s="17"/>
      <c r="D811" s="17"/>
      <c r="E811" s="17"/>
      <c r="F811" s="17"/>
      <c r="G811" s="17"/>
      <c r="H811" s="17"/>
      <c r="I811" s="17"/>
      <c r="J811" s="17"/>
      <c r="K811" s="17"/>
    </row>
    <row r="812" spans="1:11">
      <c r="A812" s="17"/>
      <c r="B812" s="17"/>
      <c r="C812" s="17"/>
      <c r="D812" s="17"/>
      <c r="E812" s="17"/>
      <c r="F812" s="17"/>
      <c r="G812" s="17"/>
      <c r="H812" s="17"/>
      <c r="I812" s="17"/>
      <c r="J812" s="17"/>
      <c r="K812" s="17"/>
    </row>
    <row r="813" spans="1:11" ht="25.5" hidden="1" customHeight="1">
      <c r="A813" s="12"/>
      <c r="B813" s="12"/>
      <c r="C813" s="12"/>
      <c r="D813" s="12"/>
      <c r="E813" s="12"/>
      <c r="F813" s="12"/>
      <c r="G813" s="12"/>
      <c r="H813" s="12"/>
      <c r="I813" s="12"/>
      <c r="J813" s="12"/>
    </row>
    <row r="814" spans="1:11" ht="25.5" customHeight="1">
      <c r="A814" s="521" t="s">
        <v>812</v>
      </c>
      <c r="B814" s="521"/>
      <c r="C814" s="521"/>
      <c r="D814" s="521"/>
      <c r="E814" s="521"/>
      <c r="F814" s="521"/>
      <c r="G814" s="521"/>
      <c r="H814" s="521"/>
      <c r="I814" s="521"/>
      <c r="J814" s="521"/>
      <c r="K814" s="17"/>
    </row>
    <row r="815" spans="1:11" ht="25.5" customHeight="1">
      <c r="A815" s="521"/>
      <c r="B815" s="521"/>
      <c r="C815" s="521"/>
      <c r="D815" s="521"/>
      <c r="E815" s="521"/>
      <c r="F815" s="521"/>
      <c r="G815" s="521"/>
      <c r="H815" s="521"/>
      <c r="I815" s="521"/>
      <c r="J815" s="521"/>
      <c r="K815" s="17"/>
    </row>
    <row r="817" spans="1:11" ht="15" customHeight="1">
      <c r="A817" s="463" t="s">
        <v>248</v>
      </c>
      <c r="B817" s="463"/>
      <c r="C817" s="457" t="s">
        <v>249</v>
      </c>
      <c r="D817" s="458"/>
      <c r="E817" s="459"/>
      <c r="F817" s="463" t="s">
        <v>823</v>
      </c>
      <c r="G817" s="463"/>
      <c r="H817" s="463" t="s">
        <v>821</v>
      </c>
      <c r="I817" s="457" t="s">
        <v>822</v>
      </c>
      <c r="J817" s="458"/>
      <c r="K817" s="459"/>
    </row>
    <row r="818" spans="1:11" ht="15" customHeight="1">
      <c r="A818" s="463"/>
      <c r="B818" s="463"/>
      <c r="C818" s="460"/>
      <c r="D818" s="461"/>
      <c r="E818" s="462"/>
      <c r="F818" s="296" t="s">
        <v>825</v>
      </c>
      <c r="G818" s="296" t="s">
        <v>824</v>
      </c>
      <c r="H818" s="463"/>
      <c r="I818" s="460"/>
      <c r="J818" s="461"/>
      <c r="K818" s="462"/>
    </row>
    <row r="819" spans="1:11" ht="21" customHeight="1">
      <c r="A819" s="464" t="str">
        <f>IF(Data!A383="","",Data!A383)</f>
        <v>SCHOOL</v>
      </c>
      <c r="B819" s="466"/>
      <c r="C819" s="464" t="str">
        <f>IF(Data!B383="","",Data!B383)</f>
        <v>ENROLMENT</v>
      </c>
      <c r="D819" s="465"/>
      <c r="E819" s="466"/>
      <c r="F819" s="299">
        <f>IF(Data!F383="","",Data!F383)</f>
        <v>2000</v>
      </c>
      <c r="G819" s="297" t="str">
        <f>IF(Data!G383="","",Data!G383)</f>
        <v>MOOE</v>
      </c>
      <c r="H819" s="298" t="str">
        <f>IF(Data!H383="","",Data!H383)</f>
        <v>Completed</v>
      </c>
      <c r="I819" s="454" t="str">
        <f>IF(Data!I383="","",Data!I383)</f>
        <v>100% IMPLEMENTED</v>
      </c>
      <c r="J819" s="455"/>
      <c r="K819" s="456"/>
    </row>
    <row r="820" spans="1:11" ht="21" customHeight="1">
      <c r="A820" s="464" t="str">
        <f>IF(Data!A384="","",Data!A384)</f>
        <v>PTA</v>
      </c>
      <c r="B820" s="466"/>
      <c r="C820" s="464" t="str">
        <f>IF(Data!B384="","",Data!B384)</f>
        <v>SAKAY NA LIBRE PA</v>
      </c>
      <c r="D820" s="465"/>
      <c r="E820" s="466"/>
      <c r="F820" s="299">
        <f>IF(Data!F384="","",Data!F384)</f>
        <v>500</v>
      </c>
      <c r="G820" s="297" t="str">
        <f>IF(Data!G384="","",Data!G384)</f>
        <v>Others</v>
      </c>
      <c r="H820" s="298" t="str">
        <f>IF(Data!H384="","",Data!H384)</f>
        <v>Cancelled</v>
      </c>
      <c r="I820" s="454" t="str">
        <f>IF(Data!I384="","",Data!I384)</f>
        <v>PROJECT WAS CANCELLED DUE TO BUDGET CONSTRAINT</v>
      </c>
      <c r="J820" s="455"/>
      <c r="K820" s="456"/>
    </row>
    <row r="821" spans="1:11" ht="21" customHeight="1">
      <c r="A821" s="464" t="str">
        <f>IF(Data!A385="","",Data!A385)</f>
        <v>SCHOOL</v>
      </c>
      <c r="B821" s="466"/>
      <c r="C821" s="464" t="str">
        <f>IF(Data!B385="","",Data!B385)</f>
        <v xml:space="preserve">Talento MO- Pag-agak KO </v>
      </c>
      <c r="D821" s="465"/>
      <c r="E821" s="466"/>
      <c r="F821" s="299">
        <f>IF(Data!F385="","",Data!F385)</f>
        <v>10000</v>
      </c>
      <c r="G821" s="297" t="str">
        <f>IF(Data!G385="","",Data!G385)</f>
        <v>Others</v>
      </c>
      <c r="H821" s="298" t="str">
        <f>IF(Data!H385="","",Data!H385)</f>
        <v>Completed</v>
      </c>
      <c r="I821" s="454" t="str">
        <f>IF(Data!I385="","",Data!I385)</f>
        <v>100% IMPLEMENTED</v>
      </c>
      <c r="J821" s="455"/>
      <c r="K821" s="456"/>
    </row>
    <row r="822" spans="1:11" ht="21" customHeight="1">
      <c r="A822" s="464" t="str">
        <f>IF(Data!A386="","",Data!A386)</f>
        <v>SCHOOL</v>
      </c>
      <c r="B822" s="466"/>
      <c r="C822" s="464" t="str">
        <f>IF(Data!B386="","",Data!B386)</f>
        <v>HASHTAG ( Help Achieve High performance Teacher Assistance Group)</v>
      </c>
      <c r="D822" s="465"/>
      <c r="E822" s="466"/>
      <c r="F822" s="299">
        <f>IF(Data!F386="","",Data!F386)</f>
        <v>5000</v>
      </c>
      <c r="G822" s="297" t="str">
        <f>IF(Data!G386="","",Data!G386)</f>
        <v>MOOE</v>
      </c>
      <c r="H822" s="298" t="str">
        <f>IF(Data!H386="","",Data!H386)</f>
        <v>Ongoing</v>
      </c>
      <c r="I822" s="454" t="str">
        <f>IF(Data!I386="","",Data!I386)</f>
        <v>30% IMPLEMENTED</v>
      </c>
      <c r="J822" s="455"/>
      <c r="K822" s="456"/>
    </row>
    <row r="823" spans="1:11" ht="21" customHeight="1">
      <c r="A823" s="464" t="str">
        <f>IF(Data!A387="","",Data!A387)</f>
        <v>SCHOOL</v>
      </c>
      <c r="B823" s="466"/>
      <c r="C823" s="464" t="str">
        <f>IF(Data!B387="","",Data!B387)</f>
        <v>Bahay Sa Paaralan ko Pansamantalang Tirahan KO</v>
      </c>
      <c r="D823" s="465"/>
      <c r="E823" s="466"/>
      <c r="F823" s="299">
        <f>IF(Data!F387="","",Data!F387)</f>
        <v>50000</v>
      </c>
      <c r="G823" s="297" t="str">
        <f>IF(Data!G387="","",Data!G387)</f>
        <v>MOOE</v>
      </c>
      <c r="H823" s="298" t="str">
        <f>IF(Data!H387="","",Data!H387)</f>
        <v>Ongoing</v>
      </c>
      <c r="I823" s="454" t="str">
        <f>IF(Data!I387="","",Data!I387)</f>
        <v>NEEDS ALLOCATION</v>
      </c>
      <c r="J823" s="455"/>
      <c r="K823" s="456"/>
    </row>
    <row r="824" spans="1:11" ht="21" customHeight="1">
      <c r="A824" s="464" t="str">
        <f>IF(Data!A388="","",Data!A388)</f>
        <v>SCHOOL</v>
      </c>
      <c r="B824" s="466"/>
      <c r="C824" s="464" t="str">
        <f>IF(Data!B388="","",Data!B388)</f>
        <v xml:space="preserve"> Pagkain Alagaan, Timbang dagdagan</v>
      </c>
      <c r="D824" s="465"/>
      <c r="E824" s="466"/>
      <c r="F824" s="299">
        <f>IF(Data!F388="","",Data!F388)</f>
        <v>12500</v>
      </c>
      <c r="G824" s="297" t="str">
        <f>IF(Data!G388="","",Data!G388)</f>
        <v>Others</v>
      </c>
      <c r="H824" s="298" t="str">
        <f>IF(Data!H388="","",Data!H388)</f>
        <v>Ongoing</v>
      </c>
      <c r="I824" s="454" t="str">
        <f>IF(Data!I388="","",Data!I388)</f>
        <v>80% IMPLEMENTED</v>
      </c>
      <c r="J824" s="455"/>
      <c r="K824" s="456"/>
    </row>
    <row r="825" spans="1:11" ht="21" customHeight="1">
      <c r="A825" s="464" t="str">
        <f>IF(Data!A389="","",Data!A389)</f>
        <v>SCHOOL</v>
      </c>
      <c r="B825" s="466"/>
      <c r="C825" s="464" t="str">
        <f>IF(Data!B389="","",Data!B389)</f>
        <v>Improved Reading Program (IRP)</v>
      </c>
      <c r="D825" s="465"/>
      <c r="E825" s="466"/>
      <c r="F825" s="299">
        <f>IF(Data!F389="","",Data!F389)</f>
        <v>2000</v>
      </c>
      <c r="G825" s="297" t="str">
        <f>IF(Data!G389="","",Data!G389)</f>
        <v>MOOE</v>
      </c>
      <c r="H825" s="298" t="str">
        <f>IF(Data!H389="","",Data!H389)</f>
        <v>Ongoing</v>
      </c>
      <c r="I825" s="454" t="str">
        <f>IF(Data!I389="","",Data!I389)</f>
        <v>50% IMPLEMENTED</v>
      </c>
      <c r="J825" s="455"/>
      <c r="K825" s="456"/>
    </row>
    <row r="826" spans="1:11" ht="21" customHeight="1">
      <c r="A826" s="464" t="str">
        <f>IF(Data!A390="","",Data!A390)</f>
        <v>SCHOOL</v>
      </c>
      <c r="B826" s="466"/>
      <c r="C826" s="464" t="str">
        <f>IF(Data!B390="","",Data!B390)</f>
        <v>Kumprehensibong Programa sa Pagbasa</v>
      </c>
      <c r="D826" s="465"/>
      <c r="E826" s="466"/>
      <c r="F826" s="299">
        <f>IF(Data!F390="","",Data!F390)</f>
        <v>30000</v>
      </c>
      <c r="G826" s="297" t="str">
        <f>IF(Data!G390="","",Data!G390)</f>
        <v>Others</v>
      </c>
      <c r="H826" s="298" t="str">
        <f>IF(Data!H390="","",Data!H390)</f>
        <v>Ongoing</v>
      </c>
      <c r="I826" s="454" t="str">
        <f>IF(Data!I390="","",Data!I390)</f>
        <v>50% IMPLEMENTED</v>
      </c>
      <c r="J826" s="455"/>
      <c r="K826" s="456"/>
    </row>
    <row r="827" spans="1:11" ht="21" customHeight="1">
      <c r="A827" s="464" t="str">
        <f>IF(Data!A391="","",Data!A391)</f>
        <v>SCHOOL</v>
      </c>
      <c r="B827" s="466"/>
      <c r="C827" s="464" t="str">
        <f>IF(Data!B391="","",Data!B391)</f>
        <v>I LOVE MATH PROGRAM</v>
      </c>
      <c r="D827" s="465"/>
      <c r="E827" s="466"/>
      <c r="F827" s="299">
        <f>IF(Data!F391="","",Data!F391)</f>
        <v>3000</v>
      </c>
      <c r="G827" s="297" t="str">
        <f>IF(Data!G391="","",Data!G391)</f>
        <v>MOOE</v>
      </c>
      <c r="H827" s="298" t="str">
        <f>IF(Data!H391="","",Data!H391)</f>
        <v>Ongoing</v>
      </c>
      <c r="I827" s="454" t="str">
        <f>IF(Data!I391="","",Data!I391)</f>
        <v>50% IMPLEMENTED</v>
      </c>
      <c r="J827" s="455"/>
      <c r="K827" s="456"/>
    </row>
    <row r="828" spans="1:11" ht="21" customHeight="1">
      <c r="A828" s="464" t="str">
        <f>IF(Data!A392="","",Data!A392)</f>
        <v>SCHOOL</v>
      </c>
      <c r="B828" s="466"/>
      <c r="C828" s="464" t="str">
        <f>IF(Data!B392="","",Data!B392)</f>
        <v>Project BEST (Barangay Education Strategic Team)</v>
      </c>
      <c r="D828" s="465"/>
      <c r="E828" s="466"/>
      <c r="F828" s="299" t="str">
        <f>IF(Data!F392="","",Data!F392)</f>
        <v/>
      </c>
      <c r="G828" s="297" t="str">
        <f>IF(Data!G392="","",Data!G392)</f>
        <v>Others</v>
      </c>
      <c r="H828" s="298" t="str">
        <f>IF(Data!H392="","",Data!H392)</f>
        <v>Ongoing</v>
      </c>
      <c r="I828" s="454" t="str">
        <f>IF(Data!I392="","",Data!I392)</f>
        <v>50% IMPLEMENTED</v>
      </c>
      <c r="J828" s="455"/>
      <c r="K828" s="456"/>
    </row>
    <row r="829" spans="1:11" ht="21" customHeight="1">
      <c r="A829" s="464" t="str">
        <f>IF(Data!A393="","",Data!A393)</f>
        <v>SCHOOL</v>
      </c>
      <c r="B829" s="466"/>
      <c r="C829" s="464" t="str">
        <f>IF(Data!B393="","",Data!B393)</f>
        <v>MVSports "ABAG" Program</v>
      </c>
      <c r="D829" s="465"/>
      <c r="E829" s="466"/>
      <c r="F829" s="299" t="str">
        <f>IF(Data!F393="","",Data!F393)</f>
        <v/>
      </c>
      <c r="G829" s="297" t="str">
        <f>IF(Data!G393="","",Data!G393)</f>
        <v>MOOE</v>
      </c>
      <c r="H829" s="298" t="str">
        <f>IF(Data!H393="","",Data!H393)</f>
        <v>Ongoing</v>
      </c>
      <c r="I829" s="454" t="str">
        <f>IF(Data!I393="","",Data!I393)</f>
        <v>50% IMPLEMENTED</v>
      </c>
      <c r="J829" s="455"/>
      <c r="K829" s="456"/>
    </row>
    <row r="830" spans="1:11" ht="21" customHeight="1">
      <c r="A830" s="464" t="str">
        <f>IF(Data!A394="","",Data!A394)</f>
        <v>SCHOOL</v>
      </c>
      <c r="B830" s="466"/>
      <c r="C830" s="464" t="str">
        <f>IF(Data!B394="","",Data!B394)</f>
        <v xml:space="preserve"> MVS ARKADO (Arnis-Kali-Do)</v>
      </c>
      <c r="D830" s="465"/>
      <c r="E830" s="466"/>
      <c r="F830" s="299" t="str">
        <f>IF(Data!F394="","",Data!F394)</f>
        <v/>
      </c>
      <c r="G830" s="297" t="str">
        <f>IF(Data!G394="","",Data!G394)</f>
        <v>MOOE</v>
      </c>
      <c r="H830" s="298" t="str">
        <f>IF(Data!H394="","",Data!H394)</f>
        <v>Proposed</v>
      </c>
      <c r="I830" s="454" t="str">
        <f>IF(Data!I394="","",Data!I394)</f>
        <v>50% IMPLEMENTED</v>
      </c>
      <c r="J830" s="455"/>
      <c r="K830" s="456"/>
    </row>
    <row r="831" spans="1:11" ht="21" customHeight="1">
      <c r="A831" s="464" t="str">
        <f>IF(Data!A395="","",Data!A395)</f>
        <v>SCHOOL</v>
      </c>
      <c r="B831" s="466"/>
      <c r="C831" s="464" t="str">
        <f>IF(Data!B395="","",Data!B395)</f>
        <v>The Meridian - Journalism</v>
      </c>
      <c r="D831" s="465"/>
      <c r="E831" s="466"/>
      <c r="F831" s="299" t="str">
        <f>IF(Data!F395="","",Data!F395)</f>
        <v/>
      </c>
      <c r="G831" s="297" t="str">
        <f>IF(Data!G395="","",Data!G395)</f>
        <v>MOOE</v>
      </c>
      <c r="H831" s="298" t="str">
        <f>IF(Data!H395="","",Data!H395)</f>
        <v>Ongoing</v>
      </c>
      <c r="I831" s="454" t="str">
        <f>IF(Data!I395="","",Data!I395)</f>
        <v>50% IMPLEMENTED</v>
      </c>
      <c r="J831" s="455"/>
      <c r="K831" s="456"/>
    </row>
    <row r="832" spans="1:11" ht="21" customHeight="1">
      <c r="A832" s="464" t="str">
        <f>IF(Data!A396="","",Data!A396)</f>
        <v>SCHOOL</v>
      </c>
      <c r="B832" s="466"/>
      <c r="C832" s="464" t="str">
        <f>IF(Data!B396="","",Data!B396)</f>
        <v xml:space="preserve"> Repaired today, Damaged away</v>
      </c>
      <c r="D832" s="465"/>
      <c r="E832" s="466"/>
      <c r="F832" s="299" t="str">
        <f>IF(Data!F396="","",Data!F396)</f>
        <v/>
      </c>
      <c r="G832" s="297" t="str">
        <f>IF(Data!G396="","",Data!G396)</f>
        <v>Donation</v>
      </c>
      <c r="H832" s="298" t="str">
        <f>IF(Data!H396="","",Data!H396)</f>
        <v>Ongoing</v>
      </c>
      <c r="I832" s="454" t="str">
        <f>IF(Data!I396="","",Data!I396)</f>
        <v>50% IMPLEMENTED</v>
      </c>
      <c r="J832" s="455"/>
      <c r="K832" s="456"/>
    </row>
    <row r="833" spans="1:11" ht="21" customHeight="1">
      <c r="A833" s="464" t="str">
        <f>IF(Data!A397="","",Data!A397)</f>
        <v>SCHOOL</v>
      </c>
      <c r="B833" s="466"/>
      <c r="C833" s="464" t="str">
        <f>IF(Data!B397="","",Data!B397)</f>
        <v>MVS ERUF (Emergency Response Unit Force)</v>
      </c>
      <c r="D833" s="465"/>
      <c r="E833" s="466"/>
      <c r="F833" s="299" t="str">
        <f>IF(Data!F397="","",Data!F397)</f>
        <v/>
      </c>
      <c r="G833" s="297" t="str">
        <f>IF(Data!G397="","",Data!G397)</f>
        <v>Others</v>
      </c>
      <c r="H833" s="298" t="str">
        <f>IF(Data!H397="","",Data!H397)</f>
        <v>Ongoing</v>
      </c>
      <c r="I833" s="454" t="str">
        <f>IF(Data!I397="","",Data!I397)</f>
        <v>50% IMPLEMENTED</v>
      </c>
      <c r="J833" s="455"/>
      <c r="K833" s="456"/>
    </row>
    <row r="834" spans="1:11" ht="15" customHeight="1">
      <c r="A834" s="467" t="str">
        <f>IF(Data!A687="","",Data!A687)</f>
        <v/>
      </c>
      <c r="B834" s="467"/>
      <c r="C834" s="155" t="str">
        <f>IF(Data!C687="","",Data!C687)</f>
        <v/>
      </c>
      <c r="D834" s="467" t="str">
        <f>IF(Data!D687="","",Data!D687)</f>
        <v/>
      </c>
      <c r="E834" s="467"/>
      <c r="F834" s="155" t="str">
        <f>IF(Data!F687="","",Data!F687)</f>
        <v/>
      </c>
      <c r="G834" s="292"/>
      <c r="H834" s="292"/>
      <c r="I834" s="292"/>
      <c r="J834" s="292"/>
      <c r="K834" s="292"/>
    </row>
    <row r="835" spans="1:11" ht="24" customHeight="1">
      <c r="A835" s="72"/>
      <c r="B835" s="72"/>
      <c r="C835" s="72"/>
      <c r="D835" s="72"/>
      <c r="E835" s="71"/>
      <c r="F835" s="14" t="str">
        <f>IF(Data!F688="","",Data!F688)</f>
        <v/>
      </c>
      <c r="G835" s="476" t="str">
        <f>IF(Helper!N620="","",INDEX(Helper!N620:N639,MATCH(Home!$O$1,Helper!A620:A639,0)))</f>
        <v>For the current year, the school proposed 14 major projects as included in the AIP. There are 2 projects completed and 12 projects which are still in proposed, ongoing or cancelled status. The total percentage of accomplishment for the completed projects is 14.29 percent.</v>
      </c>
      <c r="H835" s="476"/>
      <c r="I835" s="476"/>
      <c r="J835" s="476"/>
      <c r="K835" s="476"/>
    </row>
    <row r="836" spans="1:11" ht="24" customHeight="1">
      <c r="A836" s="72"/>
      <c r="B836" s="72"/>
      <c r="C836" s="72"/>
      <c r="D836" s="72"/>
      <c r="E836" s="71"/>
      <c r="F836" s="14"/>
      <c r="G836" s="476"/>
      <c r="H836" s="476"/>
      <c r="I836" s="476"/>
      <c r="J836" s="476"/>
      <c r="K836" s="476"/>
    </row>
    <row r="837" spans="1:11" ht="24" customHeight="1">
      <c r="A837" s="72"/>
      <c r="B837" s="72"/>
      <c r="C837" s="72"/>
      <c r="D837" s="72"/>
      <c r="E837" s="71"/>
      <c r="F837" s="14"/>
      <c r="G837" s="476"/>
      <c r="H837" s="476"/>
      <c r="I837" s="476"/>
      <c r="J837" s="476"/>
      <c r="K837" s="476"/>
    </row>
    <row r="838" spans="1:11" ht="24" customHeight="1">
      <c r="A838" s="72"/>
      <c r="B838" s="72"/>
      <c r="C838" s="72"/>
      <c r="D838" s="72"/>
      <c r="E838" s="71"/>
      <c r="F838" s="14"/>
      <c r="G838" s="476"/>
      <c r="H838" s="476"/>
      <c r="I838" s="476"/>
      <c r="J838" s="476"/>
      <c r="K838" s="476"/>
    </row>
    <row r="839" spans="1:11" ht="24" customHeight="1">
      <c r="A839" s="72"/>
      <c r="B839" s="72"/>
      <c r="C839" s="72"/>
      <c r="D839" s="72"/>
      <c r="E839" s="71"/>
      <c r="F839" s="14"/>
      <c r="G839" s="476"/>
      <c r="H839" s="476"/>
      <c r="I839" s="476"/>
      <c r="J839" s="476"/>
      <c r="K839" s="476"/>
    </row>
    <row r="840" spans="1:11" ht="24" customHeight="1">
      <c r="A840" s="72"/>
      <c r="B840" s="72"/>
      <c r="C840" s="72"/>
      <c r="D840" s="72"/>
      <c r="E840" s="71"/>
      <c r="F840" s="14"/>
      <c r="G840" s="476"/>
      <c r="H840" s="476"/>
      <c r="I840" s="476"/>
      <c r="J840" s="476"/>
      <c r="K840" s="476"/>
    </row>
    <row r="841" spans="1:11" ht="24" customHeight="1">
      <c r="A841" s="72"/>
      <c r="B841" s="72"/>
      <c r="C841" s="72"/>
      <c r="D841" s="72"/>
      <c r="E841" s="71"/>
      <c r="F841" s="14"/>
      <c r="G841" s="476"/>
      <c r="H841" s="476"/>
      <c r="I841" s="476"/>
      <c r="J841" s="476"/>
      <c r="K841" s="476"/>
    </row>
    <row r="842" spans="1:11" ht="24" customHeight="1">
      <c r="A842" s="72"/>
      <c r="B842" s="72"/>
      <c r="C842" s="72"/>
      <c r="D842" s="72"/>
      <c r="E842" s="71"/>
      <c r="F842" s="14"/>
      <c r="G842" s="476"/>
      <c r="H842" s="476"/>
      <c r="I842" s="476"/>
      <c r="J842" s="476"/>
      <c r="K842" s="476"/>
    </row>
    <row r="843" spans="1:11" ht="24" customHeight="1">
      <c r="A843" s="72"/>
      <c r="B843" s="72"/>
      <c r="C843" s="72"/>
      <c r="D843" s="72"/>
      <c r="E843" s="71"/>
      <c r="F843" s="14"/>
      <c r="G843" s="476"/>
      <c r="H843" s="476"/>
      <c r="I843" s="476"/>
      <c r="J843" s="476"/>
      <c r="K843" s="476"/>
    </row>
    <row r="844" spans="1:11" ht="24" customHeight="1">
      <c r="A844" s="72"/>
      <c r="B844" s="72"/>
      <c r="C844" s="72"/>
      <c r="D844" s="72"/>
      <c r="E844" s="71"/>
      <c r="F844" s="14"/>
      <c r="G844" s="476"/>
      <c r="H844" s="476"/>
      <c r="I844" s="476"/>
      <c r="J844" s="476"/>
      <c r="K844" s="476"/>
    </row>
    <row r="845" spans="1:11" ht="24" customHeight="1">
      <c r="A845" s="72"/>
      <c r="B845" s="72"/>
      <c r="C845" s="72"/>
      <c r="D845" s="72"/>
      <c r="E845" s="71"/>
      <c r="F845" s="14"/>
      <c r="G845" s="476"/>
      <c r="H845" s="476"/>
      <c r="I845" s="476"/>
      <c r="J845" s="476"/>
      <c r="K845" s="476"/>
    </row>
    <row r="846" spans="1:11" ht="24" customHeight="1">
      <c r="A846" s="72"/>
      <c r="B846" s="72"/>
      <c r="C846" s="72"/>
      <c r="D846" s="72"/>
      <c r="E846" s="71"/>
      <c r="F846" s="14"/>
      <c r="G846" s="476"/>
      <c r="H846" s="476"/>
      <c r="I846" s="476"/>
      <c r="J846" s="476"/>
      <c r="K846" s="476"/>
    </row>
    <row r="847" spans="1:11" ht="24" customHeight="1">
      <c r="A847" s="72"/>
      <c r="B847" s="72"/>
      <c r="C847" s="72"/>
      <c r="D847" s="72"/>
      <c r="E847" s="71"/>
      <c r="F847" s="14"/>
      <c r="G847" s="476"/>
      <c r="H847" s="476"/>
      <c r="I847" s="476"/>
      <c r="J847" s="476"/>
      <c r="K847" s="476"/>
    </row>
    <row r="848" spans="1:11" ht="24" customHeight="1">
      <c r="A848" s="72"/>
      <c r="B848" s="72"/>
      <c r="C848" s="72"/>
      <c r="D848" s="72"/>
      <c r="E848" s="71"/>
      <c r="F848" s="14"/>
      <c r="G848" s="476"/>
      <c r="H848" s="476"/>
      <c r="I848" s="476"/>
      <c r="J848" s="476"/>
      <c r="K848" s="476"/>
    </row>
    <row r="849" spans="1:11" ht="24" customHeight="1">
      <c r="G849" s="476"/>
      <c r="H849" s="476"/>
      <c r="I849" s="476"/>
      <c r="J849" s="476"/>
      <c r="K849" s="476"/>
    </row>
    <row r="850" spans="1:11" ht="18" customHeight="1">
      <c r="A850" s="472"/>
      <c r="B850" s="472"/>
      <c r="C850" s="472"/>
      <c r="D850" s="472"/>
      <c r="E850" s="472"/>
      <c r="F850" s="472"/>
      <c r="G850" s="472"/>
      <c r="H850" s="472"/>
      <c r="I850" s="472"/>
      <c r="J850" s="472"/>
      <c r="K850" s="472"/>
    </row>
    <row r="851" spans="1:11" ht="18.75" customHeight="1">
      <c r="A851" s="20"/>
      <c r="B851" s="17"/>
      <c r="C851" s="17"/>
      <c r="D851" s="17"/>
      <c r="E851" s="17"/>
      <c r="F851" s="17"/>
      <c r="G851" s="17"/>
      <c r="H851" s="17"/>
      <c r="I851" s="17"/>
      <c r="J851" s="17"/>
      <c r="K851" s="17"/>
    </row>
    <row r="852" spans="1:11" ht="23.4">
      <c r="A852" s="31" t="s">
        <v>208</v>
      </c>
      <c r="B852" s="17"/>
      <c r="C852" s="17"/>
      <c r="D852" s="17"/>
      <c r="E852" s="17"/>
      <c r="F852" s="17"/>
      <c r="G852" s="17"/>
      <c r="H852" s="17"/>
      <c r="I852" s="17"/>
      <c r="J852" s="17"/>
      <c r="K852" s="17"/>
    </row>
    <row r="854" spans="1:11" ht="15" customHeight="1">
      <c r="A854" s="520" t="str">
        <f>IF(Helper!$Q$641="","",INDEX(Helper!$Q$641:$Q$660,MATCH(Home!$O$1,Helper!$A$641:$A$660,0)))</f>
        <v xml:space="preserve">Stakeholders of the school showed significant contributions and participation in different programs and activities. The most common general partner type are Private Sector and Public Sector . As to the specific type of partner the Private Company and People's Organizations are the top contributors. And the type of contribution commonly given to the school are Policy Support and Technical Assistance .  </v>
      </c>
      <c r="B854" s="520"/>
      <c r="C854" s="520"/>
      <c r="D854" s="520"/>
      <c r="E854" s="520"/>
      <c r="F854" s="520"/>
    </row>
    <row r="855" spans="1:11" ht="15" customHeight="1">
      <c r="A855" s="520"/>
      <c r="B855" s="520"/>
      <c r="C855" s="520"/>
      <c r="D855" s="520"/>
      <c r="E855" s="520"/>
      <c r="F855" s="520"/>
    </row>
    <row r="856" spans="1:11" ht="15" customHeight="1">
      <c r="A856" s="520"/>
      <c r="B856" s="520"/>
      <c r="C856" s="520"/>
      <c r="D856" s="520"/>
      <c r="E856" s="520"/>
      <c r="F856" s="520"/>
    </row>
    <row r="857" spans="1:11" ht="15" customHeight="1">
      <c r="A857" s="520"/>
      <c r="B857" s="520"/>
      <c r="C857" s="520"/>
      <c r="D857" s="520"/>
      <c r="E857" s="520"/>
      <c r="F857" s="520"/>
    </row>
    <row r="858" spans="1:11" ht="15" customHeight="1">
      <c r="A858" s="520"/>
      <c r="B858" s="520"/>
      <c r="C858" s="520"/>
      <c r="D858" s="520"/>
      <c r="E858" s="520"/>
      <c r="F858" s="520"/>
    </row>
    <row r="859" spans="1:11" ht="15" customHeight="1">
      <c r="A859" s="520"/>
      <c r="B859" s="520"/>
      <c r="C859" s="520"/>
      <c r="D859" s="520"/>
      <c r="E859" s="520"/>
      <c r="F859" s="520"/>
    </row>
    <row r="860" spans="1:11" ht="15" customHeight="1">
      <c r="A860" s="520"/>
      <c r="B860" s="520"/>
      <c r="C860" s="520"/>
      <c r="D860" s="520"/>
      <c r="E860" s="520"/>
      <c r="F860" s="520"/>
    </row>
    <row r="861" spans="1:11" ht="15" customHeight="1">
      <c r="A861" s="520"/>
      <c r="B861" s="520"/>
      <c r="C861" s="520"/>
      <c r="D861" s="520"/>
      <c r="E861" s="520"/>
      <c r="F861" s="520"/>
    </row>
    <row r="862" spans="1:11" ht="15" customHeight="1">
      <c r="A862" s="520"/>
      <c r="B862" s="520"/>
      <c r="C862" s="520"/>
      <c r="D862" s="520"/>
      <c r="E862" s="520"/>
      <c r="F862" s="520"/>
    </row>
    <row r="863" spans="1:11" ht="15" customHeight="1">
      <c r="A863" s="520"/>
      <c r="B863" s="520"/>
      <c r="C863" s="520"/>
      <c r="D863" s="520"/>
      <c r="E863" s="520"/>
      <c r="F863" s="520"/>
    </row>
    <row r="864" spans="1:11" ht="15" customHeight="1">
      <c r="A864" s="520"/>
      <c r="B864" s="520"/>
      <c r="C864" s="520"/>
      <c r="D864" s="520"/>
      <c r="E864" s="520"/>
      <c r="F864" s="520"/>
    </row>
    <row r="865" spans="1:6" ht="15" customHeight="1">
      <c r="A865" s="520"/>
      <c r="B865" s="520"/>
      <c r="C865" s="520"/>
      <c r="D865" s="520"/>
      <c r="E865" s="520"/>
      <c r="F865" s="520"/>
    </row>
    <row r="866" spans="1:6" ht="15" customHeight="1">
      <c r="A866" s="520"/>
      <c r="B866" s="520"/>
      <c r="C866" s="520"/>
      <c r="D866" s="520"/>
      <c r="E866" s="520"/>
      <c r="F866" s="520"/>
    </row>
    <row r="867" spans="1:6" ht="15" customHeight="1">
      <c r="A867" s="520"/>
      <c r="B867" s="520"/>
      <c r="C867" s="520"/>
      <c r="D867" s="520"/>
      <c r="E867" s="520"/>
      <c r="F867" s="520"/>
    </row>
    <row r="868" spans="1:6" ht="15" customHeight="1">
      <c r="A868" s="520"/>
      <c r="B868" s="520"/>
      <c r="C868" s="520"/>
      <c r="D868" s="520"/>
      <c r="E868" s="520"/>
      <c r="F868" s="520"/>
    </row>
    <row r="869" spans="1:6" ht="15" customHeight="1">
      <c r="A869" s="520"/>
      <c r="B869" s="520"/>
      <c r="C869" s="520"/>
      <c r="D869" s="520"/>
      <c r="E869" s="520"/>
      <c r="F869" s="520"/>
    </row>
    <row r="870" spans="1:6" ht="15" customHeight="1">
      <c r="A870" s="520"/>
      <c r="B870" s="520"/>
      <c r="C870" s="520"/>
      <c r="D870" s="520"/>
      <c r="E870" s="520"/>
      <c r="F870" s="520"/>
    </row>
    <row r="871" spans="1:6">
      <c r="A871" s="520"/>
      <c r="B871" s="520"/>
      <c r="C871" s="520"/>
      <c r="D871" s="520"/>
      <c r="E871" s="520"/>
      <c r="F871" s="520"/>
    </row>
    <row r="872" spans="1:6" ht="17.399999999999999">
      <c r="A872" s="377" t="s">
        <v>480</v>
      </c>
    </row>
    <row r="887" spans="1:7" ht="20.399999999999999">
      <c r="A887" s="32" t="s">
        <v>484</v>
      </c>
      <c r="F887" s="32"/>
      <c r="G887" s="32" t="s">
        <v>487</v>
      </c>
    </row>
    <row r="888" spans="1:7" ht="20.399999999999999">
      <c r="A888" s="32"/>
      <c r="G888" s="32"/>
    </row>
    <row r="899" spans="1:11">
      <c r="A899" s="12"/>
      <c r="B899" s="12"/>
      <c r="C899" s="12"/>
      <c r="D899" s="12"/>
      <c r="E899" s="12"/>
      <c r="F899" s="12"/>
      <c r="G899" s="12"/>
      <c r="H899" s="12"/>
      <c r="I899" s="12"/>
      <c r="J899" s="12"/>
      <c r="K899" s="12"/>
    </row>
    <row r="900" spans="1:11">
      <c r="A900" s="12"/>
      <c r="B900" s="12"/>
      <c r="C900" s="12"/>
      <c r="D900" s="12"/>
      <c r="E900" s="12"/>
      <c r="F900" s="12"/>
      <c r="G900" s="12"/>
      <c r="H900" s="12"/>
      <c r="I900" s="12"/>
      <c r="J900" s="12"/>
      <c r="K900" s="12"/>
    </row>
    <row r="901" spans="1:11">
      <c r="A901" s="17"/>
      <c r="B901" s="17"/>
      <c r="C901" s="17"/>
      <c r="D901" s="17"/>
      <c r="E901" s="17"/>
      <c r="F901" s="17"/>
      <c r="G901" s="17"/>
      <c r="H901" s="17"/>
      <c r="I901" s="17"/>
      <c r="J901" s="17"/>
      <c r="K901" s="17"/>
    </row>
    <row r="902" spans="1:11">
      <c r="A902" s="17"/>
      <c r="B902" s="17"/>
      <c r="C902" s="17"/>
      <c r="D902" s="17"/>
      <c r="E902" s="17"/>
      <c r="F902" s="17"/>
      <c r="G902" s="17"/>
      <c r="H902" s="17"/>
      <c r="I902" s="17"/>
      <c r="J902" s="17"/>
      <c r="K902" s="17"/>
    </row>
    <row r="903" spans="1:11">
      <c r="A903" s="17"/>
      <c r="B903" s="17"/>
      <c r="C903" s="17"/>
      <c r="D903" s="17"/>
      <c r="E903" s="17"/>
      <c r="F903" s="17"/>
      <c r="G903" s="17"/>
      <c r="H903" s="17"/>
      <c r="I903" s="17"/>
      <c r="J903" s="17"/>
      <c r="K903" s="17"/>
    </row>
    <row r="904" spans="1:11">
      <c r="A904" s="17"/>
      <c r="B904" s="17"/>
      <c r="C904" s="17"/>
      <c r="D904" s="17"/>
      <c r="E904" s="17"/>
      <c r="F904" s="17"/>
      <c r="G904" s="17"/>
      <c r="H904" s="17"/>
      <c r="I904" s="17"/>
      <c r="J904" s="17"/>
      <c r="K904" s="17"/>
    </row>
    <row r="941" spans="1:11">
      <c r="A941" s="469" t="str">
        <f>IF(Data!P11="","",UPPER(Data!P11))</f>
        <v>JUNRIL S. OBEDA</v>
      </c>
      <c r="B941" s="469"/>
      <c r="C941" s="469"/>
      <c r="D941" s="469"/>
      <c r="E941" s="134"/>
      <c r="F941" s="134"/>
      <c r="G941" s="469" t="str">
        <f>IF(Data!P10="","",UPPER(Data!P10))</f>
        <v>DIVINA B. SANCHEZ</v>
      </c>
      <c r="H941" s="469"/>
      <c r="I941" s="469"/>
      <c r="J941" s="469"/>
      <c r="K941" s="469"/>
    </row>
    <row r="942" spans="1:11">
      <c r="A942" s="470" t="str">
        <f>Data!M11</f>
        <v>Student Representative</v>
      </c>
      <c r="B942" s="470"/>
      <c r="C942" s="470"/>
      <c r="D942" s="470"/>
      <c r="E942" s="134"/>
      <c r="F942" s="134"/>
      <c r="G942" s="471" t="str">
        <f>Data!M10</f>
        <v>Teacher Representative</v>
      </c>
      <c r="H942" s="471"/>
      <c r="I942" s="471"/>
      <c r="J942" s="471"/>
      <c r="K942" s="471"/>
    </row>
    <row r="943" spans="1:11">
      <c r="A943" s="134"/>
      <c r="B943" s="134"/>
      <c r="C943" s="134"/>
      <c r="D943" s="134"/>
      <c r="E943" s="134"/>
      <c r="F943" s="134"/>
      <c r="G943" s="134"/>
      <c r="H943" s="134"/>
      <c r="I943" s="134"/>
      <c r="J943" s="134"/>
      <c r="K943" s="134"/>
    </row>
    <row r="944" spans="1:11">
      <c r="A944" s="134"/>
      <c r="B944" s="134"/>
      <c r="C944" s="134"/>
      <c r="D944" s="134"/>
      <c r="E944" s="134"/>
      <c r="F944" s="134"/>
      <c r="G944" s="134"/>
      <c r="H944" s="134"/>
      <c r="I944" s="134"/>
      <c r="J944" s="134"/>
      <c r="K944" s="134"/>
    </row>
    <row r="945" spans="1:11">
      <c r="A945" s="134"/>
      <c r="B945" s="134"/>
      <c r="C945" s="134"/>
      <c r="D945" s="134"/>
      <c r="E945" s="134"/>
      <c r="F945" s="134"/>
      <c r="G945" s="134"/>
      <c r="H945" s="134"/>
      <c r="I945" s="134"/>
      <c r="J945" s="134"/>
      <c r="K945" s="134"/>
    </row>
    <row r="946" spans="1:11">
      <c r="A946" s="134"/>
      <c r="B946" s="134"/>
      <c r="C946" s="134"/>
      <c r="D946" s="134"/>
      <c r="E946" s="134"/>
      <c r="F946" s="134"/>
      <c r="G946" s="134"/>
      <c r="H946" s="134"/>
      <c r="I946" s="134"/>
      <c r="J946" s="134"/>
      <c r="K946" s="134"/>
    </row>
    <row r="947" spans="1:11">
      <c r="A947" s="134"/>
      <c r="B947" s="134"/>
      <c r="C947" s="134"/>
      <c r="D947" s="134"/>
      <c r="E947" s="134"/>
      <c r="F947" s="134"/>
      <c r="G947" s="134"/>
      <c r="H947" s="134"/>
      <c r="I947" s="134"/>
      <c r="J947" s="134"/>
      <c r="K947" s="134"/>
    </row>
    <row r="948" spans="1:11">
      <c r="A948" s="469" t="str">
        <f>IF(Data!P9="","",UPPER(Data!P9))</f>
        <v>LIDA L. CABARDO</v>
      </c>
      <c r="B948" s="469"/>
      <c r="C948" s="469"/>
      <c r="D948" s="469"/>
      <c r="E948" s="134"/>
      <c r="F948" s="134"/>
      <c r="G948" s="469" t="str">
        <f>IF(Data!P8="","",UPPER(Data!P8))</f>
        <v>RAUL G. ITCHON</v>
      </c>
      <c r="H948" s="469"/>
      <c r="I948" s="469"/>
      <c r="J948" s="469"/>
      <c r="K948" s="469"/>
    </row>
    <row r="949" spans="1:11">
      <c r="A949" s="470" t="str">
        <f>Data!M9</f>
        <v>PTA President</v>
      </c>
      <c r="B949" s="470"/>
      <c r="C949" s="470"/>
      <c r="D949" s="470"/>
      <c r="E949" s="134"/>
      <c r="F949" s="134"/>
      <c r="G949" s="471" t="str">
        <f>Data!M8</f>
        <v>SGC Chair</v>
      </c>
      <c r="H949" s="471"/>
      <c r="I949" s="471"/>
      <c r="J949" s="471"/>
      <c r="K949" s="471"/>
    </row>
    <row r="950" spans="1:11">
      <c r="A950" s="134"/>
      <c r="B950" s="134"/>
      <c r="C950" s="134"/>
      <c r="D950" s="134"/>
      <c r="E950" s="134"/>
      <c r="F950" s="134"/>
      <c r="G950" s="134"/>
      <c r="H950" s="134"/>
      <c r="I950" s="134"/>
      <c r="J950" s="134"/>
      <c r="K950" s="134"/>
    </row>
    <row r="951" spans="1:11">
      <c r="A951" s="134"/>
      <c r="B951" s="134"/>
      <c r="C951" s="134"/>
      <c r="D951" s="134"/>
      <c r="E951" s="134"/>
      <c r="F951" s="134"/>
      <c r="G951" s="134"/>
      <c r="H951" s="134"/>
      <c r="I951" s="134"/>
      <c r="J951" s="134"/>
      <c r="K951" s="134"/>
    </row>
    <row r="952" spans="1:11">
      <c r="A952" s="134"/>
      <c r="B952" s="134"/>
      <c r="C952" s="134"/>
      <c r="D952" s="134"/>
      <c r="E952" s="134"/>
      <c r="F952" s="134"/>
      <c r="G952" s="134"/>
      <c r="H952" s="134"/>
      <c r="I952" s="134"/>
      <c r="J952" s="134"/>
      <c r="K952" s="134"/>
    </row>
    <row r="953" spans="1:11">
      <c r="A953" s="134"/>
      <c r="B953" s="134"/>
      <c r="C953" s="134"/>
      <c r="D953" s="134"/>
      <c r="E953" s="134"/>
      <c r="F953" s="134"/>
      <c r="G953" s="134"/>
      <c r="H953" s="134"/>
      <c r="I953" s="134"/>
      <c r="J953" s="134"/>
      <c r="K953" s="134"/>
    </row>
    <row r="954" spans="1:11">
      <c r="A954" s="134"/>
      <c r="B954" s="134"/>
      <c r="C954" s="134"/>
      <c r="D954" s="469" t="str">
        <f>IF(Data!P7="","",UPPER(Data!P7))</f>
        <v>FRANCISCO B. LATORRE</v>
      </c>
      <c r="E954" s="469"/>
      <c r="F954" s="469"/>
      <c r="G954" s="469"/>
      <c r="H954" s="134"/>
      <c r="I954" s="134"/>
      <c r="J954" s="134"/>
      <c r="K954" s="134"/>
    </row>
    <row r="955" spans="1:11">
      <c r="A955" s="134"/>
      <c r="B955" s="134"/>
      <c r="C955" s="134"/>
      <c r="D955" s="468" t="str">
        <f>Data!M7</f>
        <v>School Head</v>
      </c>
      <c r="E955" s="468"/>
      <c r="F955" s="468"/>
      <c r="G955" s="468"/>
      <c r="H955" s="134"/>
      <c r="I955" s="134"/>
      <c r="J955" s="134"/>
      <c r="K955" s="134"/>
    </row>
  </sheetData>
  <sheetProtection algorithmName="SHA-512" hashValue="MDdVPaH4svmjWUWLDzFEeVbVJCvnAKdl0AIZZCRilbJC1pE3QPcxDUIIp40FJ8e53zQuONeGdXSuQaeOHGC/+g==" saltValue="WeMzDzdCafYMGZymh1pBzA==" spinCount="100000" sheet="1" objects="1" scenarios="1"/>
  <mergeCells count="214">
    <mergeCell ref="A854:F871"/>
    <mergeCell ref="I328:K328"/>
    <mergeCell ref="I329:K329"/>
    <mergeCell ref="I330:K330"/>
    <mergeCell ref="I331:K331"/>
    <mergeCell ref="I332:K332"/>
    <mergeCell ref="A814:J815"/>
    <mergeCell ref="A825:B825"/>
    <mergeCell ref="A670:F672"/>
    <mergeCell ref="A674:F676"/>
    <mergeCell ref="B764:E782"/>
    <mergeCell ref="A822:B822"/>
    <mergeCell ref="A821:B821"/>
    <mergeCell ref="A823:B823"/>
    <mergeCell ref="A824:B824"/>
    <mergeCell ref="A817:B818"/>
    <mergeCell ref="A329:D329"/>
    <mergeCell ref="I334:K334"/>
    <mergeCell ref="I335:K335"/>
    <mergeCell ref="I336:K336"/>
    <mergeCell ref="A330:D330"/>
    <mergeCell ref="A331:D331"/>
    <mergeCell ref="A819:B819"/>
    <mergeCell ref="A402:D402"/>
    <mergeCell ref="F469:K476"/>
    <mergeCell ref="H817:H818"/>
    <mergeCell ref="I817:K818"/>
    <mergeCell ref="A826:B826"/>
    <mergeCell ref="H293:I293"/>
    <mergeCell ref="H294:I294"/>
    <mergeCell ref="H295:I295"/>
    <mergeCell ref="H296:I296"/>
    <mergeCell ref="H297:I297"/>
    <mergeCell ref="B293:G293"/>
    <mergeCell ref="B294:G294"/>
    <mergeCell ref="B295:G295"/>
    <mergeCell ref="B296:G296"/>
    <mergeCell ref="B297:G297"/>
    <mergeCell ref="B736:J749"/>
    <mergeCell ref="I819:K819"/>
    <mergeCell ref="I820:K820"/>
    <mergeCell ref="I821:K821"/>
    <mergeCell ref="I822:K822"/>
    <mergeCell ref="I823:K823"/>
    <mergeCell ref="I824:K824"/>
    <mergeCell ref="I825:K825"/>
    <mergeCell ref="I333:K333"/>
    <mergeCell ref="A332:D332"/>
    <mergeCell ref="A827:B827"/>
    <mergeCell ref="A834:B834"/>
    <mergeCell ref="D834:E834"/>
    <mergeCell ref="A828:B828"/>
    <mergeCell ref="A830:B830"/>
    <mergeCell ref="A831:B831"/>
    <mergeCell ref="A832:B832"/>
    <mergeCell ref="A833:B833"/>
    <mergeCell ref="A820:B820"/>
    <mergeCell ref="A829:B829"/>
    <mergeCell ref="C826:E826"/>
    <mergeCell ref="C827:E827"/>
    <mergeCell ref="J1:K3"/>
    <mergeCell ref="F515:J531"/>
    <mergeCell ref="A189:A193"/>
    <mergeCell ref="C19:H21"/>
    <mergeCell ref="C26:H26"/>
    <mergeCell ref="C22:H24"/>
    <mergeCell ref="C25:H25"/>
    <mergeCell ref="E151:J167"/>
    <mergeCell ref="A172:A173"/>
    <mergeCell ref="B172:J172"/>
    <mergeCell ref="A92:J99"/>
    <mergeCell ref="H292:I292"/>
    <mergeCell ref="B292:G292"/>
    <mergeCell ref="A100:J101"/>
    <mergeCell ref="A102:J103"/>
    <mergeCell ref="A104:J105"/>
    <mergeCell ref="A106:J107"/>
    <mergeCell ref="A108:J109"/>
    <mergeCell ref="A110:J111"/>
    <mergeCell ref="D244:J261"/>
    <mergeCell ref="B199:E206"/>
    <mergeCell ref="G199:J206"/>
    <mergeCell ref="A403:D403"/>
    <mergeCell ref="A435:D449"/>
    <mergeCell ref="A333:D333"/>
    <mergeCell ref="A334:D334"/>
    <mergeCell ref="A335:D335"/>
    <mergeCell ref="A336:D336"/>
    <mergeCell ref="I337:K337"/>
    <mergeCell ref="B298:G298"/>
    <mergeCell ref="H298:I298"/>
    <mergeCell ref="D300:J316"/>
    <mergeCell ref="A324:D324"/>
    <mergeCell ref="A325:D325"/>
    <mergeCell ref="A326:D326"/>
    <mergeCell ref="A327:D327"/>
    <mergeCell ref="A328:D328"/>
    <mergeCell ref="I323:K323"/>
    <mergeCell ref="I324:K324"/>
    <mergeCell ref="I325:K325"/>
    <mergeCell ref="I326:K326"/>
    <mergeCell ref="I327:K327"/>
    <mergeCell ref="A323:D323"/>
    <mergeCell ref="I338:K338"/>
    <mergeCell ref="I339:K339"/>
    <mergeCell ref="I340:K340"/>
    <mergeCell ref="I341:K341"/>
    <mergeCell ref="A337:D337"/>
    <mergeCell ref="A338:D338"/>
    <mergeCell ref="A339:D339"/>
    <mergeCell ref="A340:D340"/>
    <mergeCell ref="A341:D341"/>
    <mergeCell ref="I342:K342"/>
    <mergeCell ref="I343:K343"/>
    <mergeCell ref="I344:K344"/>
    <mergeCell ref="D359:E359"/>
    <mergeCell ref="A354:B354"/>
    <mergeCell ref="G359:J359"/>
    <mergeCell ref="A358:B358"/>
    <mergeCell ref="D358:E358"/>
    <mergeCell ref="I345:K345"/>
    <mergeCell ref="I346:K346"/>
    <mergeCell ref="A342:D342"/>
    <mergeCell ref="A343:D343"/>
    <mergeCell ref="A344:D344"/>
    <mergeCell ref="A345:D345"/>
    <mergeCell ref="A346:D346"/>
    <mergeCell ref="I347:K347"/>
    <mergeCell ref="I348:K348"/>
    <mergeCell ref="A347:D347"/>
    <mergeCell ref="A348:D348"/>
    <mergeCell ref="A349:D349"/>
    <mergeCell ref="A350:D350"/>
    <mergeCell ref="G358:J358"/>
    <mergeCell ref="A355:B355"/>
    <mergeCell ref="D355:E355"/>
    <mergeCell ref="G360:J360"/>
    <mergeCell ref="A357:B357"/>
    <mergeCell ref="D357:E357"/>
    <mergeCell ref="D354:E354"/>
    <mergeCell ref="G354:J354"/>
    <mergeCell ref="A351:B351"/>
    <mergeCell ref="D351:E351"/>
    <mergeCell ref="G351:J351"/>
    <mergeCell ref="A352:B352"/>
    <mergeCell ref="D352:E352"/>
    <mergeCell ref="G352:J352"/>
    <mergeCell ref="A353:B353"/>
    <mergeCell ref="D353:E353"/>
    <mergeCell ref="G353:J353"/>
    <mergeCell ref="A359:B359"/>
    <mergeCell ref="G355:J355"/>
    <mergeCell ref="A356:B356"/>
    <mergeCell ref="D356:E356"/>
    <mergeCell ref="G356:J356"/>
    <mergeCell ref="I833:K833"/>
    <mergeCell ref="C27:H27"/>
    <mergeCell ref="C828:E828"/>
    <mergeCell ref="C829:E829"/>
    <mergeCell ref="C830:E830"/>
    <mergeCell ref="C831:E831"/>
    <mergeCell ref="C832:E832"/>
    <mergeCell ref="C833:E833"/>
    <mergeCell ref="I828:K828"/>
    <mergeCell ref="I829:K829"/>
    <mergeCell ref="I830:K830"/>
    <mergeCell ref="I831:K831"/>
    <mergeCell ref="I832:K832"/>
    <mergeCell ref="G617:J640"/>
    <mergeCell ref="G357:J357"/>
    <mergeCell ref="H376:J395"/>
    <mergeCell ref="A542:F557"/>
    <mergeCell ref="D362:E362"/>
    <mergeCell ref="G362:J362"/>
    <mergeCell ref="I349:K349"/>
    <mergeCell ref="I350:K350"/>
    <mergeCell ref="A360:B360"/>
    <mergeCell ref="D360:E360"/>
    <mergeCell ref="A364:B364"/>
    <mergeCell ref="D364:E364"/>
    <mergeCell ref="G364:J364"/>
    <mergeCell ref="A361:B361"/>
    <mergeCell ref="D361:E361"/>
    <mergeCell ref="G361:J361"/>
    <mergeCell ref="A362:B362"/>
    <mergeCell ref="D955:G955"/>
    <mergeCell ref="A948:D948"/>
    <mergeCell ref="A949:D949"/>
    <mergeCell ref="A941:D941"/>
    <mergeCell ref="A942:D942"/>
    <mergeCell ref="G941:K941"/>
    <mergeCell ref="G942:K942"/>
    <mergeCell ref="G948:K948"/>
    <mergeCell ref="G949:K949"/>
    <mergeCell ref="D954:G954"/>
    <mergeCell ref="A850:K850"/>
    <mergeCell ref="E458:J467"/>
    <mergeCell ref="A677:J680"/>
    <mergeCell ref="H653:J676"/>
    <mergeCell ref="A363:B363"/>
    <mergeCell ref="D363:E363"/>
    <mergeCell ref="G363:J363"/>
    <mergeCell ref="G835:K849"/>
    <mergeCell ref="I826:K826"/>
    <mergeCell ref="I827:K827"/>
    <mergeCell ref="C817:E818"/>
    <mergeCell ref="F817:G817"/>
    <mergeCell ref="C819:E819"/>
    <mergeCell ref="C820:E820"/>
    <mergeCell ref="C821:E821"/>
    <mergeCell ref="C822:E822"/>
    <mergeCell ref="C823:E823"/>
    <mergeCell ref="C824:E824"/>
    <mergeCell ref="C825:E825"/>
  </mergeCells>
  <conditionalFormatting sqref="B174:J186">
    <cfRule type="containsText" dxfId="70" priority="1" operator="containsText" text="Excess">
      <formula>NOT(ISERROR(SEARCH("Excess",B174)))</formula>
    </cfRule>
    <cfRule type="containsText" dxfId="69" priority="2" operator="containsText" text="Shortage">
      <formula>NOT(ISERROR(SEARCH("Shortage",B174)))</formula>
    </cfRule>
  </conditionalFormatting>
  <dataValidations count="4">
    <dataValidation type="list" allowBlank="1" showInputMessage="1" showErrorMessage="1" sqref="D173">
      <formula1>"English, Math, Science, Filipino, MAPEH, EPP/TLE, APP, EsP,Others"</formula1>
    </dataValidation>
    <dataValidation type="list" allowBlank="1" showInputMessage="1" showErrorMessage="1" sqref="A100 A102 A104 A106 A108 A110">
      <formula1>REASONS</formula1>
    </dataValidation>
    <dataValidation allowBlank="1" showInputMessage="1" showErrorMessage="1" errorTitle="Select from the dropdown list" sqref="F324:F350"/>
    <dataValidation allowBlank="1" showInputMessage="1" showErrorMessage="1" promptTitle="Title of award (Current SY only)" prompt="(ex. Best Brigada Eskwela Implementer)" sqref="A324:A350 E324:E350"/>
  </dataValidations>
  <hyperlinks>
    <hyperlink ref="H3" location="SRC!A814:K850" tooltip="Status of AIP" display="Status of AIP"/>
    <hyperlink ref="A3" location="SRC!A6:K58" tooltip="Cover Page" display="Cover Page"/>
    <hyperlink ref="B1" location="SRC!A59:K113" tooltip="Enrolment" display="Enrolment"/>
    <hyperlink ref="C1" location="SRC!A114:K168" tooltip="Health &amp; Nutrition" display="Health &amp; Nutrition"/>
    <hyperlink ref="D1" location="SRC!A169:K209" tooltip="Learners' Materials" display="Learners' Materials"/>
    <hyperlink ref="E1" location="SRC!A210:K264" tooltip="Teachers' Professional Development" display="Teachers' Professional Development"/>
    <hyperlink ref="F1" location="SRC!A265:K319" tooltip="Funding Sources" display="Funding Sources"/>
    <hyperlink ref="G1" location="SRC!A320:K373" tooltip="School Awards" display="School Awards"/>
    <hyperlink ref="H1" location="SRC!A374:K428" tooltip="Dropout Rate" display="Dropout Rate"/>
    <hyperlink ref="I1" location="SRC!A429:K483" tooltip="Promotion Rate" display="Promotion Rate"/>
    <hyperlink ref="B3" location="SRC!A484:K538" tooltip="NAT Results" display="NAT Results"/>
    <hyperlink ref="C3" location="SRC!A539:K593" tooltip="Oral Fluency" display="Oral Fluency"/>
    <hyperlink ref="D3" location="SRC!A594:K648" tooltip="Learner-Teacher Ratio" display="Learner- Teacher Ratio"/>
    <hyperlink ref="E3" location="SRC!A649:K704" tooltip="Learner- Classroom Ratio" display="Learner- Classroom Ratio"/>
    <hyperlink ref="F3" location="SRC!A705:K759" tooltip="Learner-Toilet Ratio" display="Learner-Toilet Ratio"/>
    <hyperlink ref="G3" location="SRC!A760:K813" tooltip="Learner-Seat Ratio" display="Learner-Seat Ratio"/>
    <hyperlink ref="I3" location="SRC!A851:K903" tooltip="Stakeholders' Participation" display="Stakeholders' Participation"/>
  </hyperlinks>
  <printOptions horizontalCentered="1"/>
  <pageMargins left="0.90500000000000003" right="0.5" top="0.7" bottom="0.7" header="0" footer="0"/>
  <pageSetup paperSize="9" scale="82" orientation="portrait" horizontalDpi="4294967293" verticalDpi="0" r:id="rId1"/>
  <rowBreaks count="17" manualBreakCount="17">
    <brk id="58" max="16383" man="1"/>
    <brk id="113" max="16383" man="1"/>
    <brk id="168" max="16383" man="1"/>
    <brk id="209" max="16383" man="1"/>
    <brk id="264" max="16383" man="1"/>
    <brk id="319" max="16383" man="1"/>
    <brk id="371" max="16383" man="1"/>
    <brk id="428" max="16383" man="1"/>
    <brk id="483" max="16383" man="1"/>
    <brk id="538" max="16383" man="1"/>
    <brk id="593" max="16383" man="1"/>
    <brk id="648" max="16383" man="1"/>
    <brk id="704" max="16383" man="1"/>
    <brk id="759" max="16383" man="1"/>
    <brk id="812" max="16383" man="1"/>
    <brk id="849" max="16383" man="1"/>
    <brk id="902"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5"/>
  <sheetViews>
    <sheetView showGridLines="0" showRowColHeaders="0" zoomScaleNormal="100" workbookViewId="0">
      <pane xSplit="16" ySplit="3" topLeftCell="Q4" activePane="bottomRight" state="frozen"/>
      <selection pane="topRight"/>
      <selection pane="bottomLeft"/>
      <selection pane="bottomRight" activeCell="O244" sqref="O244"/>
    </sheetView>
  </sheetViews>
  <sheetFormatPr defaultColWidth="9.109375" defaultRowHeight="14.4"/>
  <cols>
    <col min="1" max="7" width="8.6640625" style="144" customWidth="1"/>
    <col min="8" max="9" width="9.6640625" style="144" customWidth="1"/>
    <col min="10" max="12" width="8.6640625" style="144" customWidth="1"/>
    <col min="13" max="13" width="4.44140625" style="144" customWidth="1"/>
    <col min="14" max="14" width="8.6640625" style="144" customWidth="1"/>
    <col min="15" max="15" width="13" style="144" customWidth="1"/>
    <col min="16" max="16" width="8.6640625" style="144" customWidth="1"/>
    <col min="17" max="18" width="9.109375" style="144"/>
    <col min="19" max="19" width="9.109375" style="39"/>
    <col min="20" max="16384" width="9.109375" style="144"/>
  </cols>
  <sheetData>
    <row r="1" spans="1:16" ht="17.25" customHeight="1">
      <c r="A1" s="583"/>
      <c r="B1" s="583"/>
      <c r="C1" s="583"/>
      <c r="D1" s="583"/>
      <c r="E1" s="583"/>
      <c r="F1" s="583"/>
      <c r="G1" s="583"/>
      <c r="H1" s="583"/>
      <c r="I1" s="583"/>
      <c r="J1" s="583"/>
      <c r="K1" s="583"/>
      <c r="L1" s="583"/>
      <c r="M1" s="583"/>
      <c r="N1" s="583"/>
      <c r="O1" s="583"/>
      <c r="P1" s="584"/>
    </row>
    <row r="2" spans="1:16" ht="17.25" customHeight="1">
      <c r="A2" s="583"/>
      <c r="B2" s="583"/>
      <c r="C2" s="583"/>
      <c r="D2" s="583"/>
      <c r="E2" s="583"/>
      <c r="F2" s="583"/>
      <c r="G2" s="583"/>
      <c r="H2" s="583"/>
      <c r="I2" s="583"/>
      <c r="J2" s="583"/>
      <c r="K2" s="583"/>
      <c r="L2" s="583"/>
      <c r="M2" s="583"/>
      <c r="N2" s="583"/>
      <c r="O2" s="583"/>
      <c r="P2" s="584"/>
    </row>
    <row r="3" spans="1:16" ht="17.25" customHeight="1">
      <c r="A3" s="583"/>
      <c r="B3" s="583"/>
      <c r="C3" s="583"/>
      <c r="D3" s="583"/>
      <c r="E3" s="583"/>
      <c r="F3" s="583"/>
      <c r="G3" s="583"/>
      <c r="H3" s="583"/>
      <c r="I3" s="583"/>
      <c r="J3" s="583"/>
      <c r="K3" s="583"/>
      <c r="L3" s="583"/>
      <c r="M3" s="583"/>
      <c r="N3" s="583"/>
      <c r="O3" s="583"/>
      <c r="P3" s="584"/>
    </row>
    <row r="4" spans="1:16" ht="15.75" customHeight="1">
      <c r="A4" s="39"/>
      <c r="B4" s="39"/>
      <c r="C4" s="39"/>
      <c r="D4" s="39"/>
      <c r="E4" s="39"/>
      <c r="F4" s="39"/>
      <c r="G4" s="39"/>
      <c r="H4" s="529" t="s">
        <v>719</v>
      </c>
      <c r="I4" s="531" t="s">
        <v>722</v>
      </c>
      <c r="J4" s="148"/>
      <c r="K4" s="116"/>
      <c r="L4" s="116"/>
      <c r="M4" s="39"/>
      <c r="N4" s="39"/>
      <c r="O4" s="39"/>
      <c r="P4" s="39"/>
    </row>
    <row r="5" spans="1:16" ht="15.75" customHeight="1">
      <c r="A5" s="39"/>
      <c r="B5" s="39"/>
      <c r="C5" s="39"/>
      <c r="D5" s="39"/>
      <c r="E5" s="39"/>
      <c r="F5" s="39"/>
      <c r="G5" s="39"/>
      <c r="H5" s="530"/>
      <c r="I5" s="532"/>
      <c r="J5" s="39"/>
      <c r="K5" s="39"/>
      <c r="L5" s="39"/>
      <c r="M5" s="39"/>
      <c r="N5" s="39"/>
      <c r="O5" s="39"/>
      <c r="P5" s="39"/>
    </row>
    <row r="6" spans="1:16" ht="15.75" customHeight="1">
      <c r="A6" s="39"/>
      <c r="B6" s="39"/>
      <c r="C6" s="39"/>
      <c r="D6" s="39"/>
      <c r="E6" s="39"/>
      <c r="F6" s="39"/>
      <c r="G6" s="39"/>
      <c r="H6" s="530"/>
      <c r="I6" s="532"/>
      <c r="J6" s="39"/>
      <c r="K6" s="39"/>
      <c r="L6" s="39"/>
      <c r="M6" s="39"/>
      <c r="N6" s="39"/>
      <c r="O6" s="39"/>
      <c r="P6" s="39"/>
    </row>
    <row r="7" spans="1:16" ht="15.75" customHeight="1">
      <c r="A7" s="39"/>
      <c r="B7" s="39"/>
      <c r="C7" s="39"/>
      <c r="D7" s="39"/>
      <c r="E7" s="39"/>
      <c r="F7" s="39"/>
      <c r="G7" s="39"/>
      <c r="H7" s="530"/>
      <c r="I7" s="532"/>
      <c r="J7" s="39"/>
      <c r="K7" s="39"/>
      <c r="L7" s="39"/>
      <c r="M7" s="39"/>
      <c r="N7" s="39"/>
      <c r="O7" s="39"/>
      <c r="P7" s="39"/>
    </row>
    <row r="8" spans="1:16" ht="15.75" customHeight="1">
      <c r="A8" s="39"/>
      <c r="B8" s="39"/>
      <c r="C8" s="39"/>
      <c r="D8" s="39"/>
      <c r="E8" s="39"/>
      <c r="F8" s="39"/>
      <c r="G8" s="39"/>
      <c r="H8" s="530"/>
      <c r="I8" s="532"/>
      <c r="J8" s="39"/>
      <c r="K8" s="39"/>
      <c r="L8" s="39"/>
      <c r="M8" s="39"/>
      <c r="N8" s="39"/>
      <c r="O8" s="39"/>
      <c r="P8" s="39"/>
    </row>
    <row r="9" spans="1:16" ht="15.75" customHeight="1">
      <c r="A9" s="39"/>
      <c r="B9" s="39"/>
      <c r="C9" s="39"/>
      <c r="D9" s="39"/>
      <c r="E9" s="39"/>
      <c r="F9" s="39"/>
      <c r="G9" s="39"/>
      <c r="H9" s="530"/>
      <c r="I9" s="532"/>
      <c r="J9" s="39"/>
      <c r="K9" s="39"/>
      <c r="L9" s="39"/>
      <c r="M9" s="39"/>
      <c r="N9" s="39"/>
      <c r="O9" s="39"/>
      <c r="P9" s="39"/>
    </row>
    <row r="10" spans="1:16" ht="15.75" customHeight="1">
      <c r="A10" s="39"/>
      <c r="B10" s="39"/>
      <c r="C10" s="39"/>
      <c r="D10" s="39"/>
      <c r="E10" s="39"/>
      <c r="F10" s="39"/>
      <c r="G10" s="39"/>
      <c r="H10" s="530"/>
      <c r="I10" s="532"/>
      <c r="J10" s="39"/>
      <c r="K10" s="39"/>
      <c r="L10" s="39"/>
      <c r="M10" s="39"/>
      <c r="N10" s="39"/>
      <c r="O10" s="39"/>
      <c r="P10" s="39"/>
    </row>
    <row r="11" spans="1:16" ht="15.75" customHeight="1">
      <c r="A11" s="39"/>
      <c r="B11" s="39"/>
      <c r="C11" s="39"/>
      <c r="D11" s="39"/>
      <c r="E11" s="39"/>
      <c r="F11" s="39"/>
      <c r="G11" s="39"/>
      <c r="H11" s="530"/>
      <c r="I11" s="532"/>
      <c r="J11" s="39"/>
      <c r="K11" s="39"/>
      <c r="L11" s="39"/>
      <c r="M11" s="39"/>
      <c r="N11" s="39"/>
      <c r="O11" s="39"/>
      <c r="P11" s="39"/>
    </row>
    <row r="12" spans="1:16" ht="15.75" customHeight="1">
      <c r="A12" s="39"/>
      <c r="B12" s="39"/>
      <c r="C12" s="39"/>
      <c r="D12" s="39"/>
      <c r="E12" s="39"/>
      <c r="F12" s="39"/>
      <c r="G12" s="39"/>
      <c r="H12" s="530"/>
      <c r="I12" s="532"/>
      <c r="J12" s="39"/>
      <c r="K12" s="39"/>
      <c r="L12" s="39"/>
      <c r="M12" s="39"/>
      <c r="N12" s="39"/>
      <c r="O12" s="39"/>
      <c r="P12" s="39"/>
    </row>
    <row r="13" spans="1:16" ht="15.75" customHeight="1">
      <c r="A13" s="39"/>
      <c r="B13" s="39"/>
      <c r="C13" s="39"/>
      <c r="D13" s="39"/>
      <c r="E13" s="39"/>
      <c r="F13" s="39"/>
      <c r="G13" s="39"/>
      <c r="H13" s="530"/>
      <c r="I13" s="532"/>
      <c r="J13" s="39"/>
      <c r="K13" s="39"/>
      <c r="L13" s="39"/>
      <c r="M13" s="39"/>
      <c r="N13" s="39"/>
      <c r="O13" s="39"/>
      <c r="P13" s="39"/>
    </row>
    <row r="14" spans="1:16" ht="15.75" customHeight="1">
      <c r="A14" s="39"/>
      <c r="B14" s="39"/>
      <c r="C14" s="39"/>
      <c r="D14" s="39"/>
      <c r="E14" s="39"/>
      <c r="F14" s="39"/>
      <c r="G14" s="39"/>
      <c r="H14" s="530"/>
      <c r="I14" s="532"/>
      <c r="J14" s="39"/>
      <c r="K14" s="39"/>
      <c r="L14" s="39"/>
      <c r="M14" s="39"/>
      <c r="N14" s="39"/>
      <c r="O14" s="39"/>
      <c r="P14" s="39"/>
    </row>
    <row r="15" spans="1:16" ht="15.75" customHeight="1">
      <c r="A15" s="39"/>
      <c r="B15" s="39"/>
      <c r="C15" s="39"/>
      <c r="D15" s="39"/>
      <c r="E15" s="39"/>
      <c r="F15" s="39"/>
      <c r="G15" s="39"/>
      <c r="H15" s="530"/>
      <c r="I15" s="532"/>
      <c r="J15" s="140"/>
      <c r="K15" s="39"/>
      <c r="L15" s="39"/>
      <c r="M15" s="39"/>
      <c r="N15" s="129"/>
      <c r="O15" s="39"/>
      <c r="P15" s="39"/>
    </row>
    <row r="16" spans="1:16" ht="15.75" customHeight="1">
      <c r="A16" s="39"/>
      <c r="B16" s="39"/>
      <c r="C16" s="39"/>
      <c r="D16" s="39"/>
      <c r="E16" s="39"/>
      <c r="F16" s="39"/>
      <c r="G16" s="39"/>
      <c r="H16" s="530"/>
      <c r="I16" s="532"/>
      <c r="J16" s="39"/>
      <c r="K16" s="39"/>
      <c r="L16" s="39"/>
      <c r="M16" s="39"/>
      <c r="N16" s="39"/>
      <c r="O16" s="39"/>
      <c r="P16" s="39"/>
    </row>
    <row r="17" spans="1:19" ht="15.75" customHeight="1">
      <c r="A17" s="39"/>
      <c r="B17" s="39"/>
      <c r="C17" s="39"/>
      <c r="D17" s="39"/>
      <c r="E17" s="39"/>
      <c r="F17" s="39"/>
      <c r="G17" s="39"/>
      <c r="H17" s="530"/>
      <c r="I17" s="532"/>
      <c r="J17" s="39"/>
      <c r="K17" s="39"/>
      <c r="L17" s="39"/>
      <c r="M17" s="39"/>
      <c r="N17" s="39"/>
      <c r="O17" s="39"/>
      <c r="P17" s="39"/>
    </row>
    <row r="18" spans="1:19" ht="15.75" customHeight="1">
      <c r="A18" s="39"/>
      <c r="B18" s="39"/>
      <c r="C18" s="39"/>
      <c r="D18" s="39"/>
      <c r="E18" s="39"/>
      <c r="F18" s="39"/>
      <c r="G18" s="39"/>
      <c r="H18" s="530"/>
      <c r="I18" s="532"/>
      <c r="J18" s="39"/>
      <c r="K18" s="39"/>
      <c r="L18" s="39"/>
      <c r="M18" s="39"/>
      <c r="N18" s="39"/>
      <c r="O18" s="39"/>
      <c r="P18" s="39"/>
    </row>
    <row r="19" spans="1:19" ht="15.75" customHeight="1">
      <c r="A19" s="39"/>
      <c r="B19" s="39"/>
      <c r="C19" s="39"/>
      <c r="D19" s="39"/>
      <c r="E19" s="39"/>
      <c r="F19" s="39"/>
      <c r="G19" s="39"/>
      <c r="H19" s="530"/>
      <c r="I19" s="532"/>
      <c r="J19" s="39"/>
      <c r="K19" s="39"/>
      <c r="L19" s="39"/>
      <c r="M19" s="39"/>
      <c r="N19" s="39"/>
      <c r="O19" s="39"/>
      <c r="P19" s="39"/>
    </row>
    <row r="20" spans="1:19" ht="15.75" customHeight="1">
      <c r="A20" s="39"/>
      <c r="B20" s="39"/>
      <c r="C20" s="39"/>
      <c r="D20" s="39"/>
      <c r="E20" s="39"/>
      <c r="F20" s="39"/>
      <c r="G20" s="39"/>
      <c r="H20" s="530"/>
      <c r="I20" s="532"/>
      <c r="J20" s="39"/>
      <c r="K20" s="39"/>
      <c r="L20" s="39"/>
      <c r="M20" s="39"/>
      <c r="N20" s="39"/>
      <c r="O20" s="39"/>
      <c r="P20" s="39"/>
    </row>
    <row r="21" spans="1:19" ht="15.75" customHeight="1">
      <c r="A21" s="39"/>
      <c r="B21" s="39"/>
      <c r="C21" s="39"/>
      <c r="D21" s="39"/>
      <c r="E21" s="39"/>
      <c r="F21" s="39"/>
      <c r="G21" s="39"/>
      <c r="H21" s="530"/>
      <c r="I21" s="532"/>
      <c r="J21" s="39"/>
      <c r="K21" s="39"/>
      <c r="L21" s="39"/>
      <c r="M21" s="39"/>
      <c r="N21" s="39"/>
      <c r="O21" s="39"/>
      <c r="P21" s="39"/>
    </row>
    <row r="22" spans="1:19" ht="15.75" customHeight="1">
      <c r="A22" s="39"/>
      <c r="B22" s="39"/>
      <c r="C22" s="39"/>
      <c r="D22" s="39"/>
      <c r="E22" s="39"/>
      <c r="F22" s="39"/>
      <c r="G22" s="39"/>
      <c r="H22" s="530"/>
      <c r="I22" s="532"/>
      <c r="J22" s="39"/>
      <c r="K22" s="39"/>
      <c r="L22" s="39"/>
      <c r="M22" s="39"/>
      <c r="N22" s="39"/>
      <c r="O22" s="39"/>
      <c r="P22" s="39"/>
    </row>
    <row r="23" spans="1:19" ht="15.75" customHeight="1">
      <c r="A23" s="39"/>
      <c r="B23" s="39"/>
      <c r="C23" s="39"/>
      <c r="D23" s="39"/>
      <c r="E23" s="39"/>
      <c r="F23" s="39"/>
      <c r="G23" s="39"/>
      <c r="H23" s="530"/>
      <c r="I23" s="532"/>
      <c r="J23" s="39"/>
      <c r="K23" s="39"/>
      <c r="L23" s="39"/>
      <c r="M23" s="39"/>
      <c r="N23" s="39"/>
      <c r="O23" s="39"/>
      <c r="P23" s="39"/>
    </row>
    <row r="24" spans="1:19" ht="15.75" customHeight="1">
      <c r="A24" s="39"/>
      <c r="B24" s="39"/>
      <c r="C24" s="39"/>
      <c r="D24" s="39"/>
      <c r="E24" s="39"/>
      <c r="F24" s="39"/>
      <c r="G24" s="39"/>
      <c r="H24" s="530"/>
      <c r="I24" s="532"/>
      <c r="J24" s="39"/>
      <c r="K24" s="39"/>
      <c r="L24" s="39"/>
      <c r="M24" s="39"/>
      <c r="N24" s="39"/>
      <c r="O24" s="39"/>
      <c r="P24" s="39"/>
    </row>
    <row r="25" spans="1:19" ht="15.75" customHeight="1">
      <c r="A25" s="585" t="str">
        <f>INDEX(Helper!$L$221:$L$225,MATCH(Home!$O$1,Helper!$A$221:$A$225,0))</f>
        <v>From SY 2017-2018 the number of male enrollees increased from 741 to 772, and the number of female enrollees increased from 677 to 733. This can be attributed to:</v>
      </c>
      <c r="B25" s="585"/>
      <c r="C25" s="585"/>
      <c r="D25" s="585"/>
      <c r="E25" s="585"/>
      <c r="F25" s="585"/>
      <c r="G25" s="585"/>
      <c r="H25" s="530"/>
      <c r="I25" s="532"/>
      <c r="J25" s="39"/>
      <c r="K25" s="39"/>
      <c r="L25" s="39"/>
      <c r="M25" s="39"/>
      <c r="N25" s="39"/>
      <c r="O25" s="39"/>
      <c r="P25" s="39"/>
    </row>
    <row r="26" spans="1:19" ht="15.75" customHeight="1">
      <c r="A26" s="585"/>
      <c r="B26" s="585"/>
      <c r="C26" s="585"/>
      <c r="D26" s="585"/>
      <c r="E26" s="585"/>
      <c r="F26" s="585"/>
      <c r="G26" s="585"/>
      <c r="H26" s="530"/>
      <c r="I26" s="532"/>
      <c r="J26" s="540" t="str">
        <f>IF(Helper!$Q$641="","",INDEX(Helper!$Q$641:$Q$660,MATCH(Home!$O$1,Helper!$A$641:$A$660,0)))</f>
        <v xml:space="preserve">Stakeholders of the school showed significant contributions and participation in different programs and activities. The most common general partner type are Private Sector and Public Sector . As to the specific type of partner the Private Company and People's Organizations are the top contributors. And the type of contribution commonly given to the school are Policy Support and Technical Assistance .  </v>
      </c>
      <c r="K26" s="540"/>
      <c r="L26" s="540"/>
      <c r="M26" s="540"/>
      <c r="N26" s="540"/>
      <c r="O26" s="39"/>
      <c r="P26" s="39"/>
    </row>
    <row r="27" spans="1:19" ht="16.5" customHeight="1">
      <c r="A27" s="585"/>
      <c r="B27" s="585"/>
      <c r="C27" s="585"/>
      <c r="D27" s="585"/>
      <c r="E27" s="585"/>
      <c r="F27" s="585"/>
      <c r="G27" s="585"/>
      <c r="H27" s="530"/>
      <c r="I27" s="532"/>
      <c r="J27" s="540"/>
      <c r="K27" s="540"/>
      <c r="L27" s="540"/>
      <c r="M27" s="540"/>
      <c r="N27" s="540"/>
      <c r="O27" s="39"/>
      <c r="P27" s="39"/>
    </row>
    <row r="28" spans="1:19" ht="16.5" customHeight="1">
      <c r="A28" s="585"/>
      <c r="B28" s="585"/>
      <c r="C28" s="585"/>
      <c r="D28" s="585"/>
      <c r="E28" s="585"/>
      <c r="F28" s="585"/>
      <c r="G28" s="585"/>
      <c r="H28" s="530"/>
      <c r="I28" s="532"/>
      <c r="J28" s="540"/>
      <c r="K28" s="540"/>
      <c r="L28" s="540"/>
      <c r="M28" s="540"/>
      <c r="N28" s="540"/>
      <c r="O28" s="39"/>
      <c r="P28" s="39"/>
    </row>
    <row r="29" spans="1:19" ht="16.5" customHeight="1">
      <c r="A29" s="585"/>
      <c r="B29" s="585"/>
      <c r="C29" s="585"/>
      <c r="D29" s="585"/>
      <c r="E29" s="585"/>
      <c r="F29" s="585"/>
      <c r="G29" s="585"/>
      <c r="H29" s="530"/>
      <c r="I29" s="532"/>
      <c r="J29" s="540"/>
      <c r="K29" s="540"/>
      <c r="L29" s="540"/>
      <c r="M29" s="540"/>
      <c r="N29" s="540"/>
      <c r="O29" s="39"/>
      <c r="P29" s="39"/>
    </row>
    <row r="30" spans="1:19" ht="16.5" customHeight="1">
      <c r="A30" s="585"/>
      <c r="B30" s="585"/>
      <c r="C30" s="585"/>
      <c r="D30" s="585"/>
      <c r="E30" s="585"/>
      <c r="F30" s="585"/>
      <c r="G30" s="585"/>
      <c r="H30" s="530"/>
      <c r="I30" s="532"/>
      <c r="J30" s="540"/>
      <c r="K30" s="540"/>
      <c r="L30" s="540"/>
      <c r="M30" s="540"/>
      <c r="N30" s="540"/>
      <c r="O30" s="39"/>
      <c r="P30" s="39"/>
    </row>
    <row r="31" spans="1:19" ht="16.5" customHeight="1">
      <c r="A31" s="585"/>
      <c r="B31" s="585"/>
      <c r="C31" s="585"/>
      <c r="D31" s="585"/>
      <c r="E31" s="585"/>
      <c r="F31" s="585"/>
      <c r="G31" s="585"/>
      <c r="H31" s="530"/>
      <c r="I31" s="532"/>
      <c r="J31" s="540"/>
      <c r="K31" s="540"/>
      <c r="L31" s="540"/>
      <c r="M31" s="540"/>
      <c r="N31" s="540"/>
      <c r="O31" s="39"/>
      <c r="P31" s="39"/>
    </row>
    <row r="32" spans="1:19" s="149" customFormat="1" ht="15.75" customHeight="1">
      <c r="A32" s="582" t="str">
        <f>IF(SRC!$A$100="","",SRC!$A$100)</f>
        <v>*Balik-aral</v>
      </c>
      <c r="B32" s="582"/>
      <c r="C32" s="582"/>
      <c r="D32" s="582"/>
      <c r="E32" s="582"/>
      <c r="F32" s="582"/>
      <c r="G32" s="582"/>
      <c r="H32" s="530"/>
      <c r="I32" s="532"/>
      <c r="J32" s="540"/>
      <c r="K32" s="540"/>
      <c r="L32" s="540"/>
      <c r="M32" s="540"/>
      <c r="N32" s="540"/>
      <c r="O32" s="118"/>
      <c r="P32" s="118"/>
      <c r="S32" s="118"/>
    </row>
    <row r="33" spans="1:19" s="149" customFormat="1" ht="15.75" customHeight="1">
      <c r="A33" s="582" t="str">
        <f>IF(SRC!$A$102="","",SRC!$A$102)</f>
        <v/>
      </c>
      <c r="B33" s="582"/>
      <c r="C33" s="582"/>
      <c r="D33" s="582"/>
      <c r="E33" s="582"/>
      <c r="F33" s="582"/>
      <c r="G33" s="582"/>
      <c r="H33" s="530"/>
      <c r="I33" s="532"/>
      <c r="J33" s="540"/>
      <c r="K33" s="540"/>
      <c r="L33" s="540"/>
      <c r="M33" s="540"/>
      <c r="N33" s="540"/>
      <c r="O33" s="118"/>
      <c r="P33" s="118"/>
      <c r="S33" s="118"/>
    </row>
    <row r="34" spans="1:19" s="149" customFormat="1" ht="15.75" customHeight="1">
      <c r="A34" s="582" t="str">
        <f>IF(SRC!$A$104="","",SRC!$A$104)</f>
        <v/>
      </c>
      <c r="B34" s="582"/>
      <c r="C34" s="582"/>
      <c r="D34" s="582"/>
      <c r="E34" s="582"/>
      <c r="F34" s="582"/>
      <c r="G34" s="582"/>
      <c r="H34" s="530"/>
      <c r="I34" s="532"/>
      <c r="J34" s="540"/>
      <c r="K34" s="540"/>
      <c r="L34" s="540"/>
      <c r="M34" s="540"/>
      <c r="N34" s="540"/>
      <c r="O34" s="118"/>
      <c r="P34" s="118"/>
      <c r="S34" s="118"/>
    </row>
    <row r="35" spans="1:19" s="149" customFormat="1" ht="15.75" customHeight="1">
      <c r="A35" s="582" t="str">
        <f>IF(SRC!$A$106="","",SRC!$A$106)</f>
        <v/>
      </c>
      <c r="B35" s="582"/>
      <c r="C35" s="582"/>
      <c r="D35" s="582"/>
      <c r="E35" s="582"/>
      <c r="F35" s="582"/>
      <c r="G35" s="582"/>
      <c r="H35" s="530"/>
      <c r="I35" s="532"/>
      <c r="J35" s="540"/>
      <c r="K35" s="540"/>
      <c r="L35" s="540"/>
      <c r="M35" s="540"/>
      <c r="N35" s="540"/>
      <c r="O35" s="118"/>
      <c r="P35" s="118"/>
      <c r="S35" s="118"/>
    </row>
    <row r="36" spans="1:19" s="149" customFormat="1" ht="15.75" customHeight="1">
      <c r="A36" s="582" t="str">
        <f>IF(SRC!$A$108="","",SRC!$A$108)</f>
        <v/>
      </c>
      <c r="B36" s="582"/>
      <c r="C36" s="582"/>
      <c r="D36" s="582"/>
      <c r="E36" s="582"/>
      <c r="F36" s="582"/>
      <c r="G36" s="582"/>
      <c r="H36" s="530"/>
      <c r="I36" s="532"/>
      <c r="J36" s="540"/>
      <c r="K36" s="540"/>
      <c r="L36" s="540"/>
      <c r="M36" s="540"/>
      <c r="N36" s="540"/>
      <c r="O36" s="118"/>
      <c r="P36" s="118"/>
      <c r="S36" s="118"/>
    </row>
    <row r="37" spans="1:19" s="149" customFormat="1" ht="15.75" customHeight="1">
      <c r="A37" s="582" t="str">
        <f>IF(SRC!$A$110="","",SRC!$A$110)</f>
        <v/>
      </c>
      <c r="B37" s="582"/>
      <c r="C37" s="582"/>
      <c r="D37" s="582"/>
      <c r="E37" s="582"/>
      <c r="F37" s="582"/>
      <c r="G37" s="582"/>
      <c r="H37" s="530"/>
      <c r="I37" s="532"/>
      <c r="J37" s="540"/>
      <c r="K37" s="540"/>
      <c r="L37" s="540"/>
      <c r="M37" s="540"/>
      <c r="N37" s="540"/>
      <c r="O37" s="118"/>
      <c r="P37" s="118"/>
      <c r="S37" s="118"/>
    </row>
    <row r="38" spans="1:19" ht="15.75" customHeight="1">
      <c r="A38" s="39"/>
      <c r="B38" s="39"/>
      <c r="C38" s="39"/>
      <c r="D38" s="39"/>
      <c r="E38" s="39"/>
      <c r="F38" s="39"/>
      <c r="G38" s="39"/>
      <c r="H38" s="529" t="s">
        <v>720</v>
      </c>
      <c r="I38" s="531" t="s">
        <v>729</v>
      </c>
      <c r="J38" s="39"/>
      <c r="K38" s="39"/>
      <c r="L38" s="39"/>
      <c r="M38" s="39"/>
      <c r="N38" s="39"/>
      <c r="O38" s="39"/>
      <c r="P38" s="39"/>
    </row>
    <row r="39" spans="1:19" ht="15.75" customHeight="1">
      <c r="A39" s="39"/>
      <c r="B39" s="39"/>
      <c r="C39" s="39"/>
      <c r="D39" s="39"/>
      <c r="E39" s="39"/>
      <c r="F39" s="39"/>
      <c r="G39" s="39"/>
      <c r="H39" s="530"/>
      <c r="I39" s="532"/>
      <c r="J39" s="39"/>
      <c r="K39" s="39"/>
      <c r="L39" s="39"/>
      <c r="M39" s="39"/>
      <c r="N39" s="39"/>
      <c r="O39" s="39"/>
      <c r="P39" s="39"/>
    </row>
    <row r="40" spans="1:19" ht="15.75" customHeight="1">
      <c r="A40" s="39"/>
      <c r="B40" s="39"/>
      <c r="C40" s="39"/>
      <c r="D40" s="39"/>
      <c r="E40" s="39"/>
      <c r="F40" s="39"/>
      <c r="G40" s="39"/>
      <c r="H40" s="530"/>
      <c r="I40" s="532"/>
      <c r="J40" s="39"/>
      <c r="K40" s="39"/>
      <c r="L40" s="39"/>
      <c r="M40" s="39"/>
      <c r="N40" s="39"/>
      <c r="O40" s="39"/>
      <c r="P40" s="39"/>
    </row>
    <row r="41" spans="1:19" ht="15.75" customHeight="1">
      <c r="A41" s="39"/>
      <c r="B41" s="39"/>
      <c r="C41" s="39"/>
      <c r="D41" s="39"/>
      <c r="E41" s="39"/>
      <c r="F41" s="39"/>
      <c r="G41" s="39"/>
      <c r="H41" s="530"/>
      <c r="I41" s="532"/>
      <c r="J41" s="39"/>
      <c r="K41" s="39"/>
      <c r="L41" s="39"/>
      <c r="M41" s="39"/>
      <c r="N41" s="39"/>
      <c r="O41" s="39"/>
      <c r="P41" s="39"/>
    </row>
    <row r="42" spans="1:19" ht="15.75" customHeight="1">
      <c r="A42" s="39"/>
      <c r="B42" s="39"/>
      <c r="C42" s="39"/>
      <c r="D42" s="39"/>
      <c r="E42" s="39"/>
      <c r="F42" s="39"/>
      <c r="G42" s="39"/>
      <c r="H42" s="530"/>
      <c r="I42" s="532"/>
      <c r="J42" s="39"/>
      <c r="K42" s="39"/>
      <c r="L42" s="39"/>
      <c r="M42" s="39"/>
      <c r="N42" s="39"/>
      <c r="O42" s="39"/>
      <c r="P42" s="39"/>
    </row>
    <row r="43" spans="1:19" ht="15.75" customHeight="1">
      <c r="A43" s="39"/>
      <c r="B43" s="39"/>
      <c r="C43" s="39"/>
      <c r="D43" s="39"/>
      <c r="E43" s="39"/>
      <c r="F43" s="39"/>
      <c r="G43" s="39"/>
      <c r="H43" s="530"/>
      <c r="I43" s="532"/>
      <c r="J43" s="39"/>
      <c r="K43" s="39"/>
      <c r="L43" s="39"/>
      <c r="M43" s="39"/>
      <c r="N43" s="39"/>
      <c r="O43" s="39"/>
      <c r="P43" s="39"/>
    </row>
    <row r="44" spans="1:19" ht="15.75" customHeight="1">
      <c r="A44" s="39"/>
      <c r="B44" s="39"/>
      <c r="C44" s="39"/>
      <c r="D44" s="39"/>
      <c r="E44" s="39"/>
      <c r="F44" s="39"/>
      <c r="G44" s="39"/>
      <c r="H44" s="530"/>
      <c r="I44" s="532"/>
      <c r="J44" s="39"/>
      <c r="K44" s="39"/>
      <c r="L44" s="39"/>
      <c r="M44" s="39"/>
      <c r="N44" s="39"/>
      <c r="O44" s="39"/>
      <c r="P44" s="39"/>
    </row>
    <row r="45" spans="1:19" ht="15.75" customHeight="1">
      <c r="A45" s="39"/>
      <c r="B45" s="39"/>
      <c r="C45" s="39"/>
      <c r="D45" s="39"/>
      <c r="E45" s="39"/>
      <c r="F45" s="39"/>
      <c r="G45" s="39"/>
      <c r="H45" s="530"/>
      <c r="I45" s="532"/>
      <c r="J45" s="39"/>
      <c r="K45" s="39"/>
      <c r="L45" s="39"/>
      <c r="M45" s="39"/>
      <c r="N45" s="39"/>
      <c r="O45" s="39"/>
      <c r="P45" s="39"/>
    </row>
    <row r="46" spans="1:19" ht="15.75" customHeight="1">
      <c r="A46" s="39"/>
      <c r="B46" s="39"/>
      <c r="C46" s="39"/>
      <c r="D46" s="39"/>
      <c r="E46" s="39"/>
      <c r="F46" s="39"/>
      <c r="G46" s="39"/>
      <c r="H46" s="530"/>
      <c r="I46" s="532"/>
      <c r="J46" s="39"/>
      <c r="K46" s="39"/>
      <c r="L46" s="39"/>
      <c r="M46" s="566" t="str">
        <f>IF(Helper!$B$578="","",INDEX(Helper!$J$578:$J$582,MATCH(Home!$O$1,Helper!$A$578:$A$582,0)))</f>
        <v>There are currently lacking toilets for some learners. The learner-toilet ratio is 84:1, with a lacking of 12 toilet/s for the whole school. Majority of the toilets are shared between male and female learners.</v>
      </c>
      <c r="N46" s="566"/>
      <c r="O46" s="566"/>
      <c r="P46" s="566"/>
    </row>
    <row r="47" spans="1:19" ht="15.75" customHeight="1">
      <c r="A47" s="39"/>
      <c r="B47" s="39"/>
      <c r="C47" s="39"/>
      <c r="D47" s="39"/>
      <c r="E47" s="39"/>
      <c r="F47" s="39"/>
      <c r="G47" s="39"/>
      <c r="H47" s="530"/>
      <c r="I47" s="532"/>
      <c r="J47" s="39"/>
      <c r="K47" s="39"/>
      <c r="L47" s="39"/>
      <c r="M47" s="566"/>
      <c r="N47" s="566"/>
      <c r="O47" s="566"/>
      <c r="P47" s="566"/>
    </row>
    <row r="48" spans="1:19" ht="15.75" customHeight="1">
      <c r="A48" s="39"/>
      <c r="B48" s="39"/>
      <c r="C48" s="39"/>
      <c r="D48" s="39"/>
      <c r="E48" s="39"/>
      <c r="F48" s="39"/>
      <c r="G48" s="39"/>
      <c r="H48" s="530"/>
      <c r="I48" s="532"/>
      <c r="J48" s="39"/>
      <c r="K48" s="39"/>
      <c r="L48" s="39"/>
      <c r="M48" s="566"/>
      <c r="N48" s="566"/>
      <c r="O48" s="566"/>
      <c r="P48" s="566"/>
    </row>
    <row r="49" spans="1:16" ht="15.75" customHeight="1">
      <c r="A49" s="39"/>
      <c r="B49" s="39"/>
      <c r="C49" s="39"/>
      <c r="D49" s="39"/>
      <c r="E49" s="39"/>
      <c r="F49" s="39"/>
      <c r="G49" s="39"/>
      <c r="H49" s="530"/>
      <c r="I49" s="532"/>
      <c r="J49" s="39"/>
      <c r="K49" s="39"/>
      <c r="L49" s="39"/>
      <c r="M49" s="566"/>
      <c r="N49" s="566"/>
      <c r="O49" s="566"/>
      <c r="P49" s="566"/>
    </row>
    <row r="50" spans="1:16" ht="15.75" customHeight="1">
      <c r="A50" s="39"/>
      <c r="B50" s="39"/>
      <c r="C50" s="39"/>
      <c r="D50" s="39"/>
      <c r="E50" s="39"/>
      <c r="F50" s="39"/>
      <c r="G50" s="39"/>
      <c r="H50" s="530"/>
      <c r="I50" s="532"/>
      <c r="J50" s="39"/>
      <c r="K50" s="39"/>
      <c r="L50" s="39"/>
      <c r="M50" s="566"/>
      <c r="N50" s="566"/>
      <c r="O50" s="566"/>
      <c r="P50" s="566"/>
    </row>
    <row r="51" spans="1:16" ht="15.75" customHeight="1">
      <c r="A51" s="39"/>
      <c r="B51" s="39"/>
      <c r="C51" s="39"/>
      <c r="D51" s="39"/>
      <c r="E51" s="39"/>
      <c r="F51" s="39"/>
      <c r="G51" s="39"/>
      <c r="H51" s="530"/>
      <c r="I51" s="532"/>
      <c r="J51" s="39"/>
      <c r="K51" s="39"/>
      <c r="L51" s="39"/>
      <c r="M51" s="566"/>
      <c r="N51" s="566"/>
      <c r="O51" s="566"/>
      <c r="P51" s="566"/>
    </row>
    <row r="52" spans="1:16" ht="15.75" customHeight="1">
      <c r="A52" s="39"/>
      <c r="B52" s="39"/>
      <c r="C52" s="39"/>
      <c r="D52" s="39"/>
      <c r="E52" s="39"/>
      <c r="F52" s="39"/>
      <c r="G52" s="39"/>
      <c r="H52" s="530"/>
      <c r="I52" s="532"/>
      <c r="J52" s="39"/>
      <c r="K52" s="39"/>
      <c r="L52" s="39"/>
      <c r="M52" s="566"/>
      <c r="N52" s="566"/>
      <c r="O52" s="566"/>
      <c r="P52" s="566"/>
    </row>
    <row r="53" spans="1:16" ht="15.75" customHeight="1">
      <c r="A53" s="39"/>
      <c r="B53" s="39"/>
      <c r="C53" s="39"/>
      <c r="D53" s="39"/>
      <c r="E53" s="39"/>
      <c r="F53" s="39"/>
      <c r="G53" s="39"/>
      <c r="H53" s="530"/>
      <c r="I53" s="532"/>
      <c r="J53" s="39"/>
      <c r="K53" s="39"/>
      <c r="L53" s="39"/>
      <c r="M53" s="566"/>
      <c r="N53" s="566"/>
      <c r="O53" s="566"/>
      <c r="P53" s="566"/>
    </row>
    <row r="54" spans="1:16" ht="15.75" customHeight="1">
      <c r="A54" s="39"/>
      <c r="B54" s="39"/>
      <c r="C54" s="39"/>
      <c r="D54" s="39"/>
      <c r="E54" s="39"/>
      <c r="F54" s="39"/>
      <c r="G54" s="39"/>
      <c r="H54" s="530"/>
      <c r="I54" s="532"/>
      <c r="J54" s="39"/>
      <c r="K54" s="39"/>
      <c r="L54" s="39"/>
      <c r="M54" s="39"/>
      <c r="N54" s="39"/>
      <c r="O54" s="39"/>
      <c r="P54" s="39"/>
    </row>
    <row r="55" spans="1:16" ht="15.75" customHeight="1">
      <c r="A55" s="39"/>
      <c r="B55" s="39"/>
      <c r="C55" s="39"/>
      <c r="D55" s="39"/>
      <c r="E55" s="39"/>
      <c r="F55" s="39"/>
      <c r="G55" s="39"/>
      <c r="H55" s="530"/>
      <c r="I55" s="532"/>
      <c r="J55" s="39"/>
      <c r="K55" s="39"/>
      <c r="L55" s="39"/>
      <c r="M55" s="39"/>
      <c r="N55" s="39"/>
      <c r="O55" s="39"/>
      <c r="P55" s="39"/>
    </row>
    <row r="56" spans="1:16" ht="15.75" customHeight="1">
      <c r="A56" s="39"/>
      <c r="B56" s="39"/>
      <c r="C56" s="39"/>
      <c r="D56" s="39"/>
      <c r="E56" s="39"/>
      <c r="F56" s="39"/>
      <c r="G56" s="39"/>
      <c r="H56" s="530"/>
      <c r="I56" s="532"/>
      <c r="J56" s="39"/>
      <c r="K56" s="39"/>
      <c r="L56" s="39"/>
      <c r="M56" s="39"/>
      <c r="N56" s="39"/>
      <c r="O56" s="39"/>
      <c r="P56" s="39"/>
    </row>
    <row r="57" spans="1:16" ht="15.75" customHeight="1">
      <c r="A57" s="39"/>
      <c r="B57" s="39"/>
      <c r="C57" s="39"/>
      <c r="D57" s="39"/>
      <c r="E57" s="39"/>
      <c r="F57" s="39"/>
      <c r="G57" s="39"/>
      <c r="H57" s="530"/>
      <c r="I57" s="532"/>
      <c r="J57" s="39"/>
      <c r="K57" s="39"/>
      <c r="L57" s="39"/>
      <c r="M57" s="39"/>
      <c r="N57" s="39"/>
      <c r="O57" s="39"/>
      <c r="P57" s="39"/>
    </row>
    <row r="58" spans="1:16" ht="15.75" customHeight="1">
      <c r="A58" s="39"/>
      <c r="B58" s="39"/>
      <c r="C58" s="39"/>
      <c r="D58" s="39"/>
      <c r="E58" s="39"/>
      <c r="F58" s="39"/>
      <c r="G58" s="39"/>
      <c r="H58" s="530"/>
      <c r="I58" s="532"/>
      <c r="J58" s="39"/>
      <c r="K58" s="39"/>
      <c r="L58" s="39"/>
      <c r="M58" s="39"/>
      <c r="N58" s="39"/>
      <c r="O58" s="39"/>
      <c r="P58" s="39"/>
    </row>
    <row r="59" spans="1:16" ht="15.75" customHeight="1">
      <c r="A59" s="39"/>
      <c r="B59" s="39"/>
      <c r="C59" s="39"/>
      <c r="D59" s="39"/>
      <c r="E59" s="39"/>
      <c r="F59" s="39"/>
      <c r="G59" s="39"/>
      <c r="H59" s="530"/>
      <c r="I59" s="532"/>
      <c r="J59" s="39"/>
      <c r="K59" s="39"/>
      <c r="L59" s="39"/>
      <c r="M59" s="39"/>
      <c r="N59" s="39"/>
      <c r="O59" s="39"/>
      <c r="P59" s="39"/>
    </row>
    <row r="60" spans="1:16" ht="15.75" customHeight="1">
      <c r="A60" s="39"/>
      <c r="B60" s="39"/>
      <c r="C60" s="39"/>
      <c r="D60" s="39"/>
      <c r="E60" s="39"/>
      <c r="F60" s="39"/>
      <c r="G60" s="39"/>
      <c r="H60" s="530"/>
      <c r="I60" s="532"/>
      <c r="J60" s="13"/>
      <c r="K60" s="13"/>
      <c r="L60" s="13"/>
      <c r="M60" s="39"/>
      <c r="N60" s="39"/>
      <c r="O60" s="39"/>
      <c r="P60" s="39"/>
    </row>
    <row r="61" spans="1:16" ht="15.75" customHeight="1">
      <c r="A61" s="39"/>
      <c r="B61" s="39"/>
      <c r="C61" s="39"/>
      <c r="D61" s="39"/>
      <c r="E61" s="39"/>
      <c r="F61" s="39"/>
      <c r="G61" s="39"/>
      <c r="H61" s="530"/>
      <c r="I61" s="532"/>
      <c r="J61" s="12"/>
      <c r="K61" s="117"/>
      <c r="L61" s="117"/>
      <c r="M61" s="39"/>
      <c r="N61" s="39"/>
      <c r="O61" s="39"/>
      <c r="P61" s="39"/>
    </row>
    <row r="62" spans="1:16" ht="15.75" customHeight="1">
      <c r="A62" s="39"/>
      <c r="B62" s="39"/>
      <c r="C62" s="39"/>
      <c r="D62" s="39"/>
      <c r="E62" s="39"/>
      <c r="F62" s="39"/>
      <c r="G62" s="39"/>
      <c r="H62" s="530"/>
      <c r="I62" s="532"/>
      <c r="J62" s="117"/>
      <c r="K62" s="117"/>
      <c r="L62" s="117"/>
      <c r="M62" s="39"/>
      <c r="N62" s="39"/>
      <c r="O62" s="39"/>
      <c r="P62" s="39"/>
    </row>
    <row r="63" spans="1:16" ht="16.5" customHeight="1">
      <c r="A63" s="554" t="str">
        <f>INDEX(Helper!$G$284:$G$288,MATCH(Home!$O$1,Helper!$A$284:$A$288,0))</f>
        <v>The grade level with the highest percentage of available learning materials  is Grade 9 with 88.71 percent as compared to other grade levels.</v>
      </c>
      <c r="B63" s="554"/>
      <c r="C63" s="554"/>
      <c r="D63" s="39"/>
      <c r="E63" s="554" t="str">
        <f>INDEX(Helper!$G$263:$G$267,MATCH(Home!$O$1,Helper!$A$263:$A$267,0))</f>
        <v>The learning area with the highest percentage in terms of availability of books is English with 155.55 percent as compared to other subjects.</v>
      </c>
      <c r="F63" s="554"/>
      <c r="G63" s="554"/>
      <c r="H63" s="530"/>
      <c r="I63" s="532"/>
      <c r="J63" s="554" t="str">
        <f>IF(Helper!$J$599="","",INDEX(Helper!$J$599:$J$603,MATCH(Home!$O$1,Helper!$A$599:$A$603,0)))</f>
        <v>Currently there are enough seats for all learners. The learner-seat ratio is 1.01:1, with an excess of 15 seat/s for the whole school.</v>
      </c>
      <c r="K63" s="554"/>
      <c r="L63" s="554"/>
      <c r="M63" s="39"/>
      <c r="N63" s="39"/>
      <c r="O63" s="39"/>
      <c r="P63" s="39"/>
    </row>
    <row r="64" spans="1:16" ht="15.75" customHeight="1">
      <c r="A64" s="554"/>
      <c r="B64" s="554"/>
      <c r="C64" s="554"/>
      <c r="D64" s="39"/>
      <c r="E64" s="554"/>
      <c r="F64" s="554"/>
      <c r="G64" s="554"/>
      <c r="H64" s="530"/>
      <c r="I64" s="532"/>
      <c r="J64" s="554"/>
      <c r="K64" s="554"/>
      <c r="L64" s="554"/>
      <c r="M64" s="39"/>
      <c r="N64" s="39"/>
      <c r="O64" s="39"/>
      <c r="P64" s="39"/>
    </row>
    <row r="65" spans="1:16" ht="15.75" customHeight="1">
      <c r="A65" s="554"/>
      <c r="B65" s="554"/>
      <c r="C65" s="554"/>
      <c r="D65" s="39"/>
      <c r="E65" s="554"/>
      <c r="F65" s="554"/>
      <c r="G65" s="554"/>
      <c r="H65" s="530"/>
      <c r="I65" s="532"/>
      <c r="J65" s="554"/>
      <c r="K65" s="554"/>
      <c r="L65" s="554"/>
      <c r="M65" s="39"/>
      <c r="N65" s="39"/>
      <c r="O65" s="39"/>
      <c r="P65" s="39"/>
    </row>
    <row r="66" spans="1:16" ht="15.75" customHeight="1">
      <c r="A66" s="554"/>
      <c r="B66" s="554"/>
      <c r="C66" s="554"/>
      <c r="D66" s="39"/>
      <c r="E66" s="554"/>
      <c r="F66" s="554"/>
      <c r="G66" s="554"/>
      <c r="H66" s="530"/>
      <c r="I66" s="532"/>
      <c r="J66" s="554"/>
      <c r="K66" s="554"/>
      <c r="L66" s="554"/>
      <c r="M66" s="39"/>
      <c r="N66" s="39"/>
      <c r="O66" s="39"/>
      <c r="P66" s="39"/>
    </row>
    <row r="67" spans="1:16" ht="15.75" customHeight="1">
      <c r="A67" s="554"/>
      <c r="B67" s="554"/>
      <c r="C67" s="554"/>
      <c r="D67" s="39"/>
      <c r="E67" s="554"/>
      <c r="F67" s="554"/>
      <c r="G67" s="554"/>
      <c r="H67" s="530"/>
      <c r="I67" s="532"/>
      <c r="J67" s="554"/>
      <c r="K67" s="554"/>
      <c r="L67" s="554"/>
      <c r="M67" s="39"/>
      <c r="N67" s="39"/>
      <c r="O67" s="39"/>
      <c r="P67" s="39"/>
    </row>
    <row r="68" spans="1:16" ht="15.75" customHeight="1">
      <c r="A68" s="554"/>
      <c r="B68" s="554"/>
      <c r="C68" s="554"/>
      <c r="D68" s="39"/>
      <c r="E68" s="554"/>
      <c r="F68" s="554"/>
      <c r="G68" s="554"/>
      <c r="H68" s="530"/>
      <c r="I68" s="532"/>
      <c r="J68" s="554"/>
      <c r="K68" s="554"/>
      <c r="L68" s="554"/>
      <c r="M68" s="39"/>
      <c r="N68" s="39"/>
      <c r="O68" s="39"/>
      <c r="P68" s="39"/>
    </row>
    <row r="69" spans="1:16" ht="15.75" customHeight="1">
      <c r="A69" s="554"/>
      <c r="B69" s="554"/>
      <c r="C69" s="554"/>
      <c r="D69" s="39"/>
      <c r="E69" s="554"/>
      <c r="F69" s="554"/>
      <c r="G69" s="554"/>
      <c r="H69" s="530"/>
      <c r="I69" s="532"/>
      <c r="J69" s="554"/>
      <c r="K69" s="554"/>
      <c r="L69" s="554"/>
      <c r="M69" s="39"/>
      <c r="N69" s="39"/>
      <c r="O69" s="39"/>
      <c r="P69" s="39"/>
    </row>
    <row r="70" spans="1:16" ht="15.75" customHeight="1">
      <c r="A70" s="554"/>
      <c r="B70" s="554"/>
      <c r="C70" s="554"/>
      <c r="D70" s="39"/>
      <c r="E70" s="554"/>
      <c r="F70" s="554"/>
      <c r="G70" s="554"/>
      <c r="H70" s="530"/>
      <c r="I70" s="532"/>
      <c r="J70" s="554"/>
      <c r="K70" s="554"/>
      <c r="L70" s="554"/>
      <c r="M70" s="39"/>
      <c r="N70" s="39"/>
      <c r="O70" s="39"/>
      <c r="P70" s="39"/>
    </row>
    <row r="71" spans="1:16" ht="15.75" customHeight="1">
      <c r="A71" s="554"/>
      <c r="B71" s="554"/>
      <c r="C71" s="554"/>
      <c r="D71" s="39"/>
      <c r="E71" s="554"/>
      <c r="F71" s="554"/>
      <c r="G71" s="554"/>
      <c r="H71" s="530"/>
      <c r="I71" s="532"/>
      <c r="J71" s="554"/>
      <c r="K71" s="554"/>
      <c r="L71" s="554"/>
      <c r="M71" s="39"/>
      <c r="N71" s="39"/>
      <c r="O71" s="39"/>
      <c r="P71" s="39"/>
    </row>
    <row r="72" spans="1:16" ht="16.5" customHeight="1">
      <c r="A72" s="39"/>
      <c r="B72" s="39"/>
      <c r="C72" s="39"/>
      <c r="D72" s="39"/>
      <c r="E72" s="39"/>
      <c r="F72" s="39"/>
      <c r="G72" s="39"/>
      <c r="H72" s="529" t="s">
        <v>721</v>
      </c>
      <c r="I72" s="531" t="s">
        <v>723</v>
      </c>
      <c r="J72" s="39"/>
      <c r="K72" s="39"/>
      <c r="L72" s="39"/>
      <c r="M72" s="39"/>
      <c r="N72" s="39"/>
      <c r="O72" s="39"/>
      <c r="P72" s="39"/>
    </row>
    <row r="73" spans="1:16" ht="16.5" customHeight="1">
      <c r="A73" s="39"/>
      <c r="B73" s="39"/>
      <c r="C73" s="39"/>
      <c r="D73" s="39"/>
      <c r="E73" s="39"/>
      <c r="F73" s="39"/>
      <c r="G73" s="39"/>
      <c r="H73" s="530"/>
      <c r="I73" s="532"/>
      <c r="J73" s="39"/>
      <c r="K73" s="39"/>
      <c r="L73" s="39"/>
      <c r="M73" s="39"/>
      <c r="N73" s="39"/>
      <c r="O73" s="39"/>
      <c r="P73" s="39"/>
    </row>
    <row r="74" spans="1:16" ht="16.5" customHeight="1">
      <c r="A74" s="39"/>
      <c r="B74" s="39"/>
      <c r="C74" s="39"/>
      <c r="D74" s="39"/>
      <c r="E74" s="39"/>
      <c r="F74" s="39"/>
      <c r="G74" s="39"/>
      <c r="H74" s="530"/>
      <c r="I74" s="532"/>
      <c r="J74" s="39"/>
      <c r="K74" s="39"/>
      <c r="L74" s="39"/>
      <c r="M74" s="39"/>
      <c r="N74" s="39"/>
      <c r="O74" s="39"/>
      <c r="P74" s="39"/>
    </row>
    <row r="75" spans="1:16" ht="16.5" customHeight="1">
      <c r="A75" s="39"/>
      <c r="B75" s="39"/>
      <c r="C75" s="39"/>
      <c r="D75" s="39"/>
      <c r="E75" s="39"/>
      <c r="F75" s="39"/>
      <c r="G75" s="39"/>
      <c r="H75" s="530"/>
      <c r="I75" s="532"/>
      <c r="J75" s="39"/>
      <c r="K75" s="39"/>
      <c r="L75" s="39"/>
      <c r="M75" s="39"/>
      <c r="N75" s="39"/>
      <c r="O75" s="39"/>
      <c r="P75" s="39"/>
    </row>
    <row r="76" spans="1:16" ht="16.5" customHeight="1">
      <c r="A76" s="39"/>
      <c r="B76" s="39"/>
      <c r="C76" s="39"/>
      <c r="D76" s="39"/>
      <c r="E76" s="39"/>
      <c r="F76" s="39"/>
      <c r="G76" s="39"/>
      <c r="H76" s="530"/>
      <c r="I76" s="532"/>
      <c r="J76" s="39"/>
      <c r="K76" s="39"/>
      <c r="L76" s="39"/>
      <c r="M76" s="39"/>
      <c r="N76" s="39"/>
      <c r="O76" s="39"/>
      <c r="P76" s="39"/>
    </row>
    <row r="77" spans="1:16" ht="15.75" customHeight="1">
      <c r="A77" s="39"/>
      <c r="B77" s="39"/>
      <c r="C77" s="39"/>
      <c r="D77" s="39"/>
      <c r="E77" s="39"/>
      <c r="F77" s="39"/>
      <c r="G77" s="39"/>
      <c r="H77" s="530"/>
      <c r="I77" s="532"/>
      <c r="J77" s="39"/>
      <c r="K77" s="39"/>
      <c r="L77" s="39"/>
      <c r="M77" s="39"/>
      <c r="N77" s="39"/>
      <c r="O77" s="39"/>
      <c r="P77" s="39"/>
    </row>
    <row r="78" spans="1:16" ht="15.75" customHeight="1">
      <c r="A78" s="39"/>
      <c r="B78" s="39"/>
      <c r="C78" s="39"/>
      <c r="D78" s="39"/>
      <c r="E78" s="39"/>
      <c r="F78" s="39"/>
      <c r="G78" s="39"/>
      <c r="H78" s="530"/>
      <c r="I78" s="532"/>
      <c r="J78" s="39"/>
      <c r="K78" s="39"/>
      <c r="L78" s="39"/>
      <c r="M78" s="39"/>
      <c r="N78" s="39"/>
      <c r="O78" s="39"/>
      <c r="P78" s="39"/>
    </row>
    <row r="79" spans="1:16" ht="15.75" customHeight="1">
      <c r="A79" s="39"/>
      <c r="B79" s="39"/>
      <c r="C79" s="39"/>
      <c r="D79" s="39"/>
      <c r="E79" s="39"/>
      <c r="F79" s="39"/>
      <c r="G79" s="39"/>
      <c r="H79" s="530"/>
      <c r="I79" s="532"/>
      <c r="J79" s="39"/>
      <c r="K79" s="39"/>
      <c r="L79" s="39"/>
      <c r="M79" s="39"/>
      <c r="N79" s="39"/>
      <c r="O79" s="39"/>
      <c r="P79" s="39"/>
    </row>
    <row r="80" spans="1:16" ht="15.75" customHeight="1">
      <c r="A80" s="39"/>
      <c r="B80" s="39"/>
      <c r="C80" s="39"/>
      <c r="D80" s="39"/>
      <c r="E80" s="39"/>
      <c r="F80" s="39"/>
      <c r="G80" s="39"/>
      <c r="H80" s="530"/>
      <c r="I80" s="532"/>
      <c r="J80" s="39"/>
      <c r="K80" s="39"/>
      <c r="L80" s="39"/>
      <c r="M80" s="39"/>
      <c r="N80" s="39"/>
      <c r="O80" s="39"/>
      <c r="P80" s="39"/>
    </row>
    <row r="81" spans="1:16" ht="15.75" customHeight="1">
      <c r="A81" s="39"/>
      <c r="B81" s="39"/>
      <c r="C81" s="39"/>
      <c r="D81" s="39"/>
      <c r="E81" s="39"/>
      <c r="F81" s="39"/>
      <c r="G81" s="39"/>
      <c r="H81" s="530"/>
      <c r="I81" s="532"/>
      <c r="J81" s="39"/>
      <c r="K81" s="39"/>
      <c r="L81" s="39"/>
      <c r="M81" s="39"/>
      <c r="N81" s="39"/>
      <c r="O81" s="39"/>
      <c r="P81" s="39"/>
    </row>
    <row r="82" spans="1:16" ht="15.75" customHeight="1">
      <c r="A82" s="39"/>
      <c r="B82" s="39"/>
      <c r="C82" s="39"/>
      <c r="D82" s="39"/>
      <c r="E82" s="39"/>
      <c r="F82" s="39"/>
      <c r="G82" s="39"/>
      <c r="H82" s="530"/>
      <c r="I82" s="532"/>
      <c r="J82" s="39"/>
      <c r="K82" s="39"/>
      <c r="L82" s="39"/>
      <c r="M82" s="39"/>
      <c r="N82" s="39"/>
      <c r="O82" s="39"/>
      <c r="P82" s="39"/>
    </row>
    <row r="83" spans="1:16" ht="15.75" customHeight="1">
      <c r="A83" s="39"/>
      <c r="B83" s="39"/>
      <c r="C83" s="39"/>
      <c r="D83" s="39"/>
      <c r="E83" s="39"/>
      <c r="F83" s="39"/>
      <c r="G83" s="39"/>
      <c r="H83" s="530"/>
      <c r="I83" s="532"/>
      <c r="J83" s="39"/>
      <c r="K83" s="39"/>
      <c r="L83" s="39"/>
      <c r="M83" s="39"/>
      <c r="N83" s="39"/>
      <c r="O83" s="39"/>
      <c r="P83" s="39"/>
    </row>
    <row r="84" spans="1:16" ht="15.75" customHeight="1">
      <c r="A84" s="39"/>
      <c r="B84" s="39"/>
      <c r="C84" s="39"/>
      <c r="D84" s="39"/>
      <c r="E84" s="39"/>
      <c r="F84" s="39"/>
      <c r="G84" s="39"/>
      <c r="H84" s="530"/>
      <c r="I84" s="532"/>
      <c r="J84" s="39"/>
      <c r="K84" s="39"/>
      <c r="L84" s="39"/>
      <c r="M84" s="39"/>
      <c r="N84" s="39"/>
      <c r="O84" s="39"/>
      <c r="P84" s="39"/>
    </row>
    <row r="85" spans="1:16" ht="15.75" customHeight="1">
      <c r="A85" s="39"/>
      <c r="B85" s="39"/>
      <c r="C85" s="39"/>
      <c r="D85" s="39"/>
      <c r="E85" s="39"/>
      <c r="F85" s="39"/>
      <c r="G85" s="39"/>
      <c r="H85" s="530"/>
      <c r="I85" s="532"/>
      <c r="J85" s="39"/>
      <c r="K85" s="39"/>
      <c r="L85" s="39"/>
      <c r="M85" s="39"/>
      <c r="N85" s="39"/>
      <c r="O85" s="39"/>
      <c r="P85" s="39"/>
    </row>
    <row r="86" spans="1:16" ht="15.75" customHeight="1">
      <c r="A86" s="39"/>
      <c r="B86" s="39"/>
      <c r="C86" s="39"/>
      <c r="D86" s="39"/>
      <c r="E86" s="39"/>
      <c r="F86" s="39"/>
      <c r="G86" s="39"/>
      <c r="H86" s="530"/>
      <c r="I86" s="532"/>
      <c r="J86" s="39"/>
      <c r="K86" s="39"/>
      <c r="L86" s="39"/>
      <c r="M86" s="39"/>
      <c r="N86" s="39"/>
      <c r="O86" s="39"/>
      <c r="P86" s="39"/>
    </row>
    <row r="87" spans="1:16" ht="15.75" customHeight="1">
      <c r="A87" s="39"/>
      <c r="B87" s="39"/>
      <c r="C87" s="39"/>
      <c r="D87" s="39"/>
      <c r="E87" s="39"/>
      <c r="F87" s="39"/>
      <c r="G87" s="39"/>
      <c r="H87" s="530"/>
      <c r="I87" s="532"/>
      <c r="J87" s="39"/>
      <c r="K87" s="39"/>
      <c r="L87" s="39"/>
      <c r="M87" s="39"/>
      <c r="N87" s="39"/>
      <c r="O87" s="39"/>
      <c r="P87" s="39"/>
    </row>
    <row r="88" spans="1:16" ht="15.75" customHeight="1">
      <c r="A88" s="39"/>
      <c r="B88" s="39"/>
      <c r="C88" s="39"/>
      <c r="D88" s="39"/>
      <c r="E88" s="39"/>
      <c r="F88" s="39"/>
      <c r="G88" s="39"/>
      <c r="H88" s="530"/>
      <c r="I88" s="532"/>
      <c r="J88" s="39"/>
      <c r="K88" s="39"/>
      <c r="L88" s="39"/>
      <c r="M88" s="39"/>
      <c r="N88" s="39"/>
      <c r="O88" s="533" t="str">
        <f>IF(Data!$H$6="Elementay(multi-grade)",Helper!$DE$116,INDEX(Helper!$G$557:$G$561,MATCH(Home!$O$1,Helper!$A$557:$A$561,0)))</f>
        <v>The grade level with the highest learner to teacher ratio is Grade 7 which can still accommodate 10 learners per class as compared to the recommended pupil-teacher ratio.</v>
      </c>
      <c r="P88" s="533"/>
    </row>
    <row r="89" spans="1:16" ht="15.75" customHeight="1">
      <c r="A89" s="39"/>
      <c r="B89" s="39"/>
      <c r="C89" s="39"/>
      <c r="D89" s="39"/>
      <c r="E89" s="39"/>
      <c r="F89" s="39"/>
      <c r="G89" s="39"/>
      <c r="H89" s="530"/>
      <c r="I89" s="532"/>
      <c r="J89" s="39"/>
      <c r="K89" s="39"/>
      <c r="L89" s="39"/>
      <c r="M89" s="39"/>
      <c r="N89" s="39"/>
      <c r="O89" s="533"/>
      <c r="P89" s="533"/>
    </row>
    <row r="90" spans="1:16" ht="15.75" customHeight="1" thickBot="1">
      <c r="A90" s="39"/>
      <c r="B90" s="39"/>
      <c r="C90" s="39"/>
      <c r="D90" s="39"/>
      <c r="E90" s="39"/>
      <c r="F90" s="39"/>
      <c r="G90" s="39"/>
      <c r="H90" s="530"/>
      <c r="I90" s="532"/>
      <c r="J90" s="39"/>
      <c r="K90" s="39"/>
      <c r="L90" s="39"/>
      <c r="M90" s="39"/>
      <c r="N90" s="39"/>
      <c r="O90" s="533"/>
      <c r="P90" s="533"/>
    </row>
    <row r="91" spans="1:16" ht="15.75" customHeight="1">
      <c r="A91" s="574" t="str">
        <f>SRC!$B$292</f>
        <v>General Appropriations Act (School MOOE)</v>
      </c>
      <c r="B91" s="574"/>
      <c r="C91" s="574"/>
      <c r="D91" s="574"/>
      <c r="E91" s="574"/>
      <c r="F91" s="581">
        <f>IF(Helper!$A$48="","",Helper!$A$48)</f>
        <v>104000</v>
      </c>
      <c r="G91" s="581"/>
      <c r="H91" s="530"/>
      <c r="I91" s="532"/>
      <c r="J91" s="39"/>
      <c r="K91" s="39"/>
      <c r="L91" s="39"/>
      <c r="M91" s="39"/>
      <c r="N91" s="39"/>
      <c r="O91" s="533"/>
      <c r="P91" s="533"/>
    </row>
    <row r="92" spans="1:16" ht="15.75" customHeight="1">
      <c r="A92" s="575" t="str">
        <f>SRC!$B$293</f>
        <v>General Appropriations Act (Subsidy for Special Programs)</v>
      </c>
      <c r="B92" s="575"/>
      <c r="C92" s="575"/>
      <c r="D92" s="575"/>
      <c r="E92" s="575"/>
      <c r="F92" s="561">
        <f>IF(Helper!$B$48="","",Helper!$B$48)</f>
        <v>0</v>
      </c>
      <c r="G92" s="561"/>
      <c r="H92" s="530"/>
      <c r="I92" s="532"/>
      <c r="J92" s="39"/>
      <c r="K92" s="39"/>
      <c r="L92" s="39"/>
      <c r="M92" s="39"/>
      <c r="N92" s="39"/>
      <c r="O92" s="533"/>
      <c r="P92" s="533"/>
    </row>
    <row r="93" spans="1:16" ht="15.75" customHeight="1">
      <c r="A93" s="575" t="str">
        <f>SRC!$B$294</f>
        <v>Local Government Unit funds</v>
      </c>
      <c r="B93" s="575"/>
      <c r="C93" s="575"/>
      <c r="D93" s="575"/>
      <c r="E93" s="575"/>
      <c r="F93" s="561">
        <f>IF(Helper!$C$48="","",Helper!$C$48)</f>
        <v>147000</v>
      </c>
      <c r="G93" s="561"/>
      <c r="H93" s="530"/>
      <c r="I93" s="532"/>
      <c r="J93" s="39"/>
      <c r="K93" s="39"/>
      <c r="L93" s="39"/>
      <c r="M93" s="39"/>
      <c r="N93" s="39"/>
      <c r="O93" s="533"/>
      <c r="P93" s="533"/>
    </row>
    <row r="94" spans="1:16" ht="15.75" customHeight="1">
      <c r="A94" s="575" t="str">
        <f>SRC!$B$295</f>
        <v>Canteen funds</v>
      </c>
      <c r="B94" s="575"/>
      <c r="C94" s="575"/>
      <c r="D94" s="575"/>
      <c r="E94" s="575"/>
      <c r="F94" s="561">
        <f>IF(Helper!$D$48="","",Helper!$D$48)</f>
        <v>10000</v>
      </c>
      <c r="G94" s="561"/>
      <c r="H94" s="530"/>
      <c r="I94" s="532"/>
      <c r="J94" s="39"/>
      <c r="K94" s="39"/>
      <c r="L94" s="39"/>
      <c r="M94" s="39"/>
      <c r="N94" s="39"/>
      <c r="O94" s="533"/>
      <c r="P94" s="533"/>
    </row>
    <row r="95" spans="1:16" ht="15.75" customHeight="1">
      <c r="A95" s="575" t="str">
        <f>SRC!$B$296</f>
        <v>Donations</v>
      </c>
      <c r="B95" s="575"/>
      <c r="C95" s="575"/>
      <c r="D95" s="575"/>
      <c r="E95" s="575"/>
      <c r="F95" s="561">
        <f>IF(Helper!$E$48="","",Helper!$E$48)</f>
        <v>278713</v>
      </c>
      <c r="G95" s="561"/>
      <c r="H95" s="530"/>
      <c r="I95" s="532"/>
      <c r="J95" s="39"/>
      <c r="K95" s="39"/>
      <c r="L95" s="39"/>
      <c r="M95" s="39"/>
      <c r="N95" s="39"/>
      <c r="O95" s="533"/>
      <c r="P95" s="533"/>
    </row>
    <row r="96" spans="1:16" ht="15.75" customHeight="1">
      <c r="A96" s="575" t="str">
        <f>SRC!$B$297</f>
        <v>Others</v>
      </c>
      <c r="B96" s="575"/>
      <c r="C96" s="575"/>
      <c r="D96" s="575"/>
      <c r="E96" s="575"/>
      <c r="F96" s="561">
        <f>IF(Helper!$F$48="","",Helper!$F$48)</f>
        <v>106131</v>
      </c>
      <c r="G96" s="561"/>
      <c r="H96" s="530"/>
      <c r="I96" s="532"/>
      <c r="J96" s="39"/>
      <c r="K96" s="39"/>
      <c r="L96" s="39"/>
      <c r="M96" s="39"/>
      <c r="N96" s="39"/>
      <c r="O96" s="533"/>
      <c r="P96" s="533"/>
    </row>
    <row r="97" spans="1:16" ht="15.75" customHeight="1" thickBot="1">
      <c r="A97" s="572" t="s">
        <v>18</v>
      </c>
      <c r="B97" s="572"/>
      <c r="C97" s="572"/>
      <c r="D97" s="572"/>
      <c r="E97" s="572"/>
      <c r="F97" s="573">
        <f>IF(SUM(F91:G96)&lt;1,"",SUM(F91:G96))</f>
        <v>645844</v>
      </c>
      <c r="G97" s="573"/>
      <c r="H97" s="530"/>
      <c r="I97" s="532"/>
      <c r="J97" s="39"/>
      <c r="K97" s="39"/>
      <c r="L97" s="39"/>
      <c r="M97" s="39"/>
      <c r="N97" s="39"/>
      <c r="O97" s="533"/>
      <c r="P97" s="533"/>
    </row>
    <row r="98" spans="1:16" ht="15.75" customHeight="1">
      <c r="A98" s="427"/>
      <c r="B98" s="427"/>
      <c r="C98" s="427"/>
      <c r="D98" s="427"/>
      <c r="E98" s="427"/>
      <c r="F98" s="427"/>
      <c r="G98" s="427"/>
      <c r="H98" s="530"/>
      <c r="I98" s="532"/>
      <c r="J98" s="39"/>
      <c r="K98" s="39"/>
      <c r="L98" s="39"/>
      <c r="M98" s="39"/>
      <c r="N98" s="39"/>
      <c r="O98" s="533"/>
      <c r="P98" s="533"/>
    </row>
    <row r="99" spans="1:16" ht="15.75" customHeight="1">
      <c r="A99" s="554" t="str">
        <f>INDEX(Helper!$P$326:$P$330,MATCH(Home!$O$1,Helper!$A$326:$A$330,0))</f>
        <v>The biggest source of school funding came from the Donations amounting to Php 278,713.00 or 43.15 percent of the total fund source. Other sources are Local Government Unit funds, Others, General Appropriations Act (School MOOE), Canteen funds and General Appropriations Act (Subsidy for Special Programs).</v>
      </c>
      <c r="B99" s="554"/>
      <c r="C99" s="554"/>
      <c r="D99" s="554"/>
      <c r="E99" s="554"/>
      <c r="F99" s="554"/>
      <c r="G99" s="554"/>
      <c r="H99" s="530"/>
      <c r="I99" s="532"/>
      <c r="J99" s="39"/>
      <c r="K99" s="39"/>
      <c r="L99" s="39"/>
      <c r="M99" s="39"/>
      <c r="N99" s="39"/>
      <c r="O99" s="533"/>
      <c r="P99" s="533"/>
    </row>
    <row r="100" spans="1:16" ht="15.75" customHeight="1">
      <c r="A100" s="554"/>
      <c r="B100" s="554"/>
      <c r="C100" s="554"/>
      <c r="D100" s="554"/>
      <c r="E100" s="554"/>
      <c r="F100" s="554"/>
      <c r="G100" s="554"/>
      <c r="H100" s="530"/>
      <c r="I100" s="532"/>
      <c r="J100" s="39"/>
      <c r="K100" s="39"/>
      <c r="L100" s="39"/>
      <c r="M100" s="39"/>
      <c r="N100" s="39"/>
      <c r="O100" s="533"/>
      <c r="P100" s="533"/>
    </row>
    <row r="101" spans="1:16" ht="15.75" customHeight="1">
      <c r="A101" s="554"/>
      <c r="B101" s="554"/>
      <c r="C101" s="554"/>
      <c r="D101" s="554"/>
      <c r="E101" s="554"/>
      <c r="F101" s="554"/>
      <c r="G101" s="554"/>
      <c r="H101" s="530"/>
      <c r="I101" s="532"/>
      <c r="J101" s="39"/>
      <c r="K101" s="39"/>
      <c r="L101" s="39"/>
      <c r="M101" s="39"/>
      <c r="N101" s="39"/>
      <c r="O101" s="533"/>
      <c r="P101" s="533"/>
    </row>
    <row r="102" spans="1:16" ht="15.75" customHeight="1">
      <c r="A102" s="554"/>
      <c r="B102" s="554"/>
      <c r="C102" s="554"/>
      <c r="D102" s="554"/>
      <c r="E102" s="554"/>
      <c r="F102" s="554"/>
      <c r="G102" s="554"/>
      <c r="H102" s="530"/>
      <c r="I102" s="532"/>
      <c r="J102" s="39"/>
      <c r="K102" s="39"/>
      <c r="L102" s="39"/>
      <c r="M102" s="39"/>
      <c r="N102" s="39"/>
      <c r="O102" s="533"/>
      <c r="P102" s="533"/>
    </row>
    <row r="103" spans="1:16" ht="15.75" customHeight="1">
      <c r="A103" s="554"/>
      <c r="B103" s="554"/>
      <c r="C103" s="554"/>
      <c r="D103" s="554"/>
      <c r="E103" s="554"/>
      <c r="F103" s="554"/>
      <c r="G103" s="554"/>
      <c r="H103" s="530"/>
      <c r="I103" s="532"/>
      <c r="J103" s="39"/>
      <c r="K103" s="39"/>
      <c r="L103" s="39"/>
      <c r="M103" s="39"/>
      <c r="N103" s="39"/>
      <c r="O103" s="533"/>
      <c r="P103" s="533"/>
    </row>
    <row r="104" spans="1:16" ht="15.75" customHeight="1">
      <c r="A104" s="554"/>
      <c r="B104" s="554"/>
      <c r="C104" s="554"/>
      <c r="D104" s="554"/>
      <c r="E104" s="554"/>
      <c r="F104" s="554"/>
      <c r="G104" s="554"/>
      <c r="H104" s="530"/>
      <c r="I104" s="532"/>
      <c r="J104" s="39"/>
      <c r="K104" s="39"/>
      <c r="L104" s="39"/>
      <c r="M104" s="39"/>
      <c r="N104" s="39"/>
      <c r="O104" s="533"/>
      <c r="P104" s="533"/>
    </row>
    <row r="105" spans="1:16" ht="15.75" customHeight="1">
      <c r="A105" s="554"/>
      <c r="B105" s="554"/>
      <c r="C105" s="554"/>
      <c r="D105" s="554"/>
      <c r="E105" s="554"/>
      <c r="F105" s="554"/>
      <c r="G105" s="554"/>
      <c r="H105" s="530"/>
      <c r="I105" s="532"/>
      <c r="J105" s="39"/>
      <c r="K105" s="39"/>
      <c r="L105" s="39"/>
      <c r="M105" s="39"/>
      <c r="N105" s="39"/>
      <c r="O105" s="533"/>
      <c r="P105" s="533"/>
    </row>
    <row r="106" spans="1:16" ht="15.75" customHeight="1">
      <c r="A106" s="39"/>
      <c r="B106" s="39"/>
      <c r="C106" s="39"/>
      <c r="D106" s="39"/>
      <c r="E106" s="39"/>
      <c r="F106" s="39"/>
      <c r="G106" s="39"/>
      <c r="H106" s="529" t="s">
        <v>730</v>
      </c>
      <c r="I106" s="531" t="s">
        <v>724</v>
      </c>
      <c r="J106" s="571" t="str">
        <f>INDEX(Helper!$I$368:$I$372,MATCH(Home!$O$1,Helper!$A$368:$A$372,0))</f>
        <v>The average promotion rate in S.Y. 2018-2019 is at 93.09 percent as compared to the 98.55 percent of the previous school year.</v>
      </c>
      <c r="K106" s="571"/>
      <c r="L106" s="39"/>
      <c r="M106" s="39"/>
      <c r="N106" s="39"/>
      <c r="O106" s="39"/>
      <c r="P106" s="39"/>
    </row>
    <row r="107" spans="1:16" ht="15.75" customHeight="1">
      <c r="A107" s="39"/>
      <c r="B107" s="39"/>
      <c r="C107" s="39"/>
      <c r="D107" s="39"/>
      <c r="E107" s="39"/>
      <c r="F107" s="39"/>
      <c r="G107" s="39"/>
      <c r="H107" s="530"/>
      <c r="I107" s="532"/>
      <c r="J107" s="571"/>
      <c r="K107" s="571"/>
      <c r="L107" s="39"/>
      <c r="M107" s="39"/>
      <c r="N107" s="39"/>
      <c r="O107" s="39"/>
      <c r="P107" s="39"/>
    </row>
    <row r="108" spans="1:16" ht="15.75" customHeight="1">
      <c r="A108" s="39"/>
      <c r="B108" s="39"/>
      <c r="C108" s="39"/>
      <c r="D108" s="39"/>
      <c r="E108" s="39"/>
      <c r="F108" s="39"/>
      <c r="G108" s="39"/>
      <c r="H108" s="530"/>
      <c r="I108" s="532"/>
      <c r="J108" s="571"/>
      <c r="K108" s="571"/>
      <c r="L108" s="39"/>
      <c r="M108" s="39"/>
      <c r="N108" s="39"/>
      <c r="O108" s="39"/>
      <c r="P108" s="39"/>
    </row>
    <row r="109" spans="1:16" ht="15.75" customHeight="1">
      <c r="A109" s="39"/>
      <c r="B109" s="39"/>
      <c r="C109" s="39"/>
      <c r="D109" s="39"/>
      <c r="E109" s="39"/>
      <c r="F109" s="39"/>
      <c r="G109" s="39"/>
      <c r="H109" s="530"/>
      <c r="I109" s="532"/>
      <c r="J109" s="571"/>
      <c r="K109" s="571"/>
      <c r="L109" s="39"/>
      <c r="M109" s="39"/>
      <c r="N109" s="39"/>
      <c r="O109" s="39"/>
      <c r="P109" s="39"/>
    </row>
    <row r="110" spans="1:16" ht="15.75" customHeight="1">
      <c r="A110" s="39"/>
      <c r="B110" s="39"/>
      <c r="C110" s="39"/>
      <c r="D110" s="39"/>
      <c r="E110" s="39"/>
      <c r="F110" s="39"/>
      <c r="G110" s="39"/>
      <c r="H110" s="530"/>
      <c r="I110" s="532"/>
      <c r="J110" s="571"/>
      <c r="K110" s="571"/>
      <c r="L110" s="39"/>
      <c r="M110" s="39"/>
      <c r="N110" s="39"/>
      <c r="O110" s="39"/>
      <c r="P110" s="39"/>
    </row>
    <row r="111" spans="1:16" ht="15.75" customHeight="1">
      <c r="A111" s="39"/>
      <c r="B111" s="39"/>
      <c r="C111" s="39"/>
      <c r="D111" s="39"/>
      <c r="E111" s="39"/>
      <c r="F111" s="39"/>
      <c r="G111" s="39"/>
      <c r="H111" s="530"/>
      <c r="I111" s="532"/>
      <c r="J111" s="39"/>
      <c r="K111" s="39"/>
      <c r="L111" s="39"/>
      <c r="M111" s="39"/>
      <c r="N111" s="39"/>
      <c r="O111" s="39"/>
      <c r="P111" s="39"/>
    </row>
    <row r="112" spans="1:16" ht="15.75" customHeight="1">
      <c r="A112" s="39"/>
      <c r="B112" s="39"/>
      <c r="C112" s="39"/>
      <c r="D112" s="39"/>
      <c r="E112" s="39"/>
      <c r="F112" s="39"/>
      <c r="G112" s="39"/>
      <c r="H112" s="530"/>
      <c r="I112" s="532"/>
      <c r="J112" s="39"/>
      <c r="K112" s="39"/>
      <c r="L112" s="39"/>
      <c r="M112" s="39"/>
      <c r="N112" s="39"/>
      <c r="O112" s="39"/>
      <c r="P112" s="39"/>
    </row>
    <row r="113" spans="1:16" ht="15.75" customHeight="1">
      <c r="A113" s="39"/>
      <c r="B113" s="39"/>
      <c r="C113" s="39"/>
      <c r="D113" s="39"/>
      <c r="E113" s="39"/>
      <c r="F113" s="39"/>
      <c r="G113" s="39"/>
      <c r="H113" s="530"/>
      <c r="I113" s="532"/>
      <c r="J113" s="39"/>
      <c r="K113" s="39"/>
      <c r="L113" s="39"/>
      <c r="M113" s="39"/>
      <c r="N113" s="39"/>
      <c r="O113" s="39"/>
      <c r="P113" s="39"/>
    </row>
    <row r="114" spans="1:16" ht="15.75" customHeight="1">
      <c r="A114" s="39"/>
      <c r="B114" s="39"/>
      <c r="C114" s="39"/>
      <c r="D114" s="39"/>
      <c r="E114" s="39"/>
      <c r="F114" s="39"/>
      <c r="G114" s="39"/>
      <c r="H114" s="530"/>
      <c r="I114" s="532"/>
      <c r="J114" s="39"/>
      <c r="K114" s="39"/>
      <c r="L114" s="39"/>
      <c r="M114" s="39"/>
      <c r="N114" s="39"/>
      <c r="O114" s="39"/>
      <c r="P114" s="39"/>
    </row>
    <row r="115" spans="1:16" ht="15.75" customHeight="1">
      <c r="A115" s="39"/>
      <c r="B115" s="39"/>
      <c r="C115" s="39"/>
      <c r="D115" s="39"/>
      <c r="E115" s="39"/>
      <c r="F115" s="39"/>
      <c r="G115" s="39"/>
      <c r="H115" s="530"/>
      <c r="I115" s="532"/>
      <c r="J115" s="39"/>
      <c r="K115" s="39"/>
      <c r="L115" s="39"/>
      <c r="M115" s="39"/>
      <c r="N115" s="39"/>
      <c r="O115" s="39"/>
      <c r="P115" s="39"/>
    </row>
    <row r="116" spans="1:16" ht="15.75" customHeight="1">
      <c r="A116" s="39"/>
      <c r="B116" s="39"/>
      <c r="C116" s="39"/>
      <c r="D116" s="39"/>
      <c r="E116" s="39"/>
      <c r="F116" s="39"/>
      <c r="G116" s="39"/>
      <c r="H116" s="530"/>
      <c r="I116" s="532"/>
      <c r="J116" s="39"/>
      <c r="K116" s="39"/>
      <c r="L116" s="39"/>
      <c r="M116" s="39"/>
      <c r="N116" s="39"/>
      <c r="O116" s="39"/>
      <c r="P116" s="39"/>
    </row>
    <row r="117" spans="1:16" ht="15.75" customHeight="1">
      <c r="A117" s="39"/>
      <c r="B117" s="39"/>
      <c r="C117" s="39"/>
      <c r="D117" s="39"/>
      <c r="E117" s="39"/>
      <c r="F117" s="39"/>
      <c r="G117" s="39"/>
      <c r="H117" s="530"/>
      <c r="I117" s="532"/>
      <c r="J117" s="39"/>
      <c r="K117" s="39"/>
      <c r="L117" s="39"/>
      <c r="M117" s="39"/>
      <c r="N117" s="39"/>
      <c r="O117" s="39"/>
      <c r="P117" s="39"/>
    </row>
    <row r="118" spans="1:16" ht="15.75" customHeight="1">
      <c r="A118" s="39"/>
      <c r="B118" s="39"/>
      <c r="C118" s="39"/>
      <c r="D118" s="39"/>
      <c r="E118" s="39"/>
      <c r="F118" s="39"/>
      <c r="G118" s="39"/>
      <c r="H118" s="530"/>
      <c r="I118" s="532"/>
      <c r="J118" s="39"/>
      <c r="K118" s="39"/>
      <c r="L118" s="39"/>
      <c r="M118" s="39"/>
      <c r="N118" s="39"/>
      <c r="O118" s="39"/>
      <c r="P118" s="39"/>
    </row>
    <row r="119" spans="1:16" ht="15.75" customHeight="1">
      <c r="A119" s="39"/>
      <c r="B119" s="39"/>
      <c r="C119" s="39"/>
      <c r="D119" s="39"/>
      <c r="E119" s="39"/>
      <c r="F119" s="39"/>
      <c r="G119" s="39"/>
      <c r="H119" s="530"/>
      <c r="I119" s="532"/>
      <c r="J119" s="39"/>
      <c r="K119" s="39"/>
      <c r="L119" s="39"/>
      <c r="M119" s="280"/>
      <c r="N119" s="280"/>
      <c r="O119" s="280"/>
      <c r="P119" s="280"/>
    </row>
    <row r="120" spans="1:16" ht="15.75" customHeight="1">
      <c r="A120" s="39"/>
      <c r="B120" s="39"/>
      <c r="C120" s="39"/>
      <c r="D120" s="39"/>
      <c r="E120" s="39"/>
      <c r="F120" s="39"/>
      <c r="G120" s="39"/>
      <c r="H120" s="530"/>
      <c r="I120" s="532"/>
      <c r="J120" s="39"/>
      <c r="K120" s="39"/>
      <c r="L120" s="39"/>
      <c r="M120" s="280"/>
      <c r="N120" s="280"/>
      <c r="O120" s="280"/>
      <c r="P120" s="280"/>
    </row>
    <row r="121" spans="1:16" ht="15.75" customHeight="1">
      <c r="A121" s="39"/>
      <c r="B121" s="39"/>
      <c r="C121" s="39"/>
      <c r="D121" s="39"/>
      <c r="E121" s="39"/>
      <c r="F121" s="39"/>
      <c r="G121" s="39"/>
      <c r="H121" s="530"/>
      <c r="I121" s="532"/>
      <c r="J121" s="39"/>
      <c r="K121" s="39"/>
      <c r="L121" s="39"/>
      <c r="M121" s="280"/>
      <c r="N121" s="280"/>
      <c r="O121" s="280"/>
      <c r="P121" s="280"/>
    </row>
    <row r="122" spans="1:16" ht="15.75" customHeight="1">
      <c r="A122" s="39"/>
      <c r="B122" s="39"/>
      <c r="C122" s="39"/>
      <c r="D122" s="39"/>
      <c r="E122" s="39"/>
      <c r="F122" s="39"/>
      <c r="G122" s="39"/>
      <c r="H122" s="530"/>
      <c r="I122" s="532"/>
      <c r="J122" s="39"/>
      <c r="K122" s="39"/>
      <c r="L122" s="39"/>
      <c r="M122" s="280"/>
      <c r="N122" s="280"/>
      <c r="O122" s="280"/>
      <c r="P122" s="280"/>
    </row>
    <row r="123" spans="1:16" ht="15.75" customHeight="1">
      <c r="A123" s="39"/>
      <c r="B123" s="39"/>
      <c r="C123" s="39"/>
      <c r="D123" s="39"/>
      <c r="E123" s="39"/>
      <c r="F123" s="39"/>
      <c r="G123" s="39"/>
      <c r="H123" s="530"/>
      <c r="I123" s="532"/>
      <c r="J123" s="39"/>
      <c r="K123" s="39"/>
      <c r="L123" s="39"/>
      <c r="M123" s="280"/>
      <c r="N123" s="280"/>
      <c r="O123" s="280"/>
      <c r="P123" s="280"/>
    </row>
    <row r="124" spans="1:16" ht="15.75" customHeight="1">
      <c r="A124" s="39"/>
      <c r="B124" s="39"/>
      <c r="C124" s="39"/>
      <c r="D124" s="39"/>
      <c r="E124" s="39"/>
      <c r="F124" s="39"/>
      <c r="G124" s="39"/>
      <c r="H124" s="530"/>
      <c r="I124" s="532"/>
      <c r="J124" s="39"/>
      <c r="K124" s="39"/>
      <c r="L124" s="39"/>
      <c r="M124" s="565" t="str">
        <f>INDEX(Helper!$G$389:$G$393,MATCH(Home!$O$1,Helper!$A$389:$A$393,0))</f>
        <v>The grade level with the highest Promotion Rate for the latest school year is  Grade 12 with 98.385 percent.</v>
      </c>
      <c r="N124" s="566"/>
      <c r="O124" s="566"/>
      <c r="P124" s="567"/>
    </row>
    <row r="125" spans="1:16" ht="15.75" customHeight="1">
      <c r="A125" s="39"/>
      <c r="B125" s="39"/>
      <c r="C125" s="39"/>
      <c r="D125" s="39"/>
      <c r="E125" s="39"/>
      <c r="F125" s="39"/>
      <c r="G125" s="39"/>
      <c r="H125" s="530"/>
      <c r="I125" s="532"/>
      <c r="J125" s="39"/>
      <c r="K125" s="39"/>
      <c r="L125" s="39"/>
      <c r="M125" s="565"/>
      <c r="N125" s="566"/>
      <c r="O125" s="566"/>
      <c r="P125" s="567"/>
    </row>
    <row r="126" spans="1:16" ht="15.75" customHeight="1">
      <c r="A126" s="39"/>
      <c r="B126" s="39"/>
      <c r="C126" s="39"/>
      <c r="D126" s="39"/>
      <c r="E126" s="39"/>
      <c r="F126" s="39"/>
      <c r="G126" s="39"/>
      <c r="H126" s="530"/>
      <c r="I126" s="532"/>
      <c r="J126" s="39"/>
      <c r="K126" s="39"/>
      <c r="L126" s="39"/>
      <c r="M126" s="565"/>
      <c r="N126" s="566"/>
      <c r="O126" s="566"/>
      <c r="P126" s="567"/>
    </row>
    <row r="127" spans="1:16" ht="15.75" customHeight="1" thickBot="1">
      <c r="A127" s="39"/>
      <c r="B127" s="39"/>
      <c r="C127" s="39"/>
      <c r="D127" s="39"/>
      <c r="E127" s="39"/>
      <c r="F127" s="39"/>
      <c r="G127" s="39"/>
      <c r="H127" s="530"/>
      <c r="I127" s="532"/>
      <c r="J127" s="39"/>
      <c r="K127" s="39"/>
      <c r="L127" s="39"/>
      <c r="M127" s="568"/>
      <c r="N127" s="569"/>
      <c r="O127" s="569"/>
      <c r="P127" s="570"/>
    </row>
    <row r="128" spans="1:16" ht="15.75" customHeight="1">
      <c r="A128" s="39"/>
      <c r="B128" s="39"/>
      <c r="C128" s="39"/>
      <c r="D128" s="39"/>
      <c r="E128" s="39"/>
      <c r="F128" s="39"/>
      <c r="G128" s="39"/>
      <c r="H128" s="530"/>
      <c r="I128" s="532"/>
      <c r="J128" s="39"/>
      <c r="K128" s="39"/>
      <c r="L128" s="39"/>
      <c r="M128" s="39"/>
      <c r="N128" s="39"/>
      <c r="O128" s="39"/>
      <c r="P128" s="39"/>
    </row>
    <row r="129" spans="1:16" ht="15.75" customHeight="1">
      <c r="A129" s="39"/>
      <c r="B129" s="39"/>
      <c r="C129" s="39"/>
      <c r="D129" s="39"/>
      <c r="E129" s="39"/>
      <c r="F129" s="39"/>
      <c r="G129" s="39"/>
      <c r="H129" s="530"/>
      <c r="I129" s="532"/>
      <c r="J129" s="39"/>
      <c r="K129" s="39"/>
      <c r="L129" s="39"/>
      <c r="M129" s="39"/>
      <c r="N129" s="39"/>
      <c r="O129" s="39"/>
      <c r="P129" s="39"/>
    </row>
    <row r="130" spans="1:16" ht="16.5" customHeight="1">
      <c r="A130" s="39"/>
      <c r="B130" s="39"/>
      <c r="C130" s="39"/>
      <c r="D130" s="39"/>
      <c r="E130" s="39"/>
      <c r="F130" s="39"/>
      <c r="G130" s="39"/>
      <c r="H130" s="530"/>
      <c r="I130" s="532"/>
      <c r="J130" s="580" t="str">
        <f>INDEX(Helper!$R$410:$R$414,MATCH(Home!$O$1,Helper!$A$410:$A$414,0))</f>
        <v/>
      </c>
      <c r="K130" s="580"/>
      <c r="L130" s="39"/>
      <c r="M130" s="39"/>
      <c r="N130" s="39"/>
      <c r="O130" s="39"/>
      <c r="P130" s="39"/>
    </row>
    <row r="131" spans="1:16" ht="16.5" customHeight="1">
      <c r="A131" s="39"/>
      <c r="B131" s="39"/>
      <c r="C131" s="39"/>
      <c r="D131" s="39"/>
      <c r="E131" s="39"/>
      <c r="F131" s="39"/>
      <c r="G131" s="39"/>
      <c r="H131" s="530"/>
      <c r="I131" s="532"/>
      <c r="J131" s="580"/>
      <c r="K131" s="580"/>
      <c r="L131" s="39"/>
      <c r="M131" s="39"/>
      <c r="N131" s="39"/>
      <c r="O131" s="39"/>
      <c r="P131" s="39"/>
    </row>
    <row r="132" spans="1:16" ht="16.5" customHeight="1">
      <c r="A132" s="39"/>
      <c r="B132" s="39"/>
      <c r="C132" s="39"/>
      <c r="D132" s="39"/>
      <c r="E132" s="39"/>
      <c r="F132" s="39"/>
      <c r="G132" s="39"/>
      <c r="H132" s="530"/>
      <c r="I132" s="532"/>
      <c r="J132" s="580"/>
      <c r="K132" s="580"/>
      <c r="L132" s="39"/>
      <c r="M132" s="39"/>
      <c r="N132" s="39"/>
      <c r="O132" s="39"/>
      <c r="P132" s="39"/>
    </row>
    <row r="133" spans="1:16" ht="16.5" customHeight="1">
      <c r="A133" s="39"/>
      <c r="B133" s="39"/>
      <c r="C133" s="39"/>
      <c r="D133" s="39"/>
      <c r="E133" s="39"/>
      <c r="F133" s="39"/>
      <c r="G133" s="39"/>
      <c r="H133" s="530"/>
      <c r="I133" s="532"/>
      <c r="J133" s="580"/>
      <c r="K133" s="580"/>
      <c r="L133" s="39"/>
      <c r="M133" s="39"/>
      <c r="N133" s="39"/>
      <c r="O133" s="39"/>
      <c r="P133" s="39"/>
    </row>
    <row r="134" spans="1:16" ht="16.5" customHeight="1">
      <c r="A134" s="566" t="str">
        <f>INDEX(Helper!$N$347:$N$351,MATCH(Home!$O$1,Helper!$A$347:$A$351,0))</f>
        <v>percent or (</v>
      </c>
      <c r="B134" s="566"/>
      <c r="C134" s="566"/>
      <c r="D134" s="566"/>
      <c r="E134" s="566"/>
      <c r="F134" s="566"/>
      <c r="G134" s="566"/>
      <c r="H134" s="530"/>
      <c r="I134" s="532"/>
      <c r="J134" s="580"/>
      <c r="K134" s="580"/>
      <c r="L134" s="39"/>
      <c r="M134" s="39"/>
      <c r="N134" s="39"/>
      <c r="O134" s="39"/>
      <c r="P134" s="39"/>
    </row>
    <row r="135" spans="1:16" ht="15.75" customHeight="1">
      <c r="A135" s="566"/>
      <c r="B135" s="566"/>
      <c r="C135" s="566"/>
      <c r="D135" s="566"/>
      <c r="E135" s="566"/>
      <c r="F135" s="566"/>
      <c r="G135" s="566"/>
      <c r="H135" s="530"/>
      <c r="I135" s="532"/>
      <c r="J135" s="580"/>
      <c r="K135" s="580"/>
      <c r="L135" s="39"/>
      <c r="M135" s="39"/>
      <c r="N135" s="39"/>
      <c r="O135" s="39"/>
      <c r="P135" s="39"/>
    </row>
    <row r="136" spans="1:16" ht="15.75" customHeight="1">
      <c r="A136" s="566"/>
      <c r="B136" s="566"/>
      <c r="C136" s="566"/>
      <c r="D136" s="566"/>
      <c r="E136" s="566"/>
      <c r="F136" s="566"/>
      <c r="G136" s="566"/>
      <c r="H136" s="530"/>
      <c r="I136" s="532"/>
      <c r="J136" s="580"/>
      <c r="K136" s="580"/>
      <c r="L136" s="39"/>
      <c r="M136" s="39"/>
      <c r="N136" s="39"/>
      <c r="O136" s="39"/>
      <c r="P136" s="39"/>
    </row>
    <row r="137" spans="1:16" ht="15.75" customHeight="1">
      <c r="A137" s="566"/>
      <c r="B137" s="566"/>
      <c r="C137" s="566"/>
      <c r="D137" s="566"/>
      <c r="E137" s="566"/>
      <c r="F137" s="566"/>
      <c r="G137" s="566"/>
      <c r="H137" s="530"/>
      <c r="I137" s="532"/>
      <c r="J137" s="580"/>
      <c r="K137" s="580"/>
      <c r="L137" s="39"/>
      <c r="M137" s="39"/>
      <c r="N137" s="39"/>
      <c r="O137" s="39"/>
      <c r="P137" s="39"/>
    </row>
    <row r="138" spans="1:16" ht="15.75" customHeight="1">
      <c r="A138" s="566"/>
      <c r="B138" s="566"/>
      <c r="C138" s="566"/>
      <c r="D138" s="566"/>
      <c r="E138" s="566"/>
      <c r="F138" s="566"/>
      <c r="G138" s="566"/>
      <c r="H138" s="530"/>
      <c r="I138" s="532"/>
      <c r="J138" s="580"/>
      <c r="K138" s="580"/>
      <c r="L138" s="39"/>
      <c r="M138" s="39"/>
      <c r="N138" s="39"/>
      <c r="O138" s="39"/>
      <c r="P138" s="39"/>
    </row>
    <row r="139" spans="1:16" ht="15.75" customHeight="1">
      <c r="A139" s="566"/>
      <c r="B139" s="566"/>
      <c r="C139" s="566"/>
      <c r="D139" s="566"/>
      <c r="E139" s="566"/>
      <c r="F139" s="566"/>
      <c r="G139" s="566"/>
      <c r="H139" s="530"/>
      <c r="I139" s="532"/>
      <c r="J139" s="580"/>
      <c r="K139" s="580"/>
      <c r="L139" s="39"/>
      <c r="M139" s="39"/>
      <c r="N139" s="39"/>
      <c r="O139" s="39"/>
      <c r="P139" s="39"/>
    </row>
    <row r="140" spans="1:16" ht="15.75" customHeight="1">
      <c r="A140" s="39"/>
      <c r="B140" s="39"/>
      <c r="C140" s="39"/>
      <c r="D140" s="39"/>
      <c r="E140" s="39"/>
      <c r="F140" s="39"/>
      <c r="G140" s="39"/>
      <c r="H140" s="576"/>
      <c r="I140" s="578"/>
      <c r="J140" s="39"/>
      <c r="K140" s="39"/>
      <c r="L140" s="39"/>
      <c r="M140" s="39"/>
      <c r="N140" s="39"/>
      <c r="O140" s="39"/>
      <c r="P140" s="39"/>
    </row>
    <row r="141" spans="1:16" ht="15.75" customHeight="1">
      <c r="A141" s="39"/>
      <c r="B141" s="39"/>
      <c r="C141" s="39"/>
      <c r="D141" s="39"/>
      <c r="E141" s="39"/>
      <c r="F141" s="39"/>
      <c r="G141" s="39"/>
      <c r="H141" s="577"/>
      <c r="I141" s="579"/>
      <c r="J141" s="39"/>
      <c r="K141" s="39"/>
      <c r="L141" s="39"/>
      <c r="M141" s="39"/>
      <c r="N141" s="39"/>
      <c r="O141" s="39"/>
      <c r="P141" s="39"/>
    </row>
    <row r="142" spans="1:16" ht="15.75" customHeight="1">
      <c r="A142" s="39"/>
      <c r="B142" s="39"/>
      <c r="C142" s="39"/>
      <c r="D142" s="39"/>
      <c r="E142" s="39"/>
      <c r="F142" s="39"/>
      <c r="G142" s="39"/>
      <c r="H142" s="577"/>
      <c r="I142" s="579"/>
      <c r="J142" s="39"/>
      <c r="K142" s="39"/>
      <c r="L142" s="39"/>
      <c r="M142" s="39"/>
      <c r="N142" s="39"/>
      <c r="O142" s="39"/>
      <c r="P142" s="39"/>
    </row>
    <row r="143" spans="1:16" ht="15.75" customHeight="1">
      <c r="A143" s="39"/>
      <c r="B143" s="39"/>
      <c r="C143" s="39"/>
      <c r="D143" s="39"/>
      <c r="E143" s="39"/>
      <c r="F143" s="39"/>
      <c r="G143" s="39"/>
      <c r="H143" s="577"/>
      <c r="I143" s="579"/>
      <c r="J143" s="39"/>
      <c r="K143" s="39"/>
      <c r="L143" s="39"/>
      <c r="M143" s="39"/>
      <c r="N143" s="39"/>
      <c r="O143" s="39"/>
      <c r="P143" s="39"/>
    </row>
    <row r="144" spans="1:16" ht="16.5" customHeight="1">
      <c r="A144" s="39"/>
      <c r="B144" s="39"/>
      <c r="C144" s="39"/>
      <c r="D144" s="39"/>
      <c r="E144" s="39"/>
      <c r="F144" s="39"/>
      <c r="G144" s="39"/>
      <c r="H144" s="577"/>
      <c r="I144" s="579"/>
      <c r="J144" s="562" t="str">
        <f>IF(Data!C5="","",Data!C5)</f>
        <v>MERIDA VOCATIONAL SCHOOL</v>
      </c>
      <c r="K144" s="562"/>
      <c r="L144" s="562"/>
      <c r="M144" s="562"/>
      <c r="N144" s="562"/>
      <c r="O144" s="562"/>
      <c r="P144" s="39"/>
    </row>
    <row r="145" spans="1:16" ht="16.5" customHeight="1">
      <c r="A145" s="39"/>
      <c r="B145" s="39"/>
      <c r="C145" s="39"/>
      <c r="D145" s="39"/>
      <c r="E145" s="39"/>
      <c r="F145" s="39"/>
      <c r="G145" s="39"/>
      <c r="H145" s="577"/>
      <c r="I145" s="579"/>
      <c r="J145" s="562"/>
      <c r="K145" s="562"/>
      <c r="L145" s="562"/>
      <c r="M145" s="562"/>
      <c r="N145" s="562"/>
      <c r="O145" s="562"/>
      <c r="P145" s="39"/>
    </row>
    <row r="146" spans="1:16" ht="16.5" customHeight="1">
      <c r="A146" s="39"/>
      <c r="B146" s="39"/>
      <c r="C146" s="39"/>
      <c r="D146" s="39"/>
      <c r="E146" s="39"/>
      <c r="F146" s="39"/>
      <c r="G146" s="39"/>
      <c r="H146" s="577"/>
      <c r="I146" s="579"/>
      <c r="J146" s="563" t="str">
        <f>IF(Data!C7="","",Data!C7)</f>
        <v>Poblacion, Merida, Leyte</v>
      </c>
      <c r="K146" s="563"/>
      <c r="L146" s="563"/>
      <c r="M146" s="563"/>
      <c r="N146" s="563"/>
      <c r="O146" s="563"/>
      <c r="P146" s="39"/>
    </row>
    <row r="147" spans="1:16" ht="16.5" customHeight="1">
      <c r="A147" s="39"/>
      <c r="B147" s="39"/>
      <c r="C147" s="39"/>
      <c r="D147" s="39"/>
      <c r="E147" s="39"/>
      <c r="F147" s="39"/>
      <c r="G147" s="39"/>
      <c r="H147" s="577"/>
      <c r="I147" s="579"/>
      <c r="J147" s="563"/>
      <c r="K147" s="563"/>
      <c r="L147" s="563"/>
      <c r="M147" s="563"/>
      <c r="N147" s="563"/>
      <c r="O147" s="563"/>
      <c r="P147" s="39"/>
    </row>
    <row r="148" spans="1:16" ht="16.5" customHeight="1">
      <c r="A148" s="39"/>
      <c r="B148" s="39"/>
      <c r="C148" s="39"/>
      <c r="D148" s="39"/>
      <c r="E148" s="39"/>
      <c r="F148" s="39"/>
      <c r="G148" s="39"/>
      <c r="H148" s="577"/>
      <c r="I148" s="579"/>
      <c r="J148" s="564" t="str">
        <f>IF(Data!C6="","",CONCATENATE(Data!A6,Data!C6))</f>
        <v>School ID:303408</v>
      </c>
      <c r="K148" s="564"/>
      <c r="L148" s="564"/>
      <c r="M148" s="564"/>
      <c r="N148" s="564"/>
      <c r="O148" s="564"/>
      <c r="P148" s="39"/>
    </row>
    <row r="149" spans="1:16" ht="15.75" customHeight="1">
      <c r="A149" s="39"/>
      <c r="B149" s="39"/>
      <c r="C149" s="39"/>
      <c r="D149" s="39"/>
      <c r="E149" s="39"/>
      <c r="F149" s="39"/>
      <c r="G149" s="39"/>
      <c r="H149" s="577"/>
      <c r="I149" s="579"/>
      <c r="J149" s="564"/>
      <c r="K149" s="564"/>
      <c r="L149" s="564"/>
      <c r="M149" s="564"/>
      <c r="N149" s="564"/>
      <c r="O149" s="564"/>
      <c r="P149" s="39"/>
    </row>
    <row r="150" spans="1:16" ht="15.75" customHeight="1">
      <c r="A150" s="39"/>
      <c r="B150" s="39"/>
      <c r="C150" s="39"/>
      <c r="D150" s="39"/>
      <c r="E150" s="39"/>
      <c r="F150" s="39"/>
      <c r="G150" s="39"/>
      <c r="H150" s="577"/>
      <c r="I150" s="579"/>
      <c r="J150" s="470" t="str">
        <f>IF(Data!H6="","",Data!H6)</f>
        <v>Junior High School (w/ SHS)</v>
      </c>
      <c r="K150" s="470"/>
      <c r="L150" s="470"/>
      <c r="M150" s="470"/>
      <c r="N150" s="470"/>
      <c r="O150" s="470"/>
      <c r="P150" s="39"/>
    </row>
    <row r="151" spans="1:16" ht="15.75" customHeight="1">
      <c r="A151" s="39"/>
      <c r="B151" s="39"/>
      <c r="C151" s="39"/>
      <c r="D151" s="39"/>
      <c r="E151" s="39"/>
      <c r="F151" s="39"/>
      <c r="G151" s="39"/>
      <c r="H151" s="577"/>
      <c r="I151" s="579"/>
      <c r="J151" s="470" t="str">
        <f>IF(SRC!C27="","",SRC!C27)</f>
        <v>S.Y. 2018-2019</v>
      </c>
      <c r="K151" s="470"/>
      <c r="L151" s="470"/>
      <c r="M151" s="470"/>
      <c r="N151" s="470"/>
      <c r="O151" s="470"/>
      <c r="P151" s="39"/>
    </row>
    <row r="152" spans="1:16" ht="15.75" customHeight="1">
      <c r="A152" s="39"/>
      <c r="B152" s="39"/>
      <c r="C152" s="39"/>
      <c r="D152" s="39"/>
      <c r="E152" s="39"/>
      <c r="F152" s="39"/>
      <c r="G152" s="39"/>
      <c r="H152" s="577"/>
      <c r="I152" s="579"/>
      <c r="J152" s="39"/>
      <c r="K152" s="39"/>
      <c r="L152" s="39"/>
      <c r="M152" s="39"/>
      <c r="N152" s="39"/>
      <c r="O152" s="39"/>
      <c r="P152" s="39"/>
    </row>
    <row r="153" spans="1:16" ht="15.75" customHeight="1">
      <c r="A153" s="39"/>
      <c r="B153" s="39"/>
      <c r="C153" s="39"/>
      <c r="D153" s="39"/>
      <c r="E153" s="39"/>
      <c r="F153" s="39"/>
      <c r="G153" s="39"/>
      <c r="H153" s="577"/>
      <c r="I153" s="579"/>
      <c r="J153" s="39"/>
      <c r="K153" s="39"/>
      <c r="L153" s="39"/>
      <c r="M153" s="39"/>
      <c r="N153" s="39"/>
      <c r="O153" s="39"/>
      <c r="P153" s="39"/>
    </row>
    <row r="154" spans="1:16" ht="15.75" customHeight="1">
      <c r="A154" s="39"/>
      <c r="B154" s="39"/>
      <c r="C154" s="39"/>
      <c r="D154" s="39"/>
      <c r="E154" s="39"/>
      <c r="F154" s="39"/>
      <c r="G154" s="39"/>
      <c r="H154" s="577"/>
      <c r="I154" s="579"/>
      <c r="J154" s="39"/>
      <c r="K154" s="39"/>
      <c r="L154" s="39"/>
      <c r="M154" s="39"/>
      <c r="N154" s="39"/>
      <c r="O154" s="39"/>
      <c r="P154" s="39"/>
    </row>
    <row r="155" spans="1:16" ht="15.75" customHeight="1">
      <c r="A155" s="39"/>
      <c r="B155" s="39"/>
      <c r="C155" s="39"/>
      <c r="D155" s="39"/>
      <c r="E155" s="39"/>
      <c r="F155" s="39"/>
      <c r="G155" s="39"/>
      <c r="H155" s="577"/>
      <c r="I155" s="579"/>
      <c r="J155" s="39"/>
      <c r="K155" s="39"/>
      <c r="L155" s="39"/>
      <c r="M155" s="39"/>
      <c r="N155" s="39"/>
      <c r="O155" s="39"/>
      <c r="P155" s="39"/>
    </row>
    <row r="156" spans="1:16" ht="15.75" customHeight="1">
      <c r="A156" s="39"/>
      <c r="B156" s="39"/>
      <c r="C156" s="39"/>
      <c r="D156" s="39"/>
      <c r="E156" s="39"/>
      <c r="F156" s="39"/>
      <c r="G156" s="39"/>
      <c r="H156" s="577"/>
      <c r="I156" s="579"/>
      <c r="J156" s="39"/>
      <c r="K156" s="39"/>
      <c r="L156" s="39"/>
      <c r="M156" s="39"/>
      <c r="N156" s="39"/>
      <c r="O156" s="39"/>
      <c r="P156" s="39"/>
    </row>
    <row r="157" spans="1:16" ht="15.75" customHeight="1">
      <c r="A157" s="39"/>
      <c r="B157" s="39"/>
      <c r="C157" s="39"/>
      <c r="D157" s="39"/>
      <c r="E157" s="39"/>
      <c r="F157" s="39"/>
      <c r="G157" s="39"/>
      <c r="H157" s="577"/>
      <c r="I157" s="579"/>
      <c r="J157" s="39"/>
      <c r="K157" s="39"/>
      <c r="L157" s="39"/>
      <c r="M157" s="39"/>
      <c r="N157" s="39"/>
      <c r="O157" s="39"/>
      <c r="P157" s="39"/>
    </row>
    <row r="158" spans="1:16" ht="15.75" customHeight="1">
      <c r="A158" s="39"/>
      <c r="B158" s="39"/>
      <c r="C158" s="39"/>
      <c r="D158" s="39"/>
      <c r="E158" s="39"/>
      <c r="F158" s="39"/>
      <c r="G158" s="39"/>
      <c r="H158" s="577"/>
      <c r="I158" s="579"/>
      <c r="J158" s="39"/>
      <c r="K158" s="39"/>
      <c r="L158" s="39"/>
      <c r="M158" s="39"/>
      <c r="N158" s="39"/>
      <c r="O158" s="39"/>
      <c r="P158" s="39"/>
    </row>
    <row r="159" spans="1:16" ht="15.75" customHeight="1">
      <c r="A159" s="39"/>
      <c r="B159" s="39"/>
      <c r="C159" s="39"/>
      <c r="D159" s="39"/>
      <c r="E159" s="39"/>
      <c r="F159" s="39"/>
      <c r="G159" s="39"/>
      <c r="H159" s="577"/>
      <c r="I159" s="579"/>
      <c r="J159" s="39"/>
      <c r="K159" s="39"/>
      <c r="L159" s="39"/>
      <c r="M159" s="39"/>
      <c r="N159" s="39"/>
      <c r="O159" s="39"/>
      <c r="P159" s="39"/>
    </row>
    <row r="160" spans="1:16" ht="15.75" customHeight="1">
      <c r="A160" s="39"/>
      <c r="B160" s="39"/>
      <c r="C160" s="39"/>
      <c r="D160" s="39"/>
      <c r="E160" s="39"/>
      <c r="F160" s="39"/>
      <c r="G160" s="39"/>
      <c r="H160" s="577"/>
      <c r="I160" s="579"/>
      <c r="J160" s="39"/>
      <c r="K160" s="39"/>
      <c r="L160" s="39"/>
      <c r="M160" s="39"/>
      <c r="N160" s="39"/>
      <c r="O160" s="39"/>
      <c r="P160" s="39"/>
    </row>
    <row r="161" spans="1:16" ht="15.75" customHeight="1">
      <c r="A161" s="39"/>
      <c r="B161" s="39"/>
      <c r="C161" s="39"/>
      <c r="D161" s="39"/>
      <c r="E161" s="39"/>
      <c r="F161" s="39"/>
      <c r="G161" s="39"/>
      <c r="H161" s="577"/>
      <c r="I161" s="579"/>
      <c r="J161" s="39"/>
      <c r="K161" s="39"/>
      <c r="L161" s="39"/>
      <c r="M161" s="39"/>
      <c r="N161" s="39"/>
      <c r="O161" s="39"/>
      <c r="P161" s="39"/>
    </row>
    <row r="162" spans="1:16" ht="15.75" customHeight="1">
      <c r="A162" s="39"/>
      <c r="B162" s="39"/>
      <c r="C162" s="39"/>
      <c r="D162" s="39"/>
      <c r="E162" s="39"/>
      <c r="F162" s="39"/>
      <c r="G162" s="39"/>
      <c r="H162" s="577"/>
      <c r="I162" s="579"/>
      <c r="J162" s="39"/>
      <c r="K162" s="39"/>
      <c r="L162" s="39"/>
      <c r="M162" s="39"/>
      <c r="N162" s="39"/>
      <c r="O162" s="39"/>
      <c r="P162" s="39"/>
    </row>
    <row r="163" spans="1:16" ht="15.75" customHeight="1">
      <c r="A163" s="39"/>
      <c r="B163" s="39"/>
      <c r="C163" s="39"/>
      <c r="D163" s="39"/>
      <c r="E163" s="39"/>
      <c r="F163" s="39"/>
      <c r="G163" s="39"/>
      <c r="H163" s="577"/>
      <c r="I163" s="579"/>
      <c r="J163" s="39"/>
      <c r="K163" s="39"/>
      <c r="L163" s="39"/>
      <c r="M163" s="39"/>
      <c r="N163" s="39"/>
      <c r="O163" s="39"/>
      <c r="P163" s="39"/>
    </row>
    <row r="164" spans="1:16" ht="15.75" customHeight="1">
      <c r="A164" s="547" t="str">
        <f>IF(Data!P11="","",UPPER(Data!P11))</f>
        <v>JUNRIL S. OBEDA</v>
      </c>
      <c r="B164" s="547"/>
      <c r="C164" s="547"/>
      <c r="D164" s="150"/>
      <c r="E164" s="547" t="str">
        <f>IF(Data!P10="","",UPPER(Data!P10))</f>
        <v>DIVINA B. SANCHEZ</v>
      </c>
      <c r="F164" s="547"/>
      <c r="G164" s="547"/>
      <c r="H164" s="577"/>
      <c r="I164" s="579"/>
      <c r="J164" s="39"/>
      <c r="K164" s="39"/>
      <c r="L164" s="39"/>
      <c r="M164" s="39"/>
      <c r="N164" s="39"/>
      <c r="O164" s="39"/>
      <c r="P164" s="39"/>
    </row>
    <row r="165" spans="1:16" ht="15.75" customHeight="1">
      <c r="A165" s="548" t="str">
        <f>Data!M11</f>
        <v>Student Representative</v>
      </c>
      <c r="B165" s="548"/>
      <c r="C165" s="548"/>
      <c r="D165" s="150"/>
      <c r="E165" s="548" t="str">
        <f>Data!M10</f>
        <v>Teacher Representative</v>
      </c>
      <c r="F165" s="548"/>
      <c r="G165" s="548"/>
      <c r="H165" s="577"/>
      <c r="I165" s="579"/>
      <c r="J165" s="39"/>
      <c r="K165" s="39"/>
      <c r="L165" s="39"/>
      <c r="M165" s="39"/>
      <c r="N165" s="39"/>
      <c r="O165" s="39"/>
      <c r="P165" s="39"/>
    </row>
    <row r="166" spans="1:16" ht="15.75" customHeight="1">
      <c r="A166" s="129"/>
      <c r="B166" s="129"/>
      <c r="C166" s="129"/>
      <c r="D166" s="129"/>
      <c r="E166" s="129"/>
      <c r="F166" s="129"/>
      <c r="G166" s="129"/>
      <c r="H166" s="577"/>
      <c r="I166" s="579"/>
      <c r="J166" s="39"/>
      <c r="K166" s="39"/>
      <c r="L166" s="39"/>
      <c r="M166" s="39"/>
      <c r="N166" s="39"/>
      <c r="O166" s="39"/>
      <c r="P166" s="39"/>
    </row>
    <row r="167" spans="1:16" ht="15.75" customHeight="1">
      <c r="A167" s="129"/>
      <c r="B167" s="129"/>
      <c r="C167" s="129"/>
      <c r="D167" s="129"/>
      <c r="E167" s="129"/>
      <c r="F167" s="129"/>
      <c r="G167" s="129"/>
      <c r="H167" s="577"/>
      <c r="I167" s="579"/>
      <c r="J167" s="39"/>
      <c r="K167" s="39"/>
      <c r="L167" s="39"/>
      <c r="M167" s="39"/>
      <c r="N167" s="39"/>
      <c r="O167" s="39"/>
      <c r="P167" s="39"/>
    </row>
    <row r="168" spans="1:16" ht="15.75" customHeight="1">
      <c r="A168" s="547" t="str">
        <f>IF(Data!P9="","",UPPER(Data!P9))</f>
        <v>LIDA L. CABARDO</v>
      </c>
      <c r="B168" s="547"/>
      <c r="C168" s="547"/>
      <c r="D168" s="150"/>
      <c r="E168" s="547" t="str">
        <f>IF(Data!P8="","",UPPER(Data!P8))</f>
        <v>RAUL G. ITCHON</v>
      </c>
      <c r="F168" s="547"/>
      <c r="G168" s="547"/>
      <c r="H168" s="577"/>
      <c r="I168" s="579"/>
      <c r="J168" s="39"/>
      <c r="K168" s="39"/>
      <c r="L168" s="39"/>
      <c r="M168" s="39"/>
      <c r="N168" s="39"/>
      <c r="O168" s="39"/>
      <c r="P168" s="39"/>
    </row>
    <row r="169" spans="1:16" ht="15.75" customHeight="1">
      <c r="A169" s="548" t="str">
        <f>Data!M9</f>
        <v>PTA President</v>
      </c>
      <c r="B169" s="548"/>
      <c r="C169" s="548"/>
      <c r="D169" s="150"/>
      <c r="E169" s="548" t="str">
        <f>Data!M8</f>
        <v>SGC Chair</v>
      </c>
      <c r="F169" s="548"/>
      <c r="G169" s="548"/>
      <c r="H169" s="577"/>
      <c r="I169" s="579"/>
      <c r="J169" s="39"/>
      <c r="K169" s="39"/>
      <c r="L169" s="39"/>
      <c r="M169" s="39"/>
      <c r="N169" s="39"/>
      <c r="O169" s="39"/>
      <c r="P169" s="39"/>
    </row>
    <row r="170" spans="1:16" ht="15.75" customHeight="1">
      <c r="A170" s="39"/>
      <c r="B170" s="39"/>
      <c r="C170" s="39"/>
      <c r="D170" s="39"/>
      <c r="E170" s="39"/>
      <c r="F170" s="39"/>
      <c r="G170" s="39"/>
      <c r="H170" s="577"/>
      <c r="I170" s="579"/>
      <c r="J170" s="39"/>
      <c r="K170" s="39"/>
      <c r="L170" s="39"/>
      <c r="M170" s="39"/>
      <c r="N170" s="39"/>
      <c r="O170" s="39"/>
      <c r="P170" s="39"/>
    </row>
    <row r="171" spans="1:16" ht="15.75" customHeight="1">
      <c r="A171" s="39"/>
      <c r="B171" s="39"/>
      <c r="C171" s="39"/>
      <c r="D171" s="39"/>
      <c r="E171" s="39"/>
      <c r="F171" s="39"/>
      <c r="G171" s="39"/>
      <c r="H171" s="577"/>
      <c r="I171" s="579"/>
      <c r="J171" s="39"/>
      <c r="K171" s="39"/>
      <c r="L171" s="39"/>
      <c r="M171" s="39"/>
      <c r="N171" s="39"/>
      <c r="O171" s="39"/>
      <c r="P171" s="39"/>
    </row>
    <row r="172" spans="1:16" ht="15.75" customHeight="1">
      <c r="A172" s="129"/>
      <c r="B172" s="129"/>
      <c r="C172" s="547" t="str">
        <f>IF(Data!P7="","",UPPER(Data!P7))</f>
        <v>FRANCISCO B. LATORRE</v>
      </c>
      <c r="D172" s="547"/>
      <c r="E172" s="547"/>
      <c r="F172" s="129"/>
      <c r="G172" s="129"/>
      <c r="H172" s="577"/>
      <c r="I172" s="579"/>
      <c r="J172" s="39"/>
      <c r="K172" s="39"/>
      <c r="L172" s="39"/>
      <c r="M172" s="39"/>
      <c r="N172" s="39"/>
      <c r="O172" s="39"/>
      <c r="P172" s="39"/>
    </row>
    <row r="173" spans="1:16" ht="15.75" customHeight="1">
      <c r="A173" s="129"/>
      <c r="B173" s="129"/>
      <c r="C173" s="548" t="str">
        <f>Data!M7</f>
        <v>School Head</v>
      </c>
      <c r="D173" s="548"/>
      <c r="E173" s="548"/>
      <c r="F173" s="129"/>
      <c r="G173" s="129"/>
      <c r="H173" s="577"/>
      <c r="I173" s="579"/>
      <c r="J173" s="39"/>
      <c r="K173" s="39"/>
      <c r="L173" s="39"/>
      <c r="M173" s="39"/>
      <c r="N173" s="39"/>
      <c r="O173" s="39"/>
      <c r="P173" s="39"/>
    </row>
    <row r="174" spans="1:16" ht="15.75" customHeight="1">
      <c r="A174" s="549" t="s">
        <v>813</v>
      </c>
      <c r="B174" s="549"/>
      <c r="C174" s="549"/>
      <c r="D174" s="549"/>
      <c r="E174" s="549"/>
      <c r="F174" s="549"/>
      <c r="G174" s="549"/>
      <c r="H174" s="529" t="s">
        <v>815</v>
      </c>
      <c r="I174" s="531" t="s">
        <v>725</v>
      </c>
      <c r="J174" s="39"/>
      <c r="K174" s="39"/>
      <c r="L174" s="39"/>
      <c r="M174" s="39"/>
      <c r="N174" s="39"/>
      <c r="O174" s="39"/>
      <c r="P174" s="39"/>
    </row>
    <row r="175" spans="1:16" ht="15.75" customHeight="1">
      <c r="A175" s="550" t="s">
        <v>248</v>
      </c>
      <c r="B175" s="555" t="s">
        <v>249</v>
      </c>
      <c r="C175" s="556"/>
      <c r="D175" s="557"/>
      <c r="E175" s="463" t="s">
        <v>823</v>
      </c>
      <c r="F175" s="463"/>
      <c r="G175" s="552" t="s">
        <v>734</v>
      </c>
      <c r="H175" s="530"/>
      <c r="I175" s="532"/>
      <c r="J175" s="39"/>
      <c r="K175" s="39"/>
      <c r="L175" s="39"/>
      <c r="M175" s="39"/>
      <c r="N175" s="39"/>
      <c r="O175" s="39"/>
      <c r="P175" s="39"/>
    </row>
    <row r="176" spans="1:16" ht="15.75" customHeight="1">
      <c r="A176" s="551"/>
      <c r="B176" s="558"/>
      <c r="C176" s="559"/>
      <c r="D176" s="560"/>
      <c r="E176" s="296" t="s">
        <v>825</v>
      </c>
      <c r="F176" s="296" t="s">
        <v>824</v>
      </c>
      <c r="G176" s="553"/>
      <c r="H176" s="530"/>
      <c r="I176" s="532"/>
      <c r="J176" s="39"/>
      <c r="K176" s="39"/>
      <c r="L176" s="39"/>
      <c r="M176" s="39"/>
      <c r="N176" s="39"/>
      <c r="O176" s="39"/>
      <c r="P176" s="39"/>
    </row>
    <row r="177" spans="1:16" ht="15.75" customHeight="1">
      <c r="A177" s="128" t="str">
        <f>IF(Data!$A$383="","",Data!$A$383)</f>
        <v>SCHOOL</v>
      </c>
      <c r="B177" s="528" t="str">
        <f>IF(Data!$B$383="","",Data!$B$383)</f>
        <v>ENROLMENT</v>
      </c>
      <c r="C177" s="465"/>
      <c r="D177" s="466"/>
      <c r="E177" s="300">
        <f>IF(Data!$F$383="","",Data!$F$383)</f>
        <v>2000</v>
      </c>
      <c r="F177" s="301" t="str">
        <f>IF(Data!$G$383="","",Data!$G$383)</f>
        <v>MOOE</v>
      </c>
      <c r="G177" s="95" t="str">
        <f>IF(Data!$H$383="","",Data!$H$383)</f>
        <v>Completed</v>
      </c>
      <c r="H177" s="530"/>
      <c r="I177" s="532"/>
      <c r="J177" s="39"/>
      <c r="K177" s="39"/>
      <c r="L177" s="39"/>
      <c r="M177" s="39"/>
      <c r="N177" s="39"/>
      <c r="O177" s="39"/>
      <c r="P177" s="39"/>
    </row>
    <row r="178" spans="1:16" ht="15.75" customHeight="1">
      <c r="A178" s="128" t="str">
        <f>IF(Data!A384="","",Data!A384)</f>
        <v>PTA</v>
      </c>
      <c r="B178" s="528" t="str">
        <f>IF(Data!C384="","",Data!C384)</f>
        <v/>
      </c>
      <c r="C178" s="465"/>
      <c r="D178" s="466" t="str">
        <f>IF(Data!E384="","",Data!E384)</f>
        <v/>
      </c>
      <c r="E178" s="300">
        <f>IF(Data!F384="","",Data!F384)</f>
        <v>500</v>
      </c>
      <c r="F178" s="301" t="str">
        <f>IF(Data!G384="","",Data!G384)</f>
        <v>Others</v>
      </c>
      <c r="G178" s="95" t="str">
        <f>IF(Data!H384="","",Data!H384)</f>
        <v>Cancelled</v>
      </c>
      <c r="H178" s="530"/>
      <c r="I178" s="532"/>
      <c r="J178" s="39"/>
      <c r="K178" s="39"/>
      <c r="L178" s="39"/>
      <c r="M178" s="39"/>
      <c r="N178" s="39"/>
      <c r="O178" s="39"/>
      <c r="P178" s="39"/>
    </row>
    <row r="179" spans="1:16" ht="15.75" customHeight="1">
      <c r="A179" s="128" t="str">
        <f>IF(Data!A385="","",Data!A385)</f>
        <v>SCHOOL</v>
      </c>
      <c r="B179" s="528" t="str">
        <f>IF(Data!C385="","",Data!C385)</f>
        <v/>
      </c>
      <c r="C179" s="465"/>
      <c r="D179" s="466" t="str">
        <f>IF(Data!E385="","",Data!E385)</f>
        <v/>
      </c>
      <c r="E179" s="300">
        <f>IF(Data!F385="","",Data!F385)</f>
        <v>10000</v>
      </c>
      <c r="F179" s="301" t="str">
        <f>IF(Data!G385="","",Data!G385)</f>
        <v>Others</v>
      </c>
      <c r="G179" s="95" t="str">
        <f>IF(Data!H385="","",Data!H385)</f>
        <v>Completed</v>
      </c>
      <c r="H179" s="530"/>
      <c r="I179" s="532"/>
      <c r="J179" s="39"/>
      <c r="K179" s="39"/>
      <c r="L179" s="39"/>
      <c r="M179" s="39"/>
      <c r="N179" s="39"/>
      <c r="O179" s="39"/>
      <c r="P179" s="39"/>
    </row>
    <row r="180" spans="1:16" ht="15.75" customHeight="1">
      <c r="A180" s="128" t="str">
        <f>IF(Data!A386="","",Data!A386)</f>
        <v>SCHOOL</v>
      </c>
      <c r="B180" s="528" t="str">
        <f>IF(Data!C386="","",Data!C386)</f>
        <v/>
      </c>
      <c r="C180" s="465"/>
      <c r="D180" s="466" t="str">
        <f>IF(Data!E386="","",Data!E386)</f>
        <v/>
      </c>
      <c r="E180" s="300">
        <f>IF(Data!F386="","",Data!F386)</f>
        <v>5000</v>
      </c>
      <c r="F180" s="301" t="str">
        <f>IF(Data!G386="","",Data!G386)</f>
        <v>MOOE</v>
      </c>
      <c r="G180" s="95" t="str">
        <f>IF(Data!H386="","",Data!H386)</f>
        <v>Ongoing</v>
      </c>
      <c r="H180" s="530"/>
      <c r="I180" s="532"/>
      <c r="J180" s="39"/>
      <c r="K180" s="39"/>
      <c r="L180" s="39"/>
      <c r="M180" s="39"/>
      <c r="N180" s="39"/>
      <c r="O180" s="39"/>
      <c r="P180" s="39"/>
    </row>
    <row r="181" spans="1:16" ht="15.75" customHeight="1">
      <c r="A181" s="128" t="str">
        <f>IF(Data!A387="","",Data!A387)</f>
        <v>SCHOOL</v>
      </c>
      <c r="B181" s="528" t="str">
        <f>IF(Data!C387="","",Data!C387)</f>
        <v/>
      </c>
      <c r="C181" s="465"/>
      <c r="D181" s="466" t="str">
        <f>IF(Data!E387="","",Data!E387)</f>
        <v/>
      </c>
      <c r="E181" s="300">
        <f>IF(Data!F387="","",Data!F387)</f>
        <v>50000</v>
      </c>
      <c r="F181" s="301" t="str">
        <f>IF(Data!G387="","",Data!G387)</f>
        <v>MOOE</v>
      </c>
      <c r="G181" s="95" t="str">
        <f>IF(Data!H387="","",Data!H387)</f>
        <v>Ongoing</v>
      </c>
      <c r="H181" s="530"/>
      <c r="I181" s="532"/>
      <c r="J181" s="39"/>
      <c r="K181" s="39"/>
      <c r="L181" s="39"/>
      <c r="M181" s="39"/>
      <c r="N181" s="39"/>
      <c r="O181" s="39"/>
      <c r="P181" s="39"/>
    </row>
    <row r="182" spans="1:16" ht="15.75" customHeight="1">
      <c r="A182" s="128" t="str">
        <f>IF(Data!A388="","",Data!A388)</f>
        <v>SCHOOL</v>
      </c>
      <c r="B182" s="528" t="str">
        <f>IF(Data!C388="","",Data!C388)</f>
        <v/>
      </c>
      <c r="C182" s="465"/>
      <c r="D182" s="466" t="str">
        <f>IF(Data!E388="","",Data!E388)</f>
        <v/>
      </c>
      <c r="E182" s="300">
        <f>IF(Data!F388="","",Data!F388)</f>
        <v>12500</v>
      </c>
      <c r="F182" s="301" t="str">
        <f>IF(Data!G388="","",Data!G388)</f>
        <v>Others</v>
      </c>
      <c r="G182" s="95" t="str">
        <f>IF(Data!H388="","",Data!H388)</f>
        <v>Ongoing</v>
      </c>
      <c r="H182" s="530"/>
      <c r="I182" s="532"/>
      <c r="J182" s="39"/>
      <c r="K182" s="39"/>
      <c r="L182" s="39"/>
      <c r="M182" s="39"/>
      <c r="N182" s="39"/>
      <c r="O182" s="39"/>
      <c r="P182" s="39"/>
    </row>
    <row r="183" spans="1:16" ht="15.75" customHeight="1">
      <c r="A183" s="128" t="str">
        <f>IF(Data!A389="","",Data!A389)</f>
        <v>SCHOOL</v>
      </c>
      <c r="B183" s="528" t="str">
        <f>IF(Data!C389="","",Data!C389)</f>
        <v/>
      </c>
      <c r="C183" s="465"/>
      <c r="D183" s="466" t="str">
        <f>IF(Data!E389="","",Data!E389)</f>
        <v/>
      </c>
      <c r="E183" s="300">
        <f>IF(Data!F389="","",Data!F389)</f>
        <v>2000</v>
      </c>
      <c r="F183" s="301" t="str">
        <f>IF(Data!G389="","",Data!G389)</f>
        <v>MOOE</v>
      </c>
      <c r="G183" s="95" t="str">
        <f>IF(Data!H389="","",Data!H389)</f>
        <v>Ongoing</v>
      </c>
      <c r="H183" s="530"/>
      <c r="I183" s="532"/>
      <c r="J183" s="39"/>
      <c r="K183" s="39"/>
      <c r="L183" s="39"/>
      <c r="M183" s="39"/>
      <c r="N183" s="39"/>
      <c r="O183" s="39"/>
      <c r="P183" s="39"/>
    </row>
    <row r="184" spans="1:16" ht="15.75" customHeight="1">
      <c r="A184" s="128" t="str">
        <f>IF(Data!A390="","",Data!A390)</f>
        <v>SCHOOL</v>
      </c>
      <c r="B184" s="528" t="str">
        <f>IF(Data!C390="","",Data!C390)</f>
        <v/>
      </c>
      <c r="C184" s="465"/>
      <c r="D184" s="466" t="str">
        <f>IF(Data!E390="","",Data!E390)</f>
        <v/>
      </c>
      <c r="E184" s="300">
        <f>IF(Data!F390="","",Data!F390)</f>
        <v>30000</v>
      </c>
      <c r="F184" s="301" t="str">
        <f>IF(Data!G390="","",Data!G390)</f>
        <v>Others</v>
      </c>
      <c r="G184" s="95" t="str">
        <f>IF(Data!H390="","",Data!H390)</f>
        <v>Ongoing</v>
      </c>
      <c r="H184" s="530"/>
      <c r="I184" s="532"/>
      <c r="J184" s="39"/>
      <c r="K184" s="39"/>
      <c r="L184" s="39"/>
      <c r="M184" s="39"/>
      <c r="N184" s="39"/>
      <c r="O184" s="39"/>
      <c r="P184" s="39"/>
    </row>
    <row r="185" spans="1:16" ht="15.75" customHeight="1">
      <c r="A185" s="128" t="str">
        <f>IF(Data!A391="","",Data!A391)</f>
        <v>SCHOOL</v>
      </c>
      <c r="B185" s="528" t="str">
        <f>IF(Data!C391="","",Data!C391)</f>
        <v/>
      </c>
      <c r="C185" s="465"/>
      <c r="D185" s="466" t="str">
        <f>IF(Data!E391="","",Data!E391)</f>
        <v/>
      </c>
      <c r="E185" s="300">
        <f>IF(Data!F391="","",Data!F391)</f>
        <v>3000</v>
      </c>
      <c r="F185" s="301" t="str">
        <f>IF(Data!G391="","",Data!G391)</f>
        <v>MOOE</v>
      </c>
      <c r="G185" s="95" t="str">
        <f>IF(Data!H391="","",Data!H391)</f>
        <v>Ongoing</v>
      </c>
      <c r="H185" s="530"/>
      <c r="I185" s="532"/>
      <c r="J185" s="39"/>
      <c r="K185" s="39"/>
      <c r="L185" s="39"/>
      <c r="M185" s="39"/>
      <c r="N185" s="39"/>
      <c r="O185" s="39"/>
      <c r="P185" s="39"/>
    </row>
    <row r="186" spans="1:16" ht="15.75" customHeight="1">
      <c r="A186" s="128" t="str">
        <f>IF(Data!A392="","",Data!A392)</f>
        <v>SCHOOL</v>
      </c>
      <c r="B186" s="528" t="str">
        <f>IF(Data!C392="","",Data!C392)</f>
        <v/>
      </c>
      <c r="C186" s="465"/>
      <c r="D186" s="466" t="str">
        <f>IF(Data!E392="","",Data!E392)</f>
        <v/>
      </c>
      <c r="E186" s="300" t="str">
        <f>IF(Data!F392="","",Data!F392)</f>
        <v/>
      </c>
      <c r="F186" s="301" t="str">
        <f>IF(Data!G392="","",Data!G392)</f>
        <v>Others</v>
      </c>
      <c r="G186" s="95" t="str">
        <f>IF(Data!H392="","",Data!H392)</f>
        <v>Ongoing</v>
      </c>
      <c r="H186" s="530"/>
      <c r="I186" s="532"/>
      <c r="J186" s="39"/>
      <c r="K186" s="39"/>
      <c r="L186" s="39"/>
      <c r="M186" s="39"/>
      <c r="N186" s="39"/>
      <c r="O186" s="39"/>
      <c r="P186" s="39"/>
    </row>
    <row r="187" spans="1:16" ht="15.75" customHeight="1">
      <c r="A187" s="128" t="str">
        <f>IF(Data!A393="","",Data!A393)</f>
        <v>SCHOOL</v>
      </c>
      <c r="B187" s="528" t="str">
        <f>IF(Data!C393="","",Data!C393)</f>
        <v/>
      </c>
      <c r="C187" s="465"/>
      <c r="D187" s="466" t="str">
        <f>IF(Data!E393="","",Data!E393)</f>
        <v/>
      </c>
      <c r="E187" s="300" t="str">
        <f>IF(Data!F393="","",Data!F393)</f>
        <v/>
      </c>
      <c r="F187" s="301" t="str">
        <f>IF(Data!G393="","",Data!G393)</f>
        <v>MOOE</v>
      </c>
      <c r="G187" s="95" t="str">
        <f>IF(Data!H393="","",Data!H393)</f>
        <v>Ongoing</v>
      </c>
      <c r="H187" s="530"/>
      <c r="I187" s="532"/>
      <c r="J187" s="39"/>
      <c r="K187" s="39"/>
      <c r="L187" s="39"/>
      <c r="M187" s="39"/>
      <c r="N187" s="39"/>
      <c r="O187" s="39"/>
      <c r="P187" s="39"/>
    </row>
    <row r="188" spans="1:16" ht="15.75" customHeight="1">
      <c r="A188" s="128" t="str">
        <f>IF(Data!A394="","",Data!A394)</f>
        <v>SCHOOL</v>
      </c>
      <c r="B188" s="528" t="str">
        <f>IF(Data!C394="","",Data!C394)</f>
        <v/>
      </c>
      <c r="C188" s="465"/>
      <c r="D188" s="466" t="str">
        <f>IF(Data!E394="","",Data!E394)</f>
        <v/>
      </c>
      <c r="E188" s="300" t="str">
        <f>IF(Data!F394="","",Data!F394)</f>
        <v/>
      </c>
      <c r="F188" s="301" t="str">
        <f>IF(Data!G394="","",Data!G394)</f>
        <v>MOOE</v>
      </c>
      <c r="G188" s="95" t="str">
        <f>IF(Data!H394="","",Data!H394)</f>
        <v>Proposed</v>
      </c>
      <c r="H188" s="530"/>
      <c r="I188" s="532"/>
      <c r="J188" s="39"/>
      <c r="K188" s="39"/>
      <c r="L188" s="39"/>
      <c r="M188" s="39"/>
      <c r="N188" s="39"/>
      <c r="O188" s="39"/>
      <c r="P188" s="39"/>
    </row>
    <row r="189" spans="1:16" ht="15.75" customHeight="1">
      <c r="A189" s="128" t="str">
        <f>IF(Data!A395="","",Data!A395)</f>
        <v>SCHOOL</v>
      </c>
      <c r="B189" s="528" t="str">
        <f>IF(Data!C395="","",Data!C395)</f>
        <v/>
      </c>
      <c r="C189" s="465"/>
      <c r="D189" s="466" t="str">
        <f>IF(Data!E395="","",Data!E395)</f>
        <v/>
      </c>
      <c r="E189" s="300" t="str">
        <f>IF(Data!F395="","",Data!F395)</f>
        <v/>
      </c>
      <c r="F189" s="301" t="str">
        <f>IF(Data!G395="","",Data!G395)</f>
        <v>MOOE</v>
      </c>
      <c r="G189" s="95" t="str">
        <f>IF(Data!H395="","",Data!H395)</f>
        <v>Ongoing</v>
      </c>
      <c r="H189" s="530"/>
      <c r="I189" s="532"/>
      <c r="J189" s="39"/>
      <c r="K189" s="39"/>
      <c r="L189" s="39"/>
      <c r="M189" s="39"/>
      <c r="N189" s="39"/>
      <c r="O189" s="39"/>
      <c r="P189" s="39"/>
    </row>
    <row r="190" spans="1:16" ht="15.75" customHeight="1">
      <c r="A190" s="128" t="str">
        <f>IF(Data!A396="","",Data!A396)</f>
        <v>SCHOOL</v>
      </c>
      <c r="B190" s="528" t="str">
        <f>IF(Data!C396="","",Data!C396)</f>
        <v/>
      </c>
      <c r="C190" s="465"/>
      <c r="D190" s="466" t="str">
        <f>IF(Data!E396="","",Data!E396)</f>
        <v/>
      </c>
      <c r="E190" s="300" t="str">
        <f>IF(Data!F396="","",Data!F396)</f>
        <v/>
      </c>
      <c r="F190" s="301" t="str">
        <f>IF(Data!G396="","",Data!G396)</f>
        <v>Donation</v>
      </c>
      <c r="G190" s="95" t="str">
        <f>IF(Data!H396="","",Data!H396)</f>
        <v>Ongoing</v>
      </c>
      <c r="H190" s="530"/>
      <c r="I190" s="532"/>
      <c r="J190" s="39"/>
      <c r="K190" s="39"/>
      <c r="L190" s="39"/>
      <c r="M190" s="39"/>
      <c r="N190" s="39"/>
      <c r="O190" s="39"/>
      <c r="P190" s="39"/>
    </row>
    <row r="191" spans="1:16" ht="15.75" customHeight="1">
      <c r="A191" s="128" t="str">
        <f>IF(Data!A397="","",Data!A397)</f>
        <v>SCHOOL</v>
      </c>
      <c r="B191" s="528" t="str">
        <f>IF(Data!C397="","",Data!C397)</f>
        <v/>
      </c>
      <c r="C191" s="465"/>
      <c r="D191" s="466" t="str">
        <f>IF(Data!E397="","",Data!E397)</f>
        <v/>
      </c>
      <c r="E191" s="300" t="str">
        <f>IF(Data!F397="","",Data!F397)</f>
        <v/>
      </c>
      <c r="F191" s="301" t="str">
        <f>IF(Data!G397="","",Data!G397)</f>
        <v>Others</v>
      </c>
      <c r="G191" s="95" t="str">
        <f>IF(Data!H397="","",Data!H397)</f>
        <v>Ongoing</v>
      </c>
      <c r="H191" s="530"/>
      <c r="I191" s="532"/>
      <c r="J191" s="39"/>
      <c r="K191" s="39"/>
      <c r="L191" s="39"/>
      <c r="M191" s="39"/>
      <c r="N191" s="39"/>
      <c r="O191" s="39"/>
      <c r="P191" s="39"/>
    </row>
    <row r="192" spans="1:16" ht="15.75" customHeight="1">
      <c r="A192" s="39"/>
      <c r="B192" s="39"/>
      <c r="C192" s="39"/>
      <c r="D192" s="39"/>
      <c r="E192" s="554" t="str">
        <f>IF(Helper!N620="","",INDEX(Helper!N620:N639,MATCH(Home!$O$1,Helper!A620:A639,0)))</f>
        <v>For the current year, the school proposed 14 major projects as included in the AIP. There are 2 projects completed and 12 projects which are still in proposed, ongoing or cancelled status. The total percentage of accomplishment for the completed projects is 14.29 percent.</v>
      </c>
      <c r="F192" s="554"/>
      <c r="G192" s="554"/>
      <c r="H192" s="530"/>
      <c r="I192" s="532"/>
      <c r="J192" s="39"/>
      <c r="K192" s="39"/>
      <c r="L192" s="39"/>
      <c r="M192" s="39"/>
      <c r="N192" s="39"/>
      <c r="O192" s="39"/>
      <c r="P192" s="39"/>
    </row>
    <row r="193" spans="1:16" ht="15.75" customHeight="1">
      <c r="A193" s="39"/>
      <c r="B193" s="39"/>
      <c r="C193" s="39"/>
      <c r="D193" s="39"/>
      <c r="E193" s="554"/>
      <c r="F193" s="554"/>
      <c r="G193" s="554"/>
      <c r="H193" s="530"/>
      <c r="I193" s="532"/>
      <c r="J193" s="39"/>
      <c r="K193" s="39"/>
      <c r="L193" s="39"/>
      <c r="M193" s="39"/>
      <c r="N193" s="39"/>
      <c r="O193" s="39"/>
      <c r="P193" s="39"/>
    </row>
    <row r="194" spans="1:16" ht="15.75" customHeight="1">
      <c r="A194" s="39"/>
      <c r="B194" s="39"/>
      <c r="C194" s="39"/>
      <c r="D194" s="39"/>
      <c r="E194" s="554"/>
      <c r="F194" s="554"/>
      <c r="G194" s="554"/>
      <c r="H194" s="530"/>
      <c r="I194" s="532"/>
      <c r="J194" s="39"/>
      <c r="K194" s="39"/>
      <c r="L194" s="39"/>
      <c r="M194" s="39"/>
      <c r="N194" s="39"/>
      <c r="O194" s="39"/>
      <c r="P194" s="39"/>
    </row>
    <row r="195" spans="1:16" ht="15.75" customHeight="1">
      <c r="A195" s="39"/>
      <c r="B195" s="39"/>
      <c r="C195" s="39"/>
      <c r="D195" s="39"/>
      <c r="E195" s="554"/>
      <c r="F195" s="554"/>
      <c r="G195" s="554"/>
      <c r="H195" s="530"/>
      <c r="I195" s="532"/>
      <c r="J195" s="39"/>
      <c r="K195" s="39"/>
      <c r="L195" s="39"/>
      <c r="M195" s="39"/>
      <c r="N195" s="39"/>
      <c r="O195" s="39"/>
      <c r="P195" s="39"/>
    </row>
    <row r="196" spans="1:16" ht="15.75" customHeight="1">
      <c r="A196" s="39"/>
      <c r="B196" s="39"/>
      <c r="C196" s="39"/>
      <c r="D196" s="39"/>
      <c r="E196" s="554"/>
      <c r="F196" s="554"/>
      <c r="G196" s="554"/>
      <c r="H196" s="530"/>
      <c r="I196" s="532"/>
      <c r="J196" s="39"/>
      <c r="K196" s="39"/>
      <c r="L196" s="39"/>
      <c r="M196" s="39"/>
      <c r="N196" s="39"/>
      <c r="O196" s="39"/>
      <c r="P196" s="39"/>
    </row>
    <row r="197" spans="1:16" ht="15.75" customHeight="1">
      <c r="A197" s="39"/>
      <c r="B197" s="39"/>
      <c r="C197" s="39"/>
      <c r="D197" s="39"/>
      <c r="E197" s="554"/>
      <c r="F197" s="554"/>
      <c r="G197" s="554"/>
      <c r="H197" s="530"/>
      <c r="I197" s="532"/>
      <c r="J197" s="39"/>
      <c r="K197" s="39"/>
      <c r="L197" s="39"/>
      <c r="M197" s="39"/>
      <c r="N197" s="39"/>
      <c r="O197" s="39"/>
      <c r="P197" s="39"/>
    </row>
    <row r="198" spans="1:16" ht="15.75" customHeight="1">
      <c r="A198" s="39"/>
      <c r="B198" s="39"/>
      <c r="C198" s="39"/>
      <c r="D198" s="39"/>
      <c r="E198" s="554"/>
      <c r="F198" s="554"/>
      <c r="G198" s="554"/>
      <c r="H198" s="530"/>
      <c r="I198" s="532"/>
      <c r="J198" s="39"/>
      <c r="K198" s="39"/>
      <c r="L198" s="533" t="str">
        <f>INDEX(Helper!$S$242:$S$246,MATCH(Home!$O$1,Helper!$A$242:$A$246,0))</f>
        <v>In the current school year, 14.77 percent (114 of 772) of the male learners fall outside normal health status while 7.91 percent (58 of 733) of the female learners fall outside normal health status.</v>
      </c>
      <c r="M198" s="533"/>
      <c r="N198" s="533"/>
      <c r="O198" s="533"/>
      <c r="P198" s="533"/>
    </row>
    <row r="199" spans="1:16" ht="15.75" customHeight="1">
      <c r="A199" s="39"/>
      <c r="B199" s="39"/>
      <c r="C199" s="39"/>
      <c r="D199" s="39"/>
      <c r="E199" s="554"/>
      <c r="F199" s="554"/>
      <c r="G199" s="554"/>
      <c r="H199" s="530"/>
      <c r="I199" s="532"/>
      <c r="J199" s="39"/>
      <c r="K199" s="39"/>
      <c r="L199" s="533"/>
      <c r="M199" s="533"/>
      <c r="N199" s="533"/>
      <c r="O199" s="533"/>
      <c r="P199" s="533"/>
    </row>
    <row r="200" spans="1:16" ht="15.75" customHeight="1">
      <c r="A200" s="39"/>
      <c r="B200" s="39"/>
      <c r="C200" s="39"/>
      <c r="D200" s="39"/>
      <c r="E200" s="554"/>
      <c r="F200" s="554"/>
      <c r="G200" s="554"/>
      <c r="H200" s="530"/>
      <c r="I200" s="532"/>
      <c r="J200" s="39"/>
      <c r="K200" s="39"/>
      <c r="L200" s="533"/>
      <c r="M200" s="533"/>
      <c r="N200" s="533"/>
      <c r="O200" s="533"/>
      <c r="P200" s="533"/>
    </row>
    <row r="201" spans="1:16" ht="15.75" customHeight="1">
      <c r="A201" s="39"/>
      <c r="B201" s="39"/>
      <c r="C201" s="39"/>
      <c r="D201" s="39"/>
      <c r="E201" s="554"/>
      <c r="F201" s="554"/>
      <c r="G201" s="554"/>
      <c r="H201" s="530"/>
      <c r="I201" s="532"/>
      <c r="J201" s="39"/>
      <c r="K201" s="39"/>
      <c r="L201" s="533"/>
      <c r="M201" s="533"/>
      <c r="N201" s="533"/>
      <c r="O201" s="533"/>
      <c r="P201" s="533"/>
    </row>
    <row r="202" spans="1:16" ht="15.75" customHeight="1">
      <c r="A202" s="39"/>
      <c r="B202" s="39"/>
      <c r="C202" s="39"/>
      <c r="D202" s="39"/>
      <c r="E202" s="554"/>
      <c r="F202" s="554"/>
      <c r="G202" s="554"/>
      <c r="H202" s="530"/>
      <c r="I202" s="532"/>
      <c r="J202" s="39"/>
      <c r="K202" s="39"/>
      <c r="L202" s="533"/>
      <c r="M202" s="533"/>
      <c r="N202" s="533"/>
      <c r="O202" s="533"/>
      <c r="P202" s="533"/>
    </row>
    <row r="203" spans="1:16" ht="15.75" customHeight="1">
      <c r="A203" s="39"/>
      <c r="B203" s="39"/>
      <c r="C203" s="39"/>
      <c r="D203" s="39"/>
      <c r="E203" s="554"/>
      <c r="F203" s="554"/>
      <c r="G203" s="554"/>
      <c r="H203" s="530"/>
      <c r="I203" s="532"/>
      <c r="J203" s="39"/>
      <c r="K203" s="39"/>
      <c r="L203" s="533"/>
      <c r="M203" s="533"/>
      <c r="N203" s="533"/>
      <c r="O203" s="533"/>
      <c r="P203" s="533"/>
    </row>
    <row r="204" spans="1:16" ht="15.75" customHeight="1">
      <c r="A204" s="39"/>
      <c r="B204" s="39"/>
      <c r="C204" s="39"/>
      <c r="D204" s="39"/>
      <c r="E204" s="554"/>
      <c r="F204" s="554"/>
      <c r="G204" s="554"/>
      <c r="H204" s="530"/>
      <c r="I204" s="532"/>
      <c r="J204" s="39"/>
      <c r="K204" s="39"/>
      <c r="L204" s="533"/>
      <c r="M204" s="533"/>
      <c r="N204" s="533"/>
      <c r="O204" s="533"/>
      <c r="P204" s="533"/>
    </row>
    <row r="205" spans="1:16" ht="15.75" customHeight="1">
      <c r="A205" s="39"/>
      <c r="B205" s="39"/>
      <c r="C205" s="39"/>
      <c r="D205" s="39"/>
      <c r="E205" s="554"/>
      <c r="F205" s="554"/>
      <c r="G205" s="554"/>
      <c r="H205" s="530"/>
      <c r="I205" s="532"/>
      <c r="J205" s="39"/>
      <c r="K205" s="39"/>
      <c r="L205" s="533"/>
      <c r="M205" s="533"/>
      <c r="N205" s="533"/>
      <c r="O205" s="533"/>
      <c r="P205" s="533"/>
    </row>
    <row r="206" spans="1:16" ht="15.75" customHeight="1">
      <c r="A206" s="39"/>
      <c r="B206" s="39"/>
      <c r="C206" s="39"/>
      <c r="D206" s="39"/>
      <c r="E206" s="554"/>
      <c r="F206" s="554"/>
      <c r="G206" s="554"/>
      <c r="H206" s="530"/>
      <c r="I206" s="532"/>
      <c r="J206" s="39"/>
      <c r="K206" s="39"/>
      <c r="L206" s="533"/>
      <c r="M206" s="533"/>
      <c r="N206" s="533"/>
      <c r="O206" s="533"/>
      <c r="P206" s="533"/>
    </row>
    <row r="207" spans="1:16" ht="15.75" customHeight="1">
      <c r="A207" s="39"/>
      <c r="B207" s="39"/>
      <c r="C207" s="39"/>
      <c r="D207" s="39"/>
      <c r="E207" s="554"/>
      <c r="F207" s="554"/>
      <c r="G207" s="554"/>
      <c r="H207" s="530"/>
      <c r="I207" s="532"/>
      <c r="J207" s="39"/>
      <c r="K207" s="39"/>
      <c r="L207" s="533"/>
      <c r="M207" s="533"/>
      <c r="N207" s="533"/>
      <c r="O207" s="533"/>
      <c r="P207" s="533"/>
    </row>
    <row r="208" spans="1:16" ht="15.75" customHeight="1">
      <c r="A208" s="39"/>
      <c r="B208" s="39"/>
      <c r="C208" s="39"/>
      <c r="D208" s="39"/>
      <c r="E208" s="39"/>
      <c r="F208" s="39"/>
      <c r="G208" s="39"/>
      <c r="H208" s="529" t="s">
        <v>738</v>
      </c>
      <c r="I208" s="531" t="s">
        <v>726</v>
      </c>
      <c r="J208" s="39"/>
      <c r="K208" s="39"/>
      <c r="L208" s="39"/>
      <c r="M208" s="39"/>
      <c r="N208" s="39"/>
      <c r="O208" s="39"/>
      <c r="P208" s="39"/>
    </row>
    <row r="209" spans="1:16" ht="15.75" customHeight="1">
      <c r="A209" s="39"/>
      <c r="B209" s="39"/>
      <c r="C209" s="39"/>
      <c r="D209" s="39"/>
      <c r="E209" s="39"/>
      <c r="F209" s="39"/>
      <c r="G209" s="39"/>
      <c r="H209" s="530"/>
      <c r="I209" s="532"/>
      <c r="J209" s="39"/>
      <c r="K209" s="39"/>
      <c r="L209" s="39"/>
      <c r="M209" s="39"/>
      <c r="N209" s="39"/>
      <c r="O209" s="39"/>
      <c r="P209" s="39"/>
    </row>
    <row r="210" spans="1:16" ht="15.75" customHeight="1">
      <c r="A210" s="39"/>
      <c r="B210" s="39"/>
      <c r="C210" s="39"/>
      <c r="D210" s="39"/>
      <c r="E210" s="39"/>
      <c r="F210" s="39"/>
      <c r="G210" s="39"/>
      <c r="H210" s="530"/>
      <c r="I210" s="532"/>
      <c r="J210" s="39"/>
      <c r="K210" s="39"/>
      <c r="L210" s="39"/>
      <c r="M210" s="39"/>
      <c r="N210" s="39"/>
      <c r="O210" s="39"/>
      <c r="P210" s="39"/>
    </row>
    <row r="211" spans="1:16" ht="15.75" customHeight="1">
      <c r="A211" s="39"/>
      <c r="B211" s="39"/>
      <c r="C211" s="39"/>
      <c r="D211" s="39"/>
      <c r="E211" s="39"/>
      <c r="F211" s="39"/>
      <c r="G211" s="39"/>
      <c r="H211" s="530"/>
      <c r="I211" s="532"/>
      <c r="J211" s="39"/>
      <c r="K211" s="39"/>
      <c r="L211" s="39"/>
      <c r="M211" s="39"/>
      <c r="N211" s="39"/>
      <c r="O211" s="39"/>
      <c r="P211" s="39"/>
    </row>
    <row r="212" spans="1:16" ht="15.75" customHeight="1">
      <c r="A212" s="39"/>
      <c r="B212" s="39"/>
      <c r="C212" s="39"/>
      <c r="D212" s="39"/>
      <c r="E212" s="39"/>
      <c r="F212" s="39"/>
      <c r="G212" s="39"/>
      <c r="H212" s="530"/>
      <c r="I212" s="532"/>
      <c r="J212" s="39"/>
      <c r="K212" s="39"/>
      <c r="L212" s="39"/>
      <c r="M212" s="39"/>
      <c r="N212" s="39"/>
      <c r="O212" s="39"/>
      <c r="P212" s="39"/>
    </row>
    <row r="213" spans="1:16" ht="15.75" customHeight="1">
      <c r="A213" s="39"/>
      <c r="B213" s="39"/>
      <c r="C213" s="39"/>
      <c r="D213" s="39"/>
      <c r="E213" s="39"/>
      <c r="F213" s="39"/>
      <c r="G213" s="39"/>
      <c r="H213" s="530"/>
      <c r="I213" s="532"/>
      <c r="J213" s="39"/>
      <c r="K213" s="39"/>
      <c r="L213" s="39"/>
      <c r="M213" s="39"/>
      <c r="N213" s="39"/>
      <c r="O213" s="39"/>
      <c r="P213" s="39"/>
    </row>
    <row r="214" spans="1:16" ht="15.75" customHeight="1">
      <c r="A214" s="39"/>
      <c r="B214" s="39"/>
      <c r="C214" s="39"/>
      <c r="D214" s="39"/>
      <c r="E214" s="39"/>
      <c r="F214" s="39"/>
      <c r="G214" s="39"/>
      <c r="H214" s="530"/>
      <c r="I214" s="532"/>
      <c r="J214" s="39"/>
      <c r="K214" s="39"/>
      <c r="L214" s="39"/>
      <c r="M214" s="39"/>
      <c r="N214" s="39"/>
      <c r="O214" s="39"/>
      <c r="P214" s="39"/>
    </row>
    <row r="215" spans="1:16" ht="15.75" customHeight="1">
      <c r="A215" s="39"/>
      <c r="B215" s="39"/>
      <c r="C215" s="39"/>
      <c r="D215" s="39"/>
      <c r="E215" s="39"/>
      <c r="F215" s="39"/>
      <c r="G215" s="39"/>
      <c r="H215" s="530"/>
      <c r="I215" s="532"/>
      <c r="J215" s="39"/>
      <c r="K215" s="39"/>
      <c r="L215" s="39"/>
      <c r="M215" s="39"/>
      <c r="N215" s="39"/>
      <c r="O215" s="39"/>
      <c r="P215" s="39"/>
    </row>
    <row r="216" spans="1:16" ht="15.75" customHeight="1">
      <c r="A216" s="39"/>
      <c r="B216" s="39"/>
      <c r="C216" s="39"/>
      <c r="D216" s="39"/>
      <c r="E216" s="39"/>
      <c r="F216" s="39"/>
      <c r="G216" s="39"/>
      <c r="H216" s="530"/>
      <c r="I216" s="532"/>
      <c r="J216" s="39"/>
      <c r="K216" s="39"/>
      <c r="L216" s="39"/>
      <c r="M216" s="39"/>
      <c r="N216" s="39"/>
      <c r="O216" s="39"/>
      <c r="P216" s="39"/>
    </row>
    <row r="217" spans="1:16" ht="15.75" customHeight="1">
      <c r="A217" s="39"/>
      <c r="B217" s="39"/>
      <c r="C217" s="39"/>
      <c r="D217" s="39"/>
      <c r="E217" s="39"/>
      <c r="F217" s="39"/>
      <c r="G217" s="39"/>
      <c r="H217" s="530"/>
      <c r="I217" s="532"/>
      <c r="J217" s="39"/>
      <c r="K217" s="39"/>
      <c r="L217" s="39"/>
      <c r="M217" s="39"/>
      <c r="N217" s="39"/>
      <c r="O217" s="39"/>
      <c r="P217" s="39"/>
    </row>
    <row r="218" spans="1:16" ht="15.75" customHeight="1">
      <c r="A218" s="39"/>
      <c r="B218" s="39"/>
      <c r="C218" s="39"/>
      <c r="D218" s="39"/>
      <c r="E218" s="39"/>
      <c r="F218" s="39"/>
      <c r="G218" s="39"/>
      <c r="H218" s="530"/>
      <c r="I218" s="532"/>
      <c r="J218" s="39"/>
      <c r="K218" s="39"/>
      <c r="L218" s="39"/>
      <c r="M218" s="39"/>
      <c r="N218" s="39"/>
      <c r="O218" s="39"/>
      <c r="P218" s="39"/>
    </row>
    <row r="219" spans="1:16" ht="15.75" customHeight="1">
      <c r="A219" s="39"/>
      <c r="B219" s="39"/>
      <c r="C219" s="39"/>
      <c r="D219" s="39"/>
      <c r="E219" s="39"/>
      <c r="F219" s="39"/>
      <c r="G219" s="39"/>
      <c r="H219" s="530"/>
      <c r="I219" s="532"/>
      <c r="J219" s="39"/>
      <c r="K219" s="39"/>
      <c r="L219" s="39"/>
      <c r="M219" s="39"/>
      <c r="N219" s="39"/>
      <c r="O219" s="39"/>
      <c r="P219" s="39"/>
    </row>
    <row r="220" spans="1:16" ht="15.75" customHeight="1">
      <c r="A220" s="39"/>
      <c r="B220" s="39"/>
      <c r="C220" s="39"/>
      <c r="D220" s="39"/>
      <c r="E220" s="39"/>
      <c r="F220" s="39"/>
      <c r="G220" s="39"/>
      <c r="H220" s="530"/>
      <c r="I220" s="532"/>
      <c r="J220" s="39"/>
      <c r="K220" s="39"/>
      <c r="L220" s="39"/>
      <c r="M220" s="39"/>
      <c r="N220" s="39"/>
      <c r="O220" s="39"/>
      <c r="P220" s="39"/>
    </row>
    <row r="221" spans="1:16" ht="15.75" customHeight="1">
      <c r="A221" s="39"/>
      <c r="B221" s="39"/>
      <c r="C221" s="39"/>
      <c r="D221" s="39"/>
      <c r="E221" s="39"/>
      <c r="F221" s="39"/>
      <c r="G221" s="39"/>
      <c r="H221" s="530"/>
      <c r="I221" s="532"/>
      <c r="J221" s="39"/>
      <c r="K221" s="39"/>
      <c r="L221" s="39"/>
      <c r="M221" s="39"/>
      <c r="N221" s="39"/>
      <c r="O221" s="39"/>
      <c r="P221" s="39"/>
    </row>
    <row r="222" spans="1:16" ht="15.75" customHeight="1">
      <c r="A222" s="39"/>
      <c r="B222" s="39"/>
      <c r="C222" s="533" t="str">
        <f>INDEX(Helper!$J$536:$J$540,MATCH(Home!$O$1,Helper!$A$536:$A$540,0))</f>
        <v>The school lack/s 2 classroom/s as of SY 2018-2019.</v>
      </c>
      <c r="D222" s="533"/>
      <c r="E222" s="533"/>
      <c r="F222" s="533"/>
      <c r="G222" s="533"/>
      <c r="H222" s="530"/>
      <c r="I222" s="532"/>
      <c r="J222" s="39"/>
      <c r="K222" s="39"/>
      <c r="L222" s="39"/>
      <c r="M222" s="39"/>
      <c r="N222" s="39"/>
      <c r="O222" s="39"/>
      <c r="P222" s="39"/>
    </row>
    <row r="223" spans="1:16" ht="15.75" customHeight="1">
      <c r="A223" s="39"/>
      <c r="B223" s="39"/>
      <c r="C223" s="533"/>
      <c r="D223" s="533"/>
      <c r="E223" s="533"/>
      <c r="F223" s="533"/>
      <c r="G223" s="533"/>
      <c r="H223" s="530"/>
      <c r="I223" s="532"/>
      <c r="J223" s="39"/>
      <c r="K223" s="39"/>
      <c r="L223" s="39"/>
      <c r="M223" s="39"/>
      <c r="N223" s="39"/>
      <c r="O223" s="39"/>
      <c r="P223" s="39"/>
    </row>
    <row r="224" spans="1:16" ht="15.75" customHeight="1">
      <c r="A224" s="39"/>
      <c r="B224" s="39"/>
      <c r="C224" s="533"/>
      <c r="D224" s="533"/>
      <c r="E224" s="533"/>
      <c r="F224" s="533"/>
      <c r="G224" s="533"/>
      <c r="H224" s="530"/>
      <c r="I224" s="532"/>
      <c r="J224" s="39"/>
      <c r="K224" s="39"/>
      <c r="L224" s="39"/>
      <c r="M224" s="39"/>
      <c r="N224" s="39"/>
      <c r="O224" s="39"/>
      <c r="P224" s="39"/>
    </row>
    <row r="225" spans="1:16" ht="15.75" customHeight="1">
      <c r="A225" s="39"/>
      <c r="B225" s="39"/>
      <c r="C225" s="533"/>
      <c r="D225" s="533"/>
      <c r="E225" s="533"/>
      <c r="F225" s="533"/>
      <c r="G225" s="533"/>
      <c r="H225" s="530"/>
      <c r="I225" s="532"/>
      <c r="J225" s="39"/>
      <c r="K225" s="39"/>
      <c r="L225" s="39"/>
      <c r="M225" s="39"/>
      <c r="N225" s="39"/>
      <c r="O225" s="39"/>
      <c r="P225" s="39"/>
    </row>
    <row r="226" spans="1:16" ht="15.75" customHeight="1">
      <c r="A226" s="39"/>
      <c r="B226" s="39"/>
      <c r="C226" s="533"/>
      <c r="D226" s="533"/>
      <c r="E226" s="533"/>
      <c r="F226" s="533"/>
      <c r="G226" s="533"/>
      <c r="H226" s="530"/>
      <c r="I226" s="532"/>
      <c r="J226" s="39"/>
      <c r="K226" s="39"/>
      <c r="L226" s="39"/>
      <c r="M226" s="39"/>
      <c r="N226" s="39"/>
      <c r="O226" s="39"/>
      <c r="P226" s="39"/>
    </row>
    <row r="227" spans="1:16" ht="19.5" customHeight="1">
      <c r="A227" s="538" t="str">
        <f>IF(Helper!$G$494="","",INDEX(Helper!$G$494:$G$498,MATCH(Home!$O$1,Helper!$A$494:$A$498,0)))</f>
        <v>All classrooms utilized are standard instructional rooms.</v>
      </c>
      <c r="B227" s="538"/>
      <c r="C227" s="538"/>
      <c r="D227" s="538"/>
      <c r="E227" s="538"/>
      <c r="F227" s="538"/>
      <c r="G227" s="538"/>
      <c r="H227" s="530"/>
      <c r="I227" s="532"/>
      <c r="J227" s="39"/>
      <c r="K227" s="39"/>
      <c r="L227" s="39"/>
      <c r="M227" s="533" t="str">
        <f>INDEX(Helper!$K$305:$K$309,MATCH(Home!$O$1,Helper!$A$305:$A$309,0))</f>
        <v>In the current school year, the highest educational attainment of most teachers is Master's Degree (Units) with 34 out of 57 or 59.65 percent of the total number of teachers.</v>
      </c>
      <c r="N227" s="533"/>
      <c r="O227" s="533"/>
      <c r="P227" s="533"/>
    </row>
    <row r="228" spans="1:16" ht="19.5" customHeight="1">
      <c r="A228" s="539"/>
      <c r="B228" s="539"/>
      <c r="C228" s="539"/>
      <c r="D228" s="539"/>
      <c r="E228" s="539"/>
      <c r="F228" s="539"/>
      <c r="G228" s="539"/>
      <c r="H228" s="530"/>
      <c r="I228" s="532"/>
      <c r="J228" s="39"/>
      <c r="K228" s="39"/>
      <c r="L228" s="39"/>
      <c r="M228" s="533"/>
      <c r="N228" s="533"/>
      <c r="O228" s="533"/>
      <c r="P228" s="533"/>
    </row>
    <row r="229" spans="1:16" ht="9.75" customHeight="1">
      <c r="A229" s="39"/>
      <c r="B229" s="39"/>
      <c r="C229" s="39"/>
      <c r="D229" s="39"/>
      <c r="E229" s="39"/>
      <c r="F229" s="39"/>
      <c r="G229" s="39"/>
      <c r="H229" s="530"/>
      <c r="I229" s="532"/>
      <c r="J229" s="39"/>
      <c r="K229" s="39"/>
      <c r="L229" s="39"/>
      <c r="M229" s="533"/>
      <c r="N229" s="533"/>
      <c r="O229" s="533"/>
      <c r="P229" s="533"/>
    </row>
    <row r="230" spans="1:16" ht="19.5" customHeight="1">
      <c r="A230" s="538" t="str">
        <f>IF(Helper!$G$515="","",INDEX(Helper!$G$515:$G$519,MATCH(Home!$O$1,Helper!$A$515:$A$519,0)))</f>
        <v>Generally, all classrooms utilized are in good condition.</v>
      </c>
      <c r="B230" s="538"/>
      <c r="C230" s="538"/>
      <c r="D230" s="538"/>
      <c r="E230" s="538"/>
      <c r="F230" s="538"/>
      <c r="G230" s="538"/>
      <c r="H230" s="530"/>
      <c r="I230" s="532"/>
      <c r="J230" s="39"/>
      <c r="K230" s="39"/>
      <c r="L230" s="39"/>
      <c r="M230" s="533"/>
      <c r="N230" s="533"/>
      <c r="O230" s="533"/>
      <c r="P230" s="533"/>
    </row>
    <row r="231" spans="1:16" ht="19.5" customHeight="1">
      <c r="A231" s="539"/>
      <c r="B231" s="539"/>
      <c r="C231" s="539"/>
      <c r="D231" s="539"/>
      <c r="E231" s="539"/>
      <c r="F231" s="539"/>
      <c r="G231" s="539"/>
      <c r="H231" s="530"/>
      <c r="I231" s="532"/>
      <c r="J231" s="39"/>
      <c r="K231" s="39"/>
      <c r="L231" s="39"/>
      <c r="M231" s="533"/>
      <c r="N231" s="533"/>
      <c r="O231" s="533"/>
      <c r="P231" s="533"/>
    </row>
    <row r="232" spans="1:16" ht="9.75" customHeight="1">
      <c r="A232" s="39"/>
      <c r="B232" s="39"/>
      <c r="C232" s="39"/>
      <c r="D232" s="39"/>
      <c r="E232" s="39"/>
      <c r="F232" s="39"/>
      <c r="G232" s="39"/>
      <c r="H232" s="530"/>
      <c r="I232" s="532"/>
      <c r="J232" s="39"/>
      <c r="K232" s="39"/>
      <c r="L232" s="39"/>
      <c r="M232" s="533"/>
      <c r="N232" s="533"/>
      <c r="O232" s="533"/>
      <c r="P232" s="533"/>
    </row>
    <row r="233" spans="1:16" ht="15.75" customHeight="1">
      <c r="A233" s="39"/>
      <c r="B233" s="39"/>
      <c r="C233" s="39"/>
      <c r="D233" s="39"/>
      <c r="E233" s="533" t="str">
        <f>IF(Data!$H$6="Elementay(multi-grade)",Helper!$DE$124,INDEX(Helper!$L$473:$L$477,MATCH(Home!$O$1,Helper!$A$473:$A$477,0)))</f>
        <v>The biggest class size is on Grade 7 with an average class size of 61 followed by Grade 11 with an average class size of 52 learner/s per class which is beyond the recommended learner-classroom ratio.</v>
      </c>
      <c r="F233" s="533"/>
      <c r="G233" s="533"/>
      <c r="H233" s="530"/>
      <c r="I233" s="532"/>
      <c r="J233" s="39"/>
      <c r="K233" s="39"/>
      <c r="L233" s="39"/>
      <c r="M233" s="533"/>
      <c r="N233" s="533"/>
      <c r="O233" s="533"/>
      <c r="P233" s="533"/>
    </row>
    <row r="234" spans="1:16" ht="15.75" customHeight="1">
      <c r="A234" s="39"/>
      <c r="B234" s="39"/>
      <c r="C234" s="39"/>
      <c r="D234" s="39"/>
      <c r="E234" s="533"/>
      <c r="F234" s="533"/>
      <c r="G234" s="533"/>
      <c r="H234" s="530"/>
      <c r="I234" s="532"/>
      <c r="J234" s="39"/>
      <c r="K234" s="39"/>
      <c r="L234" s="39"/>
      <c r="M234" s="533"/>
      <c r="N234" s="533"/>
      <c r="O234" s="533"/>
      <c r="P234" s="533"/>
    </row>
    <row r="235" spans="1:16" ht="15.75" customHeight="1">
      <c r="A235" s="39"/>
      <c r="B235" s="39"/>
      <c r="C235" s="39"/>
      <c r="D235" s="39"/>
      <c r="E235" s="533"/>
      <c r="F235" s="533"/>
      <c r="G235" s="533"/>
      <c r="H235" s="530"/>
      <c r="I235" s="532"/>
      <c r="J235" s="39"/>
      <c r="K235" s="39"/>
      <c r="L235" s="39"/>
      <c r="M235" s="533"/>
      <c r="N235" s="533"/>
      <c r="O235" s="533"/>
      <c r="P235" s="533"/>
    </row>
    <row r="236" spans="1:16" ht="15.75" customHeight="1">
      <c r="A236" s="39"/>
      <c r="B236" s="39"/>
      <c r="C236" s="39"/>
      <c r="D236" s="39"/>
      <c r="E236" s="533"/>
      <c r="F236" s="533"/>
      <c r="G236" s="533"/>
      <c r="H236" s="530"/>
      <c r="I236" s="532"/>
      <c r="J236" s="39"/>
      <c r="K236" s="39"/>
      <c r="L236" s="39"/>
      <c r="M236" s="533"/>
      <c r="N236" s="533"/>
      <c r="O236" s="533"/>
      <c r="P236" s="533"/>
    </row>
    <row r="237" spans="1:16" ht="15.75" customHeight="1">
      <c r="A237" s="39"/>
      <c r="B237" s="39"/>
      <c r="C237" s="39"/>
      <c r="D237" s="39"/>
      <c r="E237" s="533"/>
      <c r="F237" s="533"/>
      <c r="G237" s="533"/>
      <c r="H237" s="530"/>
      <c r="I237" s="532"/>
      <c r="J237" s="39"/>
      <c r="K237" s="39"/>
      <c r="L237" s="39"/>
      <c r="M237" s="533"/>
      <c r="N237" s="533"/>
      <c r="O237" s="533"/>
      <c r="P237" s="533"/>
    </row>
    <row r="238" spans="1:16" ht="15.75" customHeight="1">
      <c r="A238" s="39"/>
      <c r="B238" s="39"/>
      <c r="C238" s="39"/>
      <c r="D238" s="39"/>
      <c r="E238" s="533"/>
      <c r="F238" s="533"/>
      <c r="G238" s="533"/>
      <c r="H238" s="530"/>
      <c r="I238" s="532"/>
      <c r="J238" s="39"/>
      <c r="K238" s="39"/>
      <c r="L238" s="39"/>
      <c r="M238" s="533"/>
      <c r="N238" s="533"/>
      <c r="O238" s="533"/>
      <c r="P238" s="533"/>
    </row>
    <row r="239" spans="1:16" ht="15.75" customHeight="1">
      <c r="A239" s="39"/>
      <c r="B239" s="39"/>
      <c r="C239" s="39"/>
      <c r="D239" s="39"/>
      <c r="E239" s="533"/>
      <c r="F239" s="533"/>
      <c r="G239" s="533"/>
      <c r="H239" s="530"/>
      <c r="I239" s="532"/>
      <c r="J239" s="39"/>
      <c r="K239" s="39"/>
      <c r="L239" s="39"/>
      <c r="M239" s="533"/>
      <c r="N239" s="533"/>
      <c r="O239" s="533"/>
      <c r="P239" s="533"/>
    </row>
    <row r="240" spans="1:16" ht="15.75" customHeight="1">
      <c r="A240" s="39"/>
      <c r="B240" s="39"/>
      <c r="C240" s="39"/>
      <c r="D240" s="39"/>
      <c r="E240" s="533"/>
      <c r="F240" s="533"/>
      <c r="G240" s="533"/>
      <c r="H240" s="530"/>
      <c r="I240" s="532"/>
      <c r="J240" s="39"/>
      <c r="K240" s="39"/>
      <c r="L240" s="39"/>
      <c r="M240" s="533"/>
      <c r="N240" s="533"/>
      <c r="O240" s="533"/>
      <c r="P240" s="533"/>
    </row>
    <row r="241" spans="1:16" ht="15.75" customHeight="1">
      <c r="A241" s="39"/>
      <c r="B241" s="39"/>
      <c r="C241" s="39"/>
      <c r="D241" s="39"/>
      <c r="E241" s="533"/>
      <c r="F241" s="533"/>
      <c r="G241" s="533"/>
      <c r="H241" s="530"/>
      <c r="I241" s="532"/>
      <c r="J241" s="39"/>
      <c r="K241" s="39"/>
      <c r="L241" s="39"/>
      <c r="M241" s="533"/>
      <c r="N241" s="533"/>
      <c r="O241" s="533"/>
      <c r="P241" s="533"/>
    </row>
    <row r="242" spans="1:16" ht="15.75" customHeight="1">
      <c r="A242" s="39"/>
      <c r="B242" s="39"/>
      <c r="C242" s="39"/>
      <c r="D242" s="39"/>
      <c r="E242" s="39"/>
      <c r="F242" s="39"/>
      <c r="G242" s="39"/>
      <c r="H242" s="529" t="s">
        <v>727</v>
      </c>
      <c r="I242" s="531" t="s">
        <v>728</v>
      </c>
      <c r="J242" s="541" t="s">
        <v>146</v>
      </c>
      <c r="K242" s="542"/>
      <c r="L242" s="545" t="s">
        <v>961</v>
      </c>
      <c r="M242" s="536" t="s">
        <v>61</v>
      </c>
      <c r="N242" s="536" t="s">
        <v>735</v>
      </c>
      <c r="O242" s="536" t="s">
        <v>2</v>
      </c>
      <c r="P242" s="534" t="s">
        <v>147</v>
      </c>
    </row>
    <row r="243" spans="1:16" ht="15.75" customHeight="1">
      <c r="A243" s="39"/>
      <c r="B243" s="39"/>
      <c r="C243" s="39"/>
      <c r="D243" s="39"/>
      <c r="E243" s="39"/>
      <c r="F243" s="39"/>
      <c r="G243" s="39"/>
      <c r="H243" s="530"/>
      <c r="I243" s="532"/>
      <c r="J243" s="543"/>
      <c r="K243" s="544"/>
      <c r="L243" s="546"/>
      <c r="M243" s="537"/>
      <c r="N243" s="537"/>
      <c r="O243" s="537"/>
      <c r="P243" s="535"/>
    </row>
    <row r="244" spans="1:16" ht="15.75" customHeight="1">
      <c r="A244" s="39"/>
      <c r="B244" s="39"/>
      <c r="C244" s="39"/>
      <c r="D244" s="39"/>
      <c r="E244" s="39"/>
      <c r="F244" s="39"/>
      <c r="G244" s="39"/>
      <c r="H244" s="530"/>
      <c r="I244" s="532"/>
      <c r="J244" s="526" t="str">
        <f>IF(Data!A110="","",Data!A110)</f>
        <v>Scouting ( Scout Membership Against Potentials Secondary Big Category)</v>
      </c>
      <c r="K244" s="527"/>
      <c r="L244" s="436">
        <f>IF(Data!E110="","",Data!E110)</f>
        <v>5</v>
      </c>
      <c r="M244" s="126">
        <f>IF(Data!F110="","",Data!F110)</f>
        <v>43546</v>
      </c>
      <c r="N244" s="126" t="str">
        <f>IF(Data!G110="","",Data!G110)</f>
        <v>Student</v>
      </c>
      <c r="O244" s="126" t="str">
        <f>IF(Data!H110="","",Data!H110)</f>
        <v>Division</v>
      </c>
      <c r="P244" s="127" t="str">
        <f>IF(Data!I110="","",Data!I110)</f>
        <v>Governor's Office</v>
      </c>
    </row>
    <row r="245" spans="1:16" ht="15.75" customHeight="1">
      <c r="A245" s="39"/>
      <c r="B245" s="39"/>
      <c r="C245" s="39"/>
      <c r="D245" s="39"/>
      <c r="E245" s="39"/>
      <c r="F245" s="39"/>
      <c r="G245" s="39"/>
      <c r="H245" s="530"/>
      <c r="I245" s="532"/>
      <c r="J245" s="526" t="str">
        <f>IF(Data!A111="","",Data!A111)</f>
        <v>Scouting (2019 Award of Commendation on Woodbagdge Holder)</v>
      </c>
      <c r="K245" s="527"/>
      <c r="L245" s="436" t="str">
        <f>IF(Data!E111="","",Data!E111)</f>
        <v>First</v>
      </c>
      <c r="M245" s="126">
        <f>IF(Data!F111="","",Data!F111)</f>
        <v>43547</v>
      </c>
      <c r="N245" s="126" t="str">
        <f>IF(Data!G111="","",Data!G111)</f>
        <v>Teacher</v>
      </c>
      <c r="O245" s="126" t="str">
        <f>IF(Data!H111="","",Data!H111)</f>
        <v>Division</v>
      </c>
      <c r="P245" s="127" t="str">
        <f>IF(Data!I111="","",Data!I111)</f>
        <v>Division Office</v>
      </c>
    </row>
    <row r="246" spans="1:16" ht="15.75" customHeight="1">
      <c r="A246" s="39"/>
      <c r="B246" s="39"/>
      <c r="C246" s="39"/>
      <c r="D246" s="39"/>
      <c r="E246" s="39"/>
      <c r="F246" s="39"/>
      <c r="G246" s="39"/>
      <c r="H246" s="530"/>
      <c r="I246" s="532"/>
      <c r="J246" s="526" t="str">
        <f>IF(Data!A112="","",Data!A112)</f>
        <v>Reading Interpretation</v>
      </c>
      <c r="K246" s="527"/>
      <c r="L246" s="436" t="str">
        <f>IF(Data!E112="","",Data!E112)</f>
        <v>First</v>
      </c>
      <c r="M246" s="126">
        <f>IF(Data!F112="","",Data!F112)</f>
        <v>43424</v>
      </c>
      <c r="N246" s="126" t="str">
        <f>IF(Data!G112="","",Data!G112)</f>
        <v>Student</v>
      </c>
      <c r="O246" s="126" t="str">
        <f>IF(Data!H112="","",Data!H112)</f>
        <v>District</v>
      </c>
      <c r="P246" s="127" t="str">
        <f>IF(Data!I112="","",Data!I112)</f>
        <v>Division Office</v>
      </c>
    </row>
    <row r="247" spans="1:16" ht="15.75" customHeight="1">
      <c r="A247" s="39"/>
      <c r="B247" s="39"/>
      <c r="C247" s="39"/>
      <c r="D247" s="39"/>
      <c r="E247" s="39"/>
      <c r="F247" s="39"/>
      <c r="G247" s="39"/>
      <c r="H247" s="530"/>
      <c r="I247" s="532"/>
      <c r="J247" s="526" t="str">
        <f>IF(Data!A113="","",Data!A113)</f>
        <v>Mathematics ( Math Quiz)</v>
      </c>
      <c r="K247" s="527"/>
      <c r="L247" s="436" t="str">
        <f>IF(Data!E113="","",Data!E113)</f>
        <v>Third</v>
      </c>
      <c r="M247" s="126" t="str">
        <f>IF(Data!F113="","",Data!F113)</f>
        <v/>
      </c>
      <c r="N247" s="126" t="str">
        <f>IF(Data!G113="","",Data!G113)</f>
        <v>Student</v>
      </c>
      <c r="O247" s="126" t="str">
        <f>IF(Data!H113="","",Data!H113)</f>
        <v>District</v>
      </c>
      <c r="P247" s="127" t="str">
        <f>IF(Data!I113="","",Data!I113)</f>
        <v>Division Office</v>
      </c>
    </row>
    <row r="248" spans="1:16" ht="15.75" customHeight="1">
      <c r="A248" s="39"/>
      <c r="B248" s="39"/>
      <c r="C248" s="39"/>
      <c r="D248" s="39"/>
      <c r="E248" s="39"/>
      <c r="F248" s="39"/>
      <c r="G248" s="39"/>
      <c r="H248" s="530"/>
      <c r="I248" s="532"/>
      <c r="J248" s="526" t="str">
        <f>IF(Data!A114="","",Data!A114)</f>
        <v>Provincial Meet ( Arnis)</v>
      </c>
      <c r="K248" s="527"/>
      <c r="L248" s="436" t="str">
        <f>IF(Data!E114="","",Data!E114)</f>
        <v>Second</v>
      </c>
      <c r="M248" s="126">
        <f>IF(Data!F114="","",Data!F114)</f>
        <v>43405</v>
      </c>
      <c r="N248" s="126" t="str">
        <f>IF(Data!G114="","",Data!G114)</f>
        <v>Student</v>
      </c>
      <c r="O248" s="126" t="str">
        <f>IF(Data!H114="","",Data!H114)</f>
        <v>Division</v>
      </c>
      <c r="P248" s="127" t="str">
        <f>IF(Data!I114="","",Data!I114)</f>
        <v>Division Office</v>
      </c>
    </row>
    <row r="249" spans="1:16" ht="15.75" customHeight="1">
      <c r="A249" s="39"/>
      <c r="B249" s="39"/>
      <c r="C249" s="39"/>
      <c r="D249" s="39"/>
      <c r="E249" s="39"/>
      <c r="F249" s="39"/>
      <c r="G249" s="39"/>
      <c r="H249" s="530"/>
      <c r="I249" s="532"/>
      <c r="J249" s="526" t="str">
        <f>IF(Data!A115="","",Data!A115)</f>
        <v>Softball</v>
      </c>
      <c r="K249" s="527"/>
      <c r="L249" s="436" t="str">
        <f>IF(Data!E115="","",Data!E115)</f>
        <v>First</v>
      </c>
      <c r="M249" s="126" t="str">
        <f>IF(Data!F115="","",Data!F115)</f>
        <v/>
      </c>
      <c r="N249" s="126" t="str">
        <f>IF(Data!G115="","",Data!G115)</f>
        <v>Student</v>
      </c>
      <c r="O249" s="126" t="str">
        <f>IF(Data!H115="","",Data!H115)</f>
        <v>Region</v>
      </c>
      <c r="P249" s="127" t="str">
        <f>IF(Data!I115="","",Data!I115)</f>
        <v/>
      </c>
    </row>
    <row r="250" spans="1:16" ht="15.75" customHeight="1">
      <c r="A250" s="39"/>
      <c r="B250" s="39"/>
      <c r="C250" s="39"/>
      <c r="D250" s="39"/>
      <c r="E250" s="39"/>
      <c r="F250" s="39"/>
      <c r="G250" s="39"/>
      <c r="H250" s="530"/>
      <c r="I250" s="532"/>
      <c r="J250" s="526" t="str">
        <f>IF(Data!A116="","",Data!A116)</f>
        <v>Baseball</v>
      </c>
      <c r="K250" s="527"/>
      <c r="L250" s="436" t="str">
        <f>IF(Data!E116="","",Data!E116)</f>
        <v>First</v>
      </c>
      <c r="M250" s="126" t="str">
        <f>IF(Data!F116="","",Data!F116)</f>
        <v/>
      </c>
      <c r="N250" s="126" t="str">
        <f>IF(Data!G116="","",Data!G116)</f>
        <v>Student</v>
      </c>
      <c r="O250" s="126" t="str">
        <f>IF(Data!H116="","",Data!H116)</f>
        <v>Region</v>
      </c>
      <c r="P250" s="127" t="str">
        <f>IF(Data!I116="","",Data!I116)</f>
        <v/>
      </c>
    </row>
    <row r="251" spans="1:16" ht="15.75" customHeight="1">
      <c r="A251" s="39"/>
      <c r="B251" s="39"/>
      <c r="C251" s="39"/>
      <c r="D251" s="39"/>
      <c r="E251" s="39"/>
      <c r="F251" s="39"/>
      <c r="G251" s="39"/>
      <c r="H251" s="530"/>
      <c r="I251" s="532"/>
      <c r="J251" s="526" t="str">
        <f>IF(Data!A117="","",Data!A117)</f>
        <v>Table Tennis</v>
      </c>
      <c r="K251" s="527"/>
      <c r="L251" s="436" t="str">
        <f>IF(Data!E117="","",Data!E117)</f>
        <v>First</v>
      </c>
      <c r="M251" s="126" t="str">
        <f>IF(Data!F117="","",Data!F117)</f>
        <v/>
      </c>
      <c r="N251" s="126" t="str">
        <f>IF(Data!G117="","",Data!G117)</f>
        <v>Student</v>
      </c>
      <c r="O251" s="126" t="str">
        <f>IF(Data!H117="","",Data!H117)</f>
        <v>Division</v>
      </c>
      <c r="P251" s="127" t="str">
        <f>IF(Data!I117="","",Data!I117)</f>
        <v>Division Office</v>
      </c>
    </row>
    <row r="252" spans="1:16" ht="15.75" customHeight="1">
      <c r="A252" s="39"/>
      <c r="B252" s="39"/>
      <c r="C252" s="39"/>
      <c r="D252" s="39"/>
      <c r="E252" s="39"/>
      <c r="F252" s="39"/>
      <c r="G252" s="39"/>
      <c r="H252" s="530"/>
      <c r="I252" s="532"/>
      <c r="J252" s="526" t="str">
        <f>IF(Data!A118="","",Data!A118)</f>
        <v>Badminton</v>
      </c>
      <c r="K252" s="527"/>
      <c r="L252" s="436" t="str">
        <f>IF(Data!E118="","",Data!E118)</f>
        <v>First</v>
      </c>
      <c r="M252" s="126" t="str">
        <f>IF(Data!F118="","",Data!F118)</f>
        <v/>
      </c>
      <c r="N252" s="126" t="str">
        <f>IF(Data!G118="","",Data!G118)</f>
        <v>Student</v>
      </c>
      <c r="O252" s="126" t="str">
        <f>IF(Data!H118="","",Data!H118)</f>
        <v>Division</v>
      </c>
      <c r="P252" s="127" t="str">
        <f>IF(Data!I118="","",Data!I118)</f>
        <v>Division Office</v>
      </c>
    </row>
    <row r="253" spans="1:16" ht="15.75" customHeight="1">
      <c r="A253" s="39"/>
      <c r="B253" s="39"/>
      <c r="C253" s="39"/>
      <c r="D253" s="39"/>
      <c r="E253" s="39"/>
      <c r="F253" s="39"/>
      <c r="G253" s="39"/>
      <c r="H253" s="530"/>
      <c r="I253" s="532"/>
      <c r="J253" s="526" t="str">
        <f>IF(Data!A119="","",Data!A119)</f>
        <v>Taekwondo</v>
      </c>
      <c r="K253" s="527"/>
      <c r="L253" s="436" t="str">
        <f>IF(Data!E119="","",Data!E119)</f>
        <v>First</v>
      </c>
      <c r="M253" s="126" t="str">
        <f>IF(Data!F119="","",Data!F119)</f>
        <v/>
      </c>
      <c r="N253" s="126" t="str">
        <f>IF(Data!G119="","",Data!G119)</f>
        <v>Student</v>
      </c>
      <c r="O253" s="126" t="str">
        <f>IF(Data!H119="","",Data!H119)</f>
        <v>Division</v>
      </c>
      <c r="P253" s="127" t="str">
        <f>IF(Data!I119="","",Data!I119)</f>
        <v>Division Office</v>
      </c>
    </row>
    <row r="254" spans="1:16" ht="15.75" customHeight="1">
      <c r="A254" s="39"/>
      <c r="B254" s="39"/>
      <c r="C254" s="39"/>
      <c r="D254" s="39"/>
      <c r="E254" s="39"/>
      <c r="F254" s="39"/>
      <c r="G254" s="39"/>
      <c r="H254" s="530"/>
      <c r="I254" s="532"/>
      <c r="J254" s="526" t="str">
        <f>IF(Data!A120="","",Data!A120)</f>
        <v>Yes -o Camp</v>
      </c>
      <c r="K254" s="527"/>
      <c r="L254" s="436" t="str">
        <f>IF(Data!E120="","",Data!E120)</f>
        <v>Fourth</v>
      </c>
      <c r="M254" s="126" t="str">
        <f>IF(Data!F120="","",Data!F120)</f>
        <v/>
      </c>
      <c r="N254" s="126" t="str">
        <f>IF(Data!G120="","",Data!G120)</f>
        <v>Student</v>
      </c>
      <c r="O254" s="126" t="str">
        <f>IF(Data!H120="","",Data!H120)</f>
        <v>Division</v>
      </c>
      <c r="P254" s="127" t="str">
        <f>IF(Data!I120="","",Data!I120)</f>
        <v>Division Office</v>
      </c>
    </row>
    <row r="255" spans="1:16" ht="15.75" customHeight="1">
      <c r="A255" s="39"/>
      <c r="B255" s="39"/>
      <c r="C255" s="39"/>
      <c r="D255" s="39"/>
      <c r="E255" s="39"/>
      <c r="F255" s="39"/>
      <c r="G255" s="39"/>
      <c r="H255" s="530"/>
      <c r="I255" s="532"/>
      <c r="J255" s="526" t="str">
        <f>IF(Data!A121="","",Data!A121)</f>
        <v>Technolympics (Dressmaking Contest)</v>
      </c>
      <c r="K255" s="527"/>
      <c r="L255" s="436" t="str">
        <f>IF(Data!E121="","",Data!E121)</f>
        <v>Third</v>
      </c>
      <c r="M255" s="126" t="str">
        <f>IF(Data!F121="","",Data!F121)</f>
        <v/>
      </c>
      <c r="N255" s="126" t="str">
        <f>IF(Data!G121="","",Data!G121)</f>
        <v>Student</v>
      </c>
      <c r="O255" s="126" t="str">
        <f>IF(Data!H121="","",Data!H121)</f>
        <v>Division</v>
      </c>
      <c r="P255" s="127" t="str">
        <f>IF(Data!I121="","",Data!I121)</f>
        <v>Division Office</v>
      </c>
    </row>
    <row r="256" spans="1:16" ht="15.75" customHeight="1">
      <c r="A256" s="39"/>
      <c r="B256" s="39"/>
      <c r="C256" s="39"/>
      <c r="D256" s="39"/>
      <c r="E256" s="39"/>
      <c r="F256" s="39"/>
      <c r="G256" s="39"/>
      <c r="H256" s="530"/>
      <c r="I256" s="532"/>
      <c r="J256" s="526" t="str">
        <f>IF(Data!A122="","",Data!A122)</f>
        <v>Technolympics(Automotice Servicing)</v>
      </c>
      <c r="K256" s="527"/>
      <c r="L256" s="436" t="str">
        <f>IF(Data!E122="","",Data!E122)</f>
        <v>Fifth</v>
      </c>
      <c r="M256" s="126" t="str">
        <f>IF(Data!F122="","",Data!F122)</f>
        <v/>
      </c>
      <c r="N256" s="126" t="str">
        <f>IF(Data!G122="","",Data!G122)</f>
        <v>Student</v>
      </c>
      <c r="O256" s="126" t="str">
        <f>IF(Data!H122="","",Data!H122)</f>
        <v>Division</v>
      </c>
      <c r="P256" s="127" t="str">
        <f>IF(Data!I122="","",Data!I122)</f>
        <v>Division Office</v>
      </c>
    </row>
    <row r="257" spans="1:16" ht="15.75" customHeight="1">
      <c r="A257" s="39"/>
      <c r="B257" s="39"/>
      <c r="C257" s="39"/>
      <c r="D257" s="39"/>
      <c r="E257" s="39"/>
      <c r="F257" s="39"/>
      <c r="G257" s="39"/>
      <c r="H257" s="530"/>
      <c r="I257" s="532"/>
      <c r="J257" s="526" t="str">
        <f>IF(Data!A123="","",Data!A123)</f>
        <v/>
      </c>
      <c r="K257" s="527"/>
      <c r="L257" s="436" t="str">
        <f>IF(Data!E123="","",Data!E123)</f>
        <v/>
      </c>
      <c r="M257" s="126" t="str">
        <f>IF(Data!F123="","",Data!F123)</f>
        <v/>
      </c>
      <c r="N257" s="126" t="str">
        <f>IF(Data!G123="","",Data!G123)</f>
        <v/>
      </c>
      <c r="O257" s="126" t="str">
        <f>IF(Data!H123="","",Data!H123)</f>
        <v/>
      </c>
      <c r="P257" s="127" t="str">
        <f>IF(Data!I123="","",Data!I123)</f>
        <v/>
      </c>
    </row>
    <row r="258" spans="1:16" ht="15.75" customHeight="1">
      <c r="A258" s="39"/>
      <c r="B258" s="39"/>
      <c r="C258" s="39"/>
      <c r="D258" s="39"/>
      <c r="E258" s="39"/>
      <c r="F258" s="39"/>
      <c r="G258" s="39"/>
      <c r="H258" s="530"/>
      <c r="I258" s="532"/>
      <c r="J258" s="526" t="str">
        <f>IF(Data!A124="","",Data!A124)</f>
        <v/>
      </c>
      <c r="K258" s="527"/>
      <c r="L258" s="436" t="str">
        <f>IF(Data!E124="","",Data!E124)</f>
        <v/>
      </c>
      <c r="M258" s="126" t="str">
        <f>IF(Data!F124="","",Data!F124)</f>
        <v/>
      </c>
      <c r="N258" s="126" t="str">
        <f>IF(Data!G124="","",Data!G124)</f>
        <v/>
      </c>
      <c r="O258" s="126" t="str">
        <f>IF(Data!H124="","",Data!H124)</f>
        <v/>
      </c>
      <c r="P258" s="127" t="str">
        <f>IF(Data!I124="","",Data!I124)</f>
        <v/>
      </c>
    </row>
    <row r="259" spans="1:16" ht="15.75" customHeight="1">
      <c r="A259" s="39"/>
      <c r="B259" s="39"/>
      <c r="C259" s="39"/>
      <c r="D259" s="39"/>
      <c r="E259" s="39"/>
      <c r="F259" s="39"/>
      <c r="G259" s="39"/>
      <c r="H259" s="530"/>
      <c r="I259" s="532"/>
      <c r="J259" s="526" t="str">
        <f>IF(Data!A125="","",Data!A125)</f>
        <v/>
      </c>
      <c r="K259" s="527"/>
      <c r="L259" s="436" t="str">
        <f>IF(Data!E125="","",Data!E125)</f>
        <v/>
      </c>
      <c r="M259" s="126" t="str">
        <f>IF(Data!F125="","",Data!F125)</f>
        <v/>
      </c>
      <c r="N259" s="126" t="str">
        <f>IF(Data!G125="","",Data!G125)</f>
        <v/>
      </c>
      <c r="O259" s="126" t="str">
        <f>IF(Data!H125="","",Data!H125)</f>
        <v/>
      </c>
      <c r="P259" s="127" t="str">
        <f>IF(Data!I125="","",Data!I125)</f>
        <v/>
      </c>
    </row>
    <row r="260" spans="1:16" ht="15.75" customHeight="1">
      <c r="A260" s="39"/>
      <c r="B260" s="39"/>
      <c r="C260" s="39"/>
      <c r="D260" s="39"/>
      <c r="E260" s="39"/>
      <c r="F260" s="39"/>
      <c r="G260" s="39"/>
      <c r="H260" s="530"/>
      <c r="I260" s="532"/>
      <c r="J260" s="526" t="str">
        <f>IF(Data!A126="","",Data!A126)</f>
        <v/>
      </c>
      <c r="K260" s="527"/>
      <c r="L260" s="436" t="str">
        <f>IF(Data!E126="","",Data!E126)</f>
        <v/>
      </c>
      <c r="M260" s="126" t="str">
        <f>IF(Data!F126="","",Data!F126)</f>
        <v/>
      </c>
      <c r="N260" s="126" t="str">
        <f>IF(Data!G126="","",Data!G126)</f>
        <v/>
      </c>
      <c r="O260" s="126" t="str">
        <f>IF(Data!H126="","",Data!H126)</f>
        <v/>
      </c>
      <c r="P260" s="127" t="str">
        <f>IF(Data!I126="","",Data!I126)</f>
        <v/>
      </c>
    </row>
    <row r="261" spans="1:16" ht="15.75" customHeight="1">
      <c r="A261" s="39"/>
      <c r="B261" s="39"/>
      <c r="C261" s="39"/>
      <c r="D261" s="39"/>
      <c r="E261" s="39"/>
      <c r="F261" s="39"/>
      <c r="G261" s="39"/>
      <c r="H261" s="530"/>
      <c r="I261" s="532"/>
      <c r="J261" s="526" t="str">
        <f>IF(Data!A127="","",Data!A127)</f>
        <v/>
      </c>
      <c r="K261" s="527"/>
      <c r="L261" s="436" t="str">
        <f>IF(Data!E127="","",Data!E127)</f>
        <v/>
      </c>
      <c r="M261" s="126" t="str">
        <f>IF(Data!F127="","",Data!F127)</f>
        <v/>
      </c>
      <c r="N261" s="126" t="str">
        <f>IF(Data!G127="","",Data!G127)</f>
        <v/>
      </c>
      <c r="O261" s="126" t="str">
        <f>IF(Data!H127="","",Data!H127)</f>
        <v/>
      </c>
      <c r="P261" s="127" t="str">
        <f>IF(Data!I127="","",Data!I127)</f>
        <v/>
      </c>
    </row>
    <row r="262" spans="1:16" ht="15.75" customHeight="1">
      <c r="A262" s="39"/>
      <c r="B262" s="39"/>
      <c r="C262" s="39"/>
      <c r="D262" s="39"/>
      <c r="E262" s="39"/>
      <c r="F262" s="39"/>
      <c r="G262" s="39"/>
      <c r="H262" s="530"/>
      <c r="I262" s="532"/>
      <c r="J262" s="526" t="str">
        <f>IF(Data!A128="","",Data!A128)</f>
        <v/>
      </c>
      <c r="K262" s="527"/>
      <c r="L262" s="436" t="str">
        <f>IF(Data!E128="","",Data!E128)</f>
        <v/>
      </c>
      <c r="M262" s="126" t="str">
        <f>IF(Data!F128="","",Data!F128)</f>
        <v/>
      </c>
      <c r="N262" s="126" t="str">
        <f>IF(Data!G128="","",Data!G128)</f>
        <v/>
      </c>
      <c r="O262" s="126" t="str">
        <f>IF(Data!H128="","",Data!H128)</f>
        <v/>
      </c>
      <c r="P262" s="127" t="str">
        <f>IF(Data!I128="","",Data!I128)</f>
        <v/>
      </c>
    </row>
    <row r="263" spans="1:16" ht="15.75" customHeight="1">
      <c r="A263" s="39"/>
      <c r="B263" s="39"/>
      <c r="C263" s="39"/>
      <c r="D263" s="39"/>
      <c r="E263" s="39"/>
      <c r="F263" s="39"/>
      <c r="G263" s="39"/>
      <c r="H263" s="530"/>
      <c r="I263" s="532"/>
      <c r="J263" s="526" t="str">
        <f>IF(Data!A129="","",Data!A129)</f>
        <v/>
      </c>
      <c r="K263" s="527"/>
      <c r="L263" s="436" t="str">
        <f>IF(Data!E129="","",Data!E129)</f>
        <v/>
      </c>
      <c r="M263" s="126" t="str">
        <f>IF(Data!F129="","",Data!F129)</f>
        <v/>
      </c>
      <c r="N263" s="126" t="str">
        <f>IF(Data!G129="","",Data!G129)</f>
        <v/>
      </c>
      <c r="O263" s="126" t="str">
        <f>IF(Data!H129="","",Data!H129)</f>
        <v/>
      </c>
      <c r="P263" s="127" t="str">
        <f>IF(Data!I129="","",Data!I129)</f>
        <v/>
      </c>
    </row>
    <row r="264" spans="1:16" ht="15.75" customHeight="1">
      <c r="A264" s="39"/>
      <c r="B264" s="39"/>
      <c r="C264" s="39"/>
      <c r="D264" s="39"/>
      <c r="E264" s="39"/>
      <c r="F264" s="39"/>
      <c r="G264" s="39"/>
      <c r="H264" s="530"/>
      <c r="I264" s="532"/>
      <c r="J264" s="526" t="str">
        <f>IF(Data!A130="","",Data!A130)</f>
        <v/>
      </c>
      <c r="K264" s="527"/>
      <c r="L264" s="436" t="str">
        <f>IF(Data!E130="","",Data!E130)</f>
        <v/>
      </c>
      <c r="M264" s="126" t="str">
        <f>IF(Data!F130="","",Data!F130)</f>
        <v/>
      </c>
      <c r="N264" s="126" t="str">
        <f>IF(Data!G130="","",Data!G130)</f>
        <v/>
      </c>
      <c r="O264" s="126" t="str">
        <f>IF(Data!H130="","",Data!H130)</f>
        <v/>
      </c>
      <c r="P264" s="127" t="str">
        <f>IF(Data!I130="","",Data!I130)</f>
        <v/>
      </c>
    </row>
    <row r="265" spans="1:16" ht="15.75" customHeight="1">
      <c r="A265" s="540" t="str">
        <f>INDEX(Helper!$L$452:$L$471,MATCH(Home!$O$1,Helper!$A$452:$A$471,0))</f>
        <v>Results of the Group Screening Test (GST) in Phil-IRI during the pre-test in English showed Grade 11 has the highest number of learners who are reading at their level with 50.24 percent of the total GST takers. In Filipino, the percentage of learners who are reading at their level is at 77.02 percent, with Grade 12 having the highest percentage of learners passing the GST.</v>
      </c>
      <c r="B265" s="540"/>
      <c r="C265" s="540"/>
      <c r="D265" s="540"/>
      <c r="E265" s="39"/>
      <c r="F265" s="39"/>
      <c r="G265" s="39"/>
      <c r="H265" s="530"/>
      <c r="I265" s="532"/>
      <c r="J265" s="526" t="str">
        <f>IF(Data!A131="","",Data!A131)</f>
        <v/>
      </c>
      <c r="K265" s="527"/>
      <c r="L265" s="436" t="str">
        <f>IF(Data!E131="","",Data!E131)</f>
        <v/>
      </c>
      <c r="M265" s="126" t="str">
        <f>IF(Data!F131="","",Data!F131)</f>
        <v/>
      </c>
      <c r="N265" s="126" t="str">
        <f>IF(Data!G131="","",Data!G131)</f>
        <v/>
      </c>
      <c r="O265" s="126" t="str">
        <f>IF(Data!H131="","",Data!H131)</f>
        <v/>
      </c>
      <c r="P265" s="127" t="str">
        <f>IF(Data!I131="","",Data!I131)</f>
        <v/>
      </c>
    </row>
    <row r="266" spans="1:16" ht="15.75" customHeight="1">
      <c r="A266" s="540"/>
      <c r="B266" s="540"/>
      <c r="C266" s="540"/>
      <c r="D266" s="540"/>
      <c r="E266" s="39"/>
      <c r="F266" s="39"/>
      <c r="G266" s="39"/>
      <c r="H266" s="530"/>
      <c r="I266" s="532"/>
      <c r="J266" s="526" t="str">
        <f>IF(Data!A132="","",Data!A132)</f>
        <v/>
      </c>
      <c r="K266" s="527"/>
      <c r="L266" s="436" t="str">
        <f>IF(Data!E132="","",Data!E132)</f>
        <v/>
      </c>
      <c r="M266" s="126" t="str">
        <f>IF(Data!F132="","",Data!F132)</f>
        <v/>
      </c>
      <c r="N266" s="126" t="str">
        <f>IF(Data!G132="","",Data!G132)</f>
        <v/>
      </c>
      <c r="O266" s="126" t="str">
        <f>IF(Data!H132="","",Data!H132)</f>
        <v/>
      </c>
      <c r="P266" s="127" t="str">
        <f>IF(Data!I132="","",Data!I132)</f>
        <v/>
      </c>
    </row>
    <row r="267" spans="1:16" ht="15.75" customHeight="1">
      <c r="A267" s="540"/>
      <c r="B267" s="540"/>
      <c r="C267" s="540"/>
      <c r="D267" s="540"/>
      <c r="E267" s="39"/>
      <c r="F267" s="39"/>
      <c r="G267" s="39"/>
      <c r="H267" s="530"/>
      <c r="I267" s="532"/>
      <c r="J267" s="526" t="str">
        <f>IF(Data!A133="","",Data!A133)</f>
        <v/>
      </c>
      <c r="K267" s="527"/>
      <c r="L267" s="436" t="str">
        <f>IF(Data!E133="","",Data!E133)</f>
        <v/>
      </c>
      <c r="M267" s="126" t="str">
        <f>IF(Data!F133="","",Data!F133)</f>
        <v/>
      </c>
      <c r="N267" s="126" t="str">
        <f>IF(Data!G133="","",Data!G133)</f>
        <v/>
      </c>
      <c r="O267" s="126" t="str">
        <f>IF(Data!H133="","",Data!H133)</f>
        <v/>
      </c>
      <c r="P267" s="127" t="str">
        <f>IF(Data!I133="","",Data!I133)</f>
        <v/>
      </c>
    </row>
    <row r="268" spans="1:16" ht="15.75" customHeight="1">
      <c r="A268" s="540"/>
      <c r="B268" s="540"/>
      <c r="C268" s="540"/>
      <c r="D268" s="540"/>
      <c r="E268" s="39"/>
      <c r="F268" s="39"/>
      <c r="G268" s="39"/>
      <c r="H268" s="530"/>
      <c r="I268" s="532"/>
      <c r="J268" s="526" t="str">
        <f>IF(Data!A134="","",Data!A134)</f>
        <v/>
      </c>
      <c r="K268" s="527"/>
      <c r="L268" s="436" t="str">
        <f>IF(Data!E134="","",Data!E134)</f>
        <v/>
      </c>
      <c r="M268" s="126" t="str">
        <f>IF(Data!F134="","",Data!F134)</f>
        <v/>
      </c>
      <c r="N268" s="126" t="str">
        <f>IF(Data!G134="","",Data!G134)</f>
        <v/>
      </c>
      <c r="O268" s="126" t="str">
        <f>IF(Data!H134="","",Data!H134)</f>
        <v/>
      </c>
      <c r="P268" s="127" t="str">
        <f>IF(Data!I134="","",Data!I134)</f>
        <v/>
      </c>
    </row>
    <row r="269" spans="1:16" ht="15.75" customHeight="1">
      <c r="A269" s="540"/>
      <c r="B269" s="540"/>
      <c r="C269" s="540"/>
      <c r="D269" s="540"/>
      <c r="E269" s="39"/>
      <c r="F269" s="39"/>
      <c r="G269" s="39"/>
      <c r="H269" s="530"/>
      <c r="I269" s="532"/>
      <c r="J269" s="526" t="str">
        <f>IF(Data!A135="","",Data!A135)</f>
        <v/>
      </c>
      <c r="K269" s="527"/>
      <c r="L269" s="436" t="str">
        <f>IF(Data!E135="","",Data!E135)</f>
        <v/>
      </c>
      <c r="M269" s="126" t="str">
        <f>IF(Data!F135="","",Data!F135)</f>
        <v/>
      </c>
      <c r="N269" s="126" t="str">
        <f>IF(Data!G135="","",Data!G135)</f>
        <v/>
      </c>
      <c r="O269" s="126" t="str">
        <f>IF(Data!H135="","",Data!H135)</f>
        <v/>
      </c>
      <c r="P269" s="127" t="str">
        <f>IF(Data!I135="","",Data!I135)</f>
        <v/>
      </c>
    </row>
    <row r="270" spans="1:16" ht="15.75" customHeight="1">
      <c r="A270" s="540"/>
      <c r="B270" s="540"/>
      <c r="C270" s="540"/>
      <c r="D270" s="540"/>
      <c r="E270" s="39"/>
      <c r="F270" s="39"/>
      <c r="G270" s="39"/>
      <c r="H270" s="530"/>
      <c r="I270" s="532"/>
      <c r="J270" s="526" t="str">
        <f>IF(Data!A136="","",Data!A136)</f>
        <v/>
      </c>
      <c r="K270" s="527"/>
      <c r="L270" s="436" t="str">
        <f>IF(Data!E136="","",Data!E136)</f>
        <v/>
      </c>
      <c r="M270" s="151" t="str">
        <f>IF(Data!F136="","",Data!F136)</f>
        <v/>
      </c>
      <c r="N270" s="151" t="str">
        <f>IF(Data!G136="","",Data!G136)</f>
        <v/>
      </c>
      <c r="O270" s="151" t="str">
        <f>IF(Data!H136="","",Data!H136)</f>
        <v/>
      </c>
      <c r="P270" s="152" t="str">
        <f>IF(Data!I136="","",Data!I136)</f>
        <v/>
      </c>
    </row>
    <row r="271" spans="1:16" ht="16.5" customHeight="1">
      <c r="A271" s="540"/>
      <c r="B271" s="540"/>
      <c r="C271" s="540"/>
      <c r="D271" s="540"/>
      <c r="E271" s="39"/>
      <c r="F271" s="39"/>
      <c r="G271" s="39"/>
      <c r="H271" s="530"/>
      <c r="I271" s="532"/>
      <c r="J271" s="39"/>
      <c r="K271" s="39"/>
      <c r="L271" s="39"/>
      <c r="M271" s="112"/>
      <c r="N271" s="112"/>
      <c r="O271" s="112"/>
      <c r="P271" s="113"/>
    </row>
    <row r="272" spans="1:16" ht="15.75" customHeight="1">
      <c r="A272" s="540"/>
      <c r="B272" s="540"/>
      <c r="C272" s="540"/>
      <c r="D272" s="540"/>
      <c r="E272" s="39"/>
      <c r="F272" s="39"/>
      <c r="G272" s="39"/>
      <c r="H272" s="530"/>
      <c r="I272" s="532"/>
      <c r="J272" s="39"/>
      <c r="K272" s="39"/>
      <c r="L272" s="39"/>
      <c r="M272" s="114"/>
      <c r="N272" s="114"/>
      <c r="O272" s="114"/>
      <c r="P272" s="115"/>
    </row>
    <row r="273" spans="1:16" ht="15.75" customHeight="1">
      <c r="A273" s="540"/>
      <c r="B273" s="540"/>
      <c r="C273" s="540"/>
      <c r="D273" s="540"/>
      <c r="E273" s="39"/>
      <c r="F273" s="39"/>
      <c r="G273" s="39"/>
      <c r="H273" s="530"/>
      <c r="I273" s="532"/>
      <c r="J273" s="39"/>
      <c r="K273" s="39"/>
      <c r="L273" s="39"/>
      <c r="M273" s="114"/>
      <c r="N273" s="114"/>
      <c r="O273" s="114"/>
      <c r="P273" s="115"/>
    </row>
    <row r="274" spans="1:16" ht="15.75" customHeight="1">
      <c r="A274" s="540"/>
      <c r="B274" s="540"/>
      <c r="C274" s="540"/>
      <c r="D274" s="540"/>
      <c r="E274" s="39"/>
      <c r="F274" s="39"/>
      <c r="G274" s="39"/>
      <c r="H274" s="530"/>
      <c r="I274" s="532"/>
      <c r="J274" s="39"/>
      <c r="K274" s="39"/>
      <c r="L274" s="39"/>
      <c r="M274" s="114"/>
      <c r="N274" s="114"/>
      <c r="O274" s="114"/>
      <c r="P274" s="115"/>
    </row>
    <row r="275" spans="1:16" ht="15.75" customHeight="1">
      <c r="A275" s="540"/>
      <c r="B275" s="540"/>
      <c r="C275" s="540"/>
      <c r="D275" s="540"/>
      <c r="E275" s="39"/>
      <c r="F275" s="39"/>
      <c r="G275" s="39"/>
      <c r="H275" s="530"/>
      <c r="I275" s="532"/>
      <c r="J275" s="39"/>
      <c r="K275" s="39"/>
      <c r="L275" s="39"/>
      <c r="M275" s="114"/>
      <c r="N275" s="114"/>
      <c r="O275" s="114"/>
      <c r="P275" s="115"/>
    </row>
  </sheetData>
  <sheetProtection algorithmName="SHA-512" hashValue="vDAtXQmE+prTS9TezEoDtUkeLQKztwEhJg3evg7R/ySqLcCihz05puyk0pOScgtyu+NwCwPty2lpczk+kykcXw==" saltValue="xW/y361nBrXglqAqzES67A==" spinCount="100000" sheet="1" objects="1" scenarios="1"/>
  <mergeCells count="125">
    <mergeCell ref="J270:K270"/>
    <mergeCell ref="J258:K258"/>
    <mergeCell ref="J259:K259"/>
    <mergeCell ref="J260:K260"/>
    <mergeCell ref="J261:K261"/>
    <mergeCell ref="J262:K262"/>
    <mergeCell ref="J263:K263"/>
    <mergeCell ref="J264:K264"/>
    <mergeCell ref="J265:K265"/>
    <mergeCell ref="J266:K266"/>
    <mergeCell ref="J252:K252"/>
    <mergeCell ref="J253:K253"/>
    <mergeCell ref="J254:K254"/>
    <mergeCell ref="J255:K255"/>
    <mergeCell ref="J256:K256"/>
    <mergeCell ref="J257:K257"/>
    <mergeCell ref="J267:K267"/>
    <mergeCell ref="J268:K268"/>
    <mergeCell ref="J269:K269"/>
    <mergeCell ref="A34:G34"/>
    <mergeCell ref="A35:G35"/>
    <mergeCell ref="A36:G36"/>
    <mergeCell ref="A37:G37"/>
    <mergeCell ref="H4:H37"/>
    <mergeCell ref="I4:I37"/>
    <mergeCell ref="A1:P3"/>
    <mergeCell ref="A25:G31"/>
    <mergeCell ref="A32:G32"/>
    <mergeCell ref="A33:G33"/>
    <mergeCell ref="J26:N37"/>
    <mergeCell ref="A63:C71"/>
    <mergeCell ref="E63:G71"/>
    <mergeCell ref="M46:P53"/>
    <mergeCell ref="J63:L71"/>
    <mergeCell ref="A91:E91"/>
    <mergeCell ref="A92:E92"/>
    <mergeCell ref="A93:E93"/>
    <mergeCell ref="H140:H173"/>
    <mergeCell ref="I140:I173"/>
    <mergeCell ref="H38:H71"/>
    <mergeCell ref="I38:I71"/>
    <mergeCell ref="H72:H105"/>
    <mergeCell ref="I72:I105"/>
    <mergeCell ref="H106:H139"/>
    <mergeCell ref="I106:I139"/>
    <mergeCell ref="O88:P105"/>
    <mergeCell ref="A134:G139"/>
    <mergeCell ref="J130:K139"/>
    <mergeCell ref="A94:E94"/>
    <mergeCell ref="A95:E95"/>
    <mergeCell ref="A96:E96"/>
    <mergeCell ref="F91:G91"/>
    <mergeCell ref="F92:G92"/>
    <mergeCell ref="F93:G93"/>
    <mergeCell ref="F94:G94"/>
    <mergeCell ref="F95:G95"/>
    <mergeCell ref="F96:G96"/>
    <mergeCell ref="J144:O145"/>
    <mergeCell ref="J146:O147"/>
    <mergeCell ref="J148:O149"/>
    <mergeCell ref="M124:P127"/>
    <mergeCell ref="J106:K110"/>
    <mergeCell ref="A99:G105"/>
    <mergeCell ref="A97:E97"/>
    <mergeCell ref="F97:G97"/>
    <mergeCell ref="E175:F175"/>
    <mergeCell ref="B175:D176"/>
    <mergeCell ref="B177:D177"/>
    <mergeCell ref="B191:D191"/>
    <mergeCell ref="B182:D182"/>
    <mergeCell ref="B183:D183"/>
    <mergeCell ref="B184:D184"/>
    <mergeCell ref="B185:D185"/>
    <mergeCell ref="B186:D186"/>
    <mergeCell ref="B187:D187"/>
    <mergeCell ref="B188:D188"/>
    <mergeCell ref="B189:D189"/>
    <mergeCell ref="J250:K250"/>
    <mergeCell ref="J150:O150"/>
    <mergeCell ref="A164:C164"/>
    <mergeCell ref="E164:G164"/>
    <mergeCell ref="A168:C168"/>
    <mergeCell ref="E168:G168"/>
    <mergeCell ref="C172:E172"/>
    <mergeCell ref="C173:E173"/>
    <mergeCell ref="A165:C165"/>
    <mergeCell ref="E165:G165"/>
    <mergeCell ref="A169:C169"/>
    <mergeCell ref="E169:G169"/>
    <mergeCell ref="H174:H207"/>
    <mergeCell ref="I174:I207"/>
    <mergeCell ref="A174:G174"/>
    <mergeCell ref="L198:P207"/>
    <mergeCell ref="J151:O151"/>
    <mergeCell ref="B178:D178"/>
    <mergeCell ref="B179:D179"/>
    <mergeCell ref="B180:D180"/>
    <mergeCell ref="B181:D181"/>
    <mergeCell ref="A175:A176"/>
    <mergeCell ref="G175:G176"/>
    <mergeCell ref="E192:G207"/>
    <mergeCell ref="J251:K251"/>
    <mergeCell ref="B190:D190"/>
    <mergeCell ref="H208:H241"/>
    <mergeCell ref="I208:I241"/>
    <mergeCell ref="E233:G241"/>
    <mergeCell ref="M227:P241"/>
    <mergeCell ref="H242:H275"/>
    <mergeCell ref="I242:I275"/>
    <mergeCell ref="P242:P243"/>
    <mergeCell ref="M242:M243"/>
    <mergeCell ref="N242:N243"/>
    <mergeCell ref="C222:G226"/>
    <mergeCell ref="A227:G228"/>
    <mergeCell ref="A265:D275"/>
    <mergeCell ref="O242:O243"/>
    <mergeCell ref="J242:K243"/>
    <mergeCell ref="L242:L243"/>
    <mergeCell ref="J244:K244"/>
    <mergeCell ref="J245:K245"/>
    <mergeCell ref="J246:K246"/>
    <mergeCell ref="J247:K247"/>
    <mergeCell ref="J248:K248"/>
    <mergeCell ref="A230:G231"/>
    <mergeCell ref="J249:K249"/>
  </mergeCells>
  <dataValidations count="1">
    <dataValidation type="list" allowBlank="1" showInputMessage="1" showErrorMessage="1" sqref="A32:A37">
      <formula1>REASONS</formula1>
    </dataValidation>
  </dataValidations>
  <printOptions horizontalCentered="1" verticalCentered="1"/>
  <pageMargins left="0.3" right="0.3" top="0.5" bottom="0.5" header="0" footer="0"/>
  <pageSetup paperSize="9" scale="95" orientation="landscape" horizontalDpi="4294967293" verticalDpi="0" r:id="rId1"/>
  <rowBreaks count="7" manualBreakCount="7">
    <brk id="37" max="16383" man="1"/>
    <brk id="71" max="16383" man="1"/>
    <brk id="105" max="16383" man="1"/>
    <brk id="139" max="16383" man="1"/>
    <brk id="173" max="16383" man="1"/>
    <brk id="207" max="16383" man="1"/>
    <brk id="241" max="16383" man="1"/>
  </rowBreaks>
  <colBreaks count="1" manualBreakCount="1">
    <brk id="1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1"/>
  <sheetViews>
    <sheetView showGridLines="0" showRowColHeaders="0" zoomScale="60" zoomScaleNormal="60" workbookViewId="0">
      <pane xSplit="35" ySplit="3" topLeftCell="AJ52" activePane="bottomRight" state="frozen"/>
      <selection pane="topRight"/>
      <selection pane="bottomLeft"/>
      <selection pane="bottomRight" activeCell="AJ19" sqref="AJ19"/>
    </sheetView>
  </sheetViews>
  <sheetFormatPr defaultColWidth="9.109375" defaultRowHeight="14.4"/>
  <cols>
    <col min="1" max="2" width="8.6640625" style="144" customWidth="1"/>
    <col min="3" max="3" width="11.109375" style="144" customWidth="1"/>
    <col min="4" max="4" width="8.6640625" style="144" customWidth="1"/>
    <col min="5" max="5" width="4.44140625" style="144" customWidth="1"/>
    <col min="6" max="6" width="11.109375" style="144" customWidth="1"/>
    <col min="7" max="7" width="13" style="144" customWidth="1"/>
    <col min="8" max="8" width="8.6640625" style="144" customWidth="1"/>
    <col min="9" max="9" width="2.33203125" style="144" customWidth="1"/>
    <col min="10" max="11" width="8.6640625" style="144" customWidth="1"/>
    <col min="12" max="12" width="11.109375" style="144" customWidth="1"/>
    <col min="13" max="13" width="8.6640625" style="144" customWidth="1"/>
    <col min="14" max="14" width="4.44140625" style="144" customWidth="1"/>
    <col min="15" max="15" width="11.109375" style="144" customWidth="1"/>
    <col min="16" max="16" width="13" style="144" customWidth="1"/>
    <col min="17" max="17" width="8.6640625" style="144" customWidth="1"/>
    <col min="18" max="18" width="2.33203125" style="144" customWidth="1"/>
    <col min="19" max="20" width="8.6640625" style="144" customWidth="1"/>
    <col min="21" max="21" width="11.109375" style="144" customWidth="1"/>
    <col min="22" max="22" width="6.6640625" style="144" customWidth="1"/>
    <col min="23" max="23" width="6.44140625" style="144" customWidth="1"/>
    <col min="24" max="24" width="11.109375" style="144" customWidth="1"/>
    <col min="25" max="25" width="13" style="144" customWidth="1"/>
    <col min="26" max="26" width="8.6640625" style="144" customWidth="1"/>
    <col min="27" max="27" width="2.33203125" style="144" customWidth="1"/>
    <col min="28" max="29" width="8.6640625" style="144" customWidth="1"/>
    <col min="30" max="30" width="11.109375" style="144" customWidth="1"/>
    <col min="31" max="31" width="8.6640625" style="144" customWidth="1"/>
    <col min="32" max="32" width="4.44140625" style="144" customWidth="1"/>
    <col min="33" max="33" width="11.109375" style="144" customWidth="1"/>
    <col min="34" max="34" width="13" style="144" customWidth="1"/>
    <col min="35" max="35" width="8.6640625" style="144" customWidth="1"/>
    <col min="36" max="163" width="9.109375" style="144"/>
    <col min="164" max="164" width="9.109375" style="144" customWidth="1"/>
    <col min="165" max="16384" width="9.109375" style="144"/>
  </cols>
  <sheetData>
    <row r="1" spans="1:35" ht="30" customHeight="1">
      <c r="A1" s="586"/>
      <c r="B1" s="587"/>
      <c r="C1" s="587"/>
      <c r="D1" s="587"/>
      <c r="E1" s="587"/>
      <c r="F1" s="587"/>
      <c r="G1" s="587"/>
      <c r="H1" s="587"/>
      <c r="I1" s="587"/>
      <c r="J1" s="587"/>
      <c r="K1" s="587"/>
      <c r="L1" s="587"/>
      <c r="M1" s="587"/>
      <c r="N1" s="587"/>
      <c r="O1" s="587"/>
      <c r="P1" s="587"/>
      <c r="Q1" s="587"/>
      <c r="R1" s="587"/>
      <c r="S1" s="587"/>
      <c r="T1" s="587"/>
      <c r="U1" s="587"/>
      <c r="V1" s="587"/>
      <c r="W1" s="587"/>
      <c r="X1" s="587"/>
      <c r="Y1" s="587"/>
      <c r="Z1" s="587"/>
      <c r="AA1" s="587"/>
      <c r="AB1" s="587"/>
      <c r="AC1" s="587"/>
      <c r="AD1" s="587"/>
      <c r="AE1" s="587"/>
      <c r="AF1" s="587"/>
      <c r="AG1" s="587"/>
      <c r="AH1" s="587"/>
      <c r="AI1" s="588"/>
    </row>
    <row r="2" spans="1:35" ht="30" customHeight="1">
      <c r="A2" s="589"/>
      <c r="B2" s="590"/>
      <c r="C2" s="590"/>
      <c r="D2" s="590"/>
      <c r="E2" s="590"/>
      <c r="F2" s="590"/>
      <c r="G2" s="590"/>
      <c r="H2" s="590"/>
      <c r="I2" s="590"/>
      <c r="J2" s="590"/>
      <c r="K2" s="590"/>
      <c r="L2" s="590"/>
      <c r="M2" s="590"/>
      <c r="N2" s="590"/>
      <c r="O2" s="590"/>
      <c r="P2" s="590"/>
      <c r="Q2" s="590"/>
      <c r="R2" s="590"/>
      <c r="S2" s="590"/>
      <c r="T2" s="590"/>
      <c r="U2" s="590"/>
      <c r="V2" s="590"/>
      <c r="W2" s="590"/>
      <c r="X2" s="590"/>
      <c r="Y2" s="590"/>
      <c r="Z2" s="590"/>
      <c r="AA2" s="590"/>
      <c r="AB2" s="590"/>
      <c r="AC2" s="590"/>
      <c r="AD2" s="590"/>
      <c r="AE2" s="590"/>
      <c r="AF2" s="590"/>
      <c r="AG2" s="590"/>
      <c r="AH2" s="590"/>
      <c r="AI2" s="591"/>
    </row>
    <row r="3" spans="1:35" ht="30" customHeight="1" thickBot="1">
      <c r="A3" s="592"/>
      <c r="B3" s="593"/>
      <c r="C3" s="593"/>
      <c r="D3" s="593"/>
      <c r="E3" s="593"/>
      <c r="F3" s="593"/>
      <c r="G3" s="593"/>
      <c r="H3" s="593"/>
      <c r="I3" s="593"/>
      <c r="J3" s="593"/>
      <c r="K3" s="593"/>
      <c r="L3" s="593"/>
      <c r="M3" s="593"/>
      <c r="N3" s="593"/>
      <c r="O3" s="593"/>
      <c r="P3" s="593"/>
      <c r="Q3" s="593"/>
      <c r="R3" s="593"/>
      <c r="S3" s="593"/>
      <c r="T3" s="593"/>
      <c r="U3" s="593"/>
      <c r="V3" s="593"/>
      <c r="W3" s="593"/>
      <c r="X3" s="593"/>
      <c r="Y3" s="593"/>
      <c r="Z3" s="593"/>
      <c r="AA3" s="593"/>
      <c r="AB3" s="593"/>
      <c r="AC3" s="593"/>
      <c r="AD3" s="593"/>
      <c r="AE3" s="593"/>
      <c r="AF3" s="593"/>
      <c r="AG3" s="593"/>
      <c r="AH3" s="593"/>
      <c r="AI3" s="594"/>
    </row>
    <row r="4" spans="1:35" ht="15.75" customHeight="1">
      <c r="A4" s="39"/>
      <c r="B4" s="39"/>
      <c r="C4" s="39"/>
      <c r="D4" s="39"/>
      <c r="E4" s="39"/>
      <c r="F4" s="39"/>
      <c r="G4" s="39"/>
      <c r="H4" s="529" t="s">
        <v>719</v>
      </c>
      <c r="I4" s="39"/>
      <c r="J4" s="39"/>
      <c r="K4" s="39"/>
      <c r="L4" s="39"/>
      <c r="M4" s="39"/>
      <c r="N4" s="39"/>
      <c r="O4" s="39"/>
      <c r="P4" s="39"/>
      <c r="Q4" s="529" t="s">
        <v>720</v>
      </c>
      <c r="R4" s="39"/>
      <c r="S4" s="39"/>
      <c r="T4" s="39"/>
      <c r="U4" s="39"/>
      <c r="V4" s="39"/>
      <c r="W4" s="39"/>
      <c r="X4" s="39"/>
      <c r="Y4" s="39"/>
      <c r="Z4" s="529" t="s">
        <v>721</v>
      </c>
      <c r="AB4" s="39"/>
      <c r="AC4" s="39"/>
      <c r="AD4" s="39"/>
      <c r="AE4" s="39"/>
      <c r="AF4" s="39"/>
      <c r="AG4" s="39"/>
      <c r="AH4" s="39"/>
      <c r="AI4" s="529" t="s">
        <v>730</v>
      </c>
    </row>
    <row r="5" spans="1:35" ht="15.75" customHeight="1">
      <c r="A5" s="39"/>
      <c r="B5" s="39"/>
      <c r="C5" s="39"/>
      <c r="D5" s="39"/>
      <c r="E5" s="39"/>
      <c r="F5" s="39"/>
      <c r="G5" s="39"/>
      <c r="H5" s="530"/>
      <c r="I5" s="39"/>
      <c r="J5" s="39"/>
      <c r="K5" s="39"/>
      <c r="L5" s="39"/>
      <c r="M5" s="39"/>
      <c r="N5" s="39"/>
      <c r="O5" s="39"/>
      <c r="P5" s="39"/>
      <c r="Q5" s="530"/>
      <c r="R5" s="39"/>
      <c r="S5" s="39"/>
      <c r="T5" s="39"/>
      <c r="U5" s="39"/>
      <c r="V5" s="39"/>
      <c r="W5" s="39"/>
      <c r="X5" s="39"/>
      <c r="Y5" s="39"/>
      <c r="Z5" s="530"/>
      <c r="AB5" s="39"/>
      <c r="AC5" s="39"/>
      <c r="AD5" s="39"/>
      <c r="AE5" s="39"/>
      <c r="AF5" s="39"/>
      <c r="AG5" s="39"/>
      <c r="AH5" s="39"/>
      <c r="AI5" s="530"/>
    </row>
    <row r="6" spans="1:35" ht="15.75" customHeight="1">
      <c r="A6" s="39"/>
      <c r="B6" s="39"/>
      <c r="C6" s="39"/>
      <c r="D6" s="39"/>
      <c r="E6" s="39"/>
      <c r="F6" s="39"/>
      <c r="G6" s="39"/>
      <c r="H6" s="530"/>
      <c r="I6" s="39"/>
      <c r="J6" s="39"/>
      <c r="K6" s="39"/>
      <c r="L6" s="39"/>
      <c r="M6" s="39"/>
      <c r="N6" s="39"/>
      <c r="O6" s="39"/>
      <c r="P6" s="39"/>
      <c r="Q6" s="530"/>
      <c r="R6" s="39"/>
      <c r="S6" s="39"/>
      <c r="T6" s="39"/>
      <c r="U6" s="39"/>
      <c r="V6" s="39"/>
      <c r="W6" s="39"/>
      <c r="X6" s="39"/>
      <c r="Y6" s="39"/>
      <c r="Z6" s="530"/>
      <c r="AB6" s="39"/>
      <c r="AC6" s="39"/>
      <c r="AD6" s="39"/>
      <c r="AE6" s="39"/>
      <c r="AF6" s="39"/>
      <c r="AG6" s="39"/>
      <c r="AH6" s="39"/>
      <c r="AI6" s="530"/>
    </row>
    <row r="7" spans="1:35" ht="15.75" customHeight="1">
      <c r="A7" s="39"/>
      <c r="B7" s="39"/>
      <c r="C7" s="39"/>
      <c r="D7" s="39"/>
      <c r="E7" s="39"/>
      <c r="F7" s="39"/>
      <c r="G7" s="39"/>
      <c r="H7" s="530"/>
      <c r="I7" s="39"/>
      <c r="J7" s="39"/>
      <c r="K7" s="39"/>
      <c r="L7" s="39"/>
      <c r="M7" s="39"/>
      <c r="N7" s="39"/>
      <c r="O7" s="39"/>
      <c r="P7" s="39"/>
      <c r="Q7" s="530"/>
      <c r="R7" s="39"/>
      <c r="S7" s="39"/>
      <c r="T7" s="39"/>
      <c r="U7" s="39"/>
      <c r="V7" s="39"/>
      <c r="W7" s="39"/>
      <c r="X7" s="39"/>
      <c r="Y7" s="39"/>
      <c r="Z7" s="530"/>
      <c r="AB7" s="39"/>
      <c r="AC7" s="39"/>
      <c r="AD7" s="39"/>
      <c r="AE7" s="39"/>
      <c r="AF7" s="39"/>
      <c r="AG7" s="39"/>
      <c r="AH7" s="39"/>
      <c r="AI7" s="530"/>
    </row>
    <row r="8" spans="1:35" ht="15.75" customHeight="1">
      <c r="A8" s="39"/>
      <c r="B8" s="39"/>
      <c r="C8" s="39"/>
      <c r="D8" s="39"/>
      <c r="E8" s="39"/>
      <c r="F8" s="39"/>
      <c r="G8" s="39"/>
      <c r="H8" s="530"/>
      <c r="I8" s="39"/>
      <c r="J8" s="39"/>
      <c r="K8" s="39"/>
      <c r="L8" s="39"/>
      <c r="M8" s="39"/>
      <c r="N8" s="39"/>
      <c r="O8" s="39"/>
      <c r="P8" s="39"/>
      <c r="Q8" s="530"/>
      <c r="R8" s="39"/>
      <c r="S8" s="39"/>
      <c r="T8" s="39"/>
      <c r="U8" s="39"/>
      <c r="V8" s="39"/>
      <c r="W8" s="39"/>
      <c r="X8" s="39"/>
      <c r="Y8" s="39"/>
      <c r="Z8" s="530"/>
      <c r="AB8" s="39"/>
      <c r="AC8" s="39"/>
      <c r="AD8" s="39"/>
      <c r="AE8" s="39"/>
      <c r="AF8" s="39"/>
      <c r="AG8" s="39"/>
      <c r="AH8" s="39"/>
      <c r="AI8" s="530"/>
    </row>
    <row r="9" spans="1:35" ht="15.75" customHeight="1">
      <c r="A9" s="39"/>
      <c r="B9" s="39"/>
      <c r="C9" s="39"/>
      <c r="D9" s="39"/>
      <c r="E9" s="39"/>
      <c r="F9" s="39"/>
      <c r="G9" s="39"/>
      <c r="H9" s="530"/>
      <c r="I9" s="39"/>
      <c r="J9" s="39"/>
      <c r="K9" s="39"/>
      <c r="L9" s="39"/>
      <c r="M9" s="39"/>
      <c r="N9" s="39"/>
      <c r="O9" s="39"/>
      <c r="P9" s="39"/>
      <c r="Q9" s="530"/>
      <c r="R9" s="39"/>
      <c r="S9" s="39"/>
      <c r="T9" s="39"/>
      <c r="U9" s="39"/>
      <c r="V9" s="39"/>
      <c r="W9" s="39"/>
      <c r="X9" s="39"/>
      <c r="Y9" s="39"/>
      <c r="Z9" s="530"/>
      <c r="AB9" s="39"/>
      <c r="AC9" s="39"/>
      <c r="AD9" s="39"/>
      <c r="AE9" s="39"/>
      <c r="AF9" s="39"/>
      <c r="AG9" s="39"/>
      <c r="AH9" s="39"/>
      <c r="AI9" s="530"/>
    </row>
    <row r="10" spans="1:35" ht="15.75" customHeight="1">
      <c r="A10" s="39"/>
      <c r="B10" s="39"/>
      <c r="C10" s="39"/>
      <c r="D10" s="39"/>
      <c r="E10" s="39"/>
      <c r="F10" s="39"/>
      <c r="G10" s="39"/>
      <c r="H10" s="530"/>
      <c r="I10" s="39"/>
      <c r="J10" s="39"/>
      <c r="K10" s="39"/>
      <c r="L10" s="39"/>
      <c r="M10" s="39"/>
      <c r="N10" s="39"/>
      <c r="O10" s="39"/>
      <c r="P10" s="39"/>
      <c r="Q10" s="530"/>
      <c r="R10" s="39"/>
      <c r="S10" s="39"/>
      <c r="T10" s="39"/>
      <c r="U10" s="39"/>
      <c r="V10" s="39"/>
      <c r="W10" s="39"/>
      <c r="X10" s="39"/>
      <c r="Y10" s="39"/>
      <c r="Z10" s="530"/>
      <c r="AB10" s="39"/>
      <c r="AC10" s="39"/>
      <c r="AD10" s="39"/>
      <c r="AE10" s="39"/>
      <c r="AF10" s="39"/>
      <c r="AG10" s="39"/>
      <c r="AH10" s="39"/>
      <c r="AI10" s="530"/>
    </row>
    <row r="11" spans="1:35" ht="15.75" customHeight="1">
      <c r="A11" s="39"/>
      <c r="B11" s="39"/>
      <c r="C11" s="39"/>
      <c r="D11" s="39"/>
      <c r="E11" s="39"/>
      <c r="F11" s="39"/>
      <c r="G11" s="39"/>
      <c r="H11" s="530"/>
      <c r="I11" s="39"/>
      <c r="J11" s="39"/>
      <c r="K11" s="39"/>
      <c r="L11" s="39"/>
      <c r="M11" s="39"/>
      <c r="N11" s="39"/>
      <c r="O11" s="39"/>
      <c r="P11" s="39"/>
      <c r="Q11" s="530"/>
      <c r="R11" s="39"/>
      <c r="S11" s="39"/>
      <c r="T11" s="39"/>
      <c r="U11" s="39"/>
      <c r="V11" s="39"/>
      <c r="W11" s="39"/>
      <c r="X11" s="39"/>
      <c r="Y11" s="39"/>
      <c r="Z11" s="530"/>
      <c r="AB11" s="39"/>
      <c r="AC11" s="39"/>
      <c r="AD11" s="39"/>
      <c r="AE11" s="39"/>
      <c r="AF11" s="39"/>
      <c r="AG11" s="39"/>
      <c r="AH11" s="39"/>
      <c r="AI11" s="530"/>
    </row>
    <row r="12" spans="1:35" ht="15.75" customHeight="1">
      <c r="A12" s="39"/>
      <c r="B12" s="39"/>
      <c r="C12" s="39"/>
      <c r="D12" s="39"/>
      <c r="E12" s="39"/>
      <c r="F12" s="39"/>
      <c r="G12" s="39"/>
      <c r="H12" s="530"/>
      <c r="I12" s="39"/>
      <c r="J12" s="39"/>
      <c r="K12" s="39"/>
      <c r="L12" s="39"/>
      <c r="M12" s="39"/>
      <c r="N12" s="39"/>
      <c r="O12" s="39"/>
      <c r="P12" s="39"/>
      <c r="Q12" s="530"/>
      <c r="R12" s="39"/>
      <c r="S12" s="39"/>
      <c r="T12" s="39"/>
      <c r="U12" s="39"/>
      <c r="V12" s="39"/>
      <c r="W12" s="39"/>
      <c r="X12" s="39"/>
      <c r="Y12" s="39"/>
      <c r="Z12" s="530"/>
      <c r="AB12" s="39"/>
      <c r="AC12" s="39"/>
      <c r="AD12" s="39"/>
      <c r="AE12" s="39"/>
      <c r="AF12" s="39"/>
      <c r="AG12" s="39"/>
      <c r="AH12" s="39"/>
      <c r="AI12" s="530"/>
    </row>
    <row r="13" spans="1:35" ht="15.75" customHeight="1">
      <c r="A13" s="39"/>
      <c r="B13" s="39"/>
      <c r="C13" s="39"/>
      <c r="D13" s="39"/>
      <c r="E13" s="39"/>
      <c r="F13" s="39"/>
      <c r="G13" s="39"/>
      <c r="H13" s="530"/>
      <c r="I13" s="39"/>
      <c r="J13" s="39"/>
      <c r="K13" s="39"/>
      <c r="L13" s="39"/>
      <c r="M13" s="39"/>
      <c r="N13" s="39"/>
      <c r="O13" s="39"/>
      <c r="P13" s="39"/>
      <c r="Q13" s="530"/>
      <c r="R13" s="39"/>
      <c r="S13" s="39"/>
      <c r="T13" s="39"/>
      <c r="U13" s="39"/>
      <c r="V13" s="39"/>
      <c r="W13" s="39"/>
      <c r="X13" s="39"/>
      <c r="Y13" s="39"/>
      <c r="Z13" s="530"/>
      <c r="AB13" s="39"/>
      <c r="AC13" s="39"/>
      <c r="AD13" s="39"/>
      <c r="AE13" s="39"/>
      <c r="AF13" s="39"/>
      <c r="AG13" s="39"/>
      <c r="AH13" s="39"/>
      <c r="AI13" s="530"/>
    </row>
    <row r="14" spans="1:35" ht="15.75" customHeight="1">
      <c r="A14" s="39"/>
      <c r="B14" s="39"/>
      <c r="C14" s="39"/>
      <c r="D14" s="39"/>
      <c r="E14" s="39"/>
      <c r="F14" s="39"/>
      <c r="G14" s="39"/>
      <c r="H14" s="530"/>
      <c r="I14" s="39"/>
      <c r="J14" s="39"/>
      <c r="K14" s="39"/>
      <c r="L14" s="39"/>
      <c r="M14" s="39"/>
      <c r="N14" s="39"/>
      <c r="O14" s="39"/>
      <c r="P14" s="39"/>
      <c r="Q14" s="530"/>
      <c r="R14" s="39"/>
      <c r="S14" s="39"/>
      <c r="T14" s="39"/>
      <c r="U14" s="39"/>
      <c r="V14" s="39"/>
      <c r="W14" s="39"/>
      <c r="X14" s="39"/>
      <c r="Y14" s="39"/>
      <c r="Z14" s="530"/>
      <c r="AB14" s="39"/>
      <c r="AC14" s="39"/>
      <c r="AD14" s="39"/>
      <c r="AE14" s="39"/>
      <c r="AF14" s="39"/>
      <c r="AG14" s="39"/>
      <c r="AH14" s="39"/>
      <c r="AI14" s="530"/>
    </row>
    <row r="15" spans="1:35" ht="15.75" customHeight="1">
      <c r="A15" s="39"/>
      <c r="B15" s="39"/>
      <c r="C15" s="39"/>
      <c r="D15" s="39"/>
      <c r="E15" s="39"/>
      <c r="F15" s="39"/>
      <c r="G15" s="39"/>
      <c r="H15" s="530"/>
      <c r="I15" s="39"/>
      <c r="J15" s="39"/>
      <c r="K15" s="39"/>
      <c r="L15" s="39"/>
      <c r="M15" s="39"/>
      <c r="N15" s="39"/>
      <c r="O15" s="39"/>
      <c r="P15" s="39"/>
      <c r="Q15" s="530"/>
      <c r="R15" s="39"/>
      <c r="S15" s="39"/>
      <c r="T15" s="39"/>
      <c r="U15" s="39"/>
      <c r="V15" s="39"/>
      <c r="W15" s="39"/>
      <c r="X15" s="39"/>
      <c r="Y15" s="39"/>
      <c r="Z15" s="530"/>
      <c r="AB15" s="39"/>
      <c r="AC15" s="39"/>
      <c r="AD15" s="39"/>
      <c r="AE15" s="39"/>
      <c r="AF15" s="39"/>
      <c r="AG15" s="39"/>
      <c r="AH15" s="39"/>
      <c r="AI15" s="530"/>
    </row>
    <row r="16" spans="1:35" ht="15.75" customHeight="1">
      <c r="A16" s="39"/>
      <c r="B16" s="39"/>
      <c r="C16" s="39"/>
      <c r="D16" s="39"/>
      <c r="E16" s="39"/>
      <c r="F16" s="39"/>
      <c r="G16" s="39"/>
      <c r="H16" s="530"/>
      <c r="I16" s="39"/>
      <c r="J16" s="39"/>
      <c r="K16" s="39"/>
      <c r="L16" s="39"/>
      <c r="M16" s="39"/>
      <c r="N16" s="39"/>
      <c r="O16" s="39"/>
      <c r="P16" s="39"/>
      <c r="Q16" s="530"/>
      <c r="R16" s="39"/>
      <c r="S16" s="39"/>
      <c r="T16" s="39"/>
      <c r="U16" s="39"/>
      <c r="V16" s="39"/>
      <c r="W16" s="39"/>
      <c r="X16" s="39"/>
      <c r="Y16" s="39"/>
      <c r="Z16" s="530"/>
      <c r="AB16" s="39"/>
      <c r="AC16" s="39"/>
      <c r="AD16" s="39"/>
      <c r="AE16" s="39"/>
      <c r="AF16" s="39"/>
      <c r="AG16" s="39"/>
      <c r="AH16" s="39"/>
      <c r="AI16" s="530"/>
    </row>
    <row r="17" spans="1:35" ht="15.75" customHeight="1">
      <c r="A17" s="39"/>
      <c r="B17" s="39"/>
      <c r="C17" s="39"/>
      <c r="D17" s="39"/>
      <c r="E17" s="39"/>
      <c r="F17" s="39"/>
      <c r="G17" s="39"/>
      <c r="H17" s="530"/>
      <c r="I17" s="39"/>
      <c r="J17" s="39"/>
      <c r="K17" s="39"/>
      <c r="L17" s="39"/>
      <c r="M17" s="39"/>
      <c r="N17" s="39"/>
      <c r="O17" s="39"/>
      <c r="P17" s="39"/>
      <c r="Q17" s="530"/>
      <c r="R17" s="39"/>
      <c r="S17" s="39"/>
      <c r="T17" s="39"/>
      <c r="U17" s="39"/>
      <c r="V17" s="39"/>
      <c r="W17" s="39"/>
      <c r="X17" s="39"/>
      <c r="Y17" s="39"/>
      <c r="Z17" s="530"/>
      <c r="AB17" s="39"/>
      <c r="AC17" s="39"/>
      <c r="AD17" s="39"/>
      <c r="AE17" s="39"/>
      <c r="AF17" s="39"/>
      <c r="AG17" s="39"/>
      <c r="AH17" s="39"/>
      <c r="AI17" s="530"/>
    </row>
    <row r="18" spans="1:35" ht="15.75" customHeight="1">
      <c r="A18" s="39"/>
      <c r="B18" s="39"/>
      <c r="C18" s="39"/>
      <c r="D18" s="39"/>
      <c r="E18" s="39"/>
      <c r="F18" s="39"/>
      <c r="G18" s="39"/>
      <c r="H18" s="530"/>
      <c r="I18" s="39"/>
      <c r="J18" s="39"/>
      <c r="K18" s="39"/>
      <c r="L18" s="39"/>
      <c r="M18" s="39"/>
      <c r="N18" s="39"/>
      <c r="O18" s="39"/>
      <c r="P18" s="39"/>
      <c r="Q18" s="530"/>
      <c r="R18" s="39"/>
      <c r="S18" s="39"/>
      <c r="T18" s="39"/>
      <c r="U18" s="39"/>
      <c r="V18" s="39"/>
      <c r="W18" s="39"/>
      <c r="X18" s="39"/>
      <c r="Y18" s="39"/>
      <c r="Z18" s="530"/>
      <c r="AB18" s="39"/>
      <c r="AC18" s="39"/>
      <c r="AD18" s="39"/>
      <c r="AE18" s="39"/>
      <c r="AF18" s="39"/>
      <c r="AG18" s="39"/>
      <c r="AH18" s="39"/>
      <c r="AI18" s="530"/>
    </row>
    <row r="19" spans="1:35" ht="15.75" customHeight="1">
      <c r="A19" s="39"/>
      <c r="B19" s="39"/>
      <c r="C19" s="39"/>
      <c r="D19" s="39"/>
      <c r="E19" s="39"/>
      <c r="F19" s="39"/>
      <c r="G19" s="39"/>
      <c r="H19" s="530"/>
      <c r="I19" s="39"/>
      <c r="J19" s="39"/>
      <c r="K19" s="39"/>
      <c r="L19" s="39"/>
      <c r="M19" s="39"/>
      <c r="N19" s="39"/>
      <c r="O19" s="39"/>
      <c r="P19" s="39"/>
      <c r="Q19" s="530"/>
      <c r="R19" s="39"/>
      <c r="S19" s="39"/>
      <c r="T19" s="39"/>
      <c r="U19" s="39"/>
      <c r="V19" s="39"/>
      <c r="W19" s="39"/>
      <c r="X19" s="39"/>
      <c r="Y19" s="39"/>
      <c r="Z19" s="530"/>
      <c r="AB19" s="39"/>
      <c r="AC19" s="39"/>
      <c r="AD19" s="39"/>
      <c r="AE19" s="39"/>
      <c r="AF19" s="39"/>
      <c r="AG19" s="39"/>
      <c r="AH19" s="39"/>
      <c r="AI19" s="530"/>
    </row>
    <row r="20" spans="1:35" ht="15.75" customHeight="1">
      <c r="A20" s="39"/>
      <c r="B20" s="39"/>
      <c r="C20" s="39"/>
      <c r="D20" s="39"/>
      <c r="E20" s="39"/>
      <c r="F20" s="39"/>
      <c r="G20" s="39"/>
      <c r="H20" s="530"/>
      <c r="I20" s="39"/>
      <c r="J20" s="39"/>
      <c r="K20" s="39"/>
      <c r="L20" s="39"/>
      <c r="M20" s="39"/>
      <c r="N20" s="39"/>
      <c r="O20" s="39"/>
      <c r="P20" s="39"/>
      <c r="Q20" s="530"/>
      <c r="R20" s="39"/>
      <c r="S20" s="39"/>
      <c r="T20" s="39"/>
      <c r="U20" s="39"/>
      <c r="V20" s="39"/>
      <c r="W20" s="39"/>
      <c r="X20" s="39"/>
      <c r="Y20" s="39"/>
      <c r="Z20" s="530"/>
      <c r="AB20" s="39"/>
      <c r="AC20" s="39"/>
      <c r="AD20" s="39"/>
      <c r="AE20" s="39"/>
      <c r="AF20" s="39"/>
      <c r="AG20" s="39"/>
      <c r="AH20" s="39"/>
      <c r="AI20" s="530"/>
    </row>
    <row r="21" spans="1:35" ht="15.75" customHeight="1">
      <c r="A21" s="39"/>
      <c r="B21" s="39"/>
      <c r="C21" s="39"/>
      <c r="D21" s="39"/>
      <c r="E21" s="39"/>
      <c r="F21" s="39"/>
      <c r="G21" s="39"/>
      <c r="H21" s="530"/>
      <c r="I21" s="39"/>
      <c r="J21" s="39"/>
      <c r="K21" s="39"/>
      <c r="L21" s="39"/>
      <c r="M21" s="39"/>
      <c r="N21" s="39"/>
      <c r="O21" s="39"/>
      <c r="P21" s="39"/>
      <c r="Q21" s="530"/>
      <c r="R21" s="39"/>
      <c r="S21" s="39"/>
      <c r="T21" s="39"/>
      <c r="U21" s="39"/>
      <c r="V21" s="39"/>
      <c r="W21" s="39"/>
      <c r="X21" s="39"/>
      <c r="Y21" s="39"/>
      <c r="Z21" s="530"/>
      <c r="AB21" s="39"/>
      <c r="AC21" s="39"/>
      <c r="AD21" s="39"/>
      <c r="AE21" s="39"/>
      <c r="AF21" s="39"/>
      <c r="AG21" s="39"/>
      <c r="AH21" s="39"/>
      <c r="AI21" s="530"/>
    </row>
    <row r="22" spans="1:35" ht="15.75" customHeight="1" thickBot="1">
      <c r="A22" s="39"/>
      <c r="B22" s="39"/>
      <c r="C22" s="39"/>
      <c r="D22" s="39"/>
      <c r="E22" s="39"/>
      <c r="F22" s="39"/>
      <c r="G22" s="39"/>
      <c r="H22" s="530"/>
      <c r="I22" s="39"/>
      <c r="J22" s="39"/>
      <c r="K22" s="39"/>
      <c r="L22" s="39"/>
      <c r="M22" s="39"/>
      <c r="N22" s="39"/>
      <c r="O22" s="39"/>
      <c r="P22" s="39"/>
      <c r="Q22" s="530"/>
      <c r="R22" s="39"/>
      <c r="S22" s="39"/>
      <c r="T22" s="39"/>
      <c r="U22" s="39"/>
      <c r="V22" s="39"/>
      <c r="W22" s="39"/>
      <c r="X22" s="39"/>
      <c r="Y22" s="39"/>
      <c r="Z22" s="530"/>
      <c r="AB22" s="39"/>
      <c r="AC22" s="39"/>
      <c r="AD22" s="39"/>
      <c r="AE22" s="39"/>
      <c r="AF22" s="39"/>
      <c r="AG22" s="39"/>
      <c r="AH22" s="39"/>
      <c r="AI22" s="530"/>
    </row>
    <row r="23" spans="1:35" ht="15.75" customHeight="1">
      <c r="A23" s="39"/>
      <c r="B23" s="39"/>
      <c r="C23" s="39"/>
      <c r="D23" s="39"/>
      <c r="E23" s="39"/>
      <c r="F23" s="39"/>
      <c r="G23" s="39"/>
      <c r="H23" s="530"/>
      <c r="I23" s="39"/>
      <c r="J23" s="39"/>
      <c r="K23" s="39"/>
      <c r="L23" s="39"/>
      <c r="M23" s="39"/>
      <c r="N23" s="39"/>
      <c r="O23" s="39"/>
      <c r="P23" s="39"/>
      <c r="Q23" s="530"/>
      <c r="R23" s="39"/>
      <c r="S23" s="628" t="str">
        <f>SRC!$B$292</f>
        <v>General Appropriations Act (School MOOE)</v>
      </c>
      <c r="T23" s="628"/>
      <c r="U23" s="628"/>
      <c r="V23" s="628"/>
      <c r="W23" s="628"/>
      <c r="X23" s="623">
        <f>IF(Helper!$A$48="","",Helper!$A$48)</f>
        <v>104000</v>
      </c>
      <c r="Y23" s="623"/>
      <c r="Z23" s="530"/>
      <c r="AB23" s="39"/>
      <c r="AC23" s="39"/>
      <c r="AD23" s="39"/>
      <c r="AE23" s="39"/>
      <c r="AF23" s="39"/>
      <c r="AG23" s="39"/>
      <c r="AH23" s="39"/>
      <c r="AI23" s="530"/>
    </row>
    <row r="24" spans="1:35" ht="15.75" customHeight="1">
      <c r="A24" s="39"/>
      <c r="B24" s="39"/>
      <c r="C24" s="39"/>
      <c r="D24" s="39"/>
      <c r="E24" s="39"/>
      <c r="F24" s="39"/>
      <c r="G24" s="39"/>
      <c r="H24" s="530"/>
      <c r="I24" s="39"/>
      <c r="J24" s="39"/>
      <c r="K24" s="39"/>
      <c r="L24" s="39"/>
      <c r="M24" s="39"/>
      <c r="N24" s="39"/>
      <c r="O24" s="39"/>
      <c r="P24" s="39"/>
      <c r="Q24" s="530"/>
      <c r="R24" s="39"/>
      <c r="S24" s="624" t="str">
        <f>SRC!$B$293</f>
        <v>General Appropriations Act (Subsidy for Special Programs)</v>
      </c>
      <c r="T24" s="624"/>
      <c r="U24" s="624"/>
      <c r="V24" s="624"/>
      <c r="W24" s="624"/>
      <c r="X24" s="625">
        <f>IF(Helper!$B$48="","",Helper!$B$48)</f>
        <v>0</v>
      </c>
      <c r="Y24" s="625"/>
      <c r="Z24" s="530"/>
      <c r="AB24" s="39"/>
      <c r="AC24" s="39"/>
      <c r="AD24" s="39"/>
      <c r="AE24" s="39"/>
      <c r="AF24" s="39"/>
      <c r="AG24" s="39"/>
      <c r="AH24" s="39"/>
      <c r="AI24" s="530"/>
    </row>
    <row r="25" spans="1:35" ht="15.75" customHeight="1">
      <c r="A25" s="585" t="str">
        <f>INDEX(Helper!$L$221:$L$225,MATCH(Home!$O$1,Helper!$A$221:$A$225,0))</f>
        <v>From SY 2017-2018 the number of male enrollees increased from 741 to 772, and the number of female enrollees increased from 677 to 733. This can be attributed to:</v>
      </c>
      <c r="B25" s="585"/>
      <c r="C25" s="585"/>
      <c r="D25" s="585"/>
      <c r="E25" s="585"/>
      <c r="F25" s="585"/>
      <c r="G25" s="585"/>
      <c r="H25" s="530"/>
      <c r="I25" s="39"/>
      <c r="J25" s="39"/>
      <c r="K25" s="39"/>
      <c r="L25" s="39"/>
      <c r="M25" s="39"/>
      <c r="N25" s="39"/>
      <c r="O25" s="39"/>
      <c r="P25" s="39"/>
      <c r="Q25" s="530"/>
      <c r="R25" s="39"/>
      <c r="S25" s="624" t="str">
        <f>SRC!$B$294</f>
        <v>Local Government Unit funds</v>
      </c>
      <c r="T25" s="624"/>
      <c r="U25" s="624"/>
      <c r="V25" s="624"/>
      <c r="W25" s="624"/>
      <c r="X25" s="625">
        <f>IF(Helper!$C$48="","",Helper!$C$48)</f>
        <v>147000</v>
      </c>
      <c r="Y25" s="625"/>
      <c r="Z25" s="530"/>
      <c r="AB25" s="39"/>
      <c r="AC25" s="39"/>
      <c r="AD25" s="39"/>
      <c r="AE25" s="39"/>
      <c r="AF25" s="39"/>
      <c r="AG25" s="39"/>
      <c r="AH25" s="39"/>
      <c r="AI25" s="530"/>
    </row>
    <row r="26" spans="1:35" ht="15.75" customHeight="1">
      <c r="A26" s="585"/>
      <c r="B26" s="585"/>
      <c r="C26" s="585"/>
      <c r="D26" s="585"/>
      <c r="E26" s="585"/>
      <c r="F26" s="585"/>
      <c r="G26" s="585"/>
      <c r="H26" s="530"/>
      <c r="I26" s="39"/>
      <c r="J26" s="39"/>
      <c r="K26" s="39"/>
      <c r="L26" s="39"/>
      <c r="M26" s="39"/>
      <c r="N26" s="39"/>
      <c r="O26" s="39"/>
      <c r="P26" s="39"/>
      <c r="Q26" s="530"/>
      <c r="R26" s="39"/>
      <c r="S26" s="624" t="str">
        <f>SRC!$B$295</f>
        <v>Canteen funds</v>
      </c>
      <c r="T26" s="624"/>
      <c r="U26" s="624"/>
      <c r="V26" s="624"/>
      <c r="W26" s="624"/>
      <c r="X26" s="625">
        <f>IF(Helper!$D$48="","",Helper!$D$48)</f>
        <v>10000</v>
      </c>
      <c r="Y26" s="625"/>
      <c r="Z26" s="530"/>
      <c r="AB26" s="39"/>
      <c r="AC26" s="39"/>
      <c r="AD26" s="39"/>
      <c r="AE26" s="39"/>
      <c r="AF26" s="39"/>
      <c r="AG26" s="39"/>
      <c r="AH26" s="39"/>
      <c r="AI26" s="530"/>
    </row>
    <row r="27" spans="1:35" ht="15.75" customHeight="1">
      <c r="A27" s="585"/>
      <c r="B27" s="585"/>
      <c r="C27" s="585"/>
      <c r="D27" s="585"/>
      <c r="E27" s="585"/>
      <c r="F27" s="585"/>
      <c r="G27" s="585"/>
      <c r="H27" s="530"/>
      <c r="I27" s="39"/>
      <c r="J27" s="39"/>
      <c r="K27" s="39"/>
      <c r="L27" s="39"/>
      <c r="M27" s="39"/>
      <c r="N27" s="39"/>
      <c r="O27" s="39"/>
      <c r="P27" s="39"/>
      <c r="Q27" s="530"/>
      <c r="R27" s="39"/>
      <c r="S27" s="624" t="str">
        <f>SRC!$B$296</f>
        <v>Donations</v>
      </c>
      <c r="T27" s="624"/>
      <c r="U27" s="624"/>
      <c r="V27" s="624"/>
      <c r="W27" s="624"/>
      <c r="X27" s="625">
        <f>IF(Helper!$E$48="","",Helper!$E$48)</f>
        <v>278713</v>
      </c>
      <c r="Y27" s="625"/>
      <c r="Z27" s="530"/>
      <c r="AB27" s="39"/>
      <c r="AC27" s="39"/>
      <c r="AD27" s="39"/>
      <c r="AE27" s="39"/>
      <c r="AF27" s="39"/>
      <c r="AG27" s="39"/>
      <c r="AH27" s="39"/>
      <c r="AI27" s="530"/>
    </row>
    <row r="28" spans="1:35" ht="15.75" customHeight="1">
      <c r="A28" s="585"/>
      <c r="B28" s="585"/>
      <c r="C28" s="585"/>
      <c r="D28" s="585"/>
      <c r="E28" s="585"/>
      <c r="F28" s="585"/>
      <c r="G28" s="585"/>
      <c r="H28" s="530"/>
      <c r="I28" s="39"/>
      <c r="J28" s="39"/>
      <c r="K28" s="39"/>
      <c r="L28" s="39"/>
      <c r="M28" s="39"/>
      <c r="N28" s="39"/>
      <c r="O28" s="39"/>
      <c r="P28" s="39"/>
      <c r="Q28" s="530"/>
      <c r="R28" s="39"/>
      <c r="S28" s="624" t="str">
        <f>SRC!$B$297</f>
        <v>Others</v>
      </c>
      <c r="T28" s="624"/>
      <c r="U28" s="624"/>
      <c r="V28" s="624"/>
      <c r="W28" s="624"/>
      <c r="X28" s="625">
        <f>IF(Helper!$F$48="","",Helper!$F$48)</f>
        <v>106131</v>
      </c>
      <c r="Y28" s="625"/>
      <c r="Z28" s="530"/>
      <c r="AB28" s="39"/>
      <c r="AC28" s="39"/>
      <c r="AD28" s="39"/>
      <c r="AE28" s="39"/>
      <c r="AF28" s="39"/>
      <c r="AG28" s="39"/>
      <c r="AH28" s="39"/>
      <c r="AI28" s="530"/>
    </row>
    <row r="29" spans="1:35" ht="15.75" customHeight="1" thickBot="1">
      <c r="A29" s="585"/>
      <c r="B29" s="585"/>
      <c r="C29" s="585"/>
      <c r="D29" s="585"/>
      <c r="E29" s="585"/>
      <c r="F29" s="585"/>
      <c r="G29" s="585"/>
      <c r="H29" s="530"/>
      <c r="I29" s="39"/>
      <c r="J29" s="597" t="str">
        <f>INDEX(Helper!$G$284:$G$288,MATCH(Home!$O$1,Helper!$A$284:$A$288,0))</f>
        <v>The grade level with the highest percentage of available learning materials  is Grade 9 with 88.71 percent as compared to other grade levels.</v>
      </c>
      <c r="K29" s="597"/>
      <c r="L29" s="597"/>
      <c r="M29" s="39"/>
      <c r="N29" s="597" t="str">
        <f>INDEX(Helper!$G$263:$G$267,MATCH(Home!$O$1,Helper!$A$263:$A$267,0))</f>
        <v>The learning area with the highest percentage in terms of availability of books is English with 155.55 percent as compared to other subjects.</v>
      </c>
      <c r="O29" s="597"/>
      <c r="P29" s="597"/>
      <c r="Q29" s="530"/>
      <c r="R29" s="39"/>
      <c r="S29" s="626" t="s">
        <v>18</v>
      </c>
      <c r="T29" s="626"/>
      <c r="U29" s="626"/>
      <c r="V29" s="626"/>
      <c r="W29" s="626"/>
      <c r="X29" s="627">
        <f>IF(SUM(X23:Y28)&lt;1,"",SUM(X23:Y28))</f>
        <v>645844</v>
      </c>
      <c r="Y29" s="627"/>
      <c r="Z29" s="530"/>
      <c r="AB29" s="39"/>
      <c r="AC29" s="39"/>
      <c r="AD29" s="39"/>
      <c r="AE29" s="39"/>
      <c r="AF29" s="39"/>
      <c r="AG29" s="39"/>
      <c r="AH29" s="39"/>
      <c r="AI29" s="530"/>
    </row>
    <row r="30" spans="1:35" ht="15.75" customHeight="1">
      <c r="A30" s="585"/>
      <c r="B30" s="585"/>
      <c r="C30" s="585"/>
      <c r="D30" s="585"/>
      <c r="E30" s="585"/>
      <c r="F30" s="585"/>
      <c r="G30" s="585"/>
      <c r="H30" s="530"/>
      <c r="I30" s="39"/>
      <c r="J30" s="597"/>
      <c r="K30" s="597"/>
      <c r="L30" s="597"/>
      <c r="M30" s="39"/>
      <c r="N30" s="597"/>
      <c r="O30" s="597"/>
      <c r="P30" s="597"/>
      <c r="Q30" s="530"/>
      <c r="R30" s="39"/>
      <c r="S30" s="428"/>
      <c r="T30" s="428"/>
      <c r="U30" s="428"/>
      <c r="V30" s="428"/>
      <c r="W30" s="428"/>
      <c r="X30" s="428"/>
      <c r="Y30" s="428"/>
      <c r="Z30" s="530"/>
      <c r="AB30" s="39"/>
      <c r="AC30" s="39"/>
      <c r="AD30" s="39"/>
      <c r="AE30" s="39"/>
      <c r="AF30" s="39"/>
      <c r="AG30" s="39"/>
      <c r="AH30" s="39"/>
      <c r="AI30" s="530"/>
    </row>
    <row r="31" spans="1:35" ht="15.75" customHeight="1">
      <c r="A31" s="585"/>
      <c r="B31" s="585"/>
      <c r="C31" s="585"/>
      <c r="D31" s="585"/>
      <c r="E31" s="585"/>
      <c r="F31" s="585"/>
      <c r="G31" s="585"/>
      <c r="H31" s="530"/>
      <c r="I31" s="39"/>
      <c r="J31" s="597"/>
      <c r="K31" s="597"/>
      <c r="L31" s="597"/>
      <c r="M31" s="39"/>
      <c r="N31" s="597"/>
      <c r="O31" s="597"/>
      <c r="P31" s="597"/>
      <c r="Q31" s="530"/>
      <c r="R31" s="39"/>
      <c r="S31" s="597" t="str">
        <f>INDEX(Helper!$P$326:$P$330,MATCH(Home!$O$1,Helper!$A$326:$A$330,0))</f>
        <v>The biggest source of school funding came from the Donations amounting to Php 278,713.00 or 43.15 percent of the total fund source. Other sources are Local Government Unit funds, Others, General Appropriations Act (School MOOE), Canteen funds and General Appropriations Act (Subsidy for Special Programs).</v>
      </c>
      <c r="T31" s="597"/>
      <c r="U31" s="597"/>
      <c r="V31" s="597"/>
      <c r="W31" s="597"/>
      <c r="X31" s="597"/>
      <c r="Y31" s="597"/>
      <c r="Z31" s="530"/>
      <c r="AB31" s="39"/>
      <c r="AC31" s="39"/>
      <c r="AD31" s="39"/>
      <c r="AE31" s="39"/>
      <c r="AF31" s="39"/>
      <c r="AG31" s="39"/>
      <c r="AH31" s="39"/>
      <c r="AI31" s="530"/>
    </row>
    <row r="32" spans="1:35" ht="15.75" customHeight="1">
      <c r="A32" s="582" t="str">
        <f>IF(SRC!$A$100="","",SRC!$A$100)</f>
        <v>*Balik-aral</v>
      </c>
      <c r="B32" s="582"/>
      <c r="C32" s="582"/>
      <c r="D32" s="582"/>
      <c r="E32" s="582"/>
      <c r="F32" s="582"/>
      <c r="G32" s="582"/>
      <c r="H32" s="530"/>
      <c r="I32" s="39"/>
      <c r="J32" s="597"/>
      <c r="K32" s="597"/>
      <c r="L32" s="597"/>
      <c r="M32" s="39"/>
      <c r="N32" s="597"/>
      <c r="O32" s="597"/>
      <c r="P32" s="597"/>
      <c r="Q32" s="530"/>
      <c r="R32" s="39"/>
      <c r="S32" s="597"/>
      <c r="T32" s="597"/>
      <c r="U32" s="597"/>
      <c r="V32" s="597"/>
      <c r="W32" s="597"/>
      <c r="X32" s="597"/>
      <c r="Y32" s="597"/>
      <c r="Z32" s="530"/>
      <c r="AB32" s="597" t="str">
        <f>INDEX(Helper!$N$347:$N$351,MATCH(Home!$O$1,Helper!$A$347:$A$351,0))</f>
        <v>percent or (</v>
      </c>
      <c r="AC32" s="597"/>
      <c r="AD32" s="597"/>
      <c r="AE32" s="597"/>
      <c r="AF32" s="597"/>
      <c r="AG32" s="597"/>
      <c r="AH32" s="597"/>
      <c r="AI32" s="530"/>
    </row>
    <row r="33" spans="1:35" ht="15.75" customHeight="1">
      <c r="A33" s="582" t="str">
        <f>IF(SRC!$A$102="","",SRC!$A$102)</f>
        <v/>
      </c>
      <c r="B33" s="582"/>
      <c r="C33" s="582"/>
      <c r="D33" s="582"/>
      <c r="E33" s="582"/>
      <c r="F33" s="582"/>
      <c r="G33" s="582"/>
      <c r="H33" s="530"/>
      <c r="I33" s="39"/>
      <c r="J33" s="597"/>
      <c r="K33" s="597"/>
      <c r="L33" s="597"/>
      <c r="M33" s="39"/>
      <c r="N33" s="597"/>
      <c r="O33" s="597"/>
      <c r="P33" s="597"/>
      <c r="Q33" s="530"/>
      <c r="R33" s="39"/>
      <c r="S33" s="597"/>
      <c r="T33" s="597"/>
      <c r="U33" s="597"/>
      <c r="V33" s="597"/>
      <c r="W33" s="597"/>
      <c r="X33" s="597"/>
      <c r="Y33" s="597"/>
      <c r="Z33" s="530"/>
      <c r="AB33" s="597"/>
      <c r="AC33" s="597"/>
      <c r="AD33" s="597"/>
      <c r="AE33" s="597"/>
      <c r="AF33" s="597"/>
      <c r="AG33" s="597"/>
      <c r="AH33" s="597"/>
      <c r="AI33" s="530"/>
    </row>
    <row r="34" spans="1:35" ht="15.75" customHeight="1">
      <c r="A34" s="582" t="str">
        <f>IF(SRC!$A$104="","",SRC!$A$104)</f>
        <v/>
      </c>
      <c r="B34" s="582"/>
      <c r="C34" s="582"/>
      <c r="D34" s="582"/>
      <c r="E34" s="582"/>
      <c r="F34" s="582"/>
      <c r="G34" s="582"/>
      <c r="H34" s="530"/>
      <c r="I34" s="39"/>
      <c r="J34" s="597"/>
      <c r="K34" s="597"/>
      <c r="L34" s="597"/>
      <c r="M34" s="39"/>
      <c r="N34" s="597"/>
      <c r="O34" s="597"/>
      <c r="P34" s="597"/>
      <c r="Q34" s="530"/>
      <c r="R34" s="39"/>
      <c r="S34" s="597"/>
      <c r="T34" s="597"/>
      <c r="U34" s="597"/>
      <c r="V34" s="597"/>
      <c r="W34" s="597"/>
      <c r="X34" s="597"/>
      <c r="Y34" s="597"/>
      <c r="Z34" s="530"/>
      <c r="AB34" s="597"/>
      <c r="AC34" s="597"/>
      <c r="AD34" s="597"/>
      <c r="AE34" s="597"/>
      <c r="AF34" s="597"/>
      <c r="AG34" s="597"/>
      <c r="AH34" s="597"/>
      <c r="AI34" s="530"/>
    </row>
    <row r="35" spans="1:35" ht="15.75" customHeight="1">
      <c r="A35" s="582" t="str">
        <f>IF(SRC!$A$106="","",SRC!$A$106)</f>
        <v/>
      </c>
      <c r="B35" s="582"/>
      <c r="C35" s="582"/>
      <c r="D35" s="582"/>
      <c r="E35" s="582"/>
      <c r="F35" s="582"/>
      <c r="G35" s="582"/>
      <c r="H35" s="530"/>
      <c r="I35" s="39"/>
      <c r="J35" s="597"/>
      <c r="K35" s="597"/>
      <c r="L35" s="597"/>
      <c r="M35" s="39"/>
      <c r="N35" s="597"/>
      <c r="O35" s="597"/>
      <c r="P35" s="597"/>
      <c r="Q35" s="530"/>
      <c r="R35" s="39"/>
      <c r="S35" s="597"/>
      <c r="T35" s="597"/>
      <c r="U35" s="597"/>
      <c r="V35" s="597"/>
      <c r="W35" s="597"/>
      <c r="X35" s="597"/>
      <c r="Y35" s="597"/>
      <c r="Z35" s="530"/>
      <c r="AB35" s="597"/>
      <c r="AC35" s="597"/>
      <c r="AD35" s="597"/>
      <c r="AE35" s="597"/>
      <c r="AF35" s="597"/>
      <c r="AG35" s="597"/>
      <c r="AH35" s="597"/>
      <c r="AI35" s="530"/>
    </row>
    <row r="36" spans="1:35" ht="15.75" customHeight="1">
      <c r="A36" s="582" t="str">
        <f>IF(SRC!$A$108="","",SRC!$A$108)</f>
        <v/>
      </c>
      <c r="B36" s="582"/>
      <c r="C36" s="582"/>
      <c r="D36" s="582"/>
      <c r="E36" s="582"/>
      <c r="F36" s="582"/>
      <c r="G36" s="582"/>
      <c r="H36" s="530"/>
      <c r="I36" s="39"/>
      <c r="J36" s="597"/>
      <c r="K36" s="597"/>
      <c r="L36" s="597"/>
      <c r="M36" s="39"/>
      <c r="N36" s="597"/>
      <c r="O36" s="597"/>
      <c r="P36" s="597"/>
      <c r="Q36" s="530"/>
      <c r="R36" s="39"/>
      <c r="S36" s="597"/>
      <c r="T36" s="597"/>
      <c r="U36" s="597"/>
      <c r="V36" s="597"/>
      <c r="W36" s="597"/>
      <c r="X36" s="597"/>
      <c r="Y36" s="597"/>
      <c r="Z36" s="530"/>
      <c r="AB36" s="597"/>
      <c r="AC36" s="597"/>
      <c r="AD36" s="597"/>
      <c r="AE36" s="597"/>
      <c r="AF36" s="597"/>
      <c r="AG36" s="597"/>
      <c r="AH36" s="597"/>
      <c r="AI36" s="530"/>
    </row>
    <row r="37" spans="1:35" ht="15.75" customHeight="1" thickBot="1">
      <c r="A37" s="582" t="str">
        <f>IF(SRC!$A$110="","",SRC!$A$110)</f>
        <v/>
      </c>
      <c r="B37" s="582"/>
      <c r="C37" s="582"/>
      <c r="D37" s="582"/>
      <c r="E37" s="582"/>
      <c r="F37" s="582"/>
      <c r="G37" s="582"/>
      <c r="H37" s="596"/>
      <c r="I37" s="111"/>
      <c r="J37" s="598"/>
      <c r="K37" s="598"/>
      <c r="L37" s="598"/>
      <c r="M37" s="111"/>
      <c r="N37" s="598"/>
      <c r="O37" s="598"/>
      <c r="P37" s="598"/>
      <c r="Q37" s="596"/>
      <c r="R37" s="111"/>
      <c r="S37" s="598"/>
      <c r="T37" s="598"/>
      <c r="U37" s="598"/>
      <c r="V37" s="598"/>
      <c r="W37" s="598"/>
      <c r="X37" s="598"/>
      <c r="Y37" s="598"/>
      <c r="Z37" s="596"/>
      <c r="AB37" s="598"/>
      <c r="AC37" s="598"/>
      <c r="AD37" s="598"/>
      <c r="AE37" s="598"/>
      <c r="AF37" s="598"/>
      <c r="AG37" s="598"/>
      <c r="AH37" s="598"/>
      <c r="AI37" s="596"/>
    </row>
    <row r="38" spans="1:35" s="12" customFormat="1" ht="9.9" customHeight="1">
      <c r="A38" s="121"/>
      <c r="B38" s="121"/>
      <c r="C38" s="121"/>
      <c r="D38" s="121"/>
      <c r="E38" s="121"/>
      <c r="F38" s="121"/>
      <c r="G38" s="121"/>
      <c r="H38" s="120"/>
      <c r="I38" s="13"/>
      <c r="J38" s="119"/>
      <c r="K38" s="119"/>
      <c r="L38" s="119"/>
      <c r="M38" s="13"/>
      <c r="N38" s="119"/>
      <c r="O38" s="119"/>
      <c r="P38" s="119"/>
      <c r="Q38" s="120"/>
      <c r="R38" s="13"/>
      <c r="S38" s="119"/>
      <c r="T38" s="119"/>
      <c r="U38" s="119"/>
      <c r="V38" s="119"/>
      <c r="W38" s="119"/>
      <c r="X38" s="119"/>
      <c r="Y38" s="119"/>
      <c r="Z38" s="120"/>
      <c r="AB38" s="119"/>
      <c r="AC38" s="119"/>
      <c r="AD38" s="119"/>
      <c r="AE38" s="119"/>
      <c r="AF38" s="119"/>
      <c r="AG38" s="119"/>
      <c r="AH38" s="119"/>
      <c r="AI38" s="120"/>
    </row>
    <row r="39" spans="1:35" ht="15.75" customHeight="1">
      <c r="A39" s="639" t="s">
        <v>725</v>
      </c>
      <c r="B39" s="39"/>
      <c r="C39" s="39"/>
      <c r="D39" s="39"/>
      <c r="E39" s="39"/>
      <c r="F39" s="39"/>
      <c r="G39" s="39"/>
      <c r="H39" s="39"/>
      <c r="J39" s="639" t="s">
        <v>739</v>
      </c>
      <c r="K39" s="39"/>
      <c r="L39" s="39"/>
      <c r="M39" s="39"/>
      <c r="N39" s="39"/>
      <c r="O39" s="39"/>
      <c r="P39" s="39"/>
      <c r="Q39" s="39"/>
      <c r="S39" s="531" t="s">
        <v>728</v>
      </c>
      <c r="T39" s="620" t="s">
        <v>146</v>
      </c>
      <c r="U39" s="621"/>
      <c r="V39" s="622" t="s">
        <v>961</v>
      </c>
      <c r="W39" s="619" t="s">
        <v>967</v>
      </c>
      <c r="X39" s="619" t="s">
        <v>735</v>
      </c>
      <c r="Y39" s="619" t="s">
        <v>2</v>
      </c>
      <c r="Z39" s="618" t="s">
        <v>147</v>
      </c>
      <c r="AB39" s="531" t="s">
        <v>724</v>
      </c>
      <c r="AC39" s="571" t="str">
        <f>INDEX(Helper!$I$368:$I$372,MATCH(Home!$O$1,Helper!$A$368:$A$372,0))</f>
        <v>The average promotion rate in S.Y. 2018-2019 is at 93.09 percent as compared to the 98.55 percent of the previous school year.</v>
      </c>
      <c r="AD39" s="571"/>
      <c r="AE39" s="39"/>
      <c r="AF39" s="39"/>
      <c r="AG39" s="39"/>
      <c r="AH39" s="39"/>
      <c r="AI39" s="39"/>
    </row>
    <row r="40" spans="1:35" ht="15.75" customHeight="1">
      <c r="A40" s="640"/>
      <c r="B40" s="39"/>
      <c r="C40" s="39"/>
      <c r="D40" s="39"/>
      <c r="E40" s="39"/>
      <c r="F40" s="39"/>
      <c r="G40" s="39"/>
      <c r="H40" s="39"/>
      <c r="J40" s="640"/>
      <c r="K40" s="39"/>
      <c r="L40" s="39"/>
      <c r="M40" s="39"/>
      <c r="N40" s="39"/>
      <c r="O40" s="39"/>
      <c r="P40" s="39"/>
      <c r="Q40" s="39"/>
      <c r="S40" s="532"/>
      <c r="T40" s="543"/>
      <c r="U40" s="544"/>
      <c r="V40" s="546"/>
      <c r="W40" s="537"/>
      <c r="X40" s="537"/>
      <c r="Y40" s="537"/>
      <c r="Z40" s="535"/>
      <c r="AB40" s="532"/>
      <c r="AC40" s="571"/>
      <c r="AD40" s="571"/>
      <c r="AE40" s="39"/>
      <c r="AF40" s="39"/>
      <c r="AG40" s="39"/>
      <c r="AH40" s="39"/>
      <c r="AI40" s="39"/>
    </row>
    <row r="41" spans="1:35" ht="15.75" customHeight="1">
      <c r="A41" s="640"/>
      <c r="B41" s="39"/>
      <c r="C41" s="39"/>
      <c r="D41" s="39"/>
      <c r="E41" s="39"/>
      <c r="F41" s="39"/>
      <c r="G41" s="39"/>
      <c r="H41" s="39"/>
      <c r="J41" s="640"/>
      <c r="K41" s="39"/>
      <c r="L41" s="39"/>
      <c r="M41" s="39"/>
      <c r="N41" s="39"/>
      <c r="O41" s="39"/>
      <c r="P41" s="39"/>
      <c r="Q41" s="39"/>
      <c r="S41" s="532"/>
      <c r="T41" s="526" t="str">
        <f>IF(Data!A110="","",Data!A110)</f>
        <v>Scouting ( Scout Membership Against Potentials Secondary Big Category)</v>
      </c>
      <c r="U41" s="527"/>
      <c r="V41" s="126">
        <f>IF(Data!E110="","",Data!E110)</f>
        <v>5</v>
      </c>
      <c r="W41" s="126">
        <f>IF(Data!$F$110="","",Data!$F$110)</f>
        <v>43546</v>
      </c>
      <c r="X41" s="126" t="str">
        <f>IF(Data!$G$110="","",Data!$G$110)</f>
        <v>Student</v>
      </c>
      <c r="Y41" s="126" t="str">
        <f>IF(Data!$H$110="","",Data!$H$110)</f>
        <v>Division</v>
      </c>
      <c r="Z41" s="127" t="str">
        <f>IF(Data!$I$110="","",Data!$I$110)</f>
        <v>Governor's Office</v>
      </c>
      <c r="AB41" s="532"/>
      <c r="AC41" s="571"/>
      <c r="AD41" s="571"/>
      <c r="AE41" s="39"/>
      <c r="AF41" s="39"/>
      <c r="AG41" s="39"/>
      <c r="AH41" s="39"/>
      <c r="AI41" s="39"/>
    </row>
    <row r="42" spans="1:35" ht="15.75" customHeight="1">
      <c r="A42" s="640"/>
      <c r="B42" s="39"/>
      <c r="C42" s="39"/>
      <c r="D42" s="39"/>
      <c r="E42" s="39"/>
      <c r="F42" s="39"/>
      <c r="G42" s="39"/>
      <c r="H42" s="39"/>
      <c r="J42" s="640"/>
      <c r="K42" s="39"/>
      <c r="L42" s="39"/>
      <c r="M42" s="39"/>
      <c r="N42" s="39"/>
      <c r="O42" s="39"/>
      <c r="P42" s="39"/>
      <c r="Q42" s="39"/>
      <c r="S42" s="532"/>
      <c r="T42" s="526" t="str">
        <f>IF(Data!A111="","",Data!A111)</f>
        <v>Scouting (2019 Award of Commendation on Woodbagdge Holder)</v>
      </c>
      <c r="U42" s="527"/>
      <c r="V42" s="126" t="str">
        <f>IF(Data!E111="","",Data!E111)</f>
        <v>First</v>
      </c>
      <c r="W42" s="126">
        <f>IF(Data!F111="","",Data!F111)</f>
        <v>43547</v>
      </c>
      <c r="X42" s="126" t="str">
        <f>IF(Data!G111="","",Data!G111)</f>
        <v>Teacher</v>
      </c>
      <c r="Y42" s="126" t="str">
        <f>IF(Data!H111="","",Data!H111)</f>
        <v>Division</v>
      </c>
      <c r="Z42" s="127" t="str">
        <f>IF(Data!I111="","",Data!I111)</f>
        <v>Division Office</v>
      </c>
      <c r="AB42" s="532"/>
      <c r="AC42" s="571"/>
      <c r="AD42" s="571"/>
      <c r="AE42" s="39"/>
      <c r="AF42" s="39"/>
      <c r="AG42" s="39"/>
      <c r="AH42" s="39"/>
      <c r="AI42" s="39"/>
    </row>
    <row r="43" spans="1:35" ht="15.75" customHeight="1">
      <c r="A43" s="640"/>
      <c r="B43" s="39"/>
      <c r="C43" s="39"/>
      <c r="D43" s="39"/>
      <c r="E43" s="39"/>
      <c r="F43" s="39"/>
      <c r="G43" s="39"/>
      <c r="H43" s="39"/>
      <c r="J43" s="640"/>
      <c r="K43" s="39"/>
      <c r="L43" s="39"/>
      <c r="M43" s="39"/>
      <c r="N43" s="39"/>
      <c r="O43" s="39"/>
      <c r="P43" s="39"/>
      <c r="Q43" s="39"/>
      <c r="S43" s="532"/>
      <c r="T43" s="526" t="str">
        <f>IF(Data!A112="","",Data!A112)</f>
        <v>Reading Interpretation</v>
      </c>
      <c r="U43" s="527"/>
      <c r="V43" s="126" t="str">
        <f>IF(Data!E112="","",Data!E112)</f>
        <v>First</v>
      </c>
      <c r="W43" s="126">
        <f>IF(Data!F112="","",Data!F112)</f>
        <v>43424</v>
      </c>
      <c r="X43" s="126" t="str">
        <f>IF(Data!G112="","",Data!G112)</f>
        <v>Student</v>
      </c>
      <c r="Y43" s="126" t="str">
        <f>IF(Data!H112="","",Data!H112)</f>
        <v>District</v>
      </c>
      <c r="Z43" s="127" t="str">
        <f>IF(Data!I112="","",Data!I112)</f>
        <v>Division Office</v>
      </c>
      <c r="AB43" s="532"/>
      <c r="AC43" s="571"/>
      <c r="AD43" s="571"/>
      <c r="AE43" s="39"/>
      <c r="AF43" s="39"/>
      <c r="AG43" s="39"/>
      <c r="AH43" s="39"/>
      <c r="AI43" s="39"/>
    </row>
    <row r="44" spans="1:35" ht="15.75" customHeight="1">
      <c r="A44" s="640"/>
      <c r="B44" s="39"/>
      <c r="C44" s="39"/>
      <c r="D44" s="39"/>
      <c r="E44" s="39"/>
      <c r="F44" s="39"/>
      <c r="G44" s="39"/>
      <c r="H44" s="39"/>
      <c r="J44" s="640"/>
      <c r="K44" s="39"/>
      <c r="L44" s="39"/>
      <c r="M44" s="39"/>
      <c r="N44" s="39"/>
      <c r="O44" s="39"/>
      <c r="P44" s="39"/>
      <c r="Q44" s="39"/>
      <c r="S44" s="532"/>
      <c r="T44" s="526" t="str">
        <f>IF(Data!A113="","",Data!A113)</f>
        <v>Mathematics ( Math Quiz)</v>
      </c>
      <c r="U44" s="527"/>
      <c r="V44" s="126" t="str">
        <f>IF(Data!E113="","",Data!E113)</f>
        <v>Third</v>
      </c>
      <c r="W44" s="126" t="str">
        <f>IF(Data!F113="","",Data!F113)</f>
        <v/>
      </c>
      <c r="X44" s="126" t="str">
        <f>IF(Data!G113="","",Data!G113)</f>
        <v>Student</v>
      </c>
      <c r="Y44" s="126" t="str">
        <f>IF(Data!H113="","",Data!H113)</f>
        <v>District</v>
      </c>
      <c r="Z44" s="127" t="str">
        <f>IF(Data!I113="","",Data!I113)</f>
        <v>Division Office</v>
      </c>
      <c r="AB44" s="532"/>
      <c r="AC44" s="39"/>
      <c r="AD44" s="39"/>
      <c r="AE44" s="39"/>
      <c r="AF44" s="39"/>
      <c r="AG44" s="39"/>
      <c r="AH44" s="39"/>
      <c r="AI44" s="39"/>
    </row>
    <row r="45" spans="1:35" ht="15.75" customHeight="1">
      <c r="A45" s="640"/>
      <c r="B45" s="39"/>
      <c r="C45" s="39"/>
      <c r="D45" s="39"/>
      <c r="E45" s="39"/>
      <c r="F45" s="39"/>
      <c r="G45" s="39"/>
      <c r="H45" s="39"/>
      <c r="J45" s="640"/>
      <c r="K45" s="39"/>
      <c r="L45" s="39"/>
      <c r="M45" s="39"/>
      <c r="N45" s="39"/>
      <c r="O45" s="39"/>
      <c r="P45" s="39"/>
      <c r="Q45" s="39"/>
      <c r="S45" s="532"/>
      <c r="T45" s="526" t="str">
        <f>IF(Data!A114="","",Data!A114)</f>
        <v>Provincial Meet ( Arnis)</v>
      </c>
      <c r="U45" s="527"/>
      <c r="V45" s="126" t="str">
        <f>IF(Data!E114="","",Data!E114)</f>
        <v>Second</v>
      </c>
      <c r="W45" s="126">
        <f>IF(Data!F114="","",Data!F114)</f>
        <v>43405</v>
      </c>
      <c r="X45" s="126" t="str">
        <f>IF(Data!G114="","",Data!G114)</f>
        <v>Student</v>
      </c>
      <c r="Y45" s="126" t="str">
        <f>IF(Data!H114="","",Data!H114)</f>
        <v>Division</v>
      </c>
      <c r="Z45" s="127" t="str">
        <f>IF(Data!I114="","",Data!I114)</f>
        <v>Division Office</v>
      </c>
      <c r="AB45" s="532"/>
      <c r="AC45" s="39"/>
      <c r="AD45" s="39"/>
      <c r="AE45" s="39"/>
      <c r="AF45" s="39"/>
      <c r="AG45" s="39"/>
      <c r="AH45" s="39"/>
      <c r="AI45" s="39"/>
    </row>
    <row r="46" spans="1:35" ht="15.75" customHeight="1">
      <c r="A46" s="640"/>
      <c r="B46" s="39"/>
      <c r="C46" s="39"/>
      <c r="D46" s="39"/>
      <c r="E46" s="39"/>
      <c r="F46" s="39"/>
      <c r="G46" s="39"/>
      <c r="H46" s="39"/>
      <c r="J46" s="640"/>
      <c r="K46" s="39"/>
      <c r="L46" s="39"/>
      <c r="M46" s="39"/>
      <c r="N46" s="39"/>
      <c r="O46" s="39"/>
      <c r="P46" s="39"/>
      <c r="Q46" s="39"/>
      <c r="S46" s="532"/>
      <c r="T46" s="526" t="str">
        <f>IF(Data!A115="","",Data!A115)</f>
        <v>Softball</v>
      </c>
      <c r="U46" s="527"/>
      <c r="V46" s="126" t="str">
        <f>IF(Data!E115="","",Data!E115)</f>
        <v>First</v>
      </c>
      <c r="W46" s="126" t="str">
        <f>IF(Data!F115="","",Data!F115)</f>
        <v/>
      </c>
      <c r="X46" s="126" t="str">
        <f>IF(Data!G115="","",Data!G115)</f>
        <v>Student</v>
      </c>
      <c r="Y46" s="126" t="str">
        <f>IF(Data!H115="","",Data!H115)</f>
        <v>Region</v>
      </c>
      <c r="Z46" s="127" t="str">
        <f>IF(Data!I115="","",Data!I115)</f>
        <v/>
      </c>
      <c r="AB46" s="532"/>
      <c r="AC46" s="39"/>
      <c r="AD46" s="39"/>
      <c r="AE46" s="39"/>
      <c r="AF46" s="39"/>
      <c r="AG46" s="39"/>
      <c r="AH46" s="39"/>
      <c r="AI46" s="39"/>
    </row>
    <row r="47" spans="1:35" ht="15.75" customHeight="1">
      <c r="A47" s="640"/>
      <c r="B47" s="39"/>
      <c r="C47" s="39"/>
      <c r="D47" s="39"/>
      <c r="E47" s="39"/>
      <c r="F47" s="39"/>
      <c r="G47" s="39"/>
      <c r="H47" s="39"/>
      <c r="J47" s="640"/>
      <c r="K47" s="39"/>
      <c r="L47" s="39"/>
      <c r="M47" s="39"/>
      <c r="N47" s="39"/>
      <c r="O47" s="39"/>
      <c r="P47" s="39"/>
      <c r="Q47" s="39"/>
      <c r="S47" s="532"/>
      <c r="T47" s="526" t="str">
        <f>IF(Data!A116="","",Data!A116)</f>
        <v>Baseball</v>
      </c>
      <c r="U47" s="527"/>
      <c r="V47" s="126" t="str">
        <f>IF(Data!E116="","",Data!E116)</f>
        <v>First</v>
      </c>
      <c r="W47" s="126" t="str">
        <f>IF(Data!F116="","",Data!F116)</f>
        <v/>
      </c>
      <c r="X47" s="126" t="str">
        <f>IF(Data!G116="","",Data!G116)</f>
        <v>Student</v>
      </c>
      <c r="Y47" s="126" t="str">
        <f>IF(Data!H116="","",Data!H116)</f>
        <v>Region</v>
      </c>
      <c r="Z47" s="127" t="str">
        <f>IF(Data!I116="","",Data!I116)</f>
        <v/>
      </c>
      <c r="AB47" s="532"/>
      <c r="AC47" s="39"/>
      <c r="AD47" s="39"/>
      <c r="AE47" s="39"/>
      <c r="AF47" s="39"/>
      <c r="AG47" s="39"/>
      <c r="AH47" s="39"/>
      <c r="AI47" s="39"/>
    </row>
    <row r="48" spans="1:35" ht="15.75" customHeight="1">
      <c r="A48" s="640"/>
      <c r="B48" s="39"/>
      <c r="C48" s="39"/>
      <c r="D48" s="39"/>
      <c r="E48" s="39"/>
      <c r="F48" s="39"/>
      <c r="G48" s="39"/>
      <c r="H48" s="39"/>
      <c r="J48" s="640"/>
      <c r="K48" s="39"/>
      <c r="L48" s="39"/>
      <c r="M48" s="39"/>
      <c r="N48" s="39"/>
      <c r="O48" s="39"/>
      <c r="P48" s="39"/>
      <c r="Q48" s="39"/>
      <c r="S48" s="532"/>
      <c r="T48" s="526" t="str">
        <f>IF(Data!A117="","",Data!A117)</f>
        <v>Table Tennis</v>
      </c>
      <c r="U48" s="527"/>
      <c r="V48" s="126" t="str">
        <f>IF(Data!E117="","",Data!E117)</f>
        <v>First</v>
      </c>
      <c r="W48" s="126" t="str">
        <f>IF(Data!F117="","",Data!F117)</f>
        <v/>
      </c>
      <c r="X48" s="126" t="str">
        <f>IF(Data!G117="","",Data!G117)</f>
        <v>Student</v>
      </c>
      <c r="Y48" s="126" t="str">
        <f>IF(Data!H117="","",Data!H117)</f>
        <v>Division</v>
      </c>
      <c r="Z48" s="127" t="str">
        <f>IF(Data!I117="","",Data!I117)</f>
        <v>Division Office</v>
      </c>
      <c r="AB48" s="532"/>
      <c r="AC48" s="39"/>
      <c r="AD48" s="39"/>
      <c r="AE48" s="39"/>
      <c r="AF48" s="39"/>
      <c r="AG48" s="39"/>
      <c r="AH48" s="39"/>
      <c r="AI48" s="39"/>
    </row>
    <row r="49" spans="1:35" ht="15.75" customHeight="1">
      <c r="A49" s="640"/>
      <c r="B49" s="39"/>
      <c r="C49" s="39"/>
      <c r="D49" s="39"/>
      <c r="E49" s="39"/>
      <c r="F49" s="39"/>
      <c r="G49" s="39"/>
      <c r="H49" s="39"/>
      <c r="J49" s="640"/>
      <c r="K49" s="39"/>
      <c r="L49" s="39"/>
      <c r="M49" s="39"/>
      <c r="N49" s="39"/>
      <c r="O49" s="39"/>
      <c r="P49" s="39"/>
      <c r="Q49" s="39"/>
      <c r="S49" s="532"/>
      <c r="T49" s="526" t="str">
        <f>IF(Data!A118="","",Data!A118)</f>
        <v>Badminton</v>
      </c>
      <c r="U49" s="527"/>
      <c r="V49" s="126" t="str">
        <f>IF(Data!E118="","",Data!E118)</f>
        <v>First</v>
      </c>
      <c r="W49" s="126" t="str">
        <f>IF(Data!F118="","",Data!F118)</f>
        <v/>
      </c>
      <c r="X49" s="126" t="str">
        <f>IF(Data!G118="","",Data!G118)</f>
        <v>Student</v>
      </c>
      <c r="Y49" s="126" t="str">
        <f>IF(Data!H118="","",Data!H118)</f>
        <v>Division</v>
      </c>
      <c r="Z49" s="127" t="str">
        <f>IF(Data!I118="","",Data!I118)</f>
        <v>Division Office</v>
      </c>
      <c r="AB49" s="532"/>
      <c r="AC49" s="39"/>
      <c r="AD49" s="39"/>
      <c r="AE49" s="39"/>
      <c r="AF49" s="39"/>
      <c r="AG49" s="39"/>
      <c r="AH49" s="39"/>
      <c r="AI49" s="39"/>
    </row>
    <row r="50" spans="1:35" ht="15.75" customHeight="1">
      <c r="A50" s="640"/>
      <c r="B50" s="39"/>
      <c r="C50" s="39"/>
      <c r="D50" s="39"/>
      <c r="E50" s="39"/>
      <c r="F50" s="39"/>
      <c r="G50" s="39"/>
      <c r="H50" s="39"/>
      <c r="J50" s="640"/>
      <c r="K50" s="39"/>
      <c r="L50" s="39"/>
      <c r="M50" s="39"/>
      <c r="N50" s="39"/>
      <c r="O50" s="39"/>
      <c r="P50" s="39"/>
      <c r="Q50" s="39"/>
      <c r="S50" s="532"/>
      <c r="T50" s="526" t="str">
        <f>IF(Data!A119="","",Data!A119)</f>
        <v>Taekwondo</v>
      </c>
      <c r="U50" s="527"/>
      <c r="V50" s="126" t="str">
        <f>IF(Data!E119="","",Data!E119)</f>
        <v>First</v>
      </c>
      <c r="W50" s="126" t="str">
        <f>IF(Data!F119="","",Data!F119)</f>
        <v/>
      </c>
      <c r="X50" s="126" t="str">
        <f>IF(Data!G119="","",Data!G119)</f>
        <v>Student</v>
      </c>
      <c r="Y50" s="126" t="str">
        <f>IF(Data!H119="","",Data!H119)</f>
        <v>Division</v>
      </c>
      <c r="Z50" s="127" t="str">
        <f>IF(Data!I119="","",Data!I119)</f>
        <v>Division Office</v>
      </c>
      <c r="AB50" s="532"/>
      <c r="AC50" s="39"/>
      <c r="AD50" s="39"/>
      <c r="AE50" s="39"/>
      <c r="AF50" s="39"/>
      <c r="AG50" s="39"/>
      <c r="AH50" s="39"/>
      <c r="AI50" s="39"/>
    </row>
    <row r="51" spans="1:35" ht="15.75" customHeight="1">
      <c r="A51" s="640"/>
      <c r="B51" s="39"/>
      <c r="C51" s="39"/>
      <c r="D51" s="39"/>
      <c r="E51" s="39"/>
      <c r="F51" s="39"/>
      <c r="G51" s="39"/>
      <c r="H51" s="39"/>
      <c r="J51" s="640"/>
      <c r="K51" s="39"/>
      <c r="L51" s="39"/>
      <c r="M51" s="39"/>
      <c r="N51" s="39"/>
      <c r="O51" s="39"/>
      <c r="P51" s="39"/>
      <c r="Q51" s="39"/>
      <c r="S51" s="532"/>
      <c r="T51" s="526" t="str">
        <f>IF(Data!A120="","",Data!A120)</f>
        <v>Yes -o Camp</v>
      </c>
      <c r="U51" s="527"/>
      <c r="V51" s="126" t="str">
        <f>IF(Data!E120="","",Data!E120)</f>
        <v>Fourth</v>
      </c>
      <c r="W51" s="126" t="str">
        <f>IF(Data!F120="","",Data!F120)</f>
        <v/>
      </c>
      <c r="X51" s="126" t="str">
        <f>IF(Data!G120="","",Data!G120)</f>
        <v>Student</v>
      </c>
      <c r="Y51" s="126" t="str">
        <f>IF(Data!H120="","",Data!H120)</f>
        <v>Division</v>
      </c>
      <c r="Z51" s="127" t="str">
        <f>IF(Data!I120="","",Data!I120)</f>
        <v>Division Office</v>
      </c>
      <c r="AB51" s="532"/>
      <c r="AC51" s="39"/>
      <c r="AD51" s="39"/>
      <c r="AE51" s="39"/>
      <c r="AF51" s="39"/>
      <c r="AG51" s="39"/>
      <c r="AH51" s="39"/>
      <c r="AI51" s="39"/>
    </row>
    <row r="52" spans="1:35" ht="15.75" customHeight="1">
      <c r="A52" s="640"/>
      <c r="B52" s="39"/>
      <c r="C52" s="39"/>
      <c r="D52" s="39"/>
      <c r="E52" s="39"/>
      <c r="F52" s="39"/>
      <c r="G52" s="39"/>
      <c r="H52" s="39"/>
      <c r="J52" s="640"/>
      <c r="K52" s="39"/>
      <c r="L52" s="39"/>
      <c r="M52" s="39"/>
      <c r="N52" s="39"/>
      <c r="O52" s="39"/>
      <c r="P52" s="39"/>
      <c r="Q52" s="39"/>
      <c r="S52" s="532"/>
      <c r="T52" s="526" t="str">
        <f>IF(Data!A121="","",Data!A121)</f>
        <v>Technolympics (Dressmaking Contest)</v>
      </c>
      <c r="U52" s="527"/>
      <c r="V52" s="126" t="str">
        <f>IF(Data!E121="","",Data!E121)</f>
        <v>Third</v>
      </c>
      <c r="W52" s="126" t="str">
        <f>IF(Data!F121="","",Data!F121)</f>
        <v/>
      </c>
      <c r="X52" s="126" t="str">
        <f>IF(Data!G121="","",Data!G121)</f>
        <v>Student</v>
      </c>
      <c r="Y52" s="126" t="str">
        <f>IF(Data!H121="","",Data!H121)</f>
        <v>Division</v>
      </c>
      <c r="Z52" s="127" t="str">
        <f>IF(Data!I121="","",Data!I121)</f>
        <v>Division Office</v>
      </c>
      <c r="AB52" s="532"/>
      <c r="AC52" s="39"/>
      <c r="AD52" s="39"/>
      <c r="AE52" s="39"/>
      <c r="AF52" s="280"/>
      <c r="AG52" s="280"/>
      <c r="AH52" s="280"/>
      <c r="AI52" s="280"/>
    </row>
    <row r="53" spans="1:35" ht="15.75" customHeight="1">
      <c r="A53" s="640"/>
      <c r="B53" s="39"/>
      <c r="C53" s="39"/>
      <c r="D53" s="39"/>
      <c r="E53" s="39"/>
      <c r="F53" s="39"/>
      <c r="G53" s="39"/>
      <c r="H53" s="39"/>
      <c r="J53" s="640"/>
      <c r="K53" s="39"/>
      <c r="L53" s="39"/>
      <c r="M53" s="39"/>
      <c r="N53" s="39"/>
      <c r="O53" s="39"/>
      <c r="P53" s="39"/>
      <c r="Q53" s="39"/>
      <c r="S53" s="532"/>
      <c r="T53" s="526" t="str">
        <f>IF(Data!A122="","",Data!A122)</f>
        <v>Technolympics(Automotice Servicing)</v>
      </c>
      <c r="U53" s="527"/>
      <c r="V53" s="126" t="str">
        <f>IF(Data!E122="","",Data!E122)</f>
        <v>Fifth</v>
      </c>
      <c r="W53" s="126" t="str">
        <f>IF(Data!F122="","",Data!F122)</f>
        <v/>
      </c>
      <c r="X53" s="126" t="str">
        <f>IF(Data!G122="","",Data!G122)</f>
        <v>Student</v>
      </c>
      <c r="Y53" s="126" t="str">
        <f>IF(Data!H122="","",Data!H122)</f>
        <v>Division</v>
      </c>
      <c r="Z53" s="127" t="str">
        <f>IF(Data!I122="","",Data!I122)</f>
        <v>Division Office</v>
      </c>
      <c r="AB53" s="532"/>
      <c r="AC53" s="39"/>
      <c r="AD53" s="39"/>
      <c r="AE53" s="39"/>
      <c r="AF53" s="280"/>
      <c r="AG53" s="280"/>
      <c r="AH53" s="280"/>
      <c r="AI53" s="280"/>
    </row>
    <row r="54" spans="1:35" ht="15.75" customHeight="1">
      <c r="A54" s="640"/>
      <c r="B54" s="39"/>
      <c r="C54" s="39"/>
      <c r="D54" s="39"/>
      <c r="E54" s="39"/>
      <c r="F54" s="39"/>
      <c r="G54" s="39"/>
      <c r="H54" s="39"/>
      <c r="J54" s="640"/>
      <c r="K54" s="39"/>
      <c r="L54" s="39"/>
      <c r="M54" s="39"/>
      <c r="N54" s="39"/>
      <c r="O54" s="39"/>
      <c r="P54" s="39"/>
      <c r="Q54" s="39"/>
      <c r="S54" s="532"/>
      <c r="T54" s="526" t="str">
        <f>IF(Data!A123="","",Data!A123)</f>
        <v/>
      </c>
      <c r="U54" s="527"/>
      <c r="V54" s="126" t="str">
        <f>IF(Data!E123="","",Data!E123)</f>
        <v/>
      </c>
      <c r="W54" s="126" t="str">
        <f>IF(Data!F123="","",Data!F123)</f>
        <v/>
      </c>
      <c r="X54" s="126" t="str">
        <f>IF(Data!G123="","",Data!G123)</f>
        <v/>
      </c>
      <c r="Y54" s="126" t="str">
        <f>IF(Data!H123="","",Data!H123)</f>
        <v/>
      </c>
      <c r="Z54" s="127" t="str">
        <f>IF(Data!I123="","",Data!I123)</f>
        <v/>
      </c>
      <c r="AB54" s="532"/>
      <c r="AC54" s="39"/>
      <c r="AD54" s="39"/>
      <c r="AE54" s="39"/>
      <c r="AF54" s="280"/>
      <c r="AG54" s="280"/>
      <c r="AH54" s="280"/>
      <c r="AI54" s="280"/>
    </row>
    <row r="55" spans="1:35" ht="15.75" customHeight="1" thickBot="1">
      <c r="A55" s="640"/>
      <c r="B55" s="39"/>
      <c r="C55" s="39"/>
      <c r="D55" s="39"/>
      <c r="E55" s="39"/>
      <c r="F55" s="39"/>
      <c r="G55" s="39"/>
      <c r="H55" s="39"/>
      <c r="J55" s="640"/>
      <c r="K55" s="39"/>
      <c r="L55" s="39"/>
      <c r="M55" s="39"/>
      <c r="N55" s="39"/>
      <c r="O55" s="39"/>
      <c r="P55" s="39"/>
      <c r="Q55" s="39"/>
      <c r="S55" s="532"/>
      <c r="T55" s="526" t="str">
        <f>IF(Data!A124="","",Data!A124)</f>
        <v/>
      </c>
      <c r="U55" s="527"/>
      <c r="V55" s="126" t="str">
        <f>IF(Data!E124="","",Data!E124)</f>
        <v/>
      </c>
      <c r="W55" s="126" t="str">
        <f>IF(Data!F124="","",Data!F124)</f>
        <v/>
      </c>
      <c r="X55" s="126" t="str">
        <f>IF(Data!G124="","",Data!G124)</f>
        <v/>
      </c>
      <c r="Y55" s="126" t="str">
        <f>IF(Data!H124="","",Data!H124)</f>
        <v/>
      </c>
      <c r="Z55" s="127" t="str">
        <f>IF(Data!I124="","",Data!I124)</f>
        <v/>
      </c>
      <c r="AB55" s="532"/>
      <c r="AC55" s="39"/>
      <c r="AD55" s="39"/>
      <c r="AE55" s="39"/>
      <c r="AF55" s="280"/>
      <c r="AG55" s="280"/>
      <c r="AH55" s="280"/>
      <c r="AI55" s="280"/>
    </row>
    <row r="56" spans="1:35" ht="15.75" customHeight="1">
      <c r="A56" s="640"/>
      <c r="B56" s="39"/>
      <c r="C56" s="39"/>
      <c r="D56" s="39"/>
      <c r="E56" s="39"/>
      <c r="F56" s="39"/>
      <c r="G56" s="39"/>
      <c r="H56" s="39"/>
      <c r="J56" s="640"/>
      <c r="K56" s="39"/>
      <c r="L56" s="39"/>
      <c r="M56" s="39"/>
      <c r="N56" s="39"/>
      <c r="O56" s="39"/>
      <c r="P56" s="39"/>
      <c r="Q56" s="39"/>
      <c r="S56" s="532"/>
      <c r="T56" s="526" t="str">
        <f>IF(Data!A125="","",Data!A125)</f>
        <v/>
      </c>
      <c r="U56" s="527"/>
      <c r="V56" s="126" t="str">
        <f>IF(Data!E125="","",Data!E125)</f>
        <v/>
      </c>
      <c r="W56" s="126" t="str">
        <f>IF(Data!F125="","",Data!F125)</f>
        <v/>
      </c>
      <c r="X56" s="126" t="str">
        <f>IF(Data!G125="","",Data!G125)</f>
        <v/>
      </c>
      <c r="Y56" s="126" t="str">
        <f>IF(Data!H125="","",Data!H125)</f>
        <v/>
      </c>
      <c r="Z56" s="127" t="str">
        <f>IF(Data!I125="","",Data!I125)</f>
        <v/>
      </c>
      <c r="AB56" s="532"/>
      <c r="AC56" s="39"/>
      <c r="AD56" s="39"/>
      <c r="AE56" s="39"/>
      <c r="AF56" s="599" t="str">
        <f>INDEX(Helper!$G$389:$G$393,MATCH(Home!$O$1,Helper!$A$389:$A$393,0))</f>
        <v>The grade level with the highest Promotion Rate for the latest school year is  Grade 12 with 98.385 percent.</v>
      </c>
      <c r="AG56" s="600"/>
      <c r="AH56" s="600"/>
      <c r="AI56" s="601"/>
    </row>
    <row r="57" spans="1:35" ht="15.75" customHeight="1">
      <c r="A57" s="640"/>
      <c r="B57" s="39"/>
      <c r="C57" s="39"/>
      <c r="D57" s="39"/>
      <c r="E57" s="39"/>
      <c r="F57" s="39"/>
      <c r="G57" s="39"/>
      <c r="H57" s="39"/>
      <c r="J57" s="640"/>
      <c r="K57" s="39"/>
      <c r="L57" s="39"/>
      <c r="M57" s="39"/>
      <c r="N57" s="39"/>
      <c r="O57" s="39"/>
      <c r="P57" s="39"/>
      <c r="Q57" s="39"/>
      <c r="S57" s="532"/>
      <c r="T57" s="526" t="str">
        <f>IF(Data!A126="","",Data!A126)</f>
        <v/>
      </c>
      <c r="U57" s="527"/>
      <c r="V57" s="126" t="str">
        <f>IF(Data!E126="","",Data!E126)</f>
        <v/>
      </c>
      <c r="W57" s="126" t="str">
        <f>IF(Data!F126="","",Data!F126)</f>
        <v/>
      </c>
      <c r="X57" s="126" t="str">
        <f>IF(Data!G126="","",Data!G126)</f>
        <v/>
      </c>
      <c r="Y57" s="126" t="str">
        <f>IF(Data!H126="","",Data!H126)</f>
        <v/>
      </c>
      <c r="Z57" s="127" t="str">
        <f>IF(Data!I126="","",Data!I126)</f>
        <v/>
      </c>
      <c r="AB57" s="532"/>
      <c r="AC57" s="39"/>
      <c r="AD57" s="39"/>
      <c r="AE57" s="39"/>
      <c r="AF57" s="565"/>
      <c r="AG57" s="566"/>
      <c r="AH57" s="566"/>
      <c r="AI57" s="567"/>
    </row>
    <row r="58" spans="1:35" ht="15.75" customHeight="1">
      <c r="A58" s="640"/>
      <c r="B58" s="39"/>
      <c r="C58" s="39"/>
      <c r="D58" s="39"/>
      <c r="E58" s="39"/>
      <c r="F58" s="39"/>
      <c r="G58" s="39"/>
      <c r="H58" s="39"/>
      <c r="J58" s="640"/>
      <c r="K58" s="39"/>
      <c r="L58" s="39"/>
      <c r="M58" s="39"/>
      <c r="N58" s="585" t="str">
        <f>INDEX(Helper!$K$305:$K$309,MATCH(Home!$O$1,Helper!$A$305:$A$309,0))</f>
        <v>In the current school year, the highest educational attainment of most teachers is Master's Degree (Units) with 34 out of 57 or 59.65 percent of the total number of teachers.</v>
      </c>
      <c r="O58" s="585"/>
      <c r="P58" s="585"/>
      <c r="Q58" s="585"/>
      <c r="S58" s="532"/>
      <c r="T58" s="526" t="str">
        <f>IF(Data!A127="","",Data!A127)</f>
        <v/>
      </c>
      <c r="U58" s="527"/>
      <c r="V58" s="126" t="str">
        <f>IF(Data!E127="","",Data!E127)</f>
        <v/>
      </c>
      <c r="W58" s="126" t="str">
        <f>IF(Data!F127="","",Data!F127)</f>
        <v/>
      </c>
      <c r="X58" s="126" t="str">
        <f>IF(Data!G127="","",Data!G127)</f>
        <v/>
      </c>
      <c r="Y58" s="126" t="str">
        <f>IF(Data!H127="","",Data!H127)</f>
        <v/>
      </c>
      <c r="Z58" s="127" t="str">
        <f>IF(Data!I127="","",Data!I127)</f>
        <v/>
      </c>
      <c r="AB58" s="532"/>
      <c r="AC58" s="39"/>
      <c r="AD58" s="39"/>
      <c r="AE58" s="39"/>
      <c r="AF58" s="565"/>
      <c r="AG58" s="566"/>
      <c r="AH58" s="566"/>
      <c r="AI58" s="567"/>
    </row>
    <row r="59" spans="1:35" ht="15.75" customHeight="1">
      <c r="A59" s="640"/>
      <c r="B59" s="39"/>
      <c r="C59" s="39"/>
      <c r="D59" s="39"/>
      <c r="E59" s="39"/>
      <c r="F59" s="39"/>
      <c r="G59" s="39"/>
      <c r="H59" s="39"/>
      <c r="J59" s="640"/>
      <c r="K59" s="39"/>
      <c r="L59" s="39"/>
      <c r="M59" s="39"/>
      <c r="N59" s="585"/>
      <c r="O59" s="585"/>
      <c r="P59" s="585"/>
      <c r="Q59" s="585"/>
      <c r="S59" s="532"/>
      <c r="T59" s="526" t="str">
        <f>IF(Data!A128="","",Data!A128)</f>
        <v/>
      </c>
      <c r="U59" s="527"/>
      <c r="V59" s="126" t="str">
        <f>IF(Data!E128="","",Data!E128)</f>
        <v/>
      </c>
      <c r="W59" s="126" t="str">
        <f>IF(Data!F128="","",Data!F128)</f>
        <v/>
      </c>
      <c r="X59" s="126" t="str">
        <f>IF(Data!G128="","",Data!G128)</f>
        <v/>
      </c>
      <c r="Y59" s="126" t="str">
        <f>IF(Data!H128="","",Data!H128)</f>
        <v/>
      </c>
      <c r="Z59" s="127" t="str">
        <f>IF(Data!I128="","",Data!I128)</f>
        <v/>
      </c>
      <c r="AB59" s="532"/>
      <c r="AC59" s="39"/>
      <c r="AD59" s="39"/>
      <c r="AE59" s="39"/>
      <c r="AF59" s="565"/>
      <c r="AG59" s="566"/>
      <c r="AH59" s="566"/>
      <c r="AI59" s="567"/>
    </row>
    <row r="60" spans="1:35" ht="15.75" customHeight="1" thickBot="1">
      <c r="A60" s="640"/>
      <c r="B60" s="39"/>
      <c r="C60" s="39"/>
      <c r="D60" s="39"/>
      <c r="E60" s="39"/>
      <c r="F60" s="39"/>
      <c r="G60" s="39"/>
      <c r="H60" s="39"/>
      <c r="J60" s="640"/>
      <c r="K60" s="39"/>
      <c r="L60" s="39"/>
      <c r="M60" s="39"/>
      <c r="N60" s="585"/>
      <c r="O60" s="585"/>
      <c r="P60" s="585"/>
      <c r="Q60" s="585"/>
      <c r="S60" s="532"/>
      <c r="T60" s="526" t="str">
        <f>IF(Data!A129="","",Data!A129)</f>
        <v/>
      </c>
      <c r="U60" s="527"/>
      <c r="V60" s="126" t="str">
        <f>IF(Data!E129="","",Data!E129)</f>
        <v/>
      </c>
      <c r="W60" s="126" t="str">
        <f>IF(Data!F129="","",Data!F129)</f>
        <v/>
      </c>
      <c r="X60" s="126" t="str">
        <f>IF(Data!G129="","",Data!G129)</f>
        <v/>
      </c>
      <c r="Y60" s="126" t="str">
        <f>IF(Data!H129="","",Data!H129)</f>
        <v/>
      </c>
      <c r="Z60" s="127" t="str">
        <f>IF(Data!I129="","",Data!I129)</f>
        <v/>
      </c>
      <c r="AB60" s="532"/>
      <c r="AC60" s="39"/>
      <c r="AD60" s="39"/>
      <c r="AE60" s="39"/>
      <c r="AF60" s="568"/>
      <c r="AG60" s="569"/>
      <c r="AH60" s="569"/>
      <c r="AI60" s="570"/>
    </row>
    <row r="61" spans="1:35" ht="15.75" customHeight="1">
      <c r="A61" s="640"/>
      <c r="B61" s="39"/>
      <c r="C61" s="39"/>
      <c r="D61" s="39"/>
      <c r="E61" s="39"/>
      <c r="F61" s="39"/>
      <c r="G61" s="39"/>
      <c r="H61" s="39"/>
      <c r="J61" s="640"/>
      <c r="K61" s="39"/>
      <c r="L61" s="39"/>
      <c r="M61" s="39"/>
      <c r="N61" s="585"/>
      <c r="O61" s="585"/>
      <c r="P61" s="585"/>
      <c r="Q61" s="585"/>
      <c r="S61" s="532"/>
      <c r="T61" s="526" t="str">
        <f>IF(Data!A130="","",Data!A130)</f>
        <v/>
      </c>
      <c r="U61" s="527"/>
      <c r="V61" s="126" t="str">
        <f>IF(Data!E130="","",Data!E130)</f>
        <v/>
      </c>
      <c r="W61" s="126" t="str">
        <f>IF(Data!F130="","",Data!F130)</f>
        <v/>
      </c>
      <c r="X61" s="126" t="str">
        <f>IF(Data!G130="","",Data!G130)</f>
        <v/>
      </c>
      <c r="Y61" s="126" t="str">
        <f>IF(Data!H130="","",Data!H130)</f>
        <v/>
      </c>
      <c r="Z61" s="127" t="str">
        <f>IF(Data!I130="","",Data!I130)</f>
        <v/>
      </c>
      <c r="AB61" s="532"/>
      <c r="AC61" s="39"/>
      <c r="AD61" s="39"/>
      <c r="AE61" s="39"/>
      <c r="AF61" s="39"/>
      <c r="AG61" s="39"/>
      <c r="AH61" s="39"/>
      <c r="AI61" s="39"/>
    </row>
    <row r="62" spans="1:35" ht="15.75" customHeight="1">
      <c r="A62" s="640"/>
      <c r="B62" s="39"/>
      <c r="C62" s="39"/>
      <c r="D62" s="39"/>
      <c r="E62" s="39"/>
      <c r="F62" s="39"/>
      <c r="G62" s="39"/>
      <c r="H62" s="39"/>
      <c r="J62" s="640"/>
      <c r="K62" s="39"/>
      <c r="L62" s="39"/>
      <c r="M62" s="39"/>
      <c r="N62" s="585"/>
      <c r="O62" s="585"/>
      <c r="P62" s="585"/>
      <c r="Q62" s="585"/>
      <c r="S62" s="532"/>
      <c r="T62" s="526" t="str">
        <f>IF(Data!A131="","",Data!A131)</f>
        <v/>
      </c>
      <c r="U62" s="527"/>
      <c r="V62" s="126" t="str">
        <f>IF(Data!E131="","",Data!E131)</f>
        <v/>
      </c>
      <c r="W62" s="126" t="str">
        <f>IF(Data!F131="","",Data!F131)</f>
        <v/>
      </c>
      <c r="X62" s="126" t="str">
        <f>IF(Data!G131="","",Data!G131)</f>
        <v/>
      </c>
      <c r="Y62" s="126" t="str">
        <f>IF(Data!H131="","",Data!H131)</f>
        <v/>
      </c>
      <c r="Z62" s="127" t="str">
        <f>IF(Data!I131="","",Data!I131)</f>
        <v/>
      </c>
      <c r="AB62" s="532"/>
      <c r="AC62" s="39"/>
      <c r="AD62" s="39"/>
      <c r="AE62" s="39"/>
      <c r="AF62" s="39"/>
      <c r="AG62" s="39"/>
      <c r="AH62" s="39"/>
      <c r="AI62" s="39"/>
    </row>
    <row r="63" spans="1:35" ht="15.75" customHeight="1">
      <c r="A63" s="640"/>
      <c r="B63" s="39"/>
      <c r="C63" s="39"/>
      <c r="D63" s="629" t="str">
        <f>INDEX(Helper!$S$242:$S$246,MATCH(Home!$O$1,Helper!$A$242:$A$246,0))</f>
        <v>In the current school year, 14.77 percent (114 of 772) of the male learners fall outside normal health status while 7.91 percent (58 of 733) of the female learners fall outside normal health status.</v>
      </c>
      <c r="E63" s="629"/>
      <c r="F63" s="629"/>
      <c r="G63" s="629"/>
      <c r="H63" s="629"/>
      <c r="J63" s="640"/>
      <c r="K63" s="39"/>
      <c r="L63" s="39"/>
      <c r="M63" s="39"/>
      <c r="N63" s="585"/>
      <c r="O63" s="585"/>
      <c r="P63" s="585"/>
      <c r="Q63" s="585"/>
      <c r="S63" s="532"/>
      <c r="T63" s="526" t="str">
        <f>IF(Data!A132="","",Data!A132)</f>
        <v/>
      </c>
      <c r="U63" s="527"/>
      <c r="V63" s="126" t="str">
        <f>IF(Data!E132="","",Data!E132)</f>
        <v/>
      </c>
      <c r="W63" s="126" t="str">
        <f>IF(Data!F132="","",Data!F132)</f>
        <v/>
      </c>
      <c r="X63" s="126" t="str">
        <f>IF(Data!G132="","",Data!G132)</f>
        <v/>
      </c>
      <c r="Y63" s="126" t="str">
        <f>IF(Data!H132="","",Data!H132)</f>
        <v/>
      </c>
      <c r="Z63" s="127" t="str">
        <f>IF(Data!I132="","",Data!I132)</f>
        <v/>
      </c>
      <c r="AB63" s="532"/>
      <c r="AC63" s="580" t="str">
        <f>INDEX(Helper!$R$410:$R$414,MATCH(Home!$O$1,Helper!$A$410:$A$414,0))</f>
        <v/>
      </c>
      <c r="AD63" s="580"/>
      <c r="AE63" s="39"/>
      <c r="AF63" s="39"/>
      <c r="AG63" s="39"/>
      <c r="AH63" s="39"/>
      <c r="AI63" s="39"/>
    </row>
    <row r="64" spans="1:35" ht="15.75" customHeight="1">
      <c r="A64" s="640"/>
      <c r="B64" s="39"/>
      <c r="C64" s="39"/>
      <c r="D64" s="629"/>
      <c r="E64" s="629"/>
      <c r="F64" s="629"/>
      <c r="G64" s="629"/>
      <c r="H64" s="629"/>
      <c r="J64" s="640"/>
      <c r="K64" s="39"/>
      <c r="L64" s="39"/>
      <c r="M64" s="39"/>
      <c r="N64" s="585"/>
      <c r="O64" s="585"/>
      <c r="P64" s="585"/>
      <c r="Q64" s="585"/>
      <c r="S64" s="532"/>
      <c r="T64" s="526" t="str">
        <f>IF(Data!A133="","",Data!A133)</f>
        <v/>
      </c>
      <c r="U64" s="527"/>
      <c r="V64" s="126" t="str">
        <f>IF(Data!E133="","",Data!E133)</f>
        <v/>
      </c>
      <c r="W64" s="126" t="str">
        <f>IF(Data!F133="","",Data!F133)</f>
        <v/>
      </c>
      <c r="X64" s="126" t="str">
        <f>IF(Data!G133="","",Data!G133)</f>
        <v/>
      </c>
      <c r="Y64" s="126" t="str">
        <f>IF(Data!H133="","",Data!H133)</f>
        <v/>
      </c>
      <c r="Z64" s="127" t="str">
        <f>IF(Data!I133="","",Data!I133)</f>
        <v/>
      </c>
      <c r="AB64" s="532"/>
      <c r="AC64" s="580"/>
      <c r="AD64" s="580"/>
      <c r="AE64" s="39"/>
      <c r="AF64" s="39"/>
      <c r="AG64" s="39"/>
      <c r="AH64" s="39"/>
      <c r="AI64" s="39"/>
    </row>
    <row r="65" spans="1:35" ht="15.75" customHeight="1">
      <c r="A65" s="640"/>
      <c r="B65" s="39"/>
      <c r="C65" s="39"/>
      <c r="D65" s="629"/>
      <c r="E65" s="629"/>
      <c r="F65" s="629"/>
      <c r="G65" s="629"/>
      <c r="H65" s="629"/>
      <c r="J65" s="640"/>
      <c r="K65" s="39"/>
      <c r="L65" s="39"/>
      <c r="M65" s="39"/>
      <c r="N65" s="585"/>
      <c r="O65" s="585"/>
      <c r="P65" s="585"/>
      <c r="Q65" s="585"/>
      <c r="S65" s="532"/>
      <c r="T65" s="526" t="str">
        <f>IF(Data!A134="","",Data!A134)</f>
        <v/>
      </c>
      <c r="U65" s="527"/>
      <c r="V65" s="126" t="str">
        <f>IF(Data!E134="","",Data!E134)</f>
        <v/>
      </c>
      <c r="W65" s="126" t="str">
        <f>IF(Data!F134="","",Data!F134)</f>
        <v/>
      </c>
      <c r="X65" s="126" t="str">
        <f>IF(Data!G134="","",Data!G134)</f>
        <v/>
      </c>
      <c r="Y65" s="126" t="str">
        <f>IF(Data!H134="","",Data!H134)</f>
        <v/>
      </c>
      <c r="Z65" s="127" t="str">
        <f>IF(Data!I134="","",Data!I134)</f>
        <v/>
      </c>
      <c r="AB65" s="532"/>
      <c r="AC65" s="580"/>
      <c r="AD65" s="580"/>
      <c r="AE65" s="39"/>
      <c r="AF65" s="39"/>
      <c r="AG65" s="39"/>
      <c r="AH65" s="39"/>
      <c r="AI65" s="39"/>
    </row>
    <row r="66" spans="1:35" ht="15.75" customHeight="1">
      <c r="A66" s="640"/>
      <c r="B66" s="39"/>
      <c r="C66" s="39"/>
      <c r="D66" s="629"/>
      <c r="E66" s="629"/>
      <c r="F66" s="629"/>
      <c r="G66" s="629"/>
      <c r="H66" s="629"/>
      <c r="J66" s="640"/>
      <c r="K66" s="39"/>
      <c r="L66" s="39"/>
      <c r="M66" s="39"/>
      <c r="N66" s="585"/>
      <c r="O66" s="585"/>
      <c r="P66" s="585"/>
      <c r="Q66" s="585"/>
      <c r="S66" s="532"/>
      <c r="T66" s="526" t="str">
        <f>IF(Data!A135="","",Data!A135)</f>
        <v/>
      </c>
      <c r="U66" s="527"/>
      <c r="V66" s="126" t="str">
        <f>IF(Data!E135="","",Data!E135)</f>
        <v/>
      </c>
      <c r="W66" s="126" t="str">
        <f>IF(Data!F135="","",Data!F135)</f>
        <v/>
      </c>
      <c r="X66" s="126" t="str">
        <f>IF(Data!G135="","",Data!G135)</f>
        <v/>
      </c>
      <c r="Y66" s="126" t="str">
        <f>IF(Data!H135="","",Data!H135)</f>
        <v/>
      </c>
      <c r="Z66" s="127" t="str">
        <f>IF(Data!I135="","",Data!I135)</f>
        <v/>
      </c>
      <c r="AB66" s="532"/>
      <c r="AC66" s="580"/>
      <c r="AD66" s="580"/>
      <c r="AE66" s="39"/>
      <c r="AF66" s="39"/>
      <c r="AG66" s="39"/>
      <c r="AH66" s="39"/>
      <c r="AI66" s="39"/>
    </row>
    <row r="67" spans="1:35" ht="15.75" customHeight="1">
      <c r="A67" s="640"/>
      <c r="B67" s="39"/>
      <c r="C67" s="39"/>
      <c r="D67" s="629"/>
      <c r="E67" s="629"/>
      <c r="F67" s="629"/>
      <c r="G67" s="629"/>
      <c r="H67" s="629"/>
      <c r="J67" s="640"/>
      <c r="K67" s="39"/>
      <c r="L67" s="39"/>
      <c r="M67" s="39"/>
      <c r="N67" s="585"/>
      <c r="O67" s="585"/>
      <c r="P67" s="585"/>
      <c r="Q67" s="585"/>
      <c r="S67" s="532"/>
      <c r="T67" s="526" t="str">
        <f>IF(Data!A136="","",Data!A136)</f>
        <v/>
      </c>
      <c r="U67" s="527"/>
      <c r="V67" s="126" t="str">
        <f>IF(Data!E136="","",Data!E136)</f>
        <v/>
      </c>
      <c r="W67" s="126" t="str">
        <f>IF(Data!F136="","",Data!F136)</f>
        <v/>
      </c>
      <c r="X67" s="126" t="str">
        <f>IF(Data!G136="","",Data!G136)</f>
        <v/>
      </c>
      <c r="Y67" s="126" t="str">
        <f>IF(Data!H136="","",Data!H136)</f>
        <v/>
      </c>
      <c r="Z67" s="127" t="str">
        <f>IF(Data!I136="","",Data!I136)</f>
        <v/>
      </c>
      <c r="AB67" s="532"/>
      <c r="AC67" s="580"/>
      <c r="AD67" s="580"/>
      <c r="AE67" s="39"/>
      <c r="AF67" s="39"/>
      <c r="AG67" s="39"/>
      <c r="AH67" s="39"/>
      <c r="AI67" s="39"/>
    </row>
    <row r="68" spans="1:35" ht="15.75" customHeight="1">
      <c r="A68" s="640"/>
      <c r="B68" s="39"/>
      <c r="C68" s="39"/>
      <c r="D68" s="629"/>
      <c r="E68" s="629"/>
      <c r="F68" s="629"/>
      <c r="G68" s="629"/>
      <c r="H68" s="629"/>
      <c r="J68" s="640"/>
      <c r="K68" s="39"/>
      <c r="L68" s="39"/>
      <c r="M68" s="39"/>
      <c r="N68" s="585"/>
      <c r="O68" s="585"/>
      <c r="P68" s="585"/>
      <c r="Q68" s="585"/>
      <c r="S68" s="532"/>
      <c r="T68" s="39"/>
      <c r="U68" s="39"/>
      <c r="V68" s="39"/>
      <c r="W68" s="112"/>
      <c r="X68" s="112"/>
      <c r="Y68" s="112"/>
      <c r="Z68" s="113"/>
      <c r="AB68" s="532"/>
      <c r="AC68" s="580"/>
      <c r="AD68" s="580"/>
      <c r="AE68" s="39"/>
      <c r="AF68" s="39"/>
      <c r="AG68" s="39"/>
      <c r="AH68" s="39"/>
      <c r="AI68" s="39"/>
    </row>
    <row r="69" spans="1:35" ht="15.75" customHeight="1">
      <c r="A69" s="640"/>
      <c r="B69" s="39"/>
      <c r="C69" s="39"/>
      <c r="D69" s="629"/>
      <c r="E69" s="629"/>
      <c r="F69" s="629"/>
      <c r="G69" s="629"/>
      <c r="H69" s="629"/>
      <c r="J69" s="640"/>
      <c r="K69" s="39"/>
      <c r="L69" s="39"/>
      <c r="M69" s="39"/>
      <c r="N69" s="585"/>
      <c r="O69" s="585"/>
      <c r="P69" s="585"/>
      <c r="Q69" s="585"/>
      <c r="S69" s="532"/>
      <c r="T69" s="39"/>
      <c r="U69" s="39"/>
      <c r="V69" s="39"/>
      <c r="W69" s="114"/>
      <c r="X69" s="114"/>
      <c r="Y69" s="114"/>
      <c r="Z69" s="115"/>
      <c r="AB69" s="532"/>
      <c r="AC69" s="580"/>
      <c r="AD69" s="580"/>
      <c r="AE69" s="39"/>
      <c r="AF69" s="39"/>
      <c r="AG69" s="39"/>
      <c r="AH69" s="39"/>
      <c r="AI69" s="39"/>
    </row>
    <row r="70" spans="1:35" ht="15.75" customHeight="1">
      <c r="A70" s="640"/>
      <c r="B70" s="39"/>
      <c r="C70" s="39"/>
      <c r="D70" s="629"/>
      <c r="E70" s="629"/>
      <c r="F70" s="629"/>
      <c r="G70" s="629"/>
      <c r="H70" s="629"/>
      <c r="J70" s="640"/>
      <c r="K70" s="39"/>
      <c r="L70" s="39"/>
      <c r="M70" s="39"/>
      <c r="N70" s="585"/>
      <c r="O70" s="585"/>
      <c r="P70" s="585"/>
      <c r="Q70" s="585"/>
      <c r="S70" s="532"/>
      <c r="T70" s="39"/>
      <c r="U70" s="39"/>
      <c r="V70" s="39"/>
      <c r="W70" s="114"/>
      <c r="X70" s="114"/>
      <c r="Y70" s="114"/>
      <c r="Z70" s="115"/>
      <c r="AB70" s="532"/>
      <c r="AC70" s="580"/>
      <c r="AD70" s="580"/>
      <c r="AE70" s="39"/>
      <c r="AF70" s="39"/>
      <c r="AG70" s="39"/>
      <c r="AH70" s="39"/>
      <c r="AI70" s="39"/>
    </row>
    <row r="71" spans="1:35" ht="15.75" customHeight="1">
      <c r="A71" s="640"/>
      <c r="B71" s="39"/>
      <c r="C71" s="39"/>
      <c r="D71" s="629"/>
      <c r="E71" s="629"/>
      <c r="F71" s="629"/>
      <c r="G71" s="629"/>
      <c r="H71" s="629"/>
      <c r="J71" s="640"/>
      <c r="K71" s="39"/>
      <c r="L71" s="39"/>
      <c r="M71" s="39"/>
      <c r="N71" s="585"/>
      <c r="O71" s="585"/>
      <c r="P71" s="585"/>
      <c r="Q71" s="585"/>
      <c r="S71" s="532"/>
      <c r="T71" s="39"/>
      <c r="U71" s="39"/>
      <c r="V71" s="39"/>
      <c r="W71" s="114"/>
      <c r="X71" s="114"/>
      <c r="Y71" s="114"/>
      <c r="Z71" s="115"/>
      <c r="AB71" s="532"/>
      <c r="AC71" s="580"/>
      <c r="AD71" s="580"/>
      <c r="AE71" s="39"/>
      <c r="AF71" s="39"/>
      <c r="AG71" s="39"/>
      <c r="AH71" s="39"/>
      <c r="AI71" s="39"/>
    </row>
    <row r="72" spans="1:35" ht="15.75" customHeight="1" thickBot="1">
      <c r="A72" s="641"/>
      <c r="B72" s="39"/>
      <c r="C72" s="39"/>
      <c r="D72" s="629"/>
      <c r="E72" s="629"/>
      <c r="F72" s="629"/>
      <c r="G72" s="629"/>
      <c r="H72" s="629"/>
      <c r="J72" s="641"/>
      <c r="K72" s="39"/>
      <c r="L72" s="39"/>
      <c r="M72" s="39"/>
      <c r="N72" s="585"/>
      <c r="O72" s="585"/>
      <c r="P72" s="585"/>
      <c r="Q72" s="585"/>
      <c r="S72" s="532"/>
      <c r="T72" s="39"/>
      <c r="U72" s="39"/>
      <c r="V72" s="39"/>
      <c r="W72" s="114"/>
      <c r="X72" s="114"/>
      <c r="Y72" s="114"/>
      <c r="Z72" s="115"/>
      <c r="AB72" s="532"/>
      <c r="AC72" s="580"/>
      <c r="AD72" s="580"/>
      <c r="AE72" s="39"/>
      <c r="AF72" s="39"/>
      <c r="AG72" s="39"/>
      <c r="AH72" s="39"/>
      <c r="AI72" s="39"/>
    </row>
    <row r="73" spans="1:35" ht="15.75" customHeight="1">
      <c r="A73" s="39"/>
      <c r="B73" s="39"/>
      <c r="C73" s="39"/>
      <c r="D73" s="39"/>
      <c r="E73" s="39"/>
      <c r="F73" s="39"/>
      <c r="G73" s="39"/>
      <c r="H73" s="642" t="s">
        <v>727</v>
      </c>
      <c r="I73" s="39"/>
      <c r="J73" s="39"/>
      <c r="K73" s="39"/>
      <c r="L73" s="39"/>
      <c r="M73" s="39"/>
      <c r="N73" s="39"/>
      <c r="O73" s="39"/>
      <c r="P73" s="39"/>
      <c r="Q73" s="642" t="s">
        <v>738</v>
      </c>
      <c r="R73" s="39"/>
      <c r="S73" s="549" t="s">
        <v>814</v>
      </c>
      <c r="T73" s="549"/>
      <c r="U73" s="549"/>
      <c r="V73" s="549"/>
      <c r="W73" s="549"/>
      <c r="X73" s="549"/>
      <c r="Y73" s="549"/>
      <c r="Z73" s="529" t="s">
        <v>815</v>
      </c>
      <c r="AB73" s="616"/>
      <c r="AC73" s="39"/>
      <c r="AD73" s="39"/>
      <c r="AE73" s="39"/>
      <c r="AF73" s="39"/>
      <c r="AG73" s="39"/>
      <c r="AH73" s="39"/>
      <c r="AI73" s="39"/>
    </row>
    <row r="74" spans="1:35" ht="15.75" customHeight="1">
      <c r="A74" s="39"/>
      <c r="B74" s="39"/>
      <c r="C74" s="39"/>
      <c r="D74" s="39"/>
      <c r="E74" s="39"/>
      <c r="F74" s="39"/>
      <c r="G74" s="39"/>
      <c r="H74" s="643"/>
      <c r="I74" s="39"/>
      <c r="J74" s="39"/>
      <c r="K74" s="39"/>
      <c r="L74" s="39"/>
      <c r="M74" s="39"/>
      <c r="N74" s="39"/>
      <c r="O74" s="39"/>
      <c r="P74" s="39"/>
      <c r="Q74" s="643"/>
      <c r="R74" s="39"/>
      <c r="S74" s="550" t="s">
        <v>248</v>
      </c>
      <c r="T74" s="555" t="s">
        <v>249</v>
      </c>
      <c r="U74" s="556"/>
      <c r="V74" s="557"/>
      <c r="W74" s="463" t="s">
        <v>823</v>
      </c>
      <c r="X74" s="463"/>
      <c r="Y74" s="552" t="s">
        <v>734</v>
      </c>
      <c r="Z74" s="529"/>
      <c r="AB74" s="617"/>
      <c r="AC74" s="39"/>
      <c r="AD74" s="39"/>
      <c r="AE74" s="39"/>
      <c r="AF74" s="39"/>
      <c r="AG74" s="39"/>
      <c r="AH74" s="39"/>
      <c r="AI74" s="39"/>
    </row>
    <row r="75" spans="1:35" ht="15.75" customHeight="1">
      <c r="A75" s="39"/>
      <c r="B75" s="39"/>
      <c r="C75" s="39"/>
      <c r="D75" s="39"/>
      <c r="E75" s="39"/>
      <c r="F75" s="39"/>
      <c r="G75" s="39"/>
      <c r="H75" s="643"/>
      <c r="I75" s="39"/>
      <c r="J75" s="39"/>
      <c r="K75" s="39"/>
      <c r="L75" s="39"/>
      <c r="M75" s="39"/>
      <c r="N75" s="39"/>
      <c r="O75" s="39"/>
      <c r="P75" s="39"/>
      <c r="Q75" s="643"/>
      <c r="R75" s="39"/>
      <c r="S75" s="551"/>
      <c r="T75" s="558"/>
      <c r="U75" s="559"/>
      <c r="V75" s="560"/>
      <c r="W75" s="296" t="s">
        <v>825</v>
      </c>
      <c r="X75" s="296" t="s">
        <v>824</v>
      </c>
      <c r="Y75" s="553"/>
      <c r="Z75" s="529"/>
      <c r="AB75" s="617"/>
      <c r="AC75" s="39"/>
      <c r="AD75" s="39"/>
      <c r="AE75" s="39"/>
      <c r="AF75" s="39"/>
      <c r="AG75" s="39"/>
      <c r="AH75" s="39"/>
      <c r="AI75" s="39"/>
    </row>
    <row r="76" spans="1:35" ht="15.75" customHeight="1">
      <c r="A76" s="39"/>
      <c r="B76" s="39"/>
      <c r="C76" s="39"/>
      <c r="D76" s="39"/>
      <c r="E76" s="39"/>
      <c r="F76" s="39"/>
      <c r="G76" s="39"/>
      <c r="H76" s="643"/>
      <c r="I76" s="39"/>
      <c r="J76" s="39"/>
      <c r="K76" s="39"/>
      <c r="L76" s="39"/>
      <c r="M76" s="39"/>
      <c r="N76" s="39"/>
      <c r="O76" s="39"/>
      <c r="P76" s="39"/>
      <c r="Q76" s="643"/>
      <c r="R76" s="39"/>
      <c r="S76" s="128" t="str">
        <f>IF(Data!A383="","",Data!A383)</f>
        <v>SCHOOL</v>
      </c>
      <c r="T76" s="528" t="str">
        <f>IF(Data!B383="","",Data!B383)</f>
        <v>ENROLMENT</v>
      </c>
      <c r="U76" s="465"/>
      <c r="V76" s="466"/>
      <c r="W76" s="300">
        <f>IF(Data!F383="","",Data!F383)</f>
        <v>2000</v>
      </c>
      <c r="X76" s="301" t="str">
        <f>IF(Data!G383="","",Data!G383)</f>
        <v>MOOE</v>
      </c>
      <c r="Y76" s="95" t="str">
        <f>IF(Data!H383="","",Data!H383)</f>
        <v>Completed</v>
      </c>
      <c r="Z76" s="529"/>
      <c r="AB76" s="617"/>
      <c r="AC76" s="39"/>
      <c r="AD76" s="39"/>
      <c r="AE76" s="39"/>
      <c r="AF76" s="39"/>
      <c r="AG76" s="39"/>
      <c r="AH76" s="39"/>
      <c r="AI76" s="39"/>
    </row>
    <row r="77" spans="1:35" ht="15.75" customHeight="1">
      <c r="A77" s="39"/>
      <c r="B77" s="39"/>
      <c r="C77" s="39"/>
      <c r="D77" s="39"/>
      <c r="E77" s="39"/>
      <c r="F77" s="39"/>
      <c r="G77" s="39"/>
      <c r="H77" s="643"/>
      <c r="I77" s="39"/>
      <c r="J77" s="39"/>
      <c r="K77" s="39"/>
      <c r="L77" s="39"/>
      <c r="M77" s="39"/>
      <c r="N77" s="39"/>
      <c r="O77" s="39"/>
      <c r="P77" s="39"/>
      <c r="Q77" s="643"/>
      <c r="R77" s="39"/>
      <c r="S77" s="128" t="str">
        <f>IF(Data!A384="","",Data!A384)</f>
        <v>PTA</v>
      </c>
      <c r="T77" s="528" t="str">
        <f>IF(Data!B384="","",Data!B384)</f>
        <v>SAKAY NA LIBRE PA</v>
      </c>
      <c r="U77" s="465"/>
      <c r="V77" s="466"/>
      <c r="W77" s="300">
        <f>IF(Data!F384="","",Data!F384)</f>
        <v>500</v>
      </c>
      <c r="X77" s="301" t="str">
        <f>IF(Data!G384="","",Data!G384)</f>
        <v>Others</v>
      </c>
      <c r="Y77" s="95" t="str">
        <f>IF(Data!H384="","",Data!H384)</f>
        <v>Cancelled</v>
      </c>
      <c r="Z77" s="529"/>
      <c r="AB77" s="617"/>
      <c r="AC77" s="562" t="str">
        <f>IF(Data!$C$5="","",Data!$C$5)</f>
        <v>MERIDA VOCATIONAL SCHOOL</v>
      </c>
      <c r="AD77" s="562"/>
      <c r="AE77" s="562"/>
      <c r="AF77" s="562"/>
      <c r="AG77" s="562"/>
      <c r="AH77" s="562"/>
      <c r="AI77" s="39"/>
    </row>
    <row r="78" spans="1:35" ht="15.75" customHeight="1">
      <c r="A78" s="39"/>
      <c r="B78" s="39"/>
      <c r="C78" s="39"/>
      <c r="D78" s="39"/>
      <c r="E78" s="39"/>
      <c r="F78" s="39"/>
      <c r="G78" s="39"/>
      <c r="H78" s="643"/>
      <c r="I78" s="39"/>
      <c r="J78" s="39"/>
      <c r="K78" s="39"/>
      <c r="L78" s="39"/>
      <c r="M78" s="39"/>
      <c r="N78" s="39"/>
      <c r="O78" s="39"/>
      <c r="P78" s="39"/>
      <c r="Q78" s="643"/>
      <c r="R78" s="39"/>
      <c r="S78" s="128" t="str">
        <f>IF(Data!A385="","",Data!A385)</f>
        <v>SCHOOL</v>
      </c>
      <c r="T78" s="528" t="str">
        <f>IF(Data!B385="","",Data!B385)</f>
        <v xml:space="preserve">Talento MO- Pag-agak KO </v>
      </c>
      <c r="U78" s="465"/>
      <c r="V78" s="466"/>
      <c r="W78" s="300">
        <f>IF(Data!F385="","",Data!F385)</f>
        <v>10000</v>
      </c>
      <c r="X78" s="301" t="str">
        <f>IF(Data!G385="","",Data!G385)</f>
        <v>Others</v>
      </c>
      <c r="Y78" s="95" t="str">
        <f>IF(Data!H385="","",Data!H385)</f>
        <v>Completed</v>
      </c>
      <c r="Z78" s="529"/>
      <c r="AB78" s="617"/>
      <c r="AC78" s="562"/>
      <c r="AD78" s="562"/>
      <c r="AE78" s="562"/>
      <c r="AF78" s="562"/>
      <c r="AG78" s="562"/>
      <c r="AH78" s="562"/>
      <c r="AI78" s="39"/>
    </row>
    <row r="79" spans="1:35" ht="15.75" customHeight="1">
      <c r="A79" s="39"/>
      <c r="B79" s="39"/>
      <c r="C79" s="39"/>
      <c r="D79" s="39"/>
      <c r="E79" s="39"/>
      <c r="F79" s="39"/>
      <c r="G79" s="39"/>
      <c r="H79" s="643"/>
      <c r="I79" s="39"/>
      <c r="J79" s="39"/>
      <c r="K79" s="39"/>
      <c r="L79" s="39"/>
      <c r="M79" s="39"/>
      <c r="N79" s="39"/>
      <c r="O79" s="39"/>
      <c r="P79" s="39"/>
      <c r="Q79" s="643"/>
      <c r="R79" s="39"/>
      <c r="S79" s="128" t="str">
        <f>IF(Data!A386="","",Data!A386)</f>
        <v>SCHOOL</v>
      </c>
      <c r="T79" s="528" t="str">
        <f>IF(Data!B386="","",Data!B386)</f>
        <v>HASHTAG ( Help Achieve High performance Teacher Assistance Group)</v>
      </c>
      <c r="U79" s="465"/>
      <c r="V79" s="466"/>
      <c r="W79" s="300">
        <f>IF(Data!F386="","",Data!F386)</f>
        <v>5000</v>
      </c>
      <c r="X79" s="301" t="str">
        <f>IF(Data!G386="","",Data!G386)</f>
        <v>MOOE</v>
      </c>
      <c r="Y79" s="95" t="str">
        <f>IF(Data!H386="","",Data!H386)</f>
        <v>Ongoing</v>
      </c>
      <c r="Z79" s="529"/>
      <c r="AB79" s="617"/>
      <c r="AC79" s="563" t="str">
        <f>IF(Data!$C$7="","",Data!$C$7)</f>
        <v>Poblacion, Merida, Leyte</v>
      </c>
      <c r="AD79" s="563"/>
      <c r="AE79" s="563"/>
      <c r="AF79" s="563"/>
      <c r="AG79" s="563"/>
      <c r="AH79" s="563"/>
      <c r="AI79" s="39"/>
    </row>
    <row r="80" spans="1:35" ht="15.75" customHeight="1">
      <c r="A80" s="39"/>
      <c r="B80" s="39"/>
      <c r="C80" s="39"/>
      <c r="D80" s="39"/>
      <c r="E80" s="39"/>
      <c r="F80" s="39"/>
      <c r="G80" s="39"/>
      <c r="H80" s="643"/>
      <c r="I80" s="39"/>
      <c r="J80" s="39"/>
      <c r="K80" s="39"/>
      <c r="L80" s="39"/>
      <c r="M80" s="39"/>
      <c r="N80" s="39"/>
      <c r="O80" s="39"/>
      <c r="P80" s="39"/>
      <c r="Q80" s="643"/>
      <c r="R80" s="39"/>
      <c r="S80" s="128" t="str">
        <f>IF(Data!A387="","",Data!A387)</f>
        <v>SCHOOL</v>
      </c>
      <c r="T80" s="528" t="str">
        <f>IF(Data!B387="","",Data!B387)</f>
        <v>Bahay Sa Paaralan ko Pansamantalang Tirahan KO</v>
      </c>
      <c r="U80" s="465"/>
      <c r="V80" s="466"/>
      <c r="W80" s="300">
        <f>IF(Data!F387="","",Data!F387)</f>
        <v>50000</v>
      </c>
      <c r="X80" s="301" t="str">
        <f>IF(Data!G387="","",Data!G387)</f>
        <v>MOOE</v>
      </c>
      <c r="Y80" s="95" t="str">
        <f>IF(Data!H387="","",Data!H387)</f>
        <v>Ongoing</v>
      </c>
      <c r="Z80" s="529"/>
      <c r="AB80" s="617"/>
      <c r="AC80" s="563"/>
      <c r="AD80" s="563"/>
      <c r="AE80" s="563"/>
      <c r="AF80" s="563"/>
      <c r="AG80" s="563"/>
      <c r="AH80" s="563"/>
      <c r="AI80" s="39"/>
    </row>
    <row r="81" spans="1:35" ht="15.75" customHeight="1">
      <c r="A81" s="39"/>
      <c r="B81" s="39"/>
      <c r="C81" s="39"/>
      <c r="D81" s="39"/>
      <c r="E81" s="39"/>
      <c r="F81" s="39"/>
      <c r="G81" s="39"/>
      <c r="H81" s="643"/>
      <c r="I81" s="39"/>
      <c r="J81" s="39"/>
      <c r="K81" s="39"/>
      <c r="L81" s="39"/>
      <c r="M81" s="39"/>
      <c r="N81" s="39"/>
      <c r="O81" s="39"/>
      <c r="P81" s="39"/>
      <c r="Q81" s="643"/>
      <c r="R81" s="39"/>
      <c r="S81" s="128" t="str">
        <f>IF(Data!A388="","",Data!A388)</f>
        <v>SCHOOL</v>
      </c>
      <c r="T81" s="528" t="str">
        <f>IF(Data!B388="","",Data!B388)</f>
        <v xml:space="preserve"> Pagkain Alagaan, Timbang dagdagan</v>
      </c>
      <c r="U81" s="465"/>
      <c r="V81" s="466"/>
      <c r="W81" s="300">
        <f>IF(Data!F388="","",Data!F388)</f>
        <v>12500</v>
      </c>
      <c r="X81" s="301" t="str">
        <f>IF(Data!G388="","",Data!G388)</f>
        <v>Others</v>
      </c>
      <c r="Y81" s="95" t="str">
        <f>IF(Data!H388="","",Data!H388)</f>
        <v>Ongoing</v>
      </c>
      <c r="Z81" s="529"/>
      <c r="AB81" s="617"/>
      <c r="AC81" s="564" t="str">
        <f>IF(Data!$C$6="","",CONCATENATE(Data!$A$6,Data!$C$6))</f>
        <v>School ID:303408</v>
      </c>
      <c r="AD81" s="564"/>
      <c r="AE81" s="564"/>
      <c r="AF81" s="564"/>
      <c r="AG81" s="564"/>
      <c r="AH81" s="564"/>
      <c r="AI81" s="39"/>
    </row>
    <row r="82" spans="1:35" ht="15.75" customHeight="1">
      <c r="A82" s="39"/>
      <c r="B82" s="39"/>
      <c r="C82" s="39"/>
      <c r="D82" s="39"/>
      <c r="E82" s="39"/>
      <c r="F82" s="39"/>
      <c r="G82" s="39"/>
      <c r="H82" s="643"/>
      <c r="I82" s="39"/>
      <c r="J82" s="39"/>
      <c r="K82" s="39"/>
      <c r="L82" s="39"/>
      <c r="M82" s="39"/>
      <c r="N82" s="39"/>
      <c r="O82" s="39"/>
      <c r="P82" s="39"/>
      <c r="Q82" s="643"/>
      <c r="R82" s="39"/>
      <c r="S82" s="128" t="str">
        <f>IF(Data!A389="","",Data!A389)</f>
        <v>SCHOOL</v>
      </c>
      <c r="T82" s="528" t="str">
        <f>IF(Data!B389="","",Data!B389)</f>
        <v>Improved Reading Program (IRP)</v>
      </c>
      <c r="U82" s="465"/>
      <c r="V82" s="466"/>
      <c r="W82" s="300">
        <f>IF(Data!F389="","",Data!F389)</f>
        <v>2000</v>
      </c>
      <c r="X82" s="301" t="str">
        <f>IF(Data!G389="","",Data!G389)</f>
        <v>MOOE</v>
      </c>
      <c r="Y82" s="95" t="str">
        <f>IF(Data!H389="","",Data!H389)</f>
        <v>Ongoing</v>
      </c>
      <c r="Z82" s="529"/>
      <c r="AB82" s="617"/>
      <c r="AC82" s="564"/>
      <c r="AD82" s="564"/>
      <c r="AE82" s="564"/>
      <c r="AF82" s="564"/>
      <c r="AG82" s="564"/>
      <c r="AH82" s="564"/>
      <c r="AI82" s="39"/>
    </row>
    <row r="83" spans="1:35" ht="15.75" customHeight="1">
      <c r="A83" s="39"/>
      <c r="B83" s="39"/>
      <c r="C83" s="39"/>
      <c r="D83" s="39"/>
      <c r="E83" s="39"/>
      <c r="F83" s="39"/>
      <c r="G83" s="39"/>
      <c r="H83" s="643"/>
      <c r="I83" s="39"/>
      <c r="J83" s="39"/>
      <c r="K83" s="39"/>
      <c r="L83" s="39"/>
      <c r="M83" s="39"/>
      <c r="N83" s="39"/>
      <c r="O83" s="39"/>
      <c r="P83" s="39"/>
      <c r="Q83" s="643"/>
      <c r="R83" s="39"/>
      <c r="S83" s="128" t="str">
        <f>IF(Data!A390="","",Data!A390)</f>
        <v>SCHOOL</v>
      </c>
      <c r="T83" s="528" t="str">
        <f>IF(Data!B390="","",Data!B390)</f>
        <v>Kumprehensibong Programa sa Pagbasa</v>
      </c>
      <c r="U83" s="465"/>
      <c r="V83" s="466"/>
      <c r="W83" s="300">
        <f>IF(Data!F390="","",Data!F390)</f>
        <v>30000</v>
      </c>
      <c r="X83" s="301" t="str">
        <f>IF(Data!G390="","",Data!G390)</f>
        <v>Others</v>
      </c>
      <c r="Y83" s="95" t="str">
        <f>IF(Data!H390="","",Data!H390)</f>
        <v>Ongoing</v>
      </c>
      <c r="Z83" s="529"/>
      <c r="AB83" s="617"/>
      <c r="AC83" s="470" t="str">
        <f>IF(Data!$H$6="","",Data!$H$6)</f>
        <v>Junior High School (w/ SHS)</v>
      </c>
      <c r="AD83" s="470"/>
      <c r="AE83" s="470"/>
      <c r="AF83" s="470"/>
      <c r="AG83" s="470"/>
      <c r="AH83" s="470"/>
      <c r="AI83" s="39"/>
    </row>
    <row r="84" spans="1:35" ht="15.75" customHeight="1">
      <c r="A84" s="39"/>
      <c r="B84" s="39"/>
      <c r="C84" s="39"/>
      <c r="D84" s="39"/>
      <c r="E84" s="39"/>
      <c r="F84" s="39"/>
      <c r="G84" s="39"/>
      <c r="H84" s="643"/>
      <c r="I84" s="39"/>
      <c r="J84" s="39"/>
      <c r="K84" s="39"/>
      <c r="L84" s="39"/>
      <c r="M84" s="39"/>
      <c r="N84" s="39"/>
      <c r="O84" s="39"/>
      <c r="P84" s="39"/>
      <c r="Q84" s="643"/>
      <c r="R84" s="39"/>
      <c r="S84" s="128" t="str">
        <f>IF(Data!A391="","",Data!A391)</f>
        <v>SCHOOL</v>
      </c>
      <c r="T84" s="528" t="str">
        <f>IF(Data!B391="","",Data!B391)</f>
        <v>I LOVE MATH PROGRAM</v>
      </c>
      <c r="U84" s="465"/>
      <c r="V84" s="466"/>
      <c r="W84" s="300">
        <f>IF(Data!F391="","",Data!F391)</f>
        <v>3000</v>
      </c>
      <c r="X84" s="301" t="str">
        <f>IF(Data!G391="","",Data!G391)</f>
        <v>MOOE</v>
      </c>
      <c r="Y84" s="95" t="str">
        <f>IF(Data!H391="","",Data!H391)</f>
        <v>Ongoing</v>
      </c>
      <c r="Z84" s="529"/>
      <c r="AB84" s="617"/>
      <c r="AC84" s="470" t="str">
        <f>IF(SRC!C27="","",SRC!C27)</f>
        <v>S.Y. 2018-2019</v>
      </c>
      <c r="AD84" s="470"/>
      <c r="AE84" s="470"/>
      <c r="AF84" s="470"/>
      <c r="AG84" s="470"/>
      <c r="AH84" s="470"/>
      <c r="AI84" s="39"/>
    </row>
    <row r="85" spans="1:35" ht="15.75" customHeight="1">
      <c r="A85" s="39"/>
      <c r="B85" s="39"/>
      <c r="C85" s="39"/>
      <c r="D85" s="39"/>
      <c r="E85" s="39"/>
      <c r="F85" s="39"/>
      <c r="G85" s="39"/>
      <c r="H85" s="643"/>
      <c r="I85" s="39"/>
      <c r="J85" s="39"/>
      <c r="K85" s="39"/>
      <c r="L85" s="39"/>
      <c r="M85" s="39"/>
      <c r="N85" s="39"/>
      <c r="O85" s="39"/>
      <c r="P85" s="39"/>
      <c r="Q85" s="643"/>
      <c r="R85" s="39"/>
      <c r="S85" s="128" t="str">
        <f>IF(Data!A392="","",Data!A392)</f>
        <v>SCHOOL</v>
      </c>
      <c r="T85" s="528" t="str">
        <f>IF(Data!B392="","",Data!B392)</f>
        <v>Project BEST (Barangay Education Strategic Team)</v>
      </c>
      <c r="U85" s="465"/>
      <c r="V85" s="466"/>
      <c r="W85" s="300" t="str">
        <f>IF(Data!F392="","",Data!F392)</f>
        <v/>
      </c>
      <c r="X85" s="301" t="str">
        <f>IF(Data!G392="","",Data!G392)</f>
        <v>Others</v>
      </c>
      <c r="Y85" s="95" t="str">
        <f>IF(Data!H392="","",Data!H392)</f>
        <v>Ongoing</v>
      </c>
      <c r="Z85" s="529"/>
      <c r="AB85" s="617"/>
      <c r="AC85" s="39"/>
      <c r="AD85" s="39"/>
      <c r="AE85" s="39"/>
      <c r="AF85" s="39"/>
      <c r="AG85" s="39"/>
      <c r="AH85" s="39"/>
      <c r="AI85" s="39"/>
    </row>
    <row r="86" spans="1:35" ht="15.75" customHeight="1">
      <c r="A86" s="39"/>
      <c r="B86" s="39"/>
      <c r="C86" s="39"/>
      <c r="D86" s="39"/>
      <c r="E86" s="39"/>
      <c r="F86" s="39"/>
      <c r="G86" s="39"/>
      <c r="H86" s="643"/>
      <c r="I86" s="39"/>
      <c r="J86" s="39"/>
      <c r="K86" s="39"/>
      <c r="L86" s="39"/>
      <c r="M86" s="39"/>
      <c r="N86" s="39"/>
      <c r="O86" s="39"/>
      <c r="P86" s="39"/>
      <c r="Q86" s="643"/>
      <c r="R86" s="39"/>
      <c r="S86" s="128" t="str">
        <f>IF(Data!A393="","",Data!A393)</f>
        <v>SCHOOL</v>
      </c>
      <c r="T86" s="528" t="str">
        <f>IF(Data!B393="","",Data!B393)</f>
        <v>MVSports "ABAG" Program</v>
      </c>
      <c r="U86" s="465"/>
      <c r="V86" s="466"/>
      <c r="W86" s="300" t="str">
        <f>IF(Data!F393="","",Data!F393)</f>
        <v/>
      </c>
      <c r="X86" s="301" t="str">
        <f>IF(Data!G393="","",Data!G393)</f>
        <v>MOOE</v>
      </c>
      <c r="Y86" s="95" t="str">
        <f>IF(Data!H393="","",Data!H393)</f>
        <v>Ongoing</v>
      </c>
      <c r="Z86" s="529"/>
      <c r="AB86" s="617"/>
      <c r="AC86" s="39"/>
      <c r="AD86" s="39"/>
      <c r="AE86" s="39"/>
      <c r="AF86" s="39"/>
      <c r="AG86" s="39"/>
      <c r="AH86" s="39"/>
      <c r="AI86" s="39"/>
    </row>
    <row r="87" spans="1:35" ht="15.75" customHeight="1">
      <c r="A87" s="39"/>
      <c r="B87" s="39"/>
      <c r="C87" s="39"/>
      <c r="D87" s="39"/>
      <c r="E87" s="39"/>
      <c r="F87" s="39"/>
      <c r="G87" s="39"/>
      <c r="H87" s="643"/>
      <c r="I87" s="39"/>
      <c r="J87" s="39"/>
      <c r="K87" s="39"/>
      <c r="L87" s="629" t="str">
        <f>INDEX(Helper!$J$536:$J$540,MATCH(Home!$O$1,Helper!$A$536:$A$540,0))</f>
        <v>The school lack/s 2 classroom/s as of SY 2018-2019.</v>
      </c>
      <c r="M87" s="629"/>
      <c r="N87" s="629"/>
      <c r="O87" s="629"/>
      <c r="P87" s="630"/>
      <c r="Q87" s="643"/>
      <c r="R87" s="39"/>
      <c r="S87" s="128" t="str">
        <f>IF(Data!A394="","",Data!A394)</f>
        <v>SCHOOL</v>
      </c>
      <c r="T87" s="528" t="str">
        <f>IF(Data!B394="","",Data!B394)</f>
        <v xml:space="preserve"> MVS ARKADO (Arnis-Kali-Do)</v>
      </c>
      <c r="U87" s="465"/>
      <c r="V87" s="466"/>
      <c r="W87" s="300" t="str">
        <f>IF(Data!F394="","",Data!F394)</f>
        <v/>
      </c>
      <c r="X87" s="301" t="str">
        <f>IF(Data!G394="","",Data!G394)</f>
        <v>MOOE</v>
      </c>
      <c r="Y87" s="95" t="str">
        <f>IF(Data!H394="","",Data!H394)</f>
        <v>Proposed</v>
      </c>
      <c r="Z87" s="529"/>
      <c r="AB87" s="617"/>
      <c r="AC87" s="39"/>
      <c r="AD87" s="39"/>
      <c r="AE87" s="39"/>
      <c r="AF87" s="39"/>
      <c r="AG87" s="39"/>
      <c r="AH87" s="39"/>
      <c r="AI87" s="39"/>
    </row>
    <row r="88" spans="1:35" ht="15.75" customHeight="1">
      <c r="A88" s="39"/>
      <c r="B88" s="39"/>
      <c r="C88" s="39"/>
      <c r="D88" s="39"/>
      <c r="E88" s="39"/>
      <c r="F88" s="39"/>
      <c r="G88" s="39"/>
      <c r="H88" s="643"/>
      <c r="I88" s="39"/>
      <c r="J88" s="39"/>
      <c r="K88" s="39"/>
      <c r="L88" s="629"/>
      <c r="M88" s="629"/>
      <c r="N88" s="629"/>
      <c r="O88" s="629"/>
      <c r="P88" s="630"/>
      <c r="Q88" s="643"/>
      <c r="R88" s="39"/>
      <c r="S88" s="128" t="str">
        <f>IF(Data!A395="","",Data!A395)</f>
        <v>SCHOOL</v>
      </c>
      <c r="T88" s="528" t="str">
        <f>IF(Data!B395="","",Data!B395)</f>
        <v>The Meridian - Journalism</v>
      </c>
      <c r="U88" s="465"/>
      <c r="V88" s="466"/>
      <c r="W88" s="300" t="str">
        <f>IF(Data!F395="","",Data!F395)</f>
        <v/>
      </c>
      <c r="X88" s="301" t="str">
        <f>IF(Data!G395="","",Data!G395)</f>
        <v>MOOE</v>
      </c>
      <c r="Y88" s="95" t="str">
        <f>IF(Data!H395="","",Data!H395)</f>
        <v>Ongoing</v>
      </c>
      <c r="Z88" s="529"/>
      <c r="AB88" s="617"/>
      <c r="AC88" s="39"/>
      <c r="AD88" s="39"/>
      <c r="AE88" s="39"/>
      <c r="AF88" s="39"/>
      <c r="AG88" s="39"/>
      <c r="AH88" s="39"/>
      <c r="AI88" s="39"/>
    </row>
    <row r="89" spans="1:35" ht="15.75" customHeight="1">
      <c r="A89" s="39"/>
      <c r="B89" s="39"/>
      <c r="C89" s="39"/>
      <c r="D89" s="39"/>
      <c r="E89" s="39"/>
      <c r="F89" s="39"/>
      <c r="G89" s="39"/>
      <c r="H89" s="643"/>
      <c r="I89" s="39"/>
      <c r="J89" s="39"/>
      <c r="K89" s="39"/>
      <c r="L89" s="629"/>
      <c r="M89" s="629"/>
      <c r="N89" s="629"/>
      <c r="O89" s="629"/>
      <c r="P89" s="630"/>
      <c r="Q89" s="643"/>
      <c r="R89" s="39"/>
      <c r="S89" s="128" t="str">
        <f>IF(Data!A396="","",Data!A396)</f>
        <v>SCHOOL</v>
      </c>
      <c r="T89" s="528" t="str">
        <f>IF(Data!B396="","",Data!B396)</f>
        <v xml:space="preserve"> Repaired today, Damaged away</v>
      </c>
      <c r="U89" s="465"/>
      <c r="V89" s="466"/>
      <c r="W89" s="300" t="str">
        <f>IF(Data!F396="","",Data!F396)</f>
        <v/>
      </c>
      <c r="X89" s="301" t="str">
        <f>IF(Data!G396="","",Data!G396)</f>
        <v>Donation</v>
      </c>
      <c r="Y89" s="95" t="str">
        <f>IF(Data!H396="","",Data!H396)</f>
        <v>Ongoing</v>
      </c>
      <c r="Z89" s="529"/>
      <c r="AB89" s="617"/>
      <c r="AC89" s="39"/>
      <c r="AD89" s="39"/>
      <c r="AE89" s="39"/>
      <c r="AF89" s="39"/>
      <c r="AG89" s="39"/>
      <c r="AH89" s="39"/>
      <c r="AI89" s="39"/>
    </row>
    <row r="90" spans="1:35" ht="15.75" customHeight="1">
      <c r="A90" s="39"/>
      <c r="B90" s="39"/>
      <c r="C90" s="39"/>
      <c r="D90" s="39"/>
      <c r="E90" s="39"/>
      <c r="F90" s="39"/>
      <c r="G90" s="39"/>
      <c r="H90" s="643"/>
      <c r="I90" s="39"/>
      <c r="J90" s="39"/>
      <c r="K90" s="39"/>
      <c r="L90" s="629"/>
      <c r="M90" s="629"/>
      <c r="N90" s="629"/>
      <c r="O90" s="629"/>
      <c r="P90" s="630"/>
      <c r="Q90" s="643"/>
      <c r="R90" s="39"/>
      <c r="S90" s="128" t="str">
        <f>IF(Data!A397="","",Data!A397)</f>
        <v>SCHOOL</v>
      </c>
      <c r="T90" s="528" t="str">
        <f>IF(Data!B397="","",Data!B397)</f>
        <v>MVS ERUF (Emergency Response Unit Force)</v>
      </c>
      <c r="U90" s="465"/>
      <c r="V90" s="466"/>
      <c r="W90" s="300" t="str">
        <f>IF(Data!F397="","",Data!F397)</f>
        <v/>
      </c>
      <c r="X90" s="301" t="str">
        <f>IF(Data!G397="","",Data!G397)</f>
        <v>Others</v>
      </c>
      <c r="Y90" s="95" t="str">
        <f>IF(Data!H397="","",Data!H397)</f>
        <v>Ongoing</v>
      </c>
      <c r="Z90" s="529"/>
      <c r="AB90" s="617"/>
      <c r="AC90" s="39"/>
      <c r="AD90" s="39"/>
      <c r="AE90" s="39"/>
      <c r="AF90" s="39"/>
      <c r="AG90" s="39"/>
      <c r="AH90" s="39"/>
      <c r="AI90" s="39"/>
    </row>
    <row r="91" spans="1:35" ht="15.75" customHeight="1">
      <c r="A91" s="39"/>
      <c r="B91" s="39"/>
      <c r="C91" s="39"/>
      <c r="D91" s="39"/>
      <c r="E91" s="39"/>
      <c r="F91" s="39"/>
      <c r="G91" s="39"/>
      <c r="H91" s="643"/>
      <c r="I91" s="39"/>
      <c r="J91" s="39"/>
      <c r="K91" s="39"/>
      <c r="L91" s="631"/>
      <c r="M91" s="631"/>
      <c r="N91" s="631"/>
      <c r="O91" s="631"/>
      <c r="P91" s="632"/>
      <c r="Q91" s="643"/>
      <c r="R91" s="39"/>
      <c r="S91" s="39"/>
      <c r="T91" s="39"/>
      <c r="U91" s="39"/>
      <c r="V91" s="39"/>
      <c r="W91" s="554" t="str">
        <f>IF(Helper!N620="","",INDEX(Helper!N620:N639,MATCH(Home!$O$1,Helper!A620:A639,0)))</f>
        <v>For the current year, the school proposed 14 major projects as included in the AIP. There are 2 projects completed and 12 projects which are still in proposed, ongoing or cancelled status. The total percentage of accomplishment for the completed projects is 14.29 percent.</v>
      </c>
      <c r="X91" s="554"/>
      <c r="Y91" s="554"/>
      <c r="Z91" s="529"/>
      <c r="AB91" s="617"/>
      <c r="AC91" s="39"/>
      <c r="AD91" s="39"/>
      <c r="AE91" s="39"/>
      <c r="AF91" s="39"/>
      <c r="AG91" s="39"/>
      <c r="AH91" s="39"/>
      <c r="AI91" s="39"/>
    </row>
    <row r="92" spans="1:35" ht="15.75" customHeight="1">
      <c r="A92" s="39"/>
      <c r="B92" s="39"/>
      <c r="C92" s="39"/>
      <c r="D92" s="39"/>
      <c r="E92" s="39"/>
      <c r="F92" s="39"/>
      <c r="G92" s="39"/>
      <c r="H92" s="643"/>
      <c r="I92" s="39"/>
      <c r="J92" s="633" t="str">
        <f>IF(Helper!$G$494="","",INDEX(Helper!$G$494:$G$498,MATCH(Home!$O$1,Helper!$A$494:$A$498,0)))</f>
        <v>All classrooms utilized are standard instructional rooms.</v>
      </c>
      <c r="K92" s="633"/>
      <c r="L92" s="633"/>
      <c r="M92" s="633"/>
      <c r="N92" s="633"/>
      <c r="O92" s="633"/>
      <c r="P92" s="634"/>
      <c r="Q92" s="643"/>
      <c r="R92" s="39"/>
      <c r="S92" s="39"/>
      <c r="T92" s="39"/>
      <c r="U92" s="39"/>
      <c r="V92" s="39"/>
      <c r="W92" s="554"/>
      <c r="X92" s="554"/>
      <c r="Y92" s="554"/>
      <c r="Z92" s="529"/>
      <c r="AB92" s="617"/>
      <c r="AC92" s="39"/>
      <c r="AD92" s="39"/>
      <c r="AE92" s="39"/>
      <c r="AF92" s="39"/>
      <c r="AG92" s="39"/>
      <c r="AH92" s="39"/>
      <c r="AI92" s="39"/>
    </row>
    <row r="93" spans="1:35" ht="15.75" customHeight="1">
      <c r="A93" s="39"/>
      <c r="B93" s="39"/>
      <c r="C93" s="39"/>
      <c r="D93" s="39"/>
      <c r="E93" s="39"/>
      <c r="F93" s="39"/>
      <c r="G93" s="39"/>
      <c r="H93" s="643"/>
      <c r="I93" s="39"/>
      <c r="J93" s="635"/>
      <c r="K93" s="635"/>
      <c r="L93" s="635"/>
      <c r="M93" s="635"/>
      <c r="N93" s="635"/>
      <c r="O93" s="635"/>
      <c r="P93" s="636"/>
      <c r="Q93" s="643"/>
      <c r="R93" s="39"/>
      <c r="S93" s="39"/>
      <c r="T93" s="39"/>
      <c r="U93" s="39"/>
      <c r="V93" s="39"/>
      <c r="W93" s="554"/>
      <c r="X93" s="554"/>
      <c r="Y93" s="554"/>
      <c r="Z93" s="529"/>
      <c r="AB93" s="617"/>
      <c r="AC93" s="39"/>
      <c r="AD93" s="39"/>
      <c r="AE93" s="39"/>
      <c r="AF93" s="39"/>
      <c r="AG93" s="39"/>
      <c r="AH93" s="39"/>
      <c r="AI93" s="39"/>
    </row>
    <row r="94" spans="1:35" ht="15.75" customHeight="1">
      <c r="A94" s="39"/>
      <c r="B94" s="39"/>
      <c r="C94" s="39"/>
      <c r="D94" s="39"/>
      <c r="E94" s="39"/>
      <c r="F94" s="39"/>
      <c r="G94" s="39"/>
      <c r="H94" s="643"/>
      <c r="I94" s="39"/>
      <c r="J94" s="39"/>
      <c r="K94" s="39"/>
      <c r="L94" s="39"/>
      <c r="M94" s="39"/>
      <c r="N94" s="39"/>
      <c r="O94" s="39"/>
      <c r="P94" s="39"/>
      <c r="Q94" s="643"/>
      <c r="R94" s="39"/>
      <c r="S94" s="39"/>
      <c r="T94" s="39"/>
      <c r="U94" s="39"/>
      <c r="V94" s="39"/>
      <c r="W94" s="554"/>
      <c r="X94" s="554"/>
      <c r="Y94" s="554"/>
      <c r="Z94" s="529"/>
      <c r="AB94" s="617"/>
      <c r="AC94" s="39"/>
      <c r="AD94" s="39"/>
      <c r="AE94" s="39"/>
      <c r="AF94" s="39"/>
      <c r="AG94" s="39"/>
      <c r="AH94" s="39"/>
      <c r="AI94" s="39"/>
    </row>
    <row r="95" spans="1:35" ht="15.75" customHeight="1">
      <c r="A95" s="39"/>
      <c r="B95" s="39"/>
      <c r="C95" s="39"/>
      <c r="D95" s="39"/>
      <c r="E95" s="39"/>
      <c r="F95" s="39"/>
      <c r="G95" s="39"/>
      <c r="H95" s="643"/>
      <c r="I95" s="39"/>
      <c r="J95" s="633" t="str">
        <f>IF(Helper!$G$515="","",INDEX(Helper!$G$515:$G$519,MATCH(Home!$O$1,Helper!$A$515:$A$519,0)))</f>
        <v>Generally, all classrooms utilized are in good condition.</v>
      </c>
      <c r="K95" s="633"/>
      <c r="L95" s="633"/>
      <c r="M95" s="633"/>
      <c r="N95" s="633"/>
      <c r="O95" s="633"/>
      <c r="P95" s="634"/>
      <c r="Q95" s="643"/>
      <c r="R95" s="39"/>
      <c r="S95" s="39"/>
      <c r="T95" s="39"/>
      <c r="U95" s="39"/>
      <c r="V95" s="39"/>
      <c r="W95" s="554"/>
      <c r="X95" s="554"/>
      <c r="Y95" s="554"/>
      <c r="Z95" s="529"/>
      <c r="AB95" s="617"/>
      <c r="AC95" s="39"/>
      <c r="AD95" s="39"/>
      <c r="AE95" s="39"/>
      <c r="AF95" s="39"/>
      <c r="AG95" s="39"/>
      <c r="AH95" s="39"/>
      <c r="AI95" s="39"/>
    </row>
    <row r="96" spans="1:35" ht="15.75" customHeight="1">
      <c r="A96" s="540" t="str">
        <f>INDEX(Helper!$L$452:$L$471,MATCH(Home!$O$1,Helper!$A$452:$A$471,0))</f>
        <v>Results of the Group Screening Test (GST) in Phil-IRI during the pre-test in English showed Grade 11 has the highest number of learners who are reading at their level with 50.24 percent of the total GST takers. In Filipino, the percentage of learners who are reading at their level is at 77.02 percent, with Grade 12 having the highest percentage of learners passing the GST.</v>
      </c>
      <c r="B96" s="540"/>
      <c r="C96" s="540"/>
      <c r="D96" s="540"/>
      <c r="E96" s="39"/>
      <c r="F96" s="39"/>
      <c r="G96" s="39"/>
      <c r="H96" s="643"/>
      <c r="I96" s="39"/>
      <c r="J96" s="635"/>
      <c r="K96" s="635"/>
      <c r="L96" s="635"/>
      <c r="M96" s="635"/>
      <c r="N96" s="635"/>
      <c r="O96" s="635"/>
      <c r="P96" s="636"/>
      <c r="Q96" s="643"/>
      <c r="R96" s="39"/>
      <c r="S96" s="39"/>
      <c r="T96" s="39"/>
      <c r="U96" s="39"/>
      <c r="V96" s="39"/>
      <c r="W96" s="554"/>
      <c r="X96" s="554"/>
      <c r="Y96" s="554"/>
      <c r="Z96" s="529"/>
      <c r="AB96" s="617"/>
      <c r="AC96" s="39"/>
      <c r="AD96" s="39"/>
      <c r="AE96" s="39"/>
      <c r="AF96" s="39"/>
      <c r="AG96" s="39"/>
      <c r="AH96" s="39"/>
      <c r="AI96" s="39"/>
    </row>
    <row r="97" spans="1:35" ht="15.75" customHeight="1">
      <c r="A97" s="540"/>
      <c r="B97" s="540"/>
      <c r="C97" s="540"/>
      <c r="D97" s="540"/>
      <c r="E97" s="39"/>
      <c r="F97" s="39"/>
      <c r="G97" s="39"/>
      <c r="H97" s="643"/>
      <c r="I97" s="39"/>
      <c r="J97" s="39"/>
      <c r="K97" s="39"/>
      <c r="L97" s="39"/>
      <c r="M97" s="39"/>
      <c r="N97" s="39"/>
      <c r="O97" s="39"/>
      <c r="P97" s="39"/>
      <c r="Q97" s="643"/>
      <c r="R97" s="39"/>
      <c r="S97" s="39"/>
      <c r="T97" s="39"/>
      <c r="U97" s="39"/>
      <c r="V97" s="39"/>
      <c r="W97" s="554"/>
      <c r="X97" s="554"/>
      <c r="Y97" s="554"/>
      <c r="Z97" s="529"/>
      <c r="AB97" s="617"/>
      <c r="AC97" s="39"/>
      <c r="AD97" s="39"/>
      <c r="AE97" s="39"/>
      <c r="AF97" s="39"/>
      <c r="AG97" s="39"/>
      <c r="AH97" s="39"/>
      <c r="AI97" s="39"/>
    </row>
    <row r="98" spans="1:35" ht="15.75" customHeight="1">
      <c r="A98" s="540"/>
      <c r="B98" s="540"/>
      <c r="C98" s="540"/>
      <c r="D98" s="540"/>
      <c r="E98" s="39"/>
      <c r="F98" s="39"/>
      <c r="G98" s="39"/>
      <c r="H98" s="643"/>
      <c r="I98" s="39"/>
      <c r="J98" s="39"/>
      <c r="K98" s="39"/>
      <c r="L98" s="39"/>
      <c r="M98" s="39"/>
      <c r="N98" s="533" t="str">
        <f>IF(Data!$H$6="Elementay(multi-grade)",Helper!$DE$124,INDEX(Helper!$L$473:$L$477,MATCH(Home!$O$1,Helper!$A$473:$A$477,0)))</f>
        <v>The biggest class size is on Grade 7 with an average class size of 61 followed by Grade 11 with an average class size of 52 learner/s per class which is beyond the recommended learner-classroom ratio.</v>
      </c>
      <c r="O98" s="533"/>
      <c r="P98" s="637"/>
      <c r="Q98" s="643"/>
      <c r="R98" s="39"/>
      <c r="S98" s="39"/>
      <c r="T98" s="39"/>
      <c r="U98" s="39"/>
      <c r="V98" s="39"/>
      <c r="W98" s="554"/>
      <c r="X98" s="554"/>
      <c r="Y98" s="554"/>
      <c r="Z98" s="529"/>
      <c r="AB98" s="617"/>
      <c r="AC98" s="39"/>
      <c r="AD98" s="39"/>
      <c r="AE98" s="39"/>
      <c r="AF98" s="39"/>
      <c r="AG98" s="39"/>
      <c r="AH98" s="39"/>
      <c r="AI98" s="39"/>
    </row>
    <row r="99" spans="1:35" ht="15.75" customHeight="1">
      <c r="A99" s="540"/>
      <c r="B99" s="540"/>
      <c r="C99" s="540"/>
      <c r="D99" s="540"/>
      <c r="E99" s="39"/>
      <c r="F99" s="39"/>
      <c r="G99" s="39"/>
      <c r="H99" s="643"/>
      <c r="I99" s="39"/>
      <c r="J99" s="39"/>
      <c r="K99" s="39"/>
      <c r="L99" s="39"/>
      <c r="M99" s="39"/>
      <c r="N99" s="533"/>
      <c r="O99" s="533"/>
      <c r="P99" s="637"/>
      <c r="Q99" s="643"/>
      <c r="R99" s="39"/>
      <c r="S99" s="39"/>
      <c r="T99" s="39"/>
      <c r="U99" s="39"/>
      <c r="V99" s="39"/>
      <c r="W99" s="554"/>
      <c r="X99" s="554"/>
      <c r="Y99" s="554"/>
      <c r="Z99" s="529"/>
      <c r="AB99" s="617"/>
      <c r="AC99" s="39"/>
      <c r="AD99" s="39"/>
      <c r="AE99" s="39"/>
      <c r="AF99" s="39"/>
      <c r="AG99" s="39"/>
      <c r="AH99" s="39"/>
      <c r="AI99" s="39"/>
    </row>
    <row r="100" spans="1:35" ht="15.75" customHeight="1">
      <c r="A100" s="540"/>
      <c r="B100" s="540"/>
      <c r="C100" s="540"/>
      <c r="D100" s="540"/>
      <c r="E100" s="39"/>
      <c r="F100" s="39"/>
      <c r="G100" s="39"/>
      <c r="H100" s="643"/>
      <c r="I100" s="39"/>
      <c r="J100" s="39"/>
      <c r="K100" s="39"/>
      <c r="L100" s="39"/>
      <c r="M100" s="39"/>
      <c r="N100" s="533"/>
      <c r="O100" s="533"/>
      <c r="P100" s="637"/>
      <c r="Q100" s="643"/>
      <c r="R100" s="39"/>
      <c r="S100" s="39"/>
      <c r="T100" s="39"/>
      <c r="U100" s="39"/>
      <c r="V100" s="39"/>
      <c r="W100" s="554"/>
      <c r="X100" s="554"/>
      <c r="Y100" s="554"/>
      <c r="Z100" s="529"/>
      <c r="AB100" s="617"/>
      <c r="AC100" s="39"/>
      <c r="AD100" s="39"/>
      <c r="AE100" s="39"/>
      <c r="AF100" s="39"/>
      <c r="AG100" s="39"/>
      <c r="AH100" s="39"/>
      <c r="AI100" s="39"/>
    </row>
    <row r="101" spans="1:35" ht="15.75" customHeight="1">
      <c r="A101" s="540"/>
      <c r="B101" s="540"/>
      <c r="C101" s="540"/>
      <c r="D101" s="540"/>
      <c r="E101" s="39"/>
      <c r="F101" s="39"/>
      <c r="G101" s="39"/>
      <c r="H101" s="643"/>
      <c r="I101" s="39"/>
      <c r="J101" s="39"/>
      <c r="K101" s="39"/>
      <c r="L101" s="39"/>
      <c r="M101" s="39"/>
      <c r="N101" s="533"/>
      <c r="O101" s="533"/>
      <c r="P101" s="637"/>
      <c r="Q101" s="643"/>
      <c r="R101" s="39"/>
      <c r="S101" s="39"/>
      <c r="T101" s="39"/>
      <c r="U101" s="39"/>
      <c r="V101" s="39"/>
      <c r="W101" s="554"/>
      <c r="X101" s="554"/>
      <c r="Y101" s="554"/>
      <c r="Z101" s="529"/>
      <c r="AB101" s="617"/>
      <c r="AC101" s="39"/>
      <c r="AD101" s="39"/>
      <c r="AE101" s="39"/>
      <c r="AF101" s="39"/>
      <c r="AG101" s="39"/>
      <c r="AH101" s="39"/>
      <c r="AI101" s="39"/>
    </row>
    <row r="102" spans="1:35" ht="15.75" customHeight="1">
      <c r="A102" s="540"/>
      <c r="B102" s="540"/>
      <c r="C102" s="540"/>
      <c r="D102" s="540"/>
      <c r="E102" s="39"/>
      <c r="F102" s="39"/>
      <c r="G102" s="39"/>
      <c r="H102" s="643"/>
      <c r="I102" s="39"/>
      <c r="J102" s="39"/>
      <c r="K102" s="39"/>
      <c r="L102" s="39"/>
      <c r="M102" s="39"/>
      <c r="N102" s="533"/>
      <c r="O102" s="533"/>
      <c r="P102" s="637"/>
      <c r="Q102" s="643"/>
      <c r="R102" s="39"/>
      <c r="S102" s="39"/>
      <c r="T102" s="39"/>
      <c r="U102" s="39"/>
      <c r="V102" s="39"/>
      <c r="W102" s="554"/>
      <c r="X102" s="554"/>
      <c r="Y102" s="554"/>
      <c r="Z102" s="529"/>
      <c r="AB102" s="617"/>
      <c r="AC102" s="39"/>
      <c r="AD102" s="39"/>
      <c r="AE102" s="39"/>
      <c r="AF102" s="39"/>
      <c r="AG102" s="39"/>
      <c r="AH102" s="39"/>
      <c r="AI102" s="39"/>
    </row>
    <row r="103" spans="1:35" ht="15.75" customHeight="1">
      <c r="A103" s="540"/>
      <c r="B103" s="540"/>
      <c r="C103" s="540"/>
      <c r="D103" s="540"/>
      <c r="E103" s="39"/>
      <c r="F103" s="39"/>
      <c r="G103" s="39"/>
      <c r="H103" s="643"/>
      <c r="I103" s="39"/>
      <c r="J103" s="39"/>
      <c r="K103" s="39"/>
      <c r="L103" s="39"/>
      <c r="M103" s="39"/>
      <c r="N103" s="533"/>
      <c r="O103" s="533"/>
      <c r="P103" s="637"/>
      <c r="Q103" s="643"/>
      <c r="R103" s="39"/>
      <c r="S103" s="39"/>
      <c r="T103" s="39"/>
      <c r="U103" s="39"/>
      <c r="V103" s="39"/>
      <c r="W103" s="554"/>
      <c r="X103" s="554"/>
      <c r="Y103" s="554"/>
      <c r="Z103" s="529"/>
      <c r="AB103" s="617"/>
      <c r="AC103" s="39"/>
      <c r="AD103" s="39"/>
      <c r="AE103" s="39"/>
      <c r="AF103" s="39"/>
      <c r="AG103" s="39"/>
      <c r="AH103" s="39"/>
      <c r="AI103" s="39"/>
    </row>
    <row r="104" spans="1:35" ht="15.75" customHeight="1">
      <c r="A104" s="540"/>
      <c r="B104" s="540"/>
      <c r="C104" s="540"/>
      <c r="D104" s="540"/>
      <c r="E104" s="39"/>
      <c r="F104" s="39"/>
      <c r="G104" s="39"/>
      <c r="H104" s="643"/>
      <c r="I104" s="39"/>
      <c r="J104" s="39"/>
      <c r="K104" s="39"/>
      <c r="L104" s="39"/>
      <c r="M104" s="39"/>
      <c r="N104" s="533"/>
      <c r="O104" s="533"/>
      <c r="P104" s="637"/>
      <c r="Q104" s="643"/>
      <c r="R104" s="39"/>
      <c r="S104" s="39"/>
      <c r="T104" s="39"/>
      <c r="U104" s="39"/>
      <c r="V104" s="39"/>
      <c r="W104" s="554"/>
      <c r="X104" s="554"/>
      <c r="Y104" s="554"/>
      <c r="Z104" s="529"/>
      <c r="AB104" s="617"/>
      <c r="AC104" s="39"/>
      <c r="AD104" s="39"/>
      <c r="AE104" s="39"/>
      <c r="AF104" s="39"/>
      <c r="AG104" s="39"/>
      <c r="AH104" s="39"/>
      <c r="AI104" s="39"/>
    </row>
    <row r="105" spans="1:35" ht="15.75" customHeight="1">
      <c r="A105" s="540"/>
      <c r="B105" s="540"/>
      <c r="C105" s="540"/>
      <c r="D105" s="540"/>
      <c r="E105" s="39"/>
      <c r="F105" s="39"/>
      <c r="G105" s="39"/>
      <c r="H105" s="643"/>
      <c r="I105" s="39"/>
      <c r="J105" s="39"/>
      <c r="K105" s="39"/>
      <c r="L105" s="39"/>
      <c r="M105" s="39"/>
      <c r="N105" s="533"/>
      <c r="O105" s="533"/>
      <c r="P105" s="637"/>
      <c r="Q105" s="643"/>
      <c r="R105" s="39"/>
      <c r="S105" s="39"/>
      <c r="T105" s="39"/>
      <c r="U105" s="39"/>
      <c r="V105" s="39"/>
      <c r="W105" s="554"/>
      <c r="X105" s="554"/>
      <c r="Y105" s="554"/>
      <c r="Z105" s="529"/>
      <c r="AB105" s="617"/>
      <c r="AC105" s="39"/>
      <c r="AD105" s="39"/>
      <c r="AE105" s="39"/>
      <c r="AF105" s="39"/>
      <c r="AG105" s="39"/>
      <c r="AH105" s="39"/>
      <c r="AI105" s="39"/>
    </row>
    <row r="106" spans="1:35" ht="15.75" customHeight="1" thickBot="1">
      <c r="A106" s="540"/>
      <c r="B106" s="540"/>
      <c r="C106" s="540"/>
      <c r="D106" s="540"/>
      <c r="E106" s="39"/>
      <c r="F106" s="39"/>
      <c r="G106" s="39"/>
      <c r="H106" s="643"/>
      <c r="I106" s="111"/>
      <c r="J106" s="39"/>
      <c r="K106" s="39"/>
      <c r="L106" s="39"/>
      <c r="M106" s="39"/>
      <c r="N106" s="533"/>
      <c r="O106" s="533"/>
      <c r="P106" s="637"/>
      <c r="Q106" s="643"/>
      <c r="R106" s="111"/>
      <c r="S106" s="39"/>
      <c r="T106" s="39"/>
      <c r="U106" s="39"/>
      <c r="V106" s="39"/>
      <c r="W106" s="554"/>
      <c r="X106" s="554"/>
      <c r="Y106" s="554"/>
      <c r="Z106" s="595"/>
      <c r="AB106" s="617"/>
      <c r="AC106" s="39"/>
      <c r="AD106" s="39"/>
      <c r="AE106" s="39"/>
      <c r="AF106" s="39"/>
      <c r="AG106" s="39"/>
      <c r="AH106" s="39"/>
      <c r="AI106" s="39"/>
    </row>
    <row r="107" spans="1:35" s="12" customFormat="1" ht="9.9" customHeight="1">
      <c r="A107" s="119"/>
      <c r="B107" s="119"/>
      <c r="C107" s="119"/>
      <c r="D107" s="119"/>
      <c r="E107" s="119"/>
      <c r="F107" s="119"/>
      <c r="G107" s="119"/>
      <c r="H107" s="120"/>
      <c r="I107" s="13"/>
      <c r="J107" s="13"/>
      <c r="K107" s="13"/>
      <c r="L107" s="13"/>
      <c r="M107" s="13"/>
      <c r="N107" s="121"/>
      <c r="O107" s="121"/>
      <c r="P107" s="121"/>
      <c r="Q107" s="120"/>
      <c r="R107" s="13"/>
      <c r="S107" s="13"/>
      <c r="T107" s="13"/>
      <c r="U107" s="13"/>
      <c r="V107" s="13"/>
      <c r="W107" s="122"/>
      <c r="X107" s="122"/>
      <c r="Y107" s="122"/>
      <c r="Z107" s="123"/>
      <c r="AB107" s="145"/>
      <c r="AC107" s="13"/>
      <c r="AD107" s="13"/>
      <c r="AE107" s="13"/>
      <c r="AF107" s="13"/>
      <c r="AG107" s="13"/>
      <c r="AH107" s="13"/>
      <c r="AI107" s="13"/>
    </row>
    <row r="108" spans="1:35" ht="15.75" customHeight="1">
      <c r="A108" s="531" t="s">
        <v>723</v>
      </c>
      <c r="B108" s="39"/>
      <c r="C108" s="39"/>
      <c r="D108" s="39"/>
      <c r="E108" s="39"/>
      <c r="F108" s="39"/>
      <c r="G108" s="39"/>
      <c r="H108" s="39"/>
      <c r="J108" s="531" t="s">
        <v>729</v>
      </c>
      <c r="K108" s="39"/>
      <c r="L108" s="39"/>
      <c r="M108" s="39"/>
      <c r="N108" s="39"/>
      <c r="O108" s="39"/>
      <c r="P108" s="39"/>
      <c r="Q108" s="39"/>
      <c r="S108" s="531" t="s">
        <v>722</v>
      </c>
      <c r="T108" s="141"/>
      <c r="U108" s="116"/>
      <c r="V108" s="116"/>
      <c r="W108" s="39"/>
      <c r="X108" s="39"/>
      <c r="Y108" s="39"/>
      <c r="Z108" s="39"/>
      <c r="AB108" s="39"/>
      <c r="AC108" s="39"/>
      <c r="AD108" s="39"/>
      <c r="AE108" s="39"/>
      <c r="AF108" s="39"/>
      <c r="AG108" s="39"/>
      <c r="AH108" s="39"/>
      <c r="AI108" s="101"/>
    </row>
    <row r="109" spans="1:35" ht="15.75" customHeight="1">
      <c r="A109" s="532"/>
      <c r="B109" s="39"/>
      <c r="C109" s="39"/>
      <c r="D109" s="39"/>
      <c r="E109" s="39"/>
      <c r="F109" s="39"/>
      <c r="G109" s="39"/>
      <c r="H109" s="39"/>
      <c r="J109" s="532"/>
      <c r="K109" s="39"/>
      <c r="L109" s="39"/>
      <c r="M109" s="39"/>
      <c r="N109" s="39"/>
      <c r="O109" s="39"/>
      <c r="P109" s="39"/>
      <c r="Q109" s="39"/>
      <c r="S109" s="532"/>
      <c r="T109" s="39"/>
      <c r="U109" s="39"/>
      <c r="V109" s="39"/>
      <c r="W109" s="39"/>
      <c r="X109" s="39"/>
      <c r="Y109" s="39"/>
      <c r="Z109" s="39"/>
      <c r="AB109" s="39"/>
      <c r="AC109" s="39"/>
      <c r="AD109" s="39"/>
      <c r="AE109" s="39"/>
      <c r="AF109" s="39"/>
      <c r="AG109" s="39"/>
      <c r="AH109" s="39"/>
      <c r="AI109" s="106"/>
    </row>
    <row r="110" spans="1:35" ht="15.75" customHeight="1">
      <c r="A110" s="532"/>
      <c r="B110" s="39"/>
      <c r="C110" s="39"/>
      <c r="D110" s="39"/>
      <c r="E110" s="39"/>
      <c r="F110" s="39"/>
      <c r="G110" s="39"/>
      <c r="H110" s="39"/>
      <c r="J110" s="532"/>
      <c r="K110" s="39"/>
      <c r="L110" s="39"/>
      <c r="M110" s="39"/>
      <c r="N110" s="39"/>
      <c r="O110" s="39"/>
      <c r="P110" s="39"/>
      <c r="Q110" s="39"/>
      <c r="S110" s="532"/>
      <c r="T110" s="39"/>
      <c r="U110" s="39"/>
      <c r="V110" s="39"/>
      <c r="W110" s="39"/>
      <c r="X110" s="39"/>
      <c r="Y110" s="39"/>
      <c r="Z110" s="39"/>
      <c r="AB110" s="39"/>
      <c r="AC110" s="39"/>
      <c r="AD110" s="39"/>
      <c r="AE110" s="39"/>
      <c r="AF110" s="39"/>
      <c r="AG110" s="39"/>
      <c r="AH110" s="39"/>
      <c r="AI110" s="106"/>
    </row>
    <row r="111" spans="1:35" ht="15.75" customHeight="1">
      <c r="A111" s="532"/>
      <c r="B111" s="39"/>
      <c r="C111" s="39"/>
      <c r="D111" s="39"/>
      <c r="E111" s="39"/>
      <c r="F111" s="39"/>
      <c r="G111" s="39"/>
      <c r="H111" s="39"/>
      <c r="J111" s="532"/>
      <c r="K111" s="39"/>
      <c r="L111" s="39"/>
      <c r="M111" s="39"/>
      <c r="N111" s="39"/>
      <c r="O111" s="39"/>
      <c r="P111" s="39"/>
      <c r="Q111" s="39"/>
      <c r="S111" s="532"/>
      <c r="T111" s="39"/>
      <c r="U111" s="39"/>
      <c r="V111" s="39"/>
      <c r="W111" s="39"/>
      <c r="X111" s="39"/>
      <c r="Y111" s="39"/>
      <c r="Z111" s="39"/>
      <c r="AB111" s="39"/>
      <c r="AC111" s="39"/>
      <c r="AD111" s="39"/>
      <c r="AE111" s="39"/>
      <c r="AF111" s="39"/>
      <c r="AG111" s="39"/>
      <c r="AH111" s="39"/>
      <c r="AI111" s="106"/>
    </row>
    <row r="112" spans="1:35" ht="15.75" customHeight="1">
      <c r="A112" s="532"/>
      <c r="B112" s="39"/>
      <c r="C112" s="39"/>
      <c r="D112" s="39"/>
      <c r="E112" s="39"/>
      <c r="F112" s="39"/>
      <c r="G112" s="39"/>
      <c r="H112" s="39"/>
      <c r="J112" s="532"/>
      <c r="K112" s="39"/>
      <c r="L112" s="39"/>
      <c r="M112" s="39"/>
      <c r="N112" s="39"/>
      <c r="O112" s="39"/>
      <c r="P112" s="39"/>
      <c r="Q112" s="39"/>
      <c r="S112" s="532"/>
      <c r="T112" s="39"/>
      <c r="U112" s="39"/>
      <c r="V112" s="39"/>
      <c r="W112" s="39"/>
      <c r="X112" s="39"/>
      <c r="Y112" s="39"/>
      <c r="Z112" s="39"/>
      <c r="AB112" s="39"/>
      <c r="AC112" s="39"/>
      <c r="AD112" s="39"/>
      <c r="AE112" s="39"/>
      <c r="AF112" s="39"/>
      <c r="AG112" s="39"/>
      <c r="AH112" s="39"/>
      <c r="AI112" s="106"/>
    </row>
    <row r="113" spans="1:35" ht="15.75" customHeight="1">
      <c r="A113" s="532"/>
      <c r="B113" s="39"/>
      <c r="C113" s="39"/>
      <c r="D113" s="39"/>
      <c r="E113" s="39"/>
      <c r="F113" s="39"/>
      <c r="G113" s="39"/>
      <c r="H113" s="39"/>
      <c r="J113" s="532"/>
      <c r="K113" s="39"/>
      <c r="L113" s="39"/>
      <c r="M113" s="39"/>
      <c r="N113" s="39"/>
      <c r="O113" s="39"/>
      <c r="P113" s="39"/>
      <c r="Q113" s="39"/>
      <c r="S113" s="532"/>
      <c r="T113" s="39"/>
      <c r="U113" s="39"/>
      <c r="V113" s="39"/>
      <c r="W113" s="39"/>
      <c r="X113" s="39"/>
      <c r="Y113" s="39"/>
      <c r="Z113" s="39"/>
      <c r="AB113" s="39"/>
      <c r="AC113" s="39"/>
      <c r="AD113" s="39"/>
      <c r="AE113" s="39"/>
      <c r="AF113" s="39"/>
      <c r="AG113" s="39"/>
      <c r="AH113" s="39"/>
      <c r="AI113" s="106"/>
    </row>
    <row r="114" spans="1:35" ht="15.75" customHeight="1">
      <c r="A114" s="532"/>
      <c r="B114" s="39"/>
      <c r="C114" s="39"/>
      <c r="D114" s="39"/>
      <c r="E114" s="39"/>
      <c r="F114" s="39"/>
      <c r="G114" s="39"/>
      <c r="H114" s="39"/>
      <c r="J114" s="532"/>
      <c r="K114" s="39"/>
      <c r="L114" s="39"/>
      <c r="M114" s="39"/>
      <c r="N114" s="39"/>
      <c r="O114" s="39"/>
      <c r="P114" s="39"/>
      <c r="Q114" s="39"/>
      <c r="S114" s="532"/>
      <c r="T114" s="39"/>
      <c r="U114" s="39"/>
      <c r="V114" s="39"/>
      <c r="W114" s="39"/>
      <c r="X114" s="39"/>
      <c r="Y114" s="39"/>
      <c r="Z114" s="39"/>
      <c r="AB114" s="39"/>
      <c r="AC114" s="39"/>
      <c r="AD114" s="39"/>
      <c r="AE114" s="39"/>
      <c r="AF114" s="39"/>
      <c r="AG114" s="39"/>
      <c r="AH114" s="39"/>
      <c r="AI114" s="106"/>
    </row>
    <row r="115" spans="1:35" ht="15.75" customHeight="1">
      <c r="A115" s="532"/>
      <c r="B115" s="39"/>
      <c r="C115" s="39"/>
      <c r="D115" s="39"/>
      <c r="E115" s="39"/>
      <c r="F115" s="39"/>
      <c r="G115" s="39"/>
      <c r="H115" s="39"/>
      <c r="J115" s="532"/>
      <c r="K115" s="39"/>
      <c r="L115" s="39"/>
      <c r="M115" s="39"/>
      <c r="N115" s="39"/>
      <c r="O115" s="39"/>
      <c r="P115" s="39"/>
      <c r="Q115" s="39"/>
      <c r="S115" s="532"/>
      <c r="T115" s="39"/>
      <c r="U115" s="39"/>
      <c r="V115" s="39"/>
      <c r="W115" s="39"/>
      <c r="X115" s="39"/>
      <c r="Y115" s="39"/>
      <c r="Z115" s="39"/>
      <c r="AB115" s="39"/>
      <c r="AC115" s="39"/>
      <c r="AD115" s="39"/>
      <c r="AE115" s="39"/>
      <c r="AF115" s="39"/>
      <c r="AG115" s="39"/>
      <c r="AH115" s="39"/>
      <c r="AI115" s="106"/>
    </row>
    <row r="116" spans="1:35" ht="15.75" customHeight="1">
      <c r="A116" s="532"/>
      <c r="B116" s="39"/>
      <c r="C116" s="39"/>
      <c r="D116" s="39"/>
      <c r="E116" s="39"/>
      <c r="F116" s="39"/>
      <c r="G116" s="39"/>
      <c r="H116" s="39"/>
      <c r="J116" s="532"/>
      <c r="K116" s="39"/>
      <c r="L116" s="39"/>
      <c r="M116" s="39"/>
      <c r="N116" s="638" t="str">
        <f>IF(Helper!$B$578="","",INDEX(Helper!$J$578:$J$582,MATCH(Home!$O$1,Helper!$A$578:$A$582,0)))</f>
        <v>There are currently lacking toilets for some learners. The learner-toilet ratio is 84:1, with a lacking of 12 toilet/s for the whole school. Majority of the toilets are shared between male and female learners.</v>
      </c>
      <c r="O116" s="638"/>
      <c r="P116" s="638"/>
      <c r="Q116" s="638"/>
      <c r="S116" s="532"/>
      <c r="T116" s="39"/>
      <c r="U116" s="39"/>
      <c r="V116" s="39"/>
      <c r="W116" s="39"/>
      <c r="X116" s="39"/>
      <c r="Y116" s="39"/>
      <c r="Z116" s="39"/>
      <c r="AB116" s="39"/>
      <c r="AC116" s="39"/>
      <c r="AD116" s="39"/>
      <c r="AE116" s="39"/>
      <c r="AF116" s="39"/>
      <c r="AG116" s="39"/>
      <c r="AH116" s="39"/>
      <c r="AI116" s="106"/>
    </row>
    <row r="117" spans="1:35" ht="15.75" customHeight="1">
      <c r="A117" s="532"/>
      <c r="B117" s="39"/>
      <c r="C117" s="39"/>
      <c r="D117" s="39"/>
      <c r="E117" s="39"/>
      <c r="F117" s="39"/>
      <c r="G117" s="39"/>
      <c r="H117" s="39"/>
      <c r="J117" s="532"/>
      <c r="K117" s="39"/>
      <c r="L117" s="39"/>
      <c r="M117" s="39"/>
      <c r="N117" s="638"/>
      <c r="O117" s="638"/>
      <c r="P117" s="638"/>
      <c r="Q117" s="638"/>
      <c r="S117" s="532"/>
      <c r="T117" s="39"/>
      <c r="U117" s="39"/>
      <c r="V117" s="39"/>
      <c r="W117" s="39"/>
      <c r="X117" s="39"/>
      <c r="Y117" s="39"/>
      <c r="Z117" s="39"/>
      <c r="AB117" s="39"/>
      <c r="AC117" s="39"/>
      <c r="AD117" s="39"/>
      <c r="AE117" s="39"/>
      <c r="AF117" s="39"/>
      <c r="AG117" s="39"/>
      <c r="AH117" s="39"/>
      <c r="AI117" s="106"/>
    </row>
    <row r="118" spans="1:35" ht="15.75" customHeight="1">
      <c r="A118" s="532"/>
      <c r="B118" s="39"/>
      <c r="C118" s="39"/>
      <c r="D118" s="39"/>
      <c r="E118" s="39"/>
      <c r="F118" s="39"/>
      <c r="G118" s="39"/>
      <c r="H118" s="39"/>
      <c r="J118" s="532"/>
      <c r="K118" s="39"/>
      <c r="L118" s="39"/>
      <c r="M118" s="39"/>
      <c r="N118" s="638"/>
      <c r="O118" s="638"/>
      <c r="P118" s="638"/>
      <c r="Q118" s="638"/>
      <c r="S118" s="532"/>
      <c r="T118" s="39"/>
      <c r="U118" s="39"/>
      <c r="V118" s="39"/>
      <c r="W118" s="39"/>
      <c r="X118" s="39"/>
      <c r="Y118" s="39"/>
      <c r="Z118" s="39"/>
      <c r="AB118" s="39"/>
      <c r="AC118" s="39"/>
      <c r="AD118" s="39"/>
      <c r="AE118" s="39"/>
      <c r="AF118" s="39"/>
      <c r="AG118" s="39"/>
      <c r="AH118" s="39"/>
      <c r="AI118" s="106"/>
    </row>
    <row r="119" spans="1:35" ht="15.75" customHeight="1">
      <c r="A119" s="532"/>
      <c r="B119" s="39"/>
      <c r="C119" s="39"/>
      <c r="D119" s="39"/>
      <c r="E119" s="39"/>
      <c r="F119" s="39"/>
      <c r="G119" s="39"/>
      <c r="H119" s="39"/>
      <c r="J119" s="532"/>
      <c r="K119" s="39"/>
      <c r="L119" s="39"/>
      <c r="M119" s="39"/>
      <c r="N119" s="638"/>
      <c r="O119" s="638"/>
      <c r="P119" s="638"/>
      <c r="Q119" s="638"/>
      <c r="S119" s="532"/>
      <c r="T119" s="140"/>
      <c r="U119" s="39"/>
      <c r="V119" s="39"/>
      <c r="W119" s="39"/>
      <c r="X119" s="129"/>
      <c r="Y119" s="39"/>
      <c r="Z119" s="39"/>
      <c r="AB119" s="39"/>
      <c r="AC119" s="39"/>
      <c r="AD119" s="39"/>
      <c r="AE119" s="39"/>
      <c r="AF119" s="39"/>
      <c r="AG119" s="39"/>
      <c r="AH119" s="39"/>
      <c r="AI119" s="106"/>
    </row>
    <row r="120" spans="1:35" ht="15.75" customHeight="1">
      <c r="A120" s="532"/>
      <c r="B120" s="39"/>
      <c r="C120" s="39"/>
      <c r="D120" s="39"/>
      <c r="E120" s="39"/>
      <c r="F120" s="39"/>
      <c r="G120" s="39"/>
      <c r="H120" s="39"/>
      <c r="J120" s="532"/>
      <c r="K120" s="39"/>
      <c r="L120" s="39"/>
      <c r="M120" s="39"/>
      <c r="N120" s="638"/>
      <c r="O120" s="638"/>
      <c r="P120" s="638"/>
      <c r="Q120" s="638"/>
      <c r="S120" s="532"/>
      <c r="T120" s="39"/>
      <c r="U120" s="39"/>
      <c r="V120" s="39"/>
      <c r="W120" s="39"/>
      <c r="X120" s="39"/>
      <c r="Y120" s="39"/>
      <c r="Z120" s="39"/>
      <c r="AB120" s="39"/>
      <c r="AC120" s="39"/>
      <c r="AD120" s="39"/>
      <c r="AE120" s="39"/>
      <c r="AF120" s="39"/>
      <c r="AG120" s="39"/>
      <c r="AH120" s="39"/>
      <c r="AI120" s="106"/>
    </row>
    <row r="121" spans="1:35" ht="15.75" customHeight="1">
      <c r="A121" s="532"/>
      <c r="B121" s="39"/>
      <c r="C121" s="39"/>
      <c r="D121" s="39"/>
      <c r="E121" s="39"/>
      <c r="F121" s="39"/>
      <c r="G121" s="39"/>
      <c r="H121" s="39"/>
      <c r="J121" s="532"/>
      <c r="K121" s="39"/>
      <c r="L121" s="39"/>
      <c r="M121" s="39"/>
      <c r="N121" s="638"/>
      <c r="O121" s="638"/>
      <c r="P121" s="638"/>
      <c r="Q121" s="638"/>
      <c r="S121" s="532"/>
      <c r="T121" s="39"/>
      <c r="U121" s="39"/>
      <c r="V121" s="39"/>
      <c r="W121" s="39"/>
      <c r="X121" s="39"/>
      <c r="Y121" s="39"/>
      <c r="Z121" s="39"/>
      <c r="AB121" s="39"/>
      <c r="AC121" s="39"/>
      <c r="AD121" s="39"/>
      <c r="AE121" s="39"/>
      <c r="AF121" s="39"/>
      <c r="AG121" s="39"/>
      <c r="AH121" s="39"/>
      <c r="AI121" s="106"/>
    </row>
    <row r="122" spans="1:35" ht="15.75" customHeight="1">
      <c r="A122" s="532"/>
      <c r="B122" s="39"/>
      <c r="C122" s="39"/>
      <c r="D122" s="39"/>
      <c r="E122" s="39"/>
      <c r="F122" s="39"/>
      <c r="G122" s="39"/>
      <c r="H122" s="39"/>
      <c r="J122" s="532"/>
      <c r="K122" s="39"/>
      <c r="L122" s="39"/>
      <c r="M122" s="39"/>
      <c r="N122" s="638"/>
      <c r="O122" s="638"/>
      <c r="P122" s="638"/>
      <c r="Q122" s="638"/>
      <c r="S122" s="532"/>
      <c r="T122" s="39"/>
      <c r="U122" s="39"/>
      <c r="V122" s="39"/>
      <c r="W122" s="39"/>
      <c r="X122" s="39"/>
      <c r="Y122" s="39"/>
      <c r="Z122" s="39"/>
      <c r="AB122" s="39"/>
      <c r="AC122" s="39"/>
      <c r="AD122" s="39"/>
      <c r="AE122" s="39"/>
      <c r="AF122" s="39"/>
      <c r="AG122" s="39"/>
      <c r="AH122" s="39"/>
      <c r="AI122" s="106"/>
    </row>
    <row r="123" spans="1:35" ht="15.75" customHeight="1">
      <c r="A123" s="532"/>
      <c r="B123" s="39"/>
      <c r="C123" s="39"/>
      <c r="D123" s="39"/>
      <c r="E123" s="39"/>
      <c r="F123" s="39"/>
      <c r="G123" s="39"/>
      <c r="H123" s="39"/>
      <c r="J123" s="532"/>
      <c r="K123" s="39"/>
      <c r="L123" s="39"/>
      <c r="M123" s="39"/>
      <c r="N123" s="638"/>
      <c r="O123" s="638"/>
      <c r="P123" s="638"/>
      <c r="Q123" s="638"/>
      <c r="S123" s="532"/>
      <c r="T123" s="39"/>
      <c r="U123" s="39"/>
      <c r="V123" s="39"/>
      <c r="W123" s="39"/>
      <c r="X123" s="39"/>
      <c r="Y123" s="39"/>
      <c r="Z123" s="39"/>
      <c r="AB123" s="39"/>
      <c r="AC123" s="39"/>
      <c r="AD123" s="39"/>
      <c r="AE123" s="39"/>
      <c r="AF123" s="39"/>
      <c r="AG123" s="39"/>
      <c r="AH123" s="39"/>
      <c r="AI123" s="106"/>
    </row>
    <row r="124" spans="1:35" ht="15.75" customHeight="1">
      <c r="A124" s="532"/>
      <c r="B124" s="39"/>
      <c r="C124" s="39"/>
      <c r="D124" s="39"/>
      <c r="E124" s="39"/>
      <c r="F124" s="39"/>
      <c r="G124" s="533" t="str">
        <f>IF(Data!$H$6="Elementay(multi-grade)",Helper!$DE$116,INDEX(Helper!$G$557:$G$561,MATCH(Home!$O$1,Helper!$A$557:$A$561,0)))</f>
        <v>The grade level with the highest learner to teacher ratio is Grade 7 which can still accommodate 10 learners per class as compared to the recommended pupil-teacher ratio.</v>
      </c>
      <c r="H124" s="533"/>
      <c r="J124" s="532"/>
      <c r="K124" s="39"/>
      <c r="L124" s="39"/>
      <c r="M124" s="39"/>
      <c r="N124" s="39"/>
      <c r="O124" s="39"/>
      <c r="P124" s="39"/>
      <c r="Q124" s="39"/>
      <c r="S124" s="532"/>
      <c r="T124" s="39"/>
      <c r="U124" s="39"/>
      <c r="V124" s="39"/>
      <c r="W124" s="39"/>
      <c r="X124" s="39"/>
      <c r="Y124" s="39"/>
      <c r="Z124" s="39"/>
      <c r="AB124" s="39"/>
      <c r="AC124" s="39"/>
      <c r="AD124" s="39"/>
      <c r="AE124" s="39"/>
      <c r="AF124" s="39"/>
      <c r="AG124" s="39"/>
      <c r="AH124" s="39"/>
      <c r="AI124" s="106"/>
    </row>
    <row r="125" spans="1:35" ht="15.75" customHeight="1">
      <c r="A125" s="532"/>
      <c r="B125" s="39"/>
      <c r="C125" s="39"/>
      <c r="D125" s="39"/>
      <c r="E125" s="39"/>
      <c r="F125" s="39"/>
      <c r="G125" s="533"/>
      <c r="H125" s="533"/>
      <c r="J125" s="532"/>
      <c r="K125" s="39"/>
      <c r="L125" s="39"/>
      <c r="M125" s="39"/>
      <c r="N125" s="39"/>
      <c r="O125" s="39"/>
      <c r="P125" s="39"/>
      <c r="Q125" s="39"/>
      <c r="S125" s="532"/>
      <c r="T125" s="39"/>
      <c r="U125" s="39"/>
      <c r="V125" s="39"/>
      <c r="W125" s="39"/>
      <c r="X125" s="39"/>
      <c r="Y125" s="39"/>
      <c r="Z125" s="39"/>
      <c r="AB125" s="39"/>
      <c r="AC125" s="39"/>
      <c r="AD125" s="39"/>
      <c r="AE125" s="39"/>
      <c r="AF125" s="39"/>
      <c r="AG125" s="39"/>
      <c r="AH125" s="39"/>
      <c r="AI125" s="106"/>
    </row>
    <row r="126" spans="1:35" ht="15.75" customHeight="1">
      <c r="A126" s="532"/>
      <c r="B126" s="39"/>
      <c r="C126" s="39"/>
      <c r="D126" s="39"/>
      <c r="E126" s="39"/>
      <c r="F126" s="39"/>
      <c r="G126" s="533"/>
      <c r="H126" s="533"/>
      <c r="J126" s="532"/>
      <c r="K126" s="39"/>
      <c r="L126" s="39"/>
      <c r="M126" s="39"/>
      <c r="N126" s="39"/>
      <c r="O126" s="39"/>
      <c r="P126" s="39"/>
      <c r="Q126" s="39"/>
      <c r="S126" s="532"/>
      <c r="T126" s="39"/>
      <c r="U126" s="39"/>
      <c r="V126" s="39"/>
      <c r="W126" s="39"/>
      <c r="X126" s="39"/>
      <c r="Y126" s="39"/>
      <c r="Z126" s="39"/>
      <c r="AB126" s="39"/>
      <c r="AC126" s="39"/>
      <c r="AD126" s="39"/>
      <c r="AE126" s="39"/>
      <c r="AF126" s="39"/>
      <c r="AG126" s="39"/>
      <c r="AH126" s="39"/>
      <c r="AI126" s="106"/>
    </row>
    <row r="127" spans="1:35" ht="15.75" customHeight="1">
      <c r="A127" s="532"/>
      <c r="B127" s="39"/>
      <c r="C127" s="39"/>
      <c r="D127" s="39"/>
      <c r="E127" s="39"/>
      <c r="F127" s="39"/>
      <c r="G127" s="533"/>
      <c r="H127" s="533"/>
      <c r="J127" s="532"/>
      <c r="K127" s="39"/>
      <c r="L127" s="39"/>
      <c r="M127" s="39"/>
      <c r="N127" s="39"/>
      <c r="O127" s="39"/>
      <c r="P127" s="39"/>
      <c r="Q127" s="39"/>
      <c r="S127" s="532"/>
      <c r="T127" s="39"/>
      <c r="U127" s="39"/>
      <c r="V127" s="39"/>
      <c r="W127" s="39"/>
      <c r="X127" s="39"/>
      <c r="Y127" s="39"/>
      <c r="Z127" s="39"/>
      <c r="AB127" s="39"/>
      <c r="AC127" s="39"/>
      <c r="AD127" s="39"/>
      <c r="AE127" s="39"/>
      <c r="AF127" s="39"/>
      <c r="AG127" s="39"/>
      <c r="AH127" s="39"/>
      <c r="AI127" s="106"/>
    </row>
    <row r="128" spans="1:35" ht="15.75" customHeight="1">
      <c r="A128" s="532"/>
      <c r="B128" s="39"/>
      <c r="C128" s="39"/>
      <c r="D128" s="39"/>
      <c r="E128" s="39"/>
      <c r="F128" s="39"/>
      <c r="G128" s="533"/>
      <c r="H128" s="533"/>
      <c r="J128" s="532"/>
      <c r="K128" s="39"/>
      <c r="L128" s="39"/>
      <c r="M128" s="39"/>
      <c r="N128" s="39"/>
      <c r="O128" s="39"/>
      <c r="P128" s="39"/>
      <c r="Q128" s="39"/>
      <c r="S128" s="532"/>
      <c r="T128" s="39"/>
      <c r="U128" s="39"/>
      <c r="V128" s="39"/>
      <c r="W128" s="39"/>
      <c r="X128" s="39"/>
      <c r="Y128" s="39"/>
      <c r="Z128" s="39"/>
      <c r="AB128" s="39"/>
      <c r="AC128" s="39"/>
      <c r="AD128" s="39"/>
      <c r="AE128" s="39"/>
      <c r="AF128" s="39"/>
      <c r="AG128" s="39"/>
      <c r="AH128" s="39"/>
      <c r="AI128" s="106"/>
    </row>
    <row r="129" spans="1:35" ht="15.75" customHeight="1">
      <c r="A129" s="532"/>
      <c r="B129" s="39"/>
      <c r="C129" s="39"/>
      <c r="D129" s="39"/>
      <c r="E129" s="39"/>
      <c r="F129" s="39"/>
      <c r="G129" s="533"/>
      <c r="H129" s="533"/>
      <c r="J129" s="532"/>
      <c r="K129" s="39"/>
      <c r="L129" s="39"/>
      <c r="M129" s="39"/>
      <c r="N129" s="39"/>
      <c r="O129" s="39"/>
      <c r="P129" s="39"/>
      <c r="Q129" s="39"/>
      <c r="S129" s="532"/>
      <c r="T129" s="39"/>
      <c r="U129" s="39"/>
      <c r="V129" s="39"/>
      <c r="W129" s="39"/>
      <c r="X129" s="39"/>
      <c r="Y129" s="39"/>
      <c r="Z129" s="39"/>
      <c r="AB129" s="39"/>
      <c r="AC129" s="39"/>
      <c r="AD129" s="39"/>
      <c r="AE129" s="39"/>
      <c r="AF129" s="39"/>
      <c r="AG129" s="39"/>
      <c r="AH129" s="39"/>
      <c r="AI129" s="106"/>
    </row>
    <row r="130" spans="1:35" ht="15.75" customHeight="1">
      <c r="A130" s="532"/>
      <c r="B130" s="39"/>
      <c r="C130" s="39"/>
      <c r="D130" s="39"/>
      <c r="E130" s="39"/>
      <c r="F130" s="39"/>
      <c r="G130" s="533"/>
      <c r="H130" s="533"/>
      <c r="J130" s="532"/>
      <c r="K130" s="13"/>
      <c r="L130" s="13"/>
      <c r="M130" s="13"/>
      <c r="N130" s="39"/>
      <c r="O130" s="39"/>
      <c r="P130" s="39"/>
      <c r="Q130" s="39"/>
      <c r="S130" s="532"/>
      <c r="T130" s="566" t="str">
        <f>IF(Helper!$X$620="","",INDEX(Helper!$X$620:$X$624,MATCH(Home!$O$1,Helper!$A$620:$A$624,0)))</f>
        <v>12 projects which are still in proposed, ongoing or cancelled status. The total percentage of accomplishment for the completed projects is 14percent.  For the current year, the school proposed 14 major projects as included in the AIP. There are 2 projects completed and 12 projects which are still in proposed, ongoing or cancelled status. The total percentage of accomplishment for the completed projects is 14.29 percent.        0</v>
      </c>
      <c r="U130" s="566"/>
      <c r="V130" s="566"/>
      <c r="W130" s="566"/>
      <c r="X130" s="566"/>
      <c r="Y130" s="39"/>
      <c r="Z130" s="39"/>
      <c r="AB130" s="39"/>
      <c r="AC130" s="39"/>
      <c r="AD130" s="39"/>
      <c r="AE130" s="39"/>
      <c r="AF130" s="39"/>
      <c r="AG130" s="39"/>
      <c r="AH130" s="39"/>
      <c r="AI130" s="106"/>
    </row>
    <row r="131" spans="1:35" ht="15.75" customHeight="1" thickBot="1">
      <c r="A131" s="532"/>
      <c r="B131" s="39"/>
      <c r="C131" s="39"/>
      <c r="D131" s="39"/>
      <c r="E131" s="39"/>
      <c r="F131" s="39"/>
      <c r="G131" s="533"/>
      <c r="H131" s="533"/>
      <c r="J131" s="532"/>
      <c r="K131" s="12"/>
      <c r="L131" s="117"/>
      <c r="M131" s="117"/>
      <c r="N131" s="39"/>
      <c r="O131" s="39"/>
      <c r="P131" s="39"/>
      <c r="Q131" s="39"/>
      <c r="S131" s="532"/>
      <c r="T131" s="566"/>
      <c r="U131" s="566"/>
      <c r="V131" s="566"/>
      <c r="W131" s="566"/>
      <c r="X131" s="566"/>
      <c r="Y131" s="39"/>
      <c r="Z131" s="39"/>
      <c r="AB131" s="39"/>
      <c r="AC131" s="39"/>
      <c r="AD131" s="39"/>
      <c r="AE131" s="39"/>
      <c r="AF131" s="39"/>
      <c r="AG131" s="39"/>
      <c r="AH131" s="39"/>
      <c r="AI131" s="106"/>
    </row>
    <row r="132" spans="1:35" ht="15.75" customHeight="1">
      <c r="A132" s="532"/>
      <c r="B132" s="39"/>
      <c r="C132" s="39"/>
      <c r="D132" s="39"/>
      <c r="E132" s="39"/>
      <c r="F132" s="39"/>
      <c r="G132" s="533"/>
      <c r="H132" s="533"/>
      <c r="J132" s="532"/>
      <c r="K132" s="117"/>
      <c r="L132" s="117"/>
      <c r="M132" s="117"/>
      <c r="N132" s="39"/>
      <c r="O132" s="39"/>
      <c r="P132" s="39"/>
      <c r="Q132" s="39"/>
      <c r="S132" s="532"/>
      <c r="T132" s="566"/>
      <c r="U132" s="566"/>
      <c r="V132" s="566"/>
      <c r="W132" s="566"/>
      <c r="X132" s="566"/>
      <c r="Y132" s="39"/>
      <c r="Z132" s="39"/>
      <c r="AB132" s="547" t="str">
        <f>IF(Data!$P$11="","",UPPER(Data!$P$11))</f>
        <v>JUNRIL S. OBEDA</v>
      </c>
      <c r="AC132" s="547"/>
      <c r="AD132" s="547"/>
      <c r="AE132" s="547"/>
      <c r="AF132" s="603" t="str">
        <f>IF(Data!$P$10="","",UPPER(Data!$P$10))</f>
        <v>DIVINA B. SANCHEZ</v>
      </c>
      <c r="AG132" s="604"/>
      <c r="AH132" s="604"/>
      <c r="AI132" s="605"/>
    </row>
    <row r="133" spans="1:35" ht="15.75" customHeight="1">
      <c r="A133" s="532"/>
      <c r="B133" s="39"/>
      <c r="C133" s="39"/>
      <c r="D133" s="39"/>
      <c r="E133" s="39"/>
      <c r="F133" s="39"/>
      <c r="G133" s="533"/>
      <c r="H133" s="533"/>
      <c r="J133" s="532"/>
      <c r="K133" s="566" t="str">
        <f>IF(Helper!$J$599="","",INDEX(Helper!$J$599:$J$603,MATCH(Home!$O$1,Helper!$A$599:$A$603,0)))</f>
        <v>Currently there are enough seats for all learners. The learner-seat ratio is 1.01:1, with an excess of 15 seat/s for the whole school.</v>
      </c>
      <c r="L133" s="566"/>
      <c r="M133" s="566"/>
      <c r="N133" s="39"/>
      <c r="O133" s="39"/>
      <c r="P133" s="39"/>
      <c r="Q133" s="39"/>
      <c r="S133" s="532"/>
      <c r="T133" s="566"/>
      <c r="U133" s="566"/>
      <c r="V133" s="566"/>
      <c r="W133" s="566"/>
      <c r="X133" s="566"/>
      <c r="Y133" s="39"/>
      <c r="Z133" s="39"/>
      <c r="AB133" s="606" t="str">
        <f>Data!$M$11</f>
        <v>Student Representative</v>
      </c>
      <c r="AC133" s="606"/>
      <c r="AD133" s="606"/>
      <c r="AE133" s="606"/>
      <c r="AF133" s="607" t="str">
        <f>Data!$M$10</f>
        <v>Teacher Representative</v>
      </c>
      <c r="AG133" s="606"/>
      <c r="AH133" s="606"/>
      <c r="AI133" s="608"/>
    </row>
    <row r="134" spans="1:35" ht="15.75" customHeight="1">
      <c r="A134" s="532"/>
      <c r="B134" s="39"/>
      <c r="C134" s="39"/>
      <c r="D134" s="39"/>
      <c r="E134" s="39"/>
      <c r="F134" s="39"/>
      <c r="G134" s="533"/>
      <c r="H134" s="533"/>
      <c r="J134" s="532"/>
      <c r="K134" s="566"/>
      <c r="L134" s="566"/>
      <c r="M134" s="566"/>
      <c r="N134" s="39"/>
      <c r="O134" s="39"/>
      <c r="P134" s="39"/>
      <c r="Q134" s="39"/>
      <c r="S134" s="532"/>
      <c r="T134" s="566"/>
      <c r="U134" s="566"/>
      <c r="V134" s="566"/>
      <c r="W134" s="566"/>
      <c r="X134" s="566"/>
      <c r="Y134" s="39"/>
      <c r="Z134" s="39"/>
      <c r="AB134" s="129"/>
      <c r="AC134" s="129"/>
      <c r="AD134" s="129"/>
      <c r="AE134" s="129"/>
      <c r="AF134" s="130"/>
      <c r="AG134" s="129"/>
      <c r="AH134" s="129"/>
      <c r="AI134" s="131"/>
    </row>
    <row r="135" spans="1:35" ht="15.75" customHeight="1">
      <c r="A135" s="532"/>
      <c r="B135" s="39"/>
      <c r="C135" s="39"/>
      <c r="D135" s="39"/>
      <c r="E135" s="39"/>
      <c r="F135" s="39"/>
      <c r="G135" s="533"/>
      <c r="H135" s="533"/>
      <c r="J135" s="532"/>
      <c r="K135" s="566"/>
      <c r="L135" s="566"/>
      <c r="M135" s="566"/>
      <c r="N135" s="39"/>
      <c r="O135" s="39"/>
      <c r="P135" s="39"/>
      <c r="Q135" s="39"/>
      <c r="S135" s="532"/>
      <c r="T135" s="566"/>
      <c r="U135" s="566"/>
      <c r="V135" s="566"/>
      <c r="W135" s="566"/>
      <c r="X135" s="566"/>
      <c r="Y135" s="39"/>
      <c r="Z135" s="39"/>
      <c r="AB135" s="129"/>
      <c r="AC135" s="129"/>
      <c r="AD135" s="129"/>
      <c r="AE135" s="129"/>
      <c r="AF135" s="130"/>
      <c r="AG135" s="129"/>
      <c r="AH135" s="129"/>
      <c r="AI135" s="131"/>
    </row>
    <row r="136" spans="1:35" ht="15.75" customHeight="1">
      <c r="A136" s="532"/>
      <c r="B136" s="39"/>
      <c r="C136" s="39"/>
      <c r="D136" s="39"/>
      <c r="E136" s="39"/>
      <c r="F136" s="39"/>
      <c r="G136" s="533"/>
      <c r="H136" s="533"/>
      <c r="J136" s="532"/>
      <c r="K136" s="566"/>
      <c r="L136" s="566"/>
      <c r="M136" s="566"/>
      <c r="N136" s="39"/>
      <c r="O136" s="39"/>
      <c r="P136" s="39"/>
      <c r="Q136" s="39"/>
      <c r="S136" s="532"/>
      <c r="T136" s="566"/>
      <c r="U136" s="566"/>
      <c r="V136" s="566"/>
      <c r="W136" s="566"/>
      <c r="X136" s="566"/>
      <c r="Y136" s="118"/>
      <c r="Z136" s="118"/>
      <c r="AB136" s="547" t="str">
        <f>IF(Data!$P$9="","",UPPER(Data!$P$9))</f>
        <v>LIDA L. CABARDO</v>
      </c>
      <c r="AC136" s="547"/>
      <c r="AD136" s="547"/>
      <c r="AE136" s="547"/>
      <c r="AF136" s="609" t="str">
        <f>IF(Data!$P$8="","",UPPER(Data!$P$8))</f>
        <v>RAUL G. ITCHON</v>
      </c>
      <c r="AG136" s="547"/>
      <c r="AH136" s="547"/>
      <c r="AI136" s="610"/>
    </row>
    <row r="137" spans="1:35" ht="15.75" customHeight="1" thickBot="1">
      <c r="A137" s="532"/>
      <c r="B137" s="39"/>
      <c r="C137" s="39"/>
      <c r="D137" s="39"/>
      <c r="E137" s="39"/>
      <c r="F137" s="39"/>
      <c r="G137" s="533"/>
      <c r="H137" s="533"/>
      <c r="J137" s="532"/>
      <c r="K137" s="566"/>
      <c r="L137" s="566"/>
      <c r="M137" s="566"/>
      <c r="N137" s="39"/>
      <c r="O137" s="39"/>
      <c r="P137" s="39"/>
      <c r="Q137" s="39"/>
      <c r="S137" s="532"/>
      <c r="T137" s="566"/>
      <c r="U137" s="566"/>
      <c r="V137" s="566"/>
      <c r="W137" s="566"/>
      <c r="X137" s="566"/>
      <c r="Y137" s="118"/>
      <c r="Z137" s="118"/>
      <c r="AB137" s="606" t="str">
        <f>Data!$M$9</f>
        <v>PTA President</v>
      </c>
      <c r="AC137" s="606"/>
      <c r="AD137" s="606"/>
      <c r="AE137" s="606"/>
      <c r="AF137" s="611" t="str">
        <f>Data!$M$8</f>
        <v>SGC Chair</v>
      </c>
      <c r="AG137" s="612"/>
      <c r="AH137" s="612"/>
      <c r="AI137" s="613"/>
    </row>
    <row r="138" spans="1:35" ht="15.75" customHeight="1">
      <c r="A138" s="532"/>
      <c r="B138" s="39"/>
      <c r="C138" s="39"/>
      <c r="D138" s="39"/>
      <c r="E138" s="39"/>
      <c r="F138" s="39"/>
      <c r="G138" s="533"/>
      <c r="H138" s="533"/>
      <c r="J138" s="532"/>
      <c r="K138" s="566"/>
      <c r="L138" s="566"/>
      <c r="M138" s="566"/>
      <c r="N138" s="39"/>
      <c r="O138" s="39"/>
      <c r="P138" s="39"/>
      <c r="Q138" s="39"/>
      <c r="S138" s="532"/>
      <c r="T138" s="566"/>
      <c r="U138" s="566"/>
      <c r="V138" s="566"/>
      <c r="W138" s="566"/>
      <c r="X138" s="566"/>
      <c r="Y138" s="118"/>
      <c r="Z138" s="118"/>
      <c r="AB138" s="129"/>
      <c r="AC138" s="129"/>
      <c r="AD138" s="129"/>
      <c r="AE138" s="129"/>
      <c r="AF138" s="129"/>
      <c r="AG138" s="129"/>
      <c r="AH138" s="129"/>
      <c r="AI138" s="132"/>
    </row>
    <row r="139" spans="1:35" ht="15.75" customHeight="1">
      <c r="A139" s="532"/>
      <c r="B139" s="39"/>
      <c r="C139" s="39"/>
      <c r="D139" s="39"/>
      <c r="E139" s="39"/>
      <c r="F139" s="39"/>
      <c r="G139" s="533"/>
      <c r="H139" s="533"/>
      <c r="J139" s="532"/>
      <c r="K139" s="566"/>
      <c r="L139" s="566"/>
      <c r="M139" s="566"/>
      <c r="N139" s="39"/>
      <c r="O139" s="39"/>
      <c r="P139" s="39"/>
      <c r="Q139" s="39"/>
      <c r="S139" s="532"/>
      <c r="T139" s="566"/>
      <c r="U139" s="566"/>
      <c r="V139" s="566"/>
      <c r="W139" s="566"/>
      <c r="X139" s="566"/>
      <c r="Y139" s="118"/>
      <c r="Z139" s="118"/>
      <c r="AB139" s="129"/>
      <c r="AC139" s="614"/>
      <c r="AD139" s="614"/>
      <c r="AE139" s="614"/>
      <c r="AF139" s="614"/>
      <c r="AG139" s="614"/>
      <c r="AH139" s="614"/>
      <c r="AI139" s="132"/>
    </row>
    <row r="140" spans="1:35" ht="15.75" customHeight="1">
      <c r="A140" s="532"/>
      <c r="B140" s="39"/>
      <c r="C140" s="39"/>
      <c r="D140" s="39"/>
      <c r="E140" s="39"/>
      <c r="F140" s="39"/>
      <c r="G140" s="533"/>
      <c r="H140" s="533"/>
      <c r="J140" s="532"/>
      <c r="K140" s="566"/>
      <c r="L140" s="566"/>
      <c r="M140" s="566"/>
      <c r="N140" s="39"/>
      <c r="O140" s="39"/>
      <c r="P140" s="39"/>
      <c r="Q140" s="39"/>
      <c r="S140" s="532"/>
      <c r="T140" s="566"/>
      <c r="U140" s="566"/>
      <c r="V140" s="566"/>
      <c r="W140" s="566"/>
      <c r="X140" s="566"/>
      <c r="Y140" s="118"/>
      <c r="Z140" s="118"/>
      <c r="AB140" s="129"/>
      <c r="AC140" s="615" t="str">
        <f>IF(Data!$P$7="","",UPPER(Data!$P$7))</f>
        <v>FRANCISCO B. LATORRE</v>
      </c>
      <c r="AD140" s="615"/>
      <c r="AE140" s="615"/>
      <c r="AF140" s="615"/>
      <c r="AG140" s="615"/>
      <c r="AH140" s="615"/>
      <c r="AI140" s="132"/>
    </row>
    <row r="141" spans="1:35" ht="15.75" customHeight="1">
      <c r="A141" s="532"/>
      <c r="B141" s="39"/>
      <c r="C141" s="39"/>
      <c r="D141" s="39"/>
      <c r="E141" s="39"/>
      <c r="F141" s="39"/>
      <c r="G141" s="533"/>
      <c r="H141" s="533"/>
      <c r="J141" s="532"/>
      <c r="K141" s="566"/>
      <c r="L141" s="566"/>
      <c r="M141" s="566"/>
      <c r="N141" s="39"/>
      <c r="O141" s="39"/>
      <c r="P141" s="39"/>
      <c r="Q141" s="39"/>
      <c r="S141" s="532"/>
      <c r="T141" s="566"/>
      <c r="U141" s="566"/>
      <c r="V141" s="566"/>
      <c r="W141" s="566"/>
      <c r="X141" s="566"/>
      <c r="Y141" s="118"/>
      <c r="Z141" s="118"/>
      <c r="AB141" s="129"/>
      <c r="AC141" s="602" t="str">
        <f>Data!$M$7</f>
        <v>School Head</v>
      </c>
      <c r="AD141" s="602"/>
      <c r="AE141" s="602"/>
      <c r="AF141" s="602"/>
      <c r="AG141" s="602"/>
      <c r="AH141" s="602"/>
      <c r="AI141" s="132"/>
    </row>
    <row r="142" spans="1:35" ht="15.75" customHeight="1"/>
    <row r="143" spans="1:35" ht="15.75" customHeight="1"/>
    <row r="144" spans="1:35"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sheetData>
  <sheetProtection algorithmName="SHA-512" hashValue="3mzYeizyfz96W2ZmnkIag+Lom4MyYn/jcVpLLaUMTYoi6Nt9Y5ppyeHgdUvcD1RaouWUwDwtjNTMaxnvR7NwWg==" saltValue="ZfnFHvGeXy3MUS8VkOkE+w==" spinCount="100000" sheet="1" objects="1" scenarios="1"/>
  <mergeCells count="125">
    <mergeCell ref="Z4:Z37"/>
    <mergeCell ref="Q4:Q37"/>
    <mergeCell ref="S23:W23"/>
    <mergeCell ref="A108:A141"/>
    <mergeCell ref="L87:P91"/>
    <mergeCell ref="J92:P93"/>
    <mergeCell ref="J95:P96"/>
    <mergeCell ref="N98:P106"/>
    <mergeCell ref="N116:Q123"/>
    <mergeCell ref="G124:H141"/>
    <mergeCell ref="K133:M141"/>
    <mergeCell ref="J108:J141"/>
    <mergeCell ref="H4:H37"/>
    <mergeCell ref="J39:J72"/>
    <mergeCell ref="A39:A72"/>
    <mergeCell ref="Q73:Q106"/>
    <mergeCell ref="H73:H106"/>
    <mergeCell ref="N58:Q72"/>
    <mergeCell ref="D63:H72"/>
    <mergeCell ref="A25:G31"/>
    <mergeCell ref="A32:G32"/>
    <mergeCell ref="A33:G33"/>
    <mergeCell ref="A34:G34"/>
    <mergeCell ref="A35:G35"/>
    <mergeCell ref="A36:G36"/>
    <mergeCell ref="A37:G37"/>
    <mergeCell ref="J29:L37"/>
    <mergeCell ref="N29:P37"/>
    <mergeCell ref="X23:Y23"/>
    <mergeCell ref="S24:W24"/>
    <mergeCell ref="X24:Y24"/>
    <mergeCell ref="S25:W25"/>
    <mergeCell ref="X25:Y25"/>
    <mergeCell ref="S26:W26"/>
    <mergeCell ref="X26:Y26"/>
    <mergeCell ref="S27:W27"/>
    <mergeCell ref="X27:Y27"/>
    <mergeCell ref="S28:W28"/>
    <mergeCell ref="X28:Y28"/>
    <mergeCell ref="S31:Y37"/>
    <mergeCell ref="S29:W29"/>
    <mergeCell ref="X29:Y29"/>
    <mergeCell ref="S39:S72"/>
    <mergeCell ref="W39:W40"/>
    <mergeCell ref="X39:X40"/>
    <mergeCell ref="Y39:Y40"/>
    <mergeCell ref="T41:U41"/>
    <mergeCell ref="T42:U42"/>
    <mergeCell ref="T43:U43"/>
    <mergeCell ref="T44:U44"/>
    <mergeCell ref="T45:U45"/>
    <mergeCell ref="T46:U46"/>
    <mergeCell ref="T66:U66"/>
    <mergeCell ref="T67:U67"/>
    <mergeCell ref="T50:U50"/>
    <mergeCell ref="T51:U51"/>
    <mergeCell ref="T52:U52"/>
    <mergeCell ref="T53:U53"/>
    <mergeCell ref="T54:U54"/>
    <mergeCell ref="T55:U55"/>
    <mergeCell ref="T56:U56"/>
    <mergeCell ref="T57:U57"/>
    <mergeCell ref="T58:U58"/>
    <mergeCell ref="T39:U40"/>
    <mergeCell ref="V39:V40"/>
    <mergeCell ref="T59:U59"/>
    <mergeCell ref="AC77:AH78"/>
    <mergeCell ref="AC79:AH80"/>
    <mergeCell ref="AC81:AH82"/>
    <mergeCell ref="AC83:AH83"/>
    <mergeCell ref="AC84:AH84"/>
    <mergeCell ref="Z39:Z40"/>
    <mergeCell ref="AC39:AD43"/>
    <mergeCell ref="T47:U47"/>
    <mergeCell ref="T48:U48"/>
    <mergeCell ref="T49:U49"/>
    <mergeCell ref="T60:U60"/>
    <mergeCell ref="T61:U61"/>
    <mergeCell ref="T62:U62"/>
    <mergeCell ref="T63:U63"/>
    <mergeCell ref="T64:U64"/>
    <mergeCell ref="T65:U65"/>
    <mergeCell ref="A1:AI3"/>
    <mergeCell ref="S108:S141"/>
    <mergeCell ref="T130:X141"/>
    <mergeCell ref="S73:Y73"/>
    <mergeCell ref="Z73:Z106"/>
    <mergeCell ref="S74:S75"/>
    <mergeCell ref="Y74:Y75"/>
    <mergeCell ref="AI4:AI37"/>
    <mergeCell ref="AB32:AH37"/>
    <mergeCell ref="AB39:AB72"/>
    <mergeCell ref="AF56:AI60"/>
    <mergeCell ref="AC63:AD72"/>
    <mergeCell ref="AC141:AH141"/>
    <mergeCell ref="AB132:AE132"/>
    <mergeCell ref="AF132:AI132"/>
    <mergeCell ref="AB133:AE133"/>
    <mergeCell ref="AF133:AI133"/>
    <mergeCell ref="AB136:AE136"/>
    <mergeCell ref="AF136:AI136"/>
    <mergeCell ref="AB137:AE137"/>
    <mergeCell ref="AF137:AI137"/>
    <mergeCell ref="AC139:AH139"/>
    <mergeCell ref="AC140:AH140"/>
    <mergeCell ref="AB73:AB106"/>
    <mergeCell ref="A96:D106"/>
    <mergeCell ref="W91:Y106"/>
    <mergeCell ref="T74:V75"/>
    <mergeCell ref="W74:X74"/>
    <mergeCell ref="T76:V76"/>
    <mergeCell ref="T77:V77"/>
    <mergeCell ref="T78:V78"/>
    <mergeCell ref="T79:V79"/>
    <mergeCell ref="T80:V80"/>
    <mergeCell ref="T81:V81"/>
    <mergeCell ref="T82:V82"/>
    <mergeCell ref="T83:V83"/>
    <mergeCell ref="T84:V84"/>
    <mergeCell ref="T85:V85"/>
    <mergeCell ref="T86:V86"/>
    <mergeCell ref="T87:V87"/>
    <mergeCell ref="T88:V88"/>
    <mergeCell ref="T89:V89"/>
    <mergeCell ref="T90:V90"/>
  </mergeCells>
  <dataValidations count="1">
    <dataValidation type="list" allowBlank="1" showInputMessage="1" showErrorMessage="1" sqref="A32:A37">
      <formula1>REASONS</formula1>
    </dataValidation>
  </dataValidations>
  <printOptions horizontalCentered="1" verticalCentered="1"/>
  <pageMargins left="0" right="0" top="0" bottom="0" header="0" footer="0"/>
  <pageSetup paperSize="10000" scale="52" orientation="landscape" horizontalDpi="4294967293" verticalDpi="0" r:id="rId1"/>
  <rowBreaks count="1" manualBreakCount="1">
    <brk id="72" max="16383" man="1"/>
  </rowBreaks>
  <colBreaks count="1" manualBreakCount="1">
    <brk id="35"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84"/>
  <sheetViews>
    <sheetView showGridLines="0" showRowColHeaders="0" zoomScale="40" zoomScaleNormal="40" workbookViewId="0">
      <selection activeCell="A5" sqref="A5:AQ5"/>
    </sheetView>
  </sheetViews>
  <sheetFormatPr defaultColWidth="9.109375" defaultRowHeight="14.4"/>
  <cols>
    <col min="1" max="5" width="10.6640625" style="93" customWidth="1"/>
    <col min="6" max="7" width="12.6640625" style="93" customWidth="1"/>
    <col min="8" max="8" width="4.6640625" style="93" customWidth="1"/>
    <col min="9" max="13" width="10.6640625" style="93" customWidth="1"/>
    <col min="14" max="15" width="12.6640625" style="93" customWidth="1"/>
    <col min="16" max="17" width="6.88671875" style="94" customWidth="1"/>
    <col min="18" max="18" width="9.109375" style="93"/>
    <col min="19" max="23" width="10.6640625" style="93" customWidth="1"/>
    <col min="24" max="25" width="12.6640625" style="93" customWidth="1"/>
    <col min="26" max="26" width="4.6640625" style="93" customWidth="1"/>
    <col min="27" max="31" width="10.6640625" style="93" customWidth="1"/>
    <col min="32" max="33" width="12.6640625" style="93" customWidth="1"/>
    <col min="34" max="34" width="4.6640625" style="12" customWidth="1"/>
    <col min="35" max="39" width="10.6640625" style="93" customWidth="1"/>
    <col min="40" max="41" width="12.6640625" style="93" customWidth="1"/>
    <col min="42" max="43" width="6.6640625" style="93" customWidth="1"/>
    <col min="44" max="16384" width="9.109375" style="93"/>
  </cols>
  <sheetData>
    <row r="1" spans="1:43" ht="39.9" customHeight="1">
      <c r="A1" s="589"/>
      <c r="B1" s="590"/>
      <c r="C1" s="590"/>
      <c r="D1" s="590"/>
      <c r="E1" s="590"/>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row>
    <row r="2" spans="1:43" ht="39.9" customHeight="1">
      <c r="A2" s="589"/>
      <c r="B2" s="590"/>
      <c r="C2" s="590"/>
      <c r="D2" s="590"/>
      <c r="E2" s="590"/>
      <c r="F2" s="590"/>
      <c r="G2" s="590"/>
      <c r="H2" s="590"/>
      <c r="I2" s="590"/>
      <c r="J2" s="590"/>
      <c r="K2" s="590"/>
      <c r="L2" s="590"/>
      <c r="M2" s="590"/>
      <c r="N2" s="590"/>
      <c r="O2" s="590"/>
      <c r="P2" s="590"/>
      <c r="Q2" s="590"/>
      <c r="R2" s="590"/>
      <c r="S2" s="590"/>
      <c r="T2" s="590"/>
      <c r="U2" s="590"/>
      <c r="V2" s="590"/>
      <c r="W2" s="590"/>
      <c r="X2" s="590"/>
      <c r="Y2" s="590"/>
      <c r="Z2" s="590"/>
      <c r="AA2" s="590"/>
      <c r="AB2" s="590"/>
      <c r="AC2" s="590"/>
      <c r="AD2" s="590"/>
      <c r="AE2" s="590"/>
      <c r="AF2" s="590"/>
      <c r="AG2" s="590"/>
      <c r="AH2" s="590"/>
      <c r="AI2" s="590"/>
      <c r="AJ2" s="590"/>
      <c r="AK2" s="590"/>
      <c r="AL2" s="590"/>
      <c r="AM2" s="590"/>
      <c r="AN2" s="590"/>
      <c r="AO2" s="590"/>
      <c r="AP2" s="590"/>
      <c r="AQ2" s="590"/>
    </row>
    <row r="3" spans="1:43" ht="39.9" customHeight="1">
      <c r="A3" s="589"/>
      <c r="B3" s="590"/>
      <c r="C3" s="590"/>
      <c r="D3" s="590"/>
      <c r="E3" s="590"/>
      <c r="F3" s="590"/>
      <c r="G3" s="590"/>
      <c r="H3" s="590"/>
      <c r="I3" s="590"/>
      <c r="J3" s="590"/>
      <c r="K3" s="590"/>
      <c r="L3" s="590"/>
      <c r="M3" s="590"/>
      <c r="N3" s="590"/>
      <c r="O3" s="590"/>
      <c r="P3" s="590"/>
      <c r="Q3" s="590"/>
      <c r="R3" s="590"/>
      <c r="S3" s="590"/>
      <c r="T3" s="590"/>
      <c r="U3" s="590"/>
      <c r="V3" s="590"/>
      <c r="W3" s="590"/>
      <c r="X3" s="590"/>
      <c r="Y3" s="590"/>
      <c r="Z3" s="590"/>
      <c r="AA3" s="590"/>
      <c r="AB3" s="590"/>
      <c r="AC3" s="590"/>
      <c r="AD3" s="590"/>
      <c r="AE3" s="590"/>
      <c r="AF3" s="590"/>
      <c r="AG3" s="590"/>
      <c r="AH3" s="590"/>
      <c r="AI3" s="590"/>
      <c r="AJ3" s="590"/>
      <c r="AK3" s="590"/>
      <c r="AL3" s="590"/>
      <c r="AM3" s="590"/>
      <c r="AN3" s="590"/>
      <c r="AO3" s="590"/>
      <c r="AP3" s="590"/>
      <c r="AQ3" s="590"/>
    </row>
    <row r="4" spans="1:43" ht="69.900000000000006" customHeight="1" thickBot="1">
      <c r="A4" s="644" t="str">
        <f>IF(Data!$C$5="","",CONCATENATE(Data!$C$5," ","-"," ","SCHOOL REPORT CARD"," ","(",SRC!C27,")"))</f>
        <v>MERIDA VOCATIONAL SCHOOL - SCHOOL REPORT CARD (S.Y. 2018-2019)</v>
      </c>
      <c r="B4" s="645"/>
      <c r="C4" s="645"/>
      <c r="D4" s="645"/>
      <c r="E4" s="645"/>
      <c r="F4" s="645"/>
      <c r="G4" s="645"/>
      <c r="H4" s="645"/>
      <c r="I4" s="645"/>
      <c r="J4" s="645"/>
      <c r="K4" s="645"/>
      <c r="L4" s="645"/>
      <c r="M4" s="645"/>
      <c r="N4" s="645"/>
      <c r="O4" s="645"/>
      <c r="P4" s="645"/>
      <c r="Q4" s="645"/>
      <c r="R4" s="645"/>
      <c r="S4" s="645"/>
      <c r="T4" s="645"/>
      <c r="U4" s="645"/>
      <c r="V4" s="645"/>
      <c r="W4" s="645"/>
      <c r="X4" s="645"/>
      <c r="Y4" s="645"/>
      <c r="Z4" s="645"/>
      <c r="AA4" s="645"/>
      <c r="AB4" s="645"/>
      <c r="AC4" s="645"/>
      <c r="AD4" s="645"/>
      <c r="AE4" s="645"/>
      <c r="AF4" s="645"/>
      <c r="AG4" s="645"/>
      <c r="AH4" s="645"/>
      <c r="AI4" s="645"/>
      <c r="AJ4" s="645"/>
      <c r="AK4" s="645"/>
      <c r="AL4" s="645"/>
      <c r="AM4" s="645"/>
      <c r="AN4" s="645"/>
      <c r="AO4" s="645"/>
      <c r="AP4" s="645"/>
      <c r="AQ4" s="646"/>
    </row>
    <row r="5" spans="1:43" ht="69.900000000000006" customHeight="1" thickBot="1">
      <c r="A5" s="647" t="str">
        <f>IF(Data!$C$6="","",CONCATENATE(Data!$A$6," ",Data!$C$6," ","-"," ",Data!$H$6," ",Data!$K$6))</f>
        <v xml:space="preserve">School ID: 303408 - Junior High School (w/ SHS) </v>
      </c>
      <c r="B5" s="648"/>
      <c r="C5" s="648"/>
      <c r="D5" s="648"/>
      <c r="E5" s="648"/>
      <c r="F5" s="648"/>
      <c r="G5" s="648"/>
      <c r="H5" s="648"/>
      <c r="I5" s="648"/>
      <c r="J5" s="648"/>
      <c r="K5" s="648"/>
      <c r="L5" s="648"/>
      <c r="M5" s="648"/>
      <c r="N5" s="648"/>
      <c r="O5" s="648"/>
      <c r="P5" s="648"/>
      <c r="Q5" s="648"/>
      <c r="R5" s="648"/>
      <c r="S5" s="648"/>
      <c r="T5" s="648"/>
      <c r="U5" s="648"/>
      <c r="V5" s="648"/>
      <c r="W5" s="648"/>
      <c r="X5" s="648"/>
      <c r="Y5" s="648"/>
      <c r="Z5" s="648"/>
      <c r="AA5" s="648"/>
      <c r="AB5" s="648"/>
      <c r="AC5" s="648"/>
      <c r="AD5" s="648"/>
      <c r="AE5" s="648"/>
      <c r="AF5" s="648"/>
      <c r="AG5" s="648"/>
      <c r="AH5" s="648"/>
      <c r="AI5" s="648"/>
      <c r="AJ5" s="648"/>
      <c r="AK5" s="648"/>
      <c r="AL5" s="648"/>
      <c r="AM5" s="648"/>
      <c r="AN5" s="648"/>
      <c r="AO5" s="648"/>
      <c r="AP5" s="648"/>
      <c r="AQ5" s="649"/>
    </row>
    <row r="6" spans="1:43" ht="15.75" customHeight="1">
      <c r="A6" s="96"/>
      <c r="B6" s="96"/>
      <c r="C6" s="96"/>
      <c r="D6" s="96"/>
      <c r="E6" s="96"/>
      <c r="F6" s="96"/>
      <c r="G6" s="96"/>
      <c r="H6" s="92"/>
      <c r="I6" s="96"/>
      <c r="J6" s="96"/>
      <c r="K6" s="96"/>
      <c r="L6" s="96"/>
      <c r="M6" s="96"/>
      <c r="N6" s="96"/>
      <c r="O6" s="96"/>
      <c r="P6" s="652" t="s">
        <v>718</v>
      </c>
      <c r="Q6" s="652"/>
      <c r="R6" s="144"/>
      <c r="S6" s="97"/>
      <c r="T6" s="97"/>
      <c r="U6" s="97"/>
      <c r="V6" s="97"/>
      <c r="W6" s="97"/>
      <c r="X6" s="97"/>
      <c r="Y6" s="97"/>
      <c r="Z6" s="17"/>
      <c r="AA6" s="97"/>
      <c r="AB6" s="97"/>
      <c r="AC6" s="97"/>
      <c r="AD6" s="97"/>
      <c r="AE6" s="97"/>
      <c r="AF6" s="97"/>
      <c r="AG6" s="97"/>
      <c r="AH6" s="17"/>
      <c r="AI6" s="39"/>
      <c r="AJ6" s="39"/>
      <c r="AK6" s="39"/>
      <c r="AL6" s="39"/>
      <c r="AM6" s="39"/>
      <c r="AN6" s="39"/>
      <c r="AO6" s="39"/>
      <c r="AP6" s="655" t="s">
        <v>736</v>
      </c>
      <c r="AQ6" s="655"/>
    </row>
    <row r="7" spans="1:43" ht="15.75" customHeight="1">
      <c r="A7" s="96"/>
      <c r="B7" s="96"/>
      <c r="C7" s="96"/>
      <c r="D7" s="96"/>
      <c r="E7" s="96"/>
      <c r="F7" s="96"/>
      <c r="G7" s="96"/>
      <c r="H7" s="92"/>
      <c r="I7" s="96"/>
      <c r="J7" s="96"/>
      <c r="K7" s="96"/>
      <c r="L7" s="96"/>
      <c r="M7" s="96"/>
      <c r="N7" s="96"/>
      <c r="O7" s="96"/>
      <c r="P7" s="652"/>
      <c r="Q7" s="652"/>
      <c r="R7" s="144"/>
      <c r="S7" s="97"/>
      <c r="T7" s="97"/>
      <c r="U7" s="97"/>
      <c r="V7" s="97"/>
      <c r="W7" s="97"/>
      <c r="X7" s="97"/>
      <c r="Y7" s="97"/>
      <c r="Z7" s="17"/>
      <c r="AA7" s="650" t="str">
        <f>INDEX(Helper!$I$368:$I$372,MATCH(Home!$O$1,Helper!$A$368:$A$372,0))</f>
        <v>The average promotion rate in S.Y. 2018-2019 is at 93.09 percent as compared to the 98.55 percent of the previous school year.</v>
      </c>
      <c r="AB7" s="650"/>
      <c r="AC7" s="650"/>
      <c r="AD7" s="97"/>
      <c r="AE7" s="97"/>
      <c r="AF7" s="97"/>
      <c r="AG7" s="97"/>
      <c r="AH7" s="17"/>
      <c r="AI7" s="39"/>
      <c r="AJ7" s="39"/>
      <c r="AK7" s="39"/>
      <c r="AL7" s="39"/>
      <c r="AM7" s="39"/>
      <c r="AN7" s="39"/>
      <c r="AO7" s="39"/>
      <c r="AP7" s="655"/>
      <c r="AQ7" s="655"/>
    </row>
    <row r="8" spans="1:43" ht="15.75" customHeight="1">
      <c r="A8" s="96"/>
      <c r="B8" s="96"/>
      <c r="C8" s="96"/>
      <c r="D8" s="96"/>
      <c r="E8" s="96"/>
      <c r="F8" s="96"/>
      <c r="G8" s="96"/>
      <c r="H8" s="92"/>
      <c r="I8" s="96"/>
      <c r="J8" s="96"/>
      <c r="K8" s="96"/>
      <c r="L8" s="96"/>
      <c r="M8" s="96"/>
      <c r="N8" s="96"/>
      <c r="O8" s="96"/>
      <c r="P8" s="652"/>
      <c r="Q8" s="652"/>
      <c r="R8" s="144"/>
      <c r="S8" s="97"/>
      <c r="T8" s="97"/>
      <c r="U8" s="97"/>
      <c r="V8" s="97"/>
      <c r="W8" s="97"/>
      <c r="X8" s="97"/>
      <c r="Y8" s="97"/>
      <c r="Z8" s="17"/>
      <c r="AA8" s="650"/>
      <c r="AB8" s="650"/>
      <c r="AC8" s="650"/>
      <c r="AD8" s="97"/>
      <c r="AE8" s="97"/>
      <c r="AF8" s="97"/>
      <c r="AG8" s="97"/>
      <c r="AH8" s="17"/>
      <c r="AI8" s="39"/>
      <c r="AJ8" s="39"/>
      <c r="AK8" s="39"/>
      <c r="AL8" s="39"/>
      <c r="AM8" s="39"/>
      <c r="AN8" s="39"/>
      <c r="AO8" s="39"/>
      <c r="AP8" s="655"/>
      <c r="AQ8" s="655"/>
    </row>
    <row r="9" spans="1:43" ht="15.75" customHeight="1">
      <c r="A9" s="96"/>
      <c r="B9" s="96"/>
      <c r="C9" s="96"/>
      <c r="D9" s="96"/>
      <c r="E9" s="96"/>
      <c r="F9" s="96"/>
      <c r="G9" s="96"/>
      <c r="H9" s="92"/>
      <c r="I9" s="96"/>
      <c r="J9" s="96"/>
      <c r="K9" s="96"/>
      <c r="L9" s="96"/>
      <c r="M9" s="96"/>
      <c r="N9" s="96"/>
      <c r="O9" s="96"/>
      <c r="P9" s="652"/>
      <c r="Q9" s="652"/>
      <c r="R9" s="144"/>
      <c r="S9" s="97"/>
      <c r="T9" s="97"/>
      <c r="U9" s="97"/>
      <c r="V9" s="97"/>
      <c r="W9" s="97"/>
      <c r="X9" s="97"/>
      <c r="Y9" s="97"/>
      <c r="Z9" s="17"/>
      <c r="AA9" s="650"/>
      <c r="AB9" s="650"/>
      <c r="AC9" s="650"/>
      <c r="AD9" s="97"/>
      <c r="AE9" s="97"/>
      <c r="AF9" s="97"/>
      <c r="AG9" s="97"/>
      <c r="AH9" s="17"/>
      <c r="AI9" s="39"/>
      <c r="AJ9" s="39"/>
      <c r="AK9" s="39"/>
      <c r="AL9" s="39"/>
      <c r="AM9" s="39"/>
      <c r="AN9" s="39"/>
      <c r="AO9" s="39"/>
      <c r="AP9" s="655"/>
      <c r="AQ9" s="655"/>
    </row>
    <row r="10" spans="1:43" ht="15.75" customHeight="1">
      <c r="A10" s="96"/>
      <c r="B10" s="96"/>
      <c r="C10" s="96"/>
      <c r="D10" s="96"/>
      <c r="E10" s="96"/>
      <c r="F10" s="96"/>
      <c r="G10" s="96"/>
      <c r="H10" s="92"/>
      <c r="I10" s="96"/>
      <c r="J10" s="96"/>
      <c r="K10" s="96"/>
      <c r="L10" s="96"/>
      <c r="M10" s="96"/>
      <c r="N10" s="96"/>
      <c r="O10" s="96"/>
      <c r="P10" s="652"/>
      <c r="Q10" s="652"/>
      <c r="R10" s="144"/>
      <c r="S10" s="97"/>
      <c r="T10" s="97"/>
      <c r="U10" s="97"/>
      <c r="V10" s="97"/>
      <c r="W10" s="97"/>
      <c r="X10" s="97"/>
      <c r="Y10" s="97"/>
      <c r="Z10" s="17"/>
      <c r="AA10" s="650"/>
      <c r="AB10" s="650"/>
      <c r="AC10" s="650"/>
      <c r="AD10" s="97"/>
      <c r="AE10" s="97"/>
      <c r="AF10" s="97"/>
      <c r="AG10" s="97"/>
      <c r="AH10" s="17"/>
      <c r="AI10" s="39"/>
      <c r="AJ10" s="39"/>
      <c r="AK10" s="39"/>
      <c r="AL10" s="39"/>
      <c r="AM10" s="39"/>
      <c r="AN10" s="39"/>
      <c r="AO10" s="39"/>
      <c r="AP10" s="655"/>
      <c r="AQ10" s="655"/>
    </row>
    <row r="11" spans="1:43" ht="15.75" customHeight="1">
      <c r="A11" s="96"/>
      <c r="B11" s="96"/>
      <c r="C11" s="96"/>
      <c r="D11" s="96"/>
      <c r="E11" s="96"/>
      <c r="F11" s="96"/>
      <c r="G11" s="96"/>
      <c r="H11" s="92"/>
      <c r="I11" s="96"/>
      <c r="J11" s="96"/>
      <c r="K11" s="96"/>
      <c r="L11" s="96"/>
      <c r="M11" s="96"/>
      <c r="N11" s="96"/>
      <c r="O11" s="96"/>
      <c r="P11" s="652"/>
      <c r="Q11" s="652"/>
      <c r="R11" s="144"/>
      <c r="S11" s="97"/>
      <c r="T11" s="97"/>
      <c r="U11" s="97"/>
      <c r="V11" s="97"/>
      <c r="W11" s="97"/>
      <c r="X11" s="97"/>
      <c r="Y11" s="97"/>
      <c r="Z11" s="17"/>
      <c r="AA11" s="97"/>
      <c r="AB11" s="97"/>
      <c r="AC11" s="97"/>
      <c r="AD11" s="97"/>
      <c r="AE11" s="97"/>
      <c r="AF11" s="97"/>
      <c r="AG11" s="97"/>
      <c r="AH11" s="17"/>
      <c r="AI11" s="39"/>
      <c r="AJ11" s="39"/>
      <c r="AK11" s="39"/>
      <c r="AL11" s="39"/>
      <c r="AM11" s="39"/>
      <c r="AN11" s="39"/>
      <c r="AO11" s="39"/>
      <c r="AP11" s="655"/>
      <c r="AQ11" s="655"/>
    </row>
    <row r="12" spans="1:43" ht="15.75" customHeight="1">
      <c r="A12" s="96"/>
      <c r="B12" s="96"/>
      <c r="C12" s="96"/>
      <c r="D12" s="96"/>
      <c r="E12" s="96"/>
      <c r="F12" s="96"/>
      <c r="G12" s="96"/>
      <c r="H12" s="92"/>
      <c r="I12" s="96"/>
      <c r="J12" s="96"/>
      <c r="K12" s="96"/>
      <c r="L12" s="96"/>
      <c r="M12" s="96"/>
      <c r="N12" s="96"/>
      <c r="O12" s="96"/>
      <c r="P12" s="652"/>
      <c r="Q12" s="652"/>
      <c r="R12" s="144"/>
      <c r="S12" s="97"/>
      <c r="T12" s="97"/>
      <c r="U12" s="97"/>
      <c r="V12" s="97"/>
      <c r="W12" s="97"/>
      <c r="X12" s="97"/>
      <c r="Y12" s="97"/>
      <c r="Z12" s="17"/>
      <c r="AA12" s="97"/>
      <c r="AB12" s="97"/>
      <c r="AC12" s="97"/>
      <c r="AD12" s="97"/>
      <c r="AE12" s="97"/>
      <c r="AF12" s="97"/>
      <c r="AG12" s="97"/>
      <c r="AH12" s="17"/>
      <c r="AI12" s="39"/>
      <c r="AJ12" s="39"/>
      <c r="AK12" s="39"/>
      <c r="AL12" s="39"/>
      <c r="AM12" s="39"/>
      <c r="AN12" s="39"/>
      <c r="AO12" s="39"/>
      <c r="AP12" s="655"/>
      <c r="AQ12" s="655"/>
    </row>
    <row r="13" spans="1:43" ht="15.75" customHeight="1">
      <c r="A13" s="96"/>
      <c r="B13" s="96"/>
      <c r="C13" s="96"/>
      <c r="D13" s="96"/>
      <c r="E13" s="96"/>
      <c r="F13" s="96"/>
      <c r="G13" s="96"/>
      <c r="H13" s="92"/>
      <c r="I13" s="96"/>
      <c r="J13" s="96"/>
      <c r="K13" s="96"/>
      <c r="L13" s="96"/>
      <c r="M13" s="96"/>
      <c r="N13" s="96"/>
      <c r="O13" s="96"/>
      <c r="P13" s="652"/>
      <c r="Q13" s="652"/>
      <c r="R13" s="144"/>
      <c r="S13" s="97"/>
      <c r="T13" s="97"/>
      <c r="U13" s="97"/>
      <c r="V13" s="97"/>
      <c r="W13" s="97"/>
      <c r="X13" s="97"/>
      <c r="Y13" s="97"/>
      <c r="Z13" s="17"/>
      <c r="AA13" s="97"/>
      <c r="AB13" s="97"/>
      <c r="AC13" s="97"/>
      <c r="AD13" s="97"/>
      <c r="AE13" s="97"/>
      <c r="AF13" s="97"/>
      <c r="AG13" s="97"/>
      <c r="AH13" s="17"/>
      <c r="AI13" s="39"/>
      <c r="AJ13" s="39"/>
      <c r="AK13" s="39"/>
      <c r="AL13" s="39"/>
      <c r="AM13" s="39"/>
      <c r="AN13" s="39"/>
      <c r="AO13" s="39"/>
      <c r="AP13" s="655"/>
      <c r="AQ13" s="655"/>
    </row>
    <row r="14" spans="1:43" ht="15.75" customHeight="1">
      <c r="A14" s="96"/>
      <c r="B14" s="96"/>
      <c r="C14" s="96"/>
      <c r="D14" s="96"/>
      <c r="E14" s="96"/>
      <c r="F14" s="96"/>
      <c r="G14" s="96"/>
      <c r="H14" s="92"/>
      <c r="I14" s="96"/>
      <c r="J14" s="96"/>
      <c r="K14" s="96"/>
      <c r="L14" s="96"/>
      <c r="M14" s="96"/>
      <c r="N14" s="96"/>
      <c r="O14" s="96"/>
      <c r="P14" s="652"/>
      <c r="Q14" s="652"/>
      <c r="R14" s="144"/>
      <c r="S14" s="97"/>
      <c r="T14" s="97"/>
      <c r="U14" s="97"/>
      <c r="V14" s="97"/>
      <c r="W14" s="97"/>
      <c r="X14" s="97"/>
      <c r="Y14" s="97"/>
      <c r="Z14" s="17"/>
      <c r="AA14" s="97"/>
      <c r="AB14" s="97"/>
      <c r="AC14" s="97"/>
      <c r="AD14" s="97"/>
      <c r="AE14" s="97"/>
      <c r="AF14" s="97"/>
      <c r="AG14" s="97"/>
      <c r="AH14" s="17"/>
      <c r="AI14" s="39"/>
      <c r="AJ14" s="39"/>
      <c r="AK14" s="39"/>
      <c r="AL14" s="39"/>
      <c r="AM14" s="39"/>
      <c r="AN14" s="39"/>
      <c r="AO14" s="39"/>
      <c r="AP14" s="655"/>
      <c r="AQ14" s="655"/>
    </row>
    <row r="15" spans="1:43" ht="15.75" customHeight="1">
      <c r="A15" s="96"/>
      <c r="B15" s="96"/>
      <c r="C15" s="96"/>
      <c r="D15" s="96"/>
      <c r="E15" s="96"/>
      <c r="F15" s="96"/>
      <c r="G15" s="96"/>
      <c r="H15" s="92"/>
      <c r="I15" s="96"/>
      <c r="J15" s="96"/>
      <c r="K15" s="96"/>
      <c r="L15" s="96"/>
      <c r="M15" s="96"/>
      <c r="N15" s="96"/>
      <c r="O15" s="96"/>
      <c r="P15" s="652"/>
      <c r="Q15" s="652"/>
      <c r="R15" s="144"/>
      <c r="S15" s="97"/>
      <c r="T15" s="97"/>
      <c r="U15" s="97"/>
      <c r="V15" s="97"/>
      <c r="W15" s="97"/>
      <c r="X15" s="97"/>
      <c r="Y15" s="97"/>
      <c r="Z15" s="17"/>
      <c r="AA15" s="97"/>
      <c r="AB15" s="97"/>
      <c r="AC15" s="97"/>
      <c r="AD15" s="97"/>
      <c r="AE15" s="97"/>
      <c r="AF15" s="97"/>
      <c r="AG15" s="97"/>
      <c r="AH15" s="17"/>
      <c r="AI15" s="39"/>
      <c r="AJ15" s="39"/>
      <c r="AK15" s="39"/>
      <c r="AL15" s="39"/>
      <c r="AM15" s="39"/>
      <c r="AN15" s="39"/>
      <c r="AO15" s="39"/>
      <c r="AP15" s="655"/>
      <c r="AQ15" s="655"/>
    </row>
    <row r="16" spans="1:43" ht="15.75" customHeight="1">
      <c r="A16" s="96"/>
      <c r="B16" s="96"/>
      <c r="C16" s="96"/>
      <c r="D16" s="96"/>
      <c r="E16" s="96"/>
      <c r="F16" s="96"/>
      <c r="G16" s="96"/>
      <c r="H16" s="92"/>
      <c r="I16" s="96"/>
      <c r="J16" s="96"/>
      <c r="K16" s="96"/>
      <c r="L16" s="96"/>
      <c r="M16" s="96"/>
      <c r="N16" s="96"/>
      <c r="O16" s="96"/>
      <c r="P16" s="652"/>
      <c r="Q16" s="652"/>
      <c r="R16" s="144"/>
      <c r="S16" s="97"/>
      <c r="T16" s="97"/>
      <c r="U16" s="97"/>
      <c r="V16" s="97"/>
      <c r="W16" s="97"/>
      <c r="X16" s="97"/>
      <c r="Y16" s="97"/>
      <c r="Z16" s="17"/>
      <c r="AA16" s="97"/>
      <c r="AB16" s="97"/>
      <c r="AC16" s="97"/>
      <c r="AD16" s="97"/>
      <c r="AE16" s="97"/>
      <c r="AF16" s="97"/>
      <c r="AG16" s="97"/>
      <c r="AH16" s="17"/>
      <c r="AI16" s="39"/>
      <c r="AJ16" s="39"/>
      <c r="AK16" s="39"/>
      <c r="AL16" s="39"/>
      <c r="AM16" s="39"/>
      <c r="AN16" s="39"/>
      <c r="AO16" s="39"/>
      <c r="AP16" s="655"/>
      <c r="AQ16" s="655"/>
    </row>
    <row r="17" spans="1:43" ht="15.75" customHeight="1">
      <c r="A17" s="96"/>
      <c r="B17" s="96"/>
      <c r="C17" s="96"/>
      <c r="D17" s="96"/>
      <c r="E17" s="96"/>
      <c r="F17" s="96"/>
      <c r="G17" s="96"/>
      <c r="H17" s="92"/>
      <c r="I17" s="96"/>
      <c r="J17" s="96"/>
      <c r="K17" s="96"/>
      <c r="L17" s="96"/>
      <c r="M17" s="96"/>
      <c r="N17" s="96"/>
      <c r="O17" s="96"/>
      <c r="P17" s="652"/>
      <c r="Q17" s="652"/>
      <c r="R17" s="144"/>
      <c r="S17" s="97"/>
      <c r="T17" s="97"/>
      <c r="U17" s="97"/>
      <c r="V17" s="97"/>
      <c r="W17" s="97"/>
      <c r="X17" s="97"/>
      <c r="Y17" s="97"/>
      <c r="Z17" s="17"/>
      <c r="AA17" s="97"/>
      <c r="AB17" s="97"/>
      <c r="AC17" s="97"/>
      <c r="AD17" s="97"/>
      <c r="AE17" s="97"/>
      <c r="AF17" s="97"/>
      <c r="AG17" s="97"/>
      <c r="AH17" s="17"/>
      <c r="AI17" s="39"/>
      <c r="AJ17" s="39"/>
      <c r="AK17" s="39"/>
      <c r="AL17" s="39"/>
      <c r="AM17" s="39"/>
      <c r="AN17" s="39"/>
      <c r="AO17" s="39"/>
      <c r="AP17" s="655"/>
      <c r="AQ17" s="655"/>
    </row>
    <row r="18" spans="1:43" ht="15.75" customHeight="1">
      <c r="A18" s="96"/>
      <c r="B18" s="96"/>
      <c r="C18" s="96"/>
      <c r="D18" s="96"/>
      <c r="E18" s="96"/>
      <c r="F18" s="96"/>
      <c r="G18" s="96"/>
      <c r="H18" s="92"/>
      <c r="I18" s="96"/>
      <c r="J18" s="96"/>
      <c r="K18" s="96"/>
      <c r="L18" s="96"/>
      <c r="M18" s="96"/>
      <c r="N18" s="96"/>
      <c r="O18" s="96"/>
      <c r="P18" s="652"/>
      <c r="Q18" s="652"/>
      <c r="R18" s="144"/>
      <c r="S18" s="97"/>
      <c r="T18" s="97"/>
      <c r="U18" s="97"/>
      <c r="V18" s="97"/>
      <c r="W18" s="97"/>
      <c r="X18" s="97"/>
      <c r="Y18" s="97"/>
      <c r="Z18" s="17"/>
      <c r="AA18" s="97"/>
      <c r="AB18" s="97"/>
      <c r="AC18" s="97"/>
      <c r="AD18" s="97"/>
      <c r="AE18" s="97"/>
      <c r="AF18" s="97"/>
      <c r="AG18" s="97"/>
      <c r="AH18" s="17"/>
      <c r="AI18" s="39"/>
      <c r="AJ18" s="39"/>
      <c r="AK18" s="39"/>
      <c r="AL18" s="39"/>
      <c r="AM18" s="39"/>
      <c r="AN18" s="39"/>
      <c r="AO18" s="39"/>
      <c r="AP18" s="655"/>
      <c r="AQ18" s="655"/>
    </row>
    <row r="19" spans="1:43" ht="15.75" customHeight="1">
      <c r="A19" s="96"/>
      <c r="B19" s="96"/>
      <c r="C19" s="96"/>
      <c r="D19" s="96"/>
      <c r="E19" s="96"/>
      <c r="F19" s="96"/>
      <c r="G19" s="96"/>
      <c r="H19" s="92"/>
      <c r="I19" s="96"/>
      <c r="J19" s="96"/>
      <c r="K19" s="96"/>
      <c r="L19" s="96"/>
      <c r="M19" s="96"/>
      <c r="N19" s="96"/>
      <c r="O19" s="96"/>
      <c r="P19" s="652"/>
      <c r="Q19" s="652"/>
      <c r="R19" s="144"/>
      <c r="S19" s="97"/>
      <c r="T19" s="97"/>
      <c r="U19" s="97"/>
      <c r="V19" s="97"/>
      <c r="W19" s="97"/>
      <c r="X19" s="97"/>
      <c r="Y19" s="97"/>
      <c r="Z19" s="17"/>
      <c r="AA19" s="97"/>
      <c r="AB19" s="97"/>
      <c r="AC19" s="97"/>
      <c r="AD19" s="97"/>
      <c r="AE19" s="97"/>
      <c r="AF19" s="97"/>
      <c r="AG19" s="97"/>
      <c r="AH19" s="17"/>
      <c r="AI19" s="39"/>
      <c r="AJ19" s="39"/>
      <c r="AK19" s="39"/>
      <c r="AL19" s="39"/>
      <c r="AM19" s="39"/>
      <c r="AN19" s="39"/>
      <c r="AO19" s="39"/>
      <c r="AP19" s="655"/>
      <c r="AQ19" s="655"/>
    </row>
    <row r="20" spans="1:43" ht="15.75" customHeight="1">
      <c r="A20" s="96"/>
      <c r="B20" s="96"/>
      <c r="C20" s="96"/>
      <c r="D20" s="96"/>
      <c r="E20" s="96"/>
      <c r="F20" s="96"/>
      <c r="G20" s="96"/>
      <c r="H20" s="92"/>
      <c r="I20" s="96"/>
      <c r="J20" s="96"/>
      <c r="K20" s="96"/>
      <c r="L20" s="96"/>
      <c r="M20" s="96"/>
      <c r="N20" s="96"/>
      <c r="O20" s="96"/>
      <c r="P20" s="652"/>
      <c r="Q20" s="652"/>
      <c r="R20" s="144"/>
      <c r="S20" s="97"/>
      <c r="T20" s="97"/>
      <c r="U20" s="97"/>
      <c r="V20" s="97"/>
      <c r="W20" s="97"/>
      <c r="X20" s="97"/>
      <c r="Y20" s="97"/>
      <c r="Z20" s="17"/>
      <c r="AA20" s="97"/>
      <c r="AB20" s="97"/>
      <c r="AC20" s="97"/>
      <c r="AD20" s="97"/>
      <c r="AE20" s="97"/>
      <c r="AF20" s="97"/>
      <c r="AG20" s="97"/>
      <c r="AH20" s="17"/>
      <c r="AI20" s="39"/>
      <c r="AJ20" s="39"/>
      <c r="AK20" s="39"/>
      <c r="AL20" s="39"/>
      <c r="AM20" s="39"/>
      <c r="AN20" s="39"/>
      <c r="AO20" s="39"/>
      <c r="AP20" s="655"/>
      <c r="AQ20" s="655"/>
    </row>
    <row r="21" spans="1:43" ht="15.75" customHeight="1">
      <c r="A21" s="96"/>
      <c r="B21" s="96"/>
      <c r="C21" s="96"/>
      <c r="D21" s="96"/>
      <c r="E21" s="96"/>
      <c r="F21" s="96"/>
      <c r="G21" s="96"/>
      <c r="H21" s="92"/>
      <c r="I21" s="96"/>
      <c r="J21" s="96"/>
      <c r="K21" s="96"/>
      <c r="L21" s="96"/>
      <c r="M21" s="96"/>
      <c r="N21" s="96"/>
      <c r="O21" s="96"/>
      <c r="P21" s="652"/>
      <c r="Q21" s="652"/>
      <c r="R21" s="144"/>
      <c r="S21" s="97"/>
      <c r="T21" s="97"/>
      <c r="U21" s="97"/>
      <c r="V21" s="97"/>
      <c r="W21" s="97"/>
      <c r="X21" s="97"/>
      <c r="Y21" s="97"/>
      <c r="Z21" s="17"/>
      <c r="AA21" s="97"/>
      <c r="AB21" s="97"/>
      <c r="AC21" s="97"/>
      <c r="AD21" s="97"/>
      <c r="AE21" s="97"/>
      <c r="AF21" s="97"/>
      <c r="AG21" s="97"/>
      <c r="AH21" s="17"/>
      <c r="AI21" s="39"/>
      <c r="AJ21" s="39"/>
      <c r="AK21" s="39"/>
      <c r="AL21" s="39"/>
      <c r="AM21" s="39"/>
      <c r="AN21" s="39"/>
      <c r="AO21" s="39"/>
      <c r="AP21" s="655"/>
      <c r="AQ21" s="655"/>
    </row>
    <row r="22" spans="1:43" ht="15.75" customHeight="1" thickBot="1">
      <c r="A22" s="96"/>
      <c r="B22" s="96"/>
      <c r="C22" s="96"/>
      <c r="D22" s="96"/>
      <c r="E22" s="96"/>
      <c r="F22" s="96"/>
      <c r="G22" s="96"/>
      <c r="H22" s="92"/>
      <c r="I22" s="96"/>
      <c r="J22" s="96"/>
      <c r="K22" s="96"/>
      <c r="L22" s="96"/>
      <c r="M22" s="96"/>
      <c r="N22" s="96"/>
      <c r="O22" s="96"/>
      <c r="P22" s="652"/>
      <c r="Q22" s="652"/>
      <c r="R22" s="144"/>
      <c r="S22" s="97"/>
      <c r="T22" s="97"/>
      <c r="U22" s="97"/>
      <c r="V22" s="97"/>
      <c r="W22" s="97"/>
      <c r="X22" s="97"/>
      <c r="Y22" s="97"/>
      <c r="Z22" s="17"/>
      <c r="AA22" s="97"/>
      <c r="AB22" s="97"/>
      <c r="AC22" s="97"/>
      <c r="AD22" s="97"/>
      <c r="AE22" s="97"/>
      <c r="AF22" s="97"/>
      <c r="AG22" s="97"/>
      <c r="AH22" s="17"/>
      <c r="AI22" s="39"/>
      <c r="AJ22" s="39"/>
      <c r="AK22" s="39"/>
      <c r="AL22" s="39"/>
      <c r="AM22" s="39"/>
      <c r="AN22" s="39"/>
      <c r="AO22" s="39"/>
      <c r="AP22" s="655"/>
      <c r="AQ22" s="655"/>
    </row>
    <row r="23" spans="1:43" ht="15.75" customHeight="1">
      <c r="A23" s="96"/>
      <c r="B23" s="96"/>
      <c r="C23" s="96"/>
      <c r="D23" s="96"/>
      <c r="E23" s="96"/>
      <c r="F23" s="96"/>
      <c r="G23" s="96"/>
      <c r="H23" s="92"/>
      <c r="I23" s="96"/>
      <c r="J23" s="96"/>
      <c r="K23" s="96"/>
      <c r="L23" s="96"/>
      <c r="M23" s="96"/>
      <c r="N23" s="96"/>
      <c r="O23" s="96"/>
      <c r="P23" s="652"/>
      <c r="Q23" s="652"/>
      <c r="R23" s="144"/>
      <c r="S23" s="97"/>
      <c r="T23" s="97"/>
      <c r="U23" s="97"/>
      <c r="V23" s="97"/>
      <c r="W23" s="97"/>
      <c r="X23" s="97"/>
      <c r="Y23" s="97"/>
      <c r="Z23" s="17"/>
      <c r="AA23" s="97"/>
      <c r="AB23" s="97"/>
      <c r="AC23" s="97"/>
      <c r="AD23" s="599" t="str">
        <f>INDEX(Helper!$G$389:$G$393,MATCH(Home!$O$1,Helper!$A$389:$A$393,0))</f>
        <v>The grade level with the highest Promotion Rate for the latest school year is  Grade 12 with 98.385 percent.</v>
      </c>
      <c r="AE23" s="600"/>
      <c r="AF23" s="600"/>
      <c r="AG23" s="601"/>
      <c r="AH23" s="17"/>
      <c r="AI23" s="39"/>
      <c r="AJ23" s="39"/>
      <c r="AK23" s="39"/>
      <c r="AL23" s="39"/>
      <c r="AM23" s="39"/>
      <c r="AN23" s="39"/>
      <c r="AO23" s="39"/>
      <c r="AP23" s="655"/>
      <c r="AQ23" s="655"/>
    </row>
    <row r="24" spans="1:43" ht="15.75" customHeight="1">
      <c r="A24" s="96"/>
      <c r="B24" s="96"/>
      <c r="C24" s="96"/>
      <c r="D24" s="96"/>
      <c r="E24" s="96"/>
      <c r="F24" s="96"/>
      <c r="G24" s="96"/>
      <c r="H24" s="92"/>
      <c r="I24" s="96"/>
      <c r="J24" s="96"/>
      <c r="K24" s="96"/>
      <c r="L24" s="96"/>
      <c r="M24" s="96"/>
      <c r="N24" s="96"/>
      <c r="O24" s="96"/>
      <c r="P24" s="652"/>
      <c r="Q24" s="652"/>
      <c r="R24" s="144"/>
      <c r="S24" s="97"/>
      <c r="T24" s="97"/>
      <c r="U24" s="97"/>
      <c r="V24" s="97"/>
      <c r="W24" s="97"/>
      <c r="X24" s="97"/>
      <c r="Y24" s="97"/>
      <c r="Z24" s="17"/>
      <c r="AA24" s="97"/>
      <c r="AB24" s="97"/>
      <c r="AC24" s="97"/>
      <c r="AD24" s="565"/>
      <c r="AE24" s="566"/>
      <c r="AF24" s="566"/>
      <c r="AG24" s="567"/>
      <c r="AH24" s="17"/>
      <c r="AI24" s="39"/>
      <c r="AJ24" s="39"/>
      <c r="AK24" s="39"/>
      <c r="AL24" s="39"/>
      <c r="AM24" s="39"/>
      <c r="AN24" s="39"/>
      <c r="AO24" s="39"/>
      <c r="AP24" s="655"/>
      <c r="AQ24" s="655"/>
    </row>
    <row r="25" spans="1:43" ht="15.75" customHeight="1">
      <c r="A25" s="96"/>
      <c r="B25" s="96"/>
      <c r="C25" s="96"/>
      <c r="D25" s="96"/>
      <c r="E25" s="96"/>
      <c r="F25" s="96"/>
      <c r="G25" s="96"/>
      <c r="H25" s="92"/>
      <c r="I25" s="96"/>
      <c r="J25" s="96"/>
      <c r="K25" s="96"/>
      <c r="L25" s="96"/>
      <c r="M25" s="96"/>
      <c r="N25" s="96"/>
      <c r="O25" s="96"/>
      <c r="P25" s="652"/>
      <c r="Q25" s="652"/>
      <c r="R25" s="144"/>
      <c r="S25" s="97"/>
      <c r="T25" s="97"/>
      <c r="U25" s="97"/>
      <c r="V25" s="97"/>
      <c r="W25" s="97"/>
      <c r="X25" s="97"/>
      <c r="Y25" s="97"/>
      <c r="Z25" s="17"/>
      <c r="AA25" s="97"/>
      <c r="AB25" s="97"/>
      <c r="AC25" s="97"/>
      <c r="AD25" s="565"/>
      <c r="AE25" s="566"/>
      <c r="AF25" s="566"/>
      <c r="AG25" s="567"/>
      <c r="AH25" s="17"/>
      <c r="AI25" s="39"/>
      <c r="AJ25" s="39"/>
      <c r="AK25" s="39"/>
      <c r="AL25" s="39"/>
      <c r="AM25" s="39"/>
      <c r="AN25" s="39"/>
      <c r="AO25" s="39"/>
      <c r="AP25" s="655"/>
      <c r="AQ25" s="655"/>
    </row>
    <row r="26" spans="1:43" ht="15.75" customHeight="1">
      <c r="A26" s="96"/>
      <c r="B26" s="96"/>
      <c r="C26" s="96"/>
      <c r="D26" s="96"/>
      <c r="E26" s="96"/>
      <c r="F26" s="96"/>
      <c r="G26" s="96"/>
      <c r="H26" s="92"/>
      <c r="I26" s="96"/>
      <c r="J26" s="96"/>
      <c r="K26" s="96"/>
      <c r="L26" s="96"/>
      <c r="M26" s="96"/>
      <c r="N26" s="96"/>
      <c r="O26" s="96"/>
      <c r="P26" s="652"/>
      <c r="Q26" s="652"/>
      <c r="R26" s="144"/>
      <c r="S26" s="97"/>
      <c r="T26" s="97"/>
      <c r="U26" s="97"/>
      <c r="V26" s="97"/>
      <c r="W26" s="97"/>
      <c r="X26" s="97"/>
      <c r="Y26" s="97"/>
      <c r="Z26" s="17"/>
      <c r="AA26" s="97"/>
      <c r="AB26" s="97"/>
      <c r="AC26" s="97"/>
      <c r="AD26" s="565"/>
      <c r="AE26" s="566"/>
      <c r="AF26" s="566"/>
      <c r="AG26" s="567"/>
      <c r="AH26" s="17"/>
      <c r="AI26" s="39"/>
      <c r="AJ26" s="39"/>
      <c r="AK26" s="39"/>
      <c r="AL26" s="39"/>
      <c r="AM26" s="39"/>
      <c r="AN26" s="39"/>
      <c r="AO26" s="39"/>
      <c r="AP26" s="655"/>
      <c r="AQ26" s="655"/>
    </row>
    <row r="27" spans="1:43" ht="15.75" customHeight="1">
      <c r="A27" s="585" t="str">
        <f>INDEX(Helper!$L$221:$L$225,MATCH(Home!$O$1,Helper!$A$221:$A$225,0))</f>
        <v>From SY 2017-2018 the number of male enrollees increased from 741 to 772, and the number of female enrollees increased from 677 to 733. This can be attributed to:</v>
      </c>
      <c r="B27" s="585"/>
      <c r="C27" s="585"/>
      <c r="D27" s="585"/>
      <c r="E27" s="585"/>
      <c r="F27" s="585"/>
      <c r="G27" s="585"/>
      <c r="H27" s="92"/>
      <c r="I27" s="96"/>
      <c r="J27" s="96"/>
      <c r="K27" s="96"/>
      <c r="L27" s="96"/>
      <c r="M27" s="96"/>
      <c r="N27" s="96"/>
      <c r="O27" s="96"/>
      <c r="P27" s="652"/>
      <c r="Q27" s="652"/>
      <c r="R27" s="144"/>
      <c r="S27" s="97"/>
      <c r="T27" s="97"/>
      <c r="U27" s="97"/>
      <c r="V27" s="97"/>
      <c r="W27" s="97"/>
      <c r="X27" s="97"/>
      <c r="Y27" s="97"/>
      <c r="Z27" s="17"/>
      <c r="AA27" s="97"/>
      <c r="AB27" s="97"/>
      <c r="AC27" s="97"/>
      <c r="AD27" s="97"/>
      <c r="AE27" s="97"/>
      <c r="AF27" s="97"/>
      <c r="AG27" s="97"/>
      <c r="AH27" s="17"/>
      <c r="AI27" s="39"/>
      <c r="AJ27" s="39"/>
      <c r="AK27" s="39"/>
      <c r="AL27" s="39"/>
      <c r="AM27" s="39"/>
      <c r="AN27" s="39"/>
      <c r="AO27" s="39"/>
      <c r="AP27" s="655"/>
      <c r="AQ27" s="655"/>
    </row>
    <row r="28" spans="1:43" ht="15.75" customHeight="1">
      <c r="A28" s="585"/>
      <c r="B28" s="585"/>
      <c r="C28" s="585"/>
      <c r="D28" s="585"/>
      <c r="E28" s="585"/>
      <c r="F28" s="585"/>
      <c r="G28" s="585"/>
      <c r="H28" s="92"/>
      <c r="I28" s="96"/>
      <c r="J28" s="96"/>
      <c r="K28" s="96"/>
      <c r="L28" s="96"/>
      <c r="M28" s="96"/>
      <c r="N28" s="96"/>
      <c r="O28" s="96"/>
      <c r="P28" s="652"/>
      <c r="Q28" s="652"/>
      <c r="R28" s="144"/>
      <c r="S28" s="97"/>
      <c r="T28" s="97"/>
      <c r="U28" s="97"/>
      <c r="V28" s="97"/>
      <c r="W28" s="97"/>
      <c r="X28" s="97"/>
      <c r="Y28" s="97"/>
      <c r="Z28" s="17"/>
      <c r="AA28" s="97"/>
      <c r="AB28" s="97"/>
      <c r="AC28" s="97"/>
      <c r="AD28" s="97"/>
      <c r="AE28" s="97"/>
      <c r="AF28" s="97"/>
      <c r="AG28" s="97"/>
      <c r="AH28" s="17"/>
      <c r="AI28" s="39"/>
      <c r="AJ28" s="39"/>
      <c r="AK28" s="39"/>
      <c r="AL28" s="39"/>
      <c r="AM28" s="39"/>
      <c r="AN28" s="39"/>
      <c r="AO28" s="39"/>
      <c r="AP28" s="655"/>
      <c r="AQ28" s="655"/>
    </row>
    <row r="29" spans="1:43" ht="15.75" customHeight="1">
      <c r="A29" s="585"/>
      <c r="B29" s="585"/>
      <c r="C29" s="585"/>
      <c r="D29" s="585"/>
      <c r="E29" s="585"/>
      <c r="F29" s="585"/>
      <c r="G29" s="585"/>
      <c r="H29" s="92"/>
      <c r="I29" s="96"/>
      <c r="J29" s="96"/>
      <c r="K29" s="96"/>
      <c r="L29" s="96"/>
      <c r="M29" s="96"/>
      <c r="N29" s="96"/>
      <c r="O29" s="96"/>
      <c r="P29" s="652"/>
      <c r="Q29" s="652"/>
      <c r="R29" s="144"/>
      <c r="S29" s="97"/>
      <c r="T29" s="97"/>
      <c r="U29" s="97"/>
      <c r="V29" s="97"/>
      <c r="W29" s="97"/>
      <c r="X29" s="97"/>
      <c r="Y29" s="97"/>
      <c r="Z29" s="17"/>
      <c r="AA29" s="97"/>
      <c r="AB29" s="97"/>
      <c r="AC29" s="97"/>
      <c r="AD29" s="97"/>
      <c r="AE29" s="97"/>
      <c r="AF29" s="97"/>
      <c r="AG29" s="97"/>
      <c r="AH29" s="17"/>
      <c r="AI29" s="566" t="str">
        <f>INDEX(Helper!$L$452:$L$471,MATCH(Home!$O$1,Helper!$A$452:$A$471,0))</f>
        <v>Results of the Group Screening Test (GST) in Phil-IRI during the pre-test in English showed Grade 11 has the highest number of learners who are reading at their level with 50.24 percent of the total GST takers. In Filipino, the percentage of learners who are reading at their level is at 77.02 percent, with Grade 12 having the highest percentage of learners passing the GST.</v>
      </c>
      <c r="AJ29" s="566"/>
      <c r="AK29" s="566"/>
      <c r="AL29" s="566"/>
      <c r="AM29" s="566"/>
      <c r="AN29" s="39"/>
      <c r="AO29" s="39"/>
      <c r="AP29" s="655"/>
      <c r="AQ29" s="655"/>
    </row>
    <row r="30" spans="1:43" ht="15.75" customHeight="1">
      <c r="A30" s="585"/>
      <c r="B30" s="585"/>
      <c r="C30" s="585"/>
      <c r="D30" s="585"/>
      <c r="E30" s="585"/>
      <c r="F30" s="585"/>
      <c r="G30" s="585"/>
      <c r="H30" s="92"/>
      <c r="I30" s="96"/>
      <c r="J30" s="96"/>
      <c r="K30" s="533" t="str">
        <f>INDEX(Helper!$S$242:$S$246,MATCH(Home!$O$1,Helper!$A$242:$A$246,0))</f>
        <v>In the current school year, 14.77 percent (114 of 772) of the male learners fall outside normal health status while 7.91 percent (58 of 733) of the female learners fall outside normal health status.</v>
      </c>
      <c r="L30" s="533"/>
      <c r="M30" s="533"/>
      <c r="N30" s="533"/>
      <c r="O30" s="533"/>
      <c r="P30" s="652"/>
      <c r="Q30" s="652"/>
      <c r="R30" s="144"/>
      <c r="S30" s="97"/>
      <c r="T30" s="97"/>
      <c r="U30" s="97"/>
      <c r="V30" s="97"/>
      <c r="W30" s="97"/>
      <c r="X30" s="97"/>
      <c r="Y30" s="97"/>
      <c r="Z30" s="17"/>
      <c r="AA30" s="651" t="str">
        <f>INDEX(Helper!$R$410:$R$414,MATCH(Home!$O$1,Helper!$A$410:$A$414,0))</f>
        <v/>
      </c>
      <c r="AB30" s="651"/>
      <c r="AC30" s="97"/>
      <c r="AD30" s="97"/>
      <c r="AE30" s="97"/>
      <c r="AF30" s="97"/>
      <c r="AG30" s="97"/>
      <c r="AH30" s="17"/>
      <c r="AI30" s="566"/>
      <c r="AJ30" s="566"/>
      <c r="AK30" s="566"/>
      <c r="AL30" s="566"/>
      <c r="AM30" s="566"/>
      <c r="AN30" s="39"/>
      <c r="AO30" s="39"/>
      <c r="AP30" s="655"/>
      <c r="AQ30" s="655"/>
    </row>
    <row r="31" spans="1:43" ht="15.75" customHeight="1">
      <c r="A31" s="585"/>
      <c r="B31" s="585"/>
      <c r="C31" s="585"/>
      <c r="D31" s="585"/>
      <c r="E31" s="585"/>
      <c r="F31" s="585"/>
      <c r="G31" s="585"/>
      <c r="H31" s="92"/>
      <c r="I31" s="96"/>
      <c r="J31" s="96"/>
      <c r="K31" s="533"/>
      <c r="L31" s="533"/>
      <c r="M31" s="533"/>
      <c r="N31" s="533"/>
      <c r="O31" s="533"/>
      <c r="P31" s="652"/>
      <c r="Q31" s="652"/>
      <c r="R31" s="144"/>
      <c r="S31" s="97"/>
      <c r="T31" s="97"/>
      <c r="U31" s="97"/>
      <c r="V31" s="97"/>
      <c r="W31" s="97"/>
      <c r="X31" s="97"/>
      <c r="Y31" s="97"/>
      <c r="Z31" s="17"/>
      <c r="AA31" s="651"/>
      <c r="AB31" s="651"/>
      <c r="AC31" s="97"/>
      <c r="AD31" s="97"/>
      <c r="AE31" s="97"/>
      <c r="AF31" s="97"/>
      <c r="AG31" s="97"/>
      <c r="AH31" s="17"/>
      <c r="AI31" s="566"/>
      <c r="AJ31" s="566"/>
      <c r="AK31" s="566"/>
      <c r="AL31" s="566"/>
      <c r="AM31" s="566"/>
      <c r="AN31" s="39"/>
      <c r="AO31" s="39"/>
      <c r="AP31" s="655"/>
      <c r="AQ31" s="655"/>
    </row>
    <row r="32" spans="1:43" ht="15.75" customHeight="1">
      <c r="A32" s="585"/>
      <c r="B32" s="585"/>
      <c r="C32" s="585"/>
      <c r="D32" s="585"/>
      <c r="E32" s="585"/>
      <c r="F32" s="585"/>
      <c r="G32" s="585"/>
      <c r="H32" s="92"/>
      <c r="I32" s="96"/>
      <c r="J32" s="96"/>
      <c r="K32" s="533"/>
      <c r="L32" s="533"/>
      <c r="M32" s="533"/>
      <c r="N32" s="533"/>
      <c r="O32" s="533"/>
      <c r="P32" s="652"/>
      <c r="Q32" s="652"/>
      <c r="R32" s="144"/>
      <c r="S32" s="97"/>
      <c r="T32" s="97"/>
      <c r="U32" s="97"/>
      <c r="V32" s="97"/>
      <c r="W32" s="97"/>
      <c r="X32" s="97"/>
      <c r="Y32" s="97"/>
      <c r="Z32" s="17"/>
      <c r="AA32" s="651"/>
      <c r="AB32" s="651"/>
      <c r="AC32" s="97"/>
      <c r="AD32" s="97"/>
      <c r="AE32" s="97"/>
      <c r="AF32" s="97"/>
      <c r="AG32" s="97"/>
      <c r="AH32" s="17"/>
      <c r="AI32" s="566"/>
      <c r="AJ32" s="566"/>
      <c r="AK32" s="566"/>
      <c r="AL32" s="566"/>
      <c r="AM32" s="566"/>
      <c r="AN32" s="39"/>
      <c r="AO32" s="39"/>
      <c r="AP32" s="655"/>
      <c r="AQ32" s="655"/>
    </row>
    <row r="33" spans="1:43" ht="15.75" customHeight="1">
      <c r="A33" s="585"/>
      <c r="B33" s="585"/>
      <c r="C33" s="585"/>
      <c r="D33" s="585"/>
      <c r="E33" s="585"/>
      <c r="F33" s="585"/>
      <c r="G33" s="585"/>
      <c r="H33" s="92"/>
      <c r="I33" s="96"/>
      <c r="J33" s="96"/>
      <c r="K33" s="533"/>
      <c r="L33" s="533"/>
      <c r="M33" s="533"/>
      <c r="N33" s="533"/>
      <c r="O33" s="533"/>
      <c r="P33" s="652"/>
      <c r="Q33" s="652"/>
      <c r="R33" s="144"/>
      <c r="S33" s="97"/>
      <c r="T33" s="97"/>
      <c r="U33" s="97"/>
      <c r="V33" s="97"/>
      <c r="W33" s="97"/>
      <c r="X33" s="97"/>
      <c r="Y33" s="97"/>
      <c r="Z33" s="17"/>
      <c r="AA33" s="651"/>
      <c r="AB33" s="651"/>
      <c r="AC33" s="97"/>
      <c r="AD33" s="97"/>
      <c r="AE33" s="97"/>
      <c r="AF33" s="97"/>
      <c r="AG33" s="97"/>
      <c r="AH33" s="17"/>
      <c r="AI33" s="566"/>
      <c r="AJ33" s="566"/>
      <c r="AK33" s="566"/>
      <c r="AL33" s="566"/>
      <c r="AM33" s="566"/>
      <c r="AN33" s="39"/>
      <c r="AO33" s="39"/>
      <c r="AP33" s="655"/>
      <c r="AQ33" s="655"/>
    </row>
    <row r="34" spans="1:43" ht="15.75" customHeight="1">
      <c r="A34" s="582" t="str">
        <f>IF(SRC!$A$100="","",SRC!$A$100)</f>
        <v>*Balik-aral</v>
      </c>
      <c r="B34" s="582"/>
      <c r="C34" s="582"/>
      <c r="D34" s="582"/>
      <c r="E34" s="582"/>
      <c r="F34" s="582"/>
      <c r="G34" s="582"/>
      <c r="H34" s="92"/>
      <c r="I34" s="96"/>
      <c r="J34" s="96"/>
      <c r="K34" s="533"/>
      <c r="L34" s="533"/>
      <c r="M34" s="533"/>
      <c r="N34" s="533"/>
      <c r="O34" s="533"/>
      <c r="P34" s="652"/>
      <c r="Q34" s="652"/>
      <c r="R34" s="144"/>
      <c r="S34" s="566" t="str">
        <f>INDEX(Helper!$N$347:$N$351,MATCH(Home!$O$1,Helper!$A$347:$A$351,0))</f>
        <v>percent or (</v>
      </c>
      <c r="T34" s="566"/>
      <c r="U34" s="566"/>
      <c r="V34" s="566"/>
      <c r="W34" s="566"/>
      <c r="X34" s="566"/>
      <c r="Y34" s="566"/>
      <c r="Z34" s="17"/>
      <c r="AA34" s="651"/>
      <c r="AB34" s="651"/>
      <c r="AC34" s="97"/>
      <c r="AD34" s="97"/>
      <c r="AE34" s="97"/>
      <c r="AF34" s="97"/>
      <c r="AG34" s="97"/>
      <c r="AH34" s="17"/>
      <c r="AI34" s="566"/>
      <c r="AJ34" s="566"/>
      <c r="AK34" s="566"/>
      <c r="AL34" s="566"/>
      <c r="AM34" s="566"/>
      <c r="AN34" s="39"/>
      <c r="AO34" s="39"/>
      <c r="AP34" s="655"/>
      <c r="AQ34" s="655"/>
    </row>
    <row r="35" spans="1:43" ht="15.75" customHeight="1">
      <c r="A35" s="582" t="str">
        <f>IF(SRC!$A$102="","",SRC!$A$102)</f>
        <v/>
      </c>
      <c r="B35" s="582"/>
      <c r="C35" s="582"/>
      <c r="D35" s="582"/>
      <c r="E35" s="582"/>
      <c r="F35" s="582"/>
      <c r="G35" s="582"/>
      <c r="H35" s="92"/>
      <c r="I35" s="96"/>
      <c r="J35" s="96"/>
      <c r="K35" s="533"/>
      <c r="L35" s="533"/>
      <c r="M35" s="533"/>
      <c r="N35" s="533"/>
      <c r="O35" s="533"/>
      <c r="P35" s="652"/>
      <c r="Q35" s="652"/>
      <c r="R35" s="144"/>
      <c r="S35" s="566"/>
      <c r="T35" s="566"/>
      <c r="U35" s="566"/>
      <c r="V35" s="566"/>
      <c r="W35" s="566"/>
      <c r="X35" s="566"/>
      <c r="Y35" s="566"/>
      <c r="Z35" s="17"/>
      <c r="AA35" s="651"/>
      <c r="AB35" s="651"/>
      <c r="AC35" s="97"/>
      <c r="AD35" s="97"/>
      <c r="AE35" s="97"/>
      <c r="AF35" s="97"/>
      <c r="AG35" s="97"/>
      <c r="AH35" s="17"/>
      <c r="AI35" s="566"/>
      <c r="AJ35" s="566"/>
      <c r="AK35" s="566"/>
      <c r="AL35" s="566"/>
      <c r="AM35" s="566"/>
      <c r="AN35" s="39"/>
      <c r="AO35" s="39"/>
      <c r="AP35" s="655"/>
      <c r="AQ35" s="655"/>
    </row>
    <row r="36" spans="1:43" ht="15.75" customHeight="1">
      <c r="A36" s="582" t="str">
        <f>IF(SRC!$A$104="","",SRC!$A$104)</f>
        <v/>
      </c>
      <c r="B36" s="582"/>
      <c r="C36" s="582"/>
      <c r="D36" s="582"/>
      <c r="E36" s="582"/>
      <c r="F36" s="582"/>
      <c r="G36" s="582"/>
      <c r="H36" s="92"/>
      <c r="I36" s="96"/>
      <c r="J36" s="96"/>
      <c r="K36" s="533"/>
      <c r="L36" s="533"/>
      <c r="M36" s="533"/>
      <c r="N36" s="533"/>
      <c r="O36" s="533"/>
      <c r="P36" s="652"/>
      <c r="Q36" s="652"/>
      <c r="R36" s="144"/>
      <c r="S36" s="566"/>
      <c r="T36" s="566"/>
      <c r="U36" s="566"/>
      <c r="V36" s="566"/>
      <c r="W36" s="566"/>
      <c r="X36" s="566"/>
      <c r="Y36" s="566"/>
      <c r="Z36" s="17"/>
      <c r="AA36" s="651"/>
      <c r="AB36" s="651"/>
      <c r="AC36" s="97"/>
      <c r="AD36" s="97"/>
      <c r="AE36" s="97"/>
      <c r="AF36" s="97"/>
      <c r="AG36" s="97"/>
      <c r="AH36" s="17"/>
      <c r="AI36" s="566"/>
      <c r="AJ36" s="566"/>
      <c r="AK36" s="566"/>
      <c r="AL36" s="566"/>
      <c r="AM36" s="566"/>
      <c r="AN36" s="39"/>
      <c r="AO36" s="39"/>
      <c r="AP36" s="655"/>
      <c r="AQ36" s="655"/>
    </row>
    <row r="37" spans="1:43" ht="15.75" customHeight="1">
      <c r="A37" s="582" t="str">
        <f>IF(SRC!$A$106="","",SRC!$A$106)</f>
        <v/>
      </c>
      <c r="B37" s="582"/>
      <c r="C37" s="582"/>
      <c r="D37" s="582"/>
      <c r="E37" s="582"/>
      <c r="F37" s="582"/>
      <c r="G37" s="582"/>
      <c r="H37" s="92"/>
      <c r="I37" s="96"/>
      <c r="J37" s="96"/>
      <c r="K37" s="533"/>
      <c r="L37" s="533"/>
      <c r="M37" s="533"/>
      <c r="N37" s="533"/>
      <c r="O37" s="533"/>
      <c r="P37" s="652"/>
      <c r="Q37" s="652"/>
      <c r="R37" s="144"/>
      <c r="S37" s="566"/>
      <c r="T37" s="566"/>
      <c r="U37" s="566"/>
      <c r="V37" s="566"/>
      <c r="W37" s="566"/>
      <c r="X37" s="566"/>
      <c r="Y37" s="566"/>
      <c r="Z37" s="17"/>
      <c r="AA37" s="651"/>
      <c r="AB37" s="651"/>
      <c r="AC37" s="97"/>
      <c r="AD37" s="97"/>
      <c r="AE37" s="97"/>
      <c r="AF37" s="97"/>
      <c r="AG37" s="97"/>
      <c r="AH37" s="17"/>
      <c r="AI37" s="566"/>
      <c r="AJ37" s="566"/>
      <c r="AK37" s="566"/>
      <c r="AL37" s="566"/>
      <c r="AM37" s="566"/>
      <c r="AN37" s="39"/>
      <c r="AO37" s="39"/>
      <c r="AP37" s="655"/>
      <c r="AQ37" s="655"/>
    </row>
    <row r="38" spans="1:43" ht="15.75" customHeight="1">
      <c r="A38" s="582" t="str">
        <f>IF(SRC!$A$108="","",SRC!$A$108)</f>
        <v/>
      </c>
      <c r="B38" s="582"/>
      <c r="C38" s="582"/>
      <c r="D38" s="582"/>
      <c r="E38" s="582"/>
      <c r="F38" s="582"/>
      <c r="G38" s="582"/>
      <c r="H38" s="92"/>
      <c r="I38" s="96"/>
      <c r="J38" s="96"/>
      <c r="K38" s="533"/>
      <c r="L38" s="533"/>
      <c r="M38" s="533"/>
      <c r="N38" s="533"/>
      <c r="O38" s="533"/>
      <c r="P38" s="652"/>
      <c r="Q38" s="652"/>
      <c r="R38" s="144"/>
      <c r="S38" s="566"/>
      <c r="T38" s="566"/>
      <c r="U38" s="566"/>
      <c r="V38" s="566"/>
      <c r="W38" s="566"/>
      <c r="X38" s="566"/>
      <c r="Y38" s="566"/>
      <c r="Z38" s="17"/>
      <c r="AA38" s="651"/>
      <c r="AB38" s="651"/>
      <c r="AC38" s="97"/>
      <c r="AD38" s="97"/>
      <c r="AE38" s="97"/>
      <c r="AF38" s="97"/>
      <c r="AG38" s="97"/>
      <c r="AH38" s="17"/>
      <c r="AI38" s="566"/>
      <c r="AJ38" s="566"/>
      <c r="AK38" s="566"/>
      <c r="AL38" s="566"/>
      <c r="AM38" s="566"/>
      <c r="AN38" s="39"/>
      <c r="AO38" s="39"/>
      <c r="AP38" s="655"/>
      <c r="AQ38" s="655"/>
    </row>
    <row r="39" spans="1:43" ht="15.75" customHeight="1" thickBot="1">
      <c r="A39" s="582" t="str">
        <f>IF(SRC!$A$110="","",SRC!$A$110)</f>
        <v/>
      </c>
      <c r="B39" s="582"/>
      <c r="C39" s="582"/>
      <c r="D39" s="582"/>
      <c r="E39" s="582"/>
      <c r="F39" s="582"/>
      <c r="G39" s="582"/>
      <c r="H39" s="92"/>
      <c r="I39" s="96"/>
      <c r="J39" s="96"/>
      <c r="K39" s="533"/>
      <c r="L39" s="533"/>
      <c r="M39" s="533"/>
      <c r="N39" s="533"/>
      <c r="O39" s="533"/>
      <c r="P39" s="652"/>
      <c r="Q39" s="652"/>
      <c r="R39" s="144"/>
      <c r="S39" s="569"/>
      <c r="T39" s="569"/>
      <c r="U39" s="569"/>
      <c r="V39" s="569"/>
      <c r="W39" s="569"/>
      <c r="X39" s="569"/>
      <c r="Y39" s="569"/>
      <c r="Z39" s="17"/>
      <c r="AA39" s="651"/>
      <c r="AB39" s="651"/>
      <c r="AC39" s="97"/>
      <c r="AD39" s="97"/>
      <c r="AE39" s="97"/>
      <c r="AF39" s="97"/>
      <c r="AG39" s="97"/>
      <c r="AH39" s="17"/>
      <c r="AI39" s="566"/>
      <c r="AJ39" s="566"/>
      <c r="AK39" s="566"/>
      <c r="AL39" s="566"/>
      <c r="AM39" s="566"/>
      <c r="AN39" s="39"/>
      <c r="AO39" s="39"/>
      <c r="AP39" s="655"/>
      <c r="AQ39" s="655"/>
    </row>
    <row r="40" spans="1:43" ht="3.9" customHeight="1">
      <c r="A40" s="92"/>
      <c r="B40" s="92"/>
      <c r="C40" s="92"/>
      <c r="D40" s="92"/>
      <c r="E40" s="92"/>
      <c r="F40" s="92"/>
      <c r="G40" s="92"/>
      <c r="H40" s="92"/>
      <c r="I40" s="92"/>
      <c r="J40" s="92"/>
      <c r="K40" s="92"/>
      <c r="L40" s="92"/>
      <c r="M40" s="92"/>
      <c r="N40" s="92"/>
      <c r="O40" s="92"/>
      <c r="P40" s="652"/>
      <c r="Q40" s="652"/>
      <c r="R40" s="144"/>
      <c r="S40" s="17"/>
      <c r="T40" s="17"/>
      <c r="U40" s="17"/>
      <c r="V40" s="17"/>
      <c r="W40" s="17"/>
      <c r="X40" s="17"/>
      <c r="Y40" s="17"/>
      <c r="Z40" s="17"/>
      <c r="AA40" s="17"/>
      <c r="AB40" s="17"/>
      <c r="AC40" s="17"/>
      <c r="AD40" s="17"/>
      <c r="AE40" s="17"/>
      <c r="AF40" s="17"/>
      <c r="AG40" s="17"/>
      <c r="AH40" s="17"/>
      <c r="AI40" s="17"/>
      <c r="AJ40" s="17"/>
      <c r="AK40" s="17"/>
      <c r="AL40" s="17"/>
      <c r="AM40" s="17"/>
      <c r="AN40" s="17"/>
      <c r="AO40" s="17"/>
      <c r="AP40" s="655"/>
      <c r="AQ40" s="655"/>
    </row>
    <row r="41" spans="1:43" ht="3.9" customHeight="1">
      <c r="A41" s="92"/>
      <c r="B41" s="92"/>
      <c r="C41" s="92"/>
      <c r="D41" s="92"/>
      <c r="E41" s="92"/>
      <c r="F41" s="92"/>
      <c r="G41" s="92"/>
      <c r="H41" s="92"/>
      <c r="I41" s="92"/>
      <c r="J41" s="92"/>
      <c r="K41" s="92"/>
      <c r="L41" s="92"/>
      <c r="M41" s="92"/>
      <c r="N41" s="92"/>
      <c r="O41" s="92"/>
      <c r="P41" s="652"/>
      <c r="Q41" s="652"/>
      <c r="R41" s="144"/>
      <c r="S41" s="17"/>
      <c r="T41" s="17"/>
      <c r="U41" s="17"/>
      <c r="V41" s="17"/>
      <c r="W41" s="17"/>
      <c r="X41" s="17"/>
      <c r="Y41" s="17"/>
      <c r="Z41" s="17"/>
      <c r="AA41" s="17"/>
      <c r="AB41" s="17"/>
      <c r="AC41" s="17"/>
      <c r="AD41" s="17"/>
      <c r="AE41" s="17"/>
      <c r="AF41" s="17"/>
      <c r="AG41" s="17"/>
      <c r="AH41" s="17"/>
      <c r="AI41" s="17"/>
      <c r="AJ41" s="17"/>
      <c r="AK41" s="17"/>
      <c r="AL41" s="17"/>
      <c r="AM41" s="17"/>
      <c r="AN41" s="17"/>
      <c r="AO41" s="17"/>
      <c r="AP41" s="655"/>
      <c r="AQ41" s="655"/>
    </row>
    <row r="42" spans="1:43" ht="15.75" customHeight="1">
      <c r="A42" s="96"/>
      <c r="B42" s="96"/>
      <c r="C42" s="96"/>
      <c r="D42" s="96"/>
      <c r="E42" s="96"/>
      <c r="F42" s="96"/>
      <c r="G42" s="96"/>
      <c r="H42" s="92"/>
      <c r="I42" s="96"/>
      <c r="J42" s="96"/>
      <c r="K42" s="96"/>
      <c r="L42" s="96"/>
      <c r="M42" s="96"/>
      <c r="N42" s="96"/>
      <c r="O42" s="96"/>
      <c r="P42" s="652"/>
      <c r="Q42" s="652"/>
      <c r="R42" s="144"/>
      <c r="S42" s="97"/>
      <c r="T42" s="97"/>
      <c r="U42" s="97"/>
      <c r="V42" s="97"/>
      <c r="W42" s="97"/>
      <c r="X42" s="97"/>
      <c r="Y42" s="97"/>
      <c r="Z42" s="17"/>
      <c r="AA42" s="97"/>
      <c r="AB42" s="97"/>
      <c r="AC42" s="97"/>
      <c r="AD42" s="97"/>
      <c r="AE42" s="97"/>
      <c r="AF42" s="97"/>
      <c r="AG42" s="97"/>
      <c r="AH42" s="657"/>
      <c r="AI42" s="97"/>
      <c r="AJ42" s="97"/>
      <c r="AK42" s="97"/>
      <c r="AL42" s="97"/>
      <c r="AM42" s="97"/>
      <c r="AN42" s="97"/>
      <c r="AO42" s="97"/>
      <c r="AP42" s="655"/>
      <c r="AQ42" s="655"/>
    </row>
    <row r="43" spans="1:43" ht="15.75" customHeight="1">
      <c r="A43" s="96"/>
      <c r="B43" s="96"/>
      <c r="C43" s="96"/>
      <c r="D43" s="96"/>
      <c r="E43" s="96"/>
      <c r="F43" s="96"/>
      <c r="G43" s="96"/>
      <c r="H43" s="92"/>
      <c r="I43" s="96"/>
      <c r="J43" s="96"/>
      <c r="K43" s="96"/>
      <c r="L43" s="96"/>
      <c r="M43" s="96"/>
      <c r="N43" s="96"/>
      <c r="O43" s="96"/>
      <c r="P43" s="652"/>
      <c r="Q43" s="652"/>
      <c r="R43" s="144"/>
      <c r="S43" s="97"/>
      <c r="T43" s="97"/>
      <c r="U43" s="97"/>
      <c r="V43" s="97"/>
      <c r="W43" s="97"/>
      <c r="X43" s="97"/>
      <c r="Y43" s="97"/>
      <c r="Z43" s="17"/>
      <c r="AA43" s="97"/>
      <c r="AB43" s="97"/>
      <c r="AC43" s="97"/>
      <c r="AD43" s="97"/>
      <c r="AE43" s="97"/>
      <c r="AF43" s="97"/>
      <c r="AG43" s="97"/>
      <c r="AH43" s="658"/>
      <c r="AI43" s="97"/>
      <c r="AJ43" s="97"/>
      <c r="AK43" s="97"/>
      <c r="AL43" s="97"/>
      <c r="AM43" s="97"/>
      <c r="AN43" s="97"/>
      <c r="AO43" s="97"/>
      <c r="AP43" s="655"/>
      <c r="AQ43" s="655"/>
    </row>
    <row r="44" spans="1:43" ht="15.75" customHeight="1">
      <c r="A44" s="96"/>
      <c r="B44" s="96"/>
      <c r="C44" s="96"/>
      <c r="D44" s="96"/>
      <c r="E44" s="96"/>
      <c r="F44" s="96"/>
      <c r="G44" s="96"/>
      <c r="H44" s="92"/>
      <c r="I44" s="96"/>
      <c r="J44" s="96"/>
      <c r="K44" s="96"/>
      <c r="L44" s="96"/>
      <c r="M44" s="96"/>
      <c r="N44" s="96"/>
      <c r="O44" s="96"/>
      <c r="P44" s="652"/>
      <c r="Q44" s="652"/>
      <c r="R44" s="144"/>
      <c r="S44" s="97"/>
      <c r="T44" s="97"/>
      <c r="U44" s="97"/>
      <c r="V44" s="97"/>
      <c r="W44" s="97"/>
      <c r="X44" s="97"/>
      <c r="Y44" s="97"/>
      <c r="Z44" s="17"/>
      <c r="AA44" s="97"/>
      <c r="AB44" s="97"/>
      <c r="AC44" s="97"/>
      <c r="AD44" s="97"/>
      <c r="AE44" s="97"/>
      <c r="AF44" s="97"/>
      <c r="AG44" s="97"/>
      <c r="AH44" s="658"/>
      <c r="AI44" s="97"/>
      <c r="AJ44" s="97"/>
      <c r="AK44" s="97"/>
      <c r="AL44" s="97"/>
      <c r="AM44" s="97"/>
      <c r="AN44" s="97"/>
      <c r="AO44" s="97"/>
      <c r="AP44" s="655"/>
      <c r="AQ44" s="655"/>
    </row>
    <row r="45" spans="1:43" ht="15.75" customHeight="1">
      <c r="A45" s="96"/>
      <c r="B45" s="96"/>
      <c r="C45" s="96"/>
      <c r="D45" s="96"/>
      <c r="E45" s="96"/>
      <c r="F45" s="96"/>
      <c r="G45" s="96"/>
      <c r="H45" s="92"/>
      <c r="I45" s="96"/>
      <c r="J45" s="96"/>
      <c r="K45" s="96"/>
      <c r="L45" s="96"/>
      <c r="M45" s="96"/>
      <c r="N45" s="96"/>
      <c r="O45" s="96"/>
      <c r="P45" s="652"/>
      <c r="Q45" s="652"/>
      <c r="R45" s="144"/>
      <c r="S45" s="97"/>
      <c r="T45" s="97"/>
      <c r="U45" s="97"/>
      <c r="V45" s="97"/>
      <c r="W45" s="97"/>
      <c r="X45" s="97"/>
      <c r="Y45" s="97"/>
      <c r="Z45" s="17"/>
      <c r="AA45" s="97"/>
      <c r="AB45" s="97"/>
      <c r="AC45" s="97"/>
      <c r="AD45" s="97"/>
      <c r="AE45" s="97"/>
      <c r="AF45" s="97"/>
      <c r="AG45" s="97"/>
      <c r="AH45" s="658"/>
      <c r="AI45" s="97"/>
      <c r="AJ45" s="97"/>
      <c r="AK45" s="97"/>
      <c r="AL45" s="97"/>
      <c r="AM45" s="97"/>
      <c r="AN45" s="97"/>
      <c r="AO45" s="97"/>
      <c r="AP45" s="655"/>
      <c r="AQ45" s="655"/>
    </row>
    <row r="46" spans="1:43" ht="15.75" customHeight="1">
      <c r="A46" s="96"/>
      <c r="B46" s="96"/>
      <c r="C46" s="96"/>
      <c r="D46" s="96"/>
      <c r="E46" s="96"/>
      <c r="F46" s="96"/>
      <c r="G46" s="96"/>
      <c r="H46" s="92"/>
      <c r="I46" s="96"/>
      <c r="J46" s="96"/>
      <c r="K46" s="96"/>
      <c r="L46" s="96"/>
      <c r="M46" s="96"/>
      <c r="N46" s="96"/>
      <c r="O46" s="96"/>
      <c r="P46" s="652"/>
      <c r="Q46" s="652"/>
      <c r="R46" s="144"/>
      <c r="S46" s="97"/>
      <c r="T46" s="97"/>
      <c r="U46" s="97"/>
      <c r="V46" s="97"/>
      <c r="W46" s="97"/>
      <c r="X46" s="97"/>
      <c r="Y46" s="97"/>
      <c r="Z46" s="17"/>
      <c r="AA46" s="97"/>
      <c r="AB46" s="97"/>
      <c r="AC46" s="97"/>
      <c r="AD46" s="97"/>
      <c r="AE46" s="97"/>
      <c r="AF46" s="97"/>
      <c r="AG46" s="97"/>
      <c r="AH46" s="658"/>
      <c r="AI46" s="97"/>
      <c r="AJ46" s="97"/>
      <c r="AK46" s="97"/>
      <c r="AL46" s="97"/>
      <c r="AM46" s="97"/>
      <c r="AN46" s="97"/>
      <c r="AO46" s="97"/>
      <c r="AP46" s="655"/>
      <c r="AQ46" s="655"/>
    </row>
    <row r="47" spans="1:43" ht="15.75" customHeight="1">
      <c r="A47" s="96"/>
      <c r="B47" s="96"/>
      <c r="C47" s="96"/>
      <c r="D47" s="96"/>
      <c r="E47" s="96"/>
      <c r="F47" s="96"/>
      <c r="G47" s="96"/>
      <c r="H47" s="92"/>
      <c r="I47" s="96"/>
      <c r="J47" s="96"/>
      <c r="K47" s="96"/>
      <c r="L47" s="96"/>
      <c r="M47" s="96"/>
      <c r="N47" s="96"/>
      <c r="O47" s="96"/>
      <c r="P47" s="652"/>
      <c r="Q47" s="652"/>
      <c r="R47" s="144"/>
      <c r="S47" s="97"/>
      <c r="T47" s="97"/>
      <c r="U47" s="97"/>
      <c r="V47" s="97"/>
      <c r="W47" s="97"/>
      <c r="X47" s="97"/>
      <c r="Y47" s="97"/>
      <c r="Z47" s="17"/>
      <c r="AA47" s="97"/>
      <c r="AB47" s="97"/>
      <c r="AC47" s="97"/>
      <c r="AD47" s="97"/>
      <c r="AE47" s="97"/>
      <c r="AF47" s="97"/>
      <c r="AG47" s="97"/>
      <c r="AH47" s="658"/>
      <c r="AI47" s="97"/>
      <c r="AJ47" s="97"/>
      <c r="AK47" s="97"/>
      <c r="AL47" s="97"/>
      <c r="AM47" s="97"/>
      <c r="AN47" s="97"/>
      <c r="AO47" s="97"/>
      <c r="AP47" s="655"/>
      <c r="AQ47" s="655"/>
    </row>
    <row r="48" spans="1:43" ht="15.75" customHeight="1">
      <c r="A48" s="96"/>
      <c r="B48" s="96"/>
      <c r="C48" s="96"/>
      <c r="D48" s="96"/>
      <c r="E48" s="96"/>
      <c r="F48" s="96"/>
      <c r="G48" s="96"/>
      <c r="H48" s="92"/>
      <c r="I48" s="96"/>
      <c r="J48" s="96"/>
      <c r="K48" s="96"/>
      <c r="L48" s="96"/>
      <c r="M48" s="96"/>
      <c r="N48" s="96"/>
      <c r="O48" s="96"/>
      <c r="P48" s="652"/>
      <c r="Q48" s="652"/>
      <c r="R48" s="144"/>
      <c r="S48" s="97"/>
      <c r="T48" s="97"/>
      <c r="U48" s="97"/>
      <c r="V48" s="97"/>
      <c r="W48" s="97"/>
      <c r="X48" s="97"/>
      <c r="Y48" s="97"/>
      <c r="Z48" s="17"/>
      <c r="AA48" s="97"/>
      <c r="AB48" s="97"/>
      <c r="AC48" s="97"/>
      <c r="AD48" s="97"/>
      <c r="AE48" s="97"/>
      <c r="AF48" s="97"/>
      <c r="AG48" s="97"/>
      <c r="AH48" s="658"/>
      <c r="AI48" s="97"/>
      <c r="AJ48" s="97"/>
      <c r="AK48" s="97"/>
      <c r="AL48" s="97"/>
      <c r="AM48" s="97"/>
      <c r="AN48" s="97"/>
      <c r="AO48" s="97"/>
      <c r="AP48" s="655"/>
      <c r="AQ48" s="655"/>
    </row>
    <row r="49" spans="1:43" ht="15.75" customHeight="1">
      <c r="A49" s="96"/>
      <c r="B49" s="96"/>
      <c r="C49" s="96"/>
      <c r="D49" s="96"/>
      <c r="E49" s="96"/>
      <c r="F49" s="96"/>
      <c r="G49" s="96"/>
      <c r="H49" s="92"/>
      <c r="I49" s="96"/>
      <c r="J49" s="96"/>
      <c r="K49" s="96"/>
      <c r="L49" s="96"/>
      <c r="M49" s="96"/>
      <c r="N49" s="96"/>
      <c r="O49" s="96"/>
      <c r="P49" s="652"/>
      <c r="Q49" s="652"/>
      <c r="R49" s="144"/>
      <c r="S49" s="97"/>
      <c r="T49" s="97"/>
      <c r="U49" s="97"/>
      <c r="V49" s="97"/>
      <c r="W49" s="97"/>
      <c r="X49" s="97"/>
      <c r="Y49" s="97"/>
      <c r="Z49" s="17"/>
      <c r="AA49" s="97"/>
      <c r="AB49" s="97"/>
      <c r="AC49" s="97"/>
      <c r="AD49" s="97"/>
      <c r="AE49" s="97"/>
      <c r="AF49" s="97"/>
      <c r="AG49" s="97"/>
      <c r="AH49" s="658"/>
      <c r="AI49" s="97"/>
      <c r="AJ49" s="97"/>
      <c r="AK49" s="97"/>
      <c r="AL49" s="97"/>
      <c r="AM49" s="97"/>
      <c r="AN49" s="97"/>
      <c r="AO49" s="97"/>
      <c r="AP49" s="655"/>
      <c r="AQ49" s="655"/>
    </row>
    <row r="50" spans="1:43" ht="15.75" customHeight="1">
      <c r="A50" s="96"/>
      <c r="B50" s="96"/>
      <c r="C50" s="96"/>
      <c r="D50" s="96"/>
      <c r="E50" s="96"/>
      <c r="F50" s="96"/>
      <c r="G50" s="96"/>
      <c r="H50" s="92"/>
      <c r="I50" s="96"/>
      <c r="J50" s="96"/>
      <c r="K50" s="96"/>
      <c r="L50" s="96"/>
      <c r="M50" s="96"/>
      <c r="N50" s="96"/>
      <c r="O50" s="96"/>
      <c r="P50" s="652"/>
      <c r="Q50" s="652"/>
      <c r="R50" s="144"/>
      <c r="S50" s="97"/>
      <c r="T50" s="97"/>
      <c r="U50" s="97"/>
      <c r="V50" s="97"/>
      <c r="W50" s="97"/>
      <c r="X50" s="97"/>
      <c r="Y50" s="97"/>
      <c r="Z50" s="17"/>
      <c r="AA50" s="97"/>
      <c r="AB50" s="97"/>
      <c r="AC50" s="97"/>
      <c r="AD50" s="97"/>
      <c r="AE50" s="97"/>
      <c r="AF50" s="97"/>
      <c r="AG50" s="97"/>
      <c r="AH50" s="658"/>
      <c r="AI50" s="97"/>
      <c r="AJ50" s="97"/>
      <c r="AK50" s="97"/>
      <c r="AL50" s="566" t="str">
        <f>IF(Helper!$B$578="","",INDEX(Helper!$J$578:$J$582,MATCH(Home!$O$1,Helper!$A$578:$A$582,0)))</f>
        <v>There are currently lacking toilets for some learners. The learner-toilet ratio is 84:1, with a lacking of 12 toilet/s for the whole school. Majority of the toilets are shared between male and female learners.</v>
      </c>
      <c r="AM50" s="566"/>
      <c r="AN50" s="566"/>
      <c r="AO50" s="566"/>
      <c r="AP50" s="655"/>
      <c r="AQ50" s="655"/>
    </row>
    <row r="51" spans="1:43" ht="15.75" customHeight="1">
      <c r="A51" s="96"/>
      <c r="B51" s="96"/>
      <c r="C51" s="96"/>
      <c r="D51" s="96"/>
      <c r="E51" s="96"/>
      <c r="F51" s="96"/>
      <c r="G51" s="96"/>
      <c r="H51" s="92"/>
      <c r="I51" s="96"/>
      <c r="J51" s="96"/>
      <c r="K51" s="96"/>
      <c r="L51" s="96"/>
      <c r="M51" s="96"/>
      <c r="N51" s="96"/>
      <c r="O51" s="96"/>
      <c r="P51" s="652"/>
      <c r="Q51" s="652"/>
      <c r="R51" s="144"/>
      <c r="S51" s="97"/>
      <c r="T51" s="97"/>
      <c r="U51" s="97"/>
      <c r="V51" s="97"/>
      <c r="W51" s="97"/>
      <c r="X51" s="97"/>
      <c r="Y51" s="97"/>
      <c r="Z51" s="17"/>
      <c r="AA51" s="97"/>
      <c r="AB51" s="97"/>
      <c r="AC51" s="97"/>
      <c r="AD51" s="97"/>
      <c r="AE51" s="97"/>
      <c r="AF51" s="97"/>
      <c r="AG51" s="97"/>
      <c r="AH51" s="658"/>
      <c r="AI51" s="97"/>
      <c r="AJ51" s="97"/>
      <c r="AK51" s="97"/>
      <c r="AL51" s="566"/>
      <c r="AM51" s="566"/>
      <c r="AN51" s="566"/>
      <c r="AO51" s="566"/>
      <c r="AP51" s="655"/>
      <c r="AQ51" s="655"/>
    </row>
    <row r="52" spans="1:43" ht="15.75" customHeight="1">
      <c r="A52" s="96"/>
      <c r="B52" s="96"/>
      <c r="C52" s="96"/>
      <c r="D52" s="96"/>
      <c r="E52" s="96"/>
      <c r="F52" s="96"/>
      <c r="G52" s="96"/>
      <c r="H52" s="92"/>
      <c r="I52" s="96"/>
      <c r="J52" s="96"/>
      <c r="K52" s="96"/>
      <c r="L52" s="96"/>
      <c r="M52" s="96"/>
      <c r="N52" s="96"/>
      <c r="O52" s="96"/>
      <c r="P52" s="652"/>
      <c r="Q52" s="652"/>
      <c r="R52" s="144"/>
      <c r="S52" s="97"/>
      <c r="T52" s="97"/>
      <c r="U52" s="97"/>
      <c r="V52" s="97"/>
      <c r="W52" s="97"/>
      <c r="X52" s="97"/>
      <c r="Y52" s="97"/>
      <c r="Z52" s="17"/>
      <c r="AA52" s="97"/>
      <c r="AB52" s="97"/>
      <c r="AC52" s="97"/>
      <c r="AD52" s="97"/>
      <c r="AE52" s="97"/>
      <c r="AF52" s="97"/>
      <c r="AG52" s="97"/>
      <c r="AH52" s="658"/>
      <c r="AI52" s="97"/>
      <c r="AJ52" s="97"/>
      <c r="AK52" s="97"/>
      <c r="AL52" s="566"/>
      <c r="AM52" s="566"/>
      <c r="AN52" s="566"/>
      <c r="AO52" s="566"/>
      <c r="AP52" s="655"/>
      <c r="AQ52" s="655"/>
    </row>
    <row r="53" spans="1:43" ht="15.75" customHeight="1">
      <c r="A53" s="96"/>
      <c r="B53" s="96"/>
      <c r="C53" s="96"/>
      <c r="D53" s="96"/>
      <c r="E53" s="96"/>
      <c r="F53" s="96"/>
      <c r="G53" s="96"/>
      <c r="H53" s="92"/>
      <c r="I53" s="96"/>
      <c r="J53" s="96"/>
      <c r="K53" s="96"/>
      <c r="L53" s="96"/>
      <c r="M53" s="96"/>
      <c r="N53" s="96"/>
      <c r="O53" s="96"/>
      <c r="P53" s="652"/>
      <c r="Q53" s="652"/>
      <c r="R53" s="144"/>
      <c r="S53" s="97"/>
      <c r="T53" s="97"/>
      <c r="U53" s="97"/>
      <c r="V53" s="97"/>
      <c r="W53" s="97"/>
      <c r="X53" s="97"/>
      <c r="Y53" s="97"/>
      <c r="Z53" s="17"/>
      <c r="AA53" s="97"/>
      <c r="AB53" s="97"/>
      <c r="AC53" s="97"/>
      <c r="AD53" s="97"/>
      <c r="AE53" s="97"/>
      <c r="AF53" s="97"/>
      <c r="AG53" s="97"/>
      <c r="AH53" s="658"/>
      <c r="AI53" s="97"/>
      <c r="AJ53" s="97"/>
      <c r="AK53" s="97"/>
      <c r="AL53" s="566"/>
      <c r="AM53" s="566"/>
      <c r="AN53" s="566"/>
      <c r="AO53" s="566"/>
      <c r="AP53" s="655"/>
      <c r="AQ53" s="655"/>
    </row>
    <row r="54" spans="1:43" ht="15.75" customHeight="1">
      <c r="A54" s="96"/>
      <c r="B54" s="96"/>
      <c r="C54" s="96"/>
      <c r="D54" s="96"/>
      <c r="E54" s="96"/>
      <c r="F54" s="96"/>
      <c r="G54" s="96"/>
      <c r="H54" s="92"/>
      <c r="I54" s="96"/>
      <c r="J54" s="96"/>
      <c r="K54" s="96"/>
      <c r="L54" s="96"/>
      <c r="M54" s="96"/>
      <c r="N54" s="96"/>
      <c r="O54" s="96"/>
      <c r="P54" s="652"/>
      <c r="Q54" s="652"/>
      <c r="R54" s="144"/>
      <c r="S54" s="97"/>
      <c r="T54" s="97"/>
      <c r="U54" s="97"/>
      <c r="V54" s="97"/>
      <c r="W54" s="97"/>
      <c r="X54" s="97"/>
      <c r="Y54" s="97"/>
      <c r="Z54" s="17"/>
      <c r="AA54" s="97"/>
      <c r="AB54" s="97"/>
      <c r="AC54" s="97"/>
      <c r="AD54" s="97"/>
      <c r="AE54" s="97"/>
      <c r="AF54" s="97"/>
      <c r="AG54" s="97"/>
      <c r="AH54" s="658"/>
      <c r="AI54" s="97"/>
      <c r="AJ54" s="97"/>
      <c r="AK54" s="97"/>
      <c r="AL54" s="566"/>
      <c r="AM54" s="566"/>
      <c r="AN54" s="566"/>
      <c r="AO54" s="566"/>
      <c r="AP54" s="655"/>
      <c r="AQ54" s="655"/>
    </row>
    <row r="55" spans="1:43" ht="15.75" customHeight="1">
      <c r="A55" s="96"/>
      <c r="B55" s="96"/>
      <c r="C55" s="96"/>
      <c r="D55" s="96"/>
      <c r="E55" s="96"/>
      <c r="F55" s="96"/>
      <c r="G55" s="96"/>
      <c r="H55" s="92"/>
      <c r="I55" s="96"/>
      <c r="J55" s="96"/>
      <c r="K55" s="96"/>
      <c r="L55" s="96"/>
      <c r="M55" s="96"/>
      <c r="N55" s="96"/>
      <c r="O55" s="96"/>
      <c r="P55" s="652"/>
      <c r="Q55" s="652"/>
      <c r="R55" s="144"/>
      <c r="S55" s="97"/>
      <c r="T55" s="97"/>
      <c r="U55" s="97"/>
      <c r="V55" s="97"/>
      <c r="W55" s="97"/>
      <c r="X55" s="97"/>
      <c r="Y55" s="97"/>
      <c r="Z55" s="17"/>
      <c r="AA55" s="97"/>
      <c r="AB55" s="97"/>
      <c r="AC55" s="97"/>
      <c r="AD55" s="97"/>
      <c r="AE55" s="97"/>
      <c r="AF55" s="97"/>
      <c r="AG55" s="97"/>
      <c r="AH55" s="658"/>
      <c r="AI55" s="97"/>
      <c r="AJ55" s="97"/>
      <c r="AK55" s="97"/>
      <c r="AL55" s="566"/>
      <c r="AM55" s="566"/>
      <c r="AN55" s="566"/>
      <c r="AO55" s="566"/>
      <c r="AP55" s="655"/>
      <c r="AQ55" s="655"/>
    </row>
    <row r="56" spans="1:43" ht="15.75" customHeight="1">
      <c r="A56" s="96"/>
      <c r="B56" s="96"/>
      <c r="C56" s="96"/>
      <c r="D56" s="96"/>
      <c r="E56" s="96"/>
      <c r="F56" s="96"/>
      <c r="G56" s="96"/>
      <c r="H56" s="92"/>
      <c r="I56" s="96"/>
      <c r="J56" s="96"/>
      <c r="K56" s="96"/>
      <c r="L56" s="96"/>
      <c r="M56" s="96"/>
      <c r="N56" s="96"/>
      <c r="O56" s="96"/>
      <c r="P56" s="652"/>
      <c r="Q56" s="652"/>
      <c r="R56" s="144"/>
      <c r="S56" s="97"/>
      <c r="T56" s="97"/>
      <c r="U56" s="97"/>
      <c r="V56" s="97"/>
      <c r="W56" s="97"/>
      <c r="X56" s="97"/>
      <c r="Y56" s="97"/>
      <c r="Z56" s="17"/>
      <c r="AA56" s="97"/>
      <c r="AB56" s="97"/>
      <c r="AC56" s="533" t="str">
        <f>INDEX(Helper!$J$536:$J$540,MATCH(Home!$O$1,Helper!$A$536:$A$540,0))</f>
        <v>The school lack/s 2 classroom/s as of SY 2018-2019.</v>
      </c>
      <c r="AD56" s="533"/>
      <c r="AE56" s="533"/>
      <c r="AF56" s="533"/>
      <c r="AG56" s="533"/>
      <c r="AH56" s="658"/>
      <c r="AI56" s="97"/>
      <c r="AJ56" s="97"/>
      <c r="AK56" s="97"/>
      <c r="AL56" s="566"/>
      <c r="AM56" s="566"/>
      <c r="AN56" s="566"/>
      <c r="AO56" s="566"/>
      <c r="AP56" s="655"/>
      <c r="AQ56" s="655"/>
    </row>
    <row r="57" spans="1:43" ht="15.75" customHeight="1">
      <c r="A57" s="96"/>
      <c r="B57" s="96"/>
      <c r="C57" s="96"/>
      <c r="D57" s="96"/>
      <c r="E57" s="96"/>
      <c r="F57" s="96"/>
      <c r="G57" s="96"/>
      <c r="H57" s="92"/>
      <c r="I57" s="96"/>
      <c r="J57" s="96"/>
      <c r="K57" s="96"/>
      <c r="L57" s="96"/>
      <c r="M57" s="96"/>
      <c r="N57" s="96"/>
      <c r="O57" s="96"/>
      <c r="P57" s="652"/>
      <c r="Q57" s="652"/>
      <c r="R57" s="144"/>
      <c r="S57" s="97"/>
      <c r="T57" s="97"/>
      <c r="U57" s="97"/>
      <c r="V57" s="97"/>
      <c r="W57" s="97"/>
      <c r="X57" s="97"/>
      <c r="Y57" s="97"/>
      <c r="Z57" s="17"/>
      <c r="AA57" s="97"/>
      <c r="AB57" s="97"/>
      <c r="AC57" s="533"/>
      <c r="AD57" s="533"/>
      <c r="AE57" s="533"/>
      <c r="AF57" s="533"/>
      <c r="AG57" s="533"/>
      <c r="AH57" s="658"/>
      <c r="AI57" s="97"/>
      <c r="AJ57" s="97"/>
      <c r="AK57" s="97"/>
      <c r="AL57" s="566"/>
      <c r="AM57" s="566"/>
      <c r="AN57" s="566"/>
      <c r="AO57" s="566"/>
      <c r="AP57" s="655"/>
      <c r="AQ57" s="655"/>
    </row>
    <row r="58" spans="1:43" ht="15.75" customHeight="1">
      <c r="A58" s="96"/>
      <c r="B58" s="96"/>
      <c r="C58" s="96"/>
      <c r="D58" s="96"/>
      <c r="E58" s="96"/>
      <c r="F58" s="96"/>
      <c r="G58" s="96"/>
      <c r="H58" s="92"/>
      <c r="I58" s="96"/>
      <c r="J58" s="96"/>
      <c r="K58" s="96"/>
      <c r="L58" s="96"/>
      <c r="M58" s="96"/>
      <c r="N58" s="96"/>
      <c r="O58" s="96"/>
      <c r="P58" s="652"/>
      <c r="Q58" s="652"/>
      <c r="R58" s="144"/>
      <c r="S58" s="97"/>
      <c r="T58" s="97"/>
      <c r="U58" s="97"/>
      <c r="V58" s="97"/>
      <c r="W58" s="97"/>
      <c r="X58" s="533" t="str">
        <f>IF(Data!$H$6="Elementay(multi-grade)",Helper!$DE$116,INDEX(Helper!$G$557:$G$561,MATCH(Home!$O$1,Helper!$A$557:$A$561,0)))</f>
        <v>The grade level with the highest learner to teacher ratio is Grade 7 which can still accommodate 10 learners per class as compared to the recommended pupil-teacher ratio.</v>
      </c>
      <c r="Y58" s="533"/>
      <c r="Z58" s="17"/>
      <c r="AA58" s="97"/>
      <c r="AB58" s="97"/>
      <c r="AC58" s="533"/>
      <c r="AD58" s="533"/>
      <c r="AE58" s="533"/>
      <c r="AF58" s="533"/>
      <c r="AG58" s="533"/>
      <c r="AH58" s="658"/>
      <c r="AI58" s="97"/>
      <c r="AJ58" s="97"/>
      <c r="AK58" s="97"/>
      <c r="AL58" s="97"/>
      <c r="AM58" s="97"/>
      <c r="AN58" s="97"/>
      <c r="AO58" s="97"/>
      <c r="AP58" s="655"/>
      <c r="AQ58" s="655"/>
    </row>
    <row r="59" spans="1:43" ht="15.75" customHeight="1">
      <c r="A59" s="96"/>
      <c r="B59" s="96"/>
      <c r="C59" s="96"/>
      <c r="D59" s="96"/>
      <c r="E59" s="96"/>
      <c r="F59" s="96"/>
      <c r="G59" s="96"/>
      <c r="H59" s="92"/>
      <c r="I59" s="96"/>
      <c r="J59" s="96"/>
      <c r="K59" s="96"/>
      <c r="L59" s="96"/>
      <c r="M59" s="96"/>
      <c r="N59" s="96"/>
      <c r="O59" s="96"/>
      <c r="P59" s="652"/>
      <c r="Q59" s="652"/>
      <c r="R59" s="144"/>
      <c r="S59" s="97"/>
      <c r="T59" s="97"/>
      <c r="U59" s="97"/>
      <c r="V59" s="97"/>
      <c r="W59" s="97"/>
      <c r="X59" s="533"/>
      <c r="Y59" s="533"/>
      <c r="Z59" s="17"/>
      <c r="AA59" s="97"/>
      <c r="AB59" s="97"/>
      <c r="AC59" s="533"/>
      <c r="AD59" s="533"/>
      <c r="AE59" s="533"/>
      <c r="AF59" s="533"/>
      <c r="AG59" s="533"/>
      <c r="AH59" s="658"/>
      <c r="AI59" s="97"/>
      <c r="AJ59" s="97"/>
      <c r="AK59" s="97"/>
      <c r="AL59" s="97"/>
      <c r="AM59" s="97"/>
      <c r="AN59" s="97"/>
      <c r="AO59" s="97"/>
      <c r="AP59" s="655"/>
      <c r="AQ59" s="655"/>
    </row>
    <row r="60" spans="1:43" ht="15.75" customHeight="1">
      <c r="A60" s="96"/>
      <c r="B60" s="96"/>
      <c r="C60" s="96"/>
      <c r="D60" s="96"/>
      <c r="E60" s="96"/>
      <c r="F60" s="96"/>
      <c r="G60" s="96"/>
      <c r="H60" s="92"/>
      <c r="I60" s="96"/>
      <c r="J60" s="96"/>
      <c r="K60" s="96"/>
      <c r="L60" s="96"/>
      <c r="M60" s="96"/>
      <c r="N60" s="96"/>
      <c r="O60" s="96"/>
      <c r="P60" s="652"/>
      <c r="Q60" s="652"/>
      <c r="R60" s="144"/>
      <c r="S60" s="97"/>
      <c r="T60" s="97"/>
      <c r="U60" s="97"/>
      <c r="V60" s="97"/>
      <c r="W60" s="97"/>
      <c r="X60" s="533"/>
      <c r="Y60" s="533"/>
      <c r="Z60" s="17"/>
      <c r="AA60" s="97"/>
      <c r="AB60" s="97"/>
      <c r="AC60" s="533"/>
      <c r="AD60" s="533"/>
      <c r="AE60" s="533"/>
      <c r="AF60" s="533"/>
      <c r="AG60" s="533"/>
      <c r="AH60" s="658"/>
      <c r="AI60" s="97"/>
      <c r="AJ60" s="97"/>
      <c r="AK60" s="97"/>
      <c r="AL60" s="97"/>
      <c r="AM60" s="97"/>
      <c r="AN60" s="97"/>
      <c r="AO60" s="97"/>
      <c r="AP60" s="655"/>
      <c r="AQ60" s="655"/>
    </row>
    <row r="61" spans="1:43" ht="15.75" customHeight="1">
      <c r="A61" s="96"/>
      <c r="B61" s="96"/>
      <c r="C61" s="96"/>
      <c r="D61" s="96"/>
      <c r="E61" s="96"/>
      <c r="F61" s="96"/>
      <c r="G61" s="96"/>
      <c r="H61" s="92"/>
      <c r="I61" s="96"/>
      <c r="J61" s="96"/>
      <c r="K61" s="96"/>
      <c r="L61" s="533" t="str">
        <f>INDEX(Helper!$K$305:$K$309,MATCH(Home!$O$1,Helper!$A$305:$A$309,0))</f>
        <v>In the current school year, the highest educational attainment of most teachers is Master's Degree (Units) with 34 out of 57 or 59.65 percent of the total number of teachers.</v>
      </c>
      <c r="M61" s="533"/>
      <c r="N61" s="533"/>
      <c r="O61" s="533"/>
      <c r="P61" s="652"/>
      <c r="Q61" s="652"/>
      <c r="R61" s="144"/>
      <c r="S61" s="97"/>
      <c r="T61" s="97"/>
      <c r="U61" s="97"/>
      <c r="V61" s="97"/>
      <c r="W61" s="97"/>
      <c r="X61" s="533"/>
      <c r="Y61" s="533"/>
      <c r="Z61" s="17"/>
      <c r="AA61" s="538" t="str">
        <f>IF(Helper!$G$494="","",INDEX(Helper!$G$494:$G$498,MATCH(Home!$O$1,Helper!$A$494:$A$498,0)))</f>
        <v>All classrooms utilized are standard instructional rooms.</v>
      </c>
      <c r="AB61" s="538"/>
      <c r="AC61" s="538"/>
      <c r="AD61" s="538"/>
      <c r="AE61" s="538"/>
      <c r="AF61" s="538"/>
      <c r="AG61" s="538"/>
      <c r="AH61" s="658"/>
      <c r="AI61" s="97"/>
      <c r="AJ61" s="97"/>
      <c r="AK61" s="97"/>
      <c r="AL61" s="97"/>
      <c r="AM61" s="97"/>
      <c r="AN61" s="97"/>
      <c r="AO61" s="97"/>
      <c r="AP61" s="655"/>
      <c r="AQ61" s="655"/>
    </row>
    <row r="62" spans="1:43" ht="15.75" customHeight="1">
      <c r="A62" s="96"/>
      <c r="B62" s="96"/>
      <c r="C62" s="96"/>
      <c r="D62" s="96"/>
      <c r="E62" s="96"/>
      <c r="F62" s="96"/>
      <c r="G62" s="96"/>
      <c r="H62" s="92"/>
      <c r="I62" s="96"/>
      <c r="J62" s="96"/>
      <c r="K62" s="96"/>
      <c r="L62" s="533"/>
      <c r="M62" s="533"/>
      <c r="N62" s="533"/>
      <c r="O62" s="533"/>
      <c r="P62" s="652"/>
      <c r="Q62" s="652"/>
      <c r="R62" s="144"/>
      <c r="S62" s="97"/>
      <c r="T62" s="97"/>
      <c r="U62" s="97"/>
      <c r="V62" s="97"/>
      <c r="W62" s="97"/>
      <c r="X62" s="533"/>
      <c r="Y62" s="533"/>
      <c r="Z62" s="17"/>
      <c r="AA62" s="539"/>
      <c r="AB62" s="539"/>
      <c r="AC62" s="539"/>
      <c r="AD62" s="539"/>
      <c r="AE62" s="539"/>
      <c r="AF62" s="539"/>
      <c r="AG62" s="539"/>
      <c r="AH62" s="658"/>
      <c r="AI62" s="97"/>
      <c r="AJ62" s="97"/>
      <c r="AK62" s="97"/>
      <c r="AL62" s="97"/>
      <c r="AM62" s="97"/>
      <c r="AN62" s="97"/>
      <c r="AO62" s="97"/>
      <c r="AP62" s="655"/>
      <c r="AQ62" s="655"/>
    </row>
    <row r="63" spans="1:43" ht="15.75" customHeight="1">
      <c r="A63" s="96"/>
      <c r="B63" s="96"/>
      <c r="C63" s="96"/>
      <c r="D63" s="96"/>
      <c r="E63" s="96"/>
      <c r="F63" s="96"/>
      <c r="G63" s="96"/>
      <c r="H63" s="92"/>
      <c r="I63" s="96"/>
      <c r="J63" s="96"/>
      <c r="K63" s="96"/>
      <c r="L63" s="533"/>
      <c r="M63" s="533"/>
      <c r="N63" s="533"/>
      <c r="O63" s="533"/>
      <c r="P63" s="652"/>
      <c r="Q63" s="652"/>
      <c r="R63" s="144"/>
      <c r="S63" s="97"/>
      <c r="T63" s="97"/>
      <c r="U63" s="97"/>
      <c r="V63" s="97"/>
      <c r="W63" s="97"/>
      <c r="X63" s="533"/>
      <c r="Y63" s="533"/>
      <c r="Z63" s="17"/>
      <c r="AA63" s="97"/>
      <c r="AB63" s="97"/>
      <c r="AC63" s="97"/>
      <c r="AD63" s="97"/>
      <c r="AE63" s="97"/>
      <c r="AF63" s="97"/>
      <c r="AG63" s="97"/>
      <c r="AH63" s="658"/>
      <c r="AI63" s="97"/>
      <c r="AJ63" s="97"/>
      <c r="AK63" s="97"/>
      <c r="AL63" s="97"/>
      <c r="AM63" s="97"/>
      <c r="AN63" s="97"/>
      <c r="AO63" s="97"/>
      <c r="AP63" s="655"/>
      <c r="AQ63" s="655"/>
    </row>
    <row r="64" spans="1:43" ht="15.75" customHeight="1">
      <c r="A64" s="96"/>
      <c r="B64" s="96"/>
      <c r="C64" s="96"/>
      <c r="D64" s="96"/>
      <c r="E64" s="96"/>
      <c r="F64" s="96"/>
      <c r="G64" s="96"/>
      <c r="H64" s="92"/>
      <c r="I64" s="96"/>
      <c r="J64" s="96"/>
      <c r="K64" s="96"/>
      <c r="L64" s="533"/>
      <c r="M64" s="533"/>
      <c r="N64" s="533"/>
      <c r="O64" s="533"/>
      <c r="P64" s="652"/>
      <c r="Q64" s="652"/>
      <c r="R64" s="144"/>
      <c r="S64" s="97"/>
      <c r="T64" s="97"/>
      <c r="U64" s="97"/>
      <c r="V64" s="97"/>
      <c r="W64" s="97"/>
      <c r="X64" s="533"/>
      <c r="Y64" s="533"/>
      <c r="Z64" s="17"/>
      <c r="AA64" s="538" t="str">
        <f>IF(Helper!$G$515="","",INDEX(Helper!$G$515:$G$519,MATCH(Home!$O$1,Helper!$A$515:$A$519,0)))</f>
        <v>Generally, all classrooms utilized are in good condition.</v>
      </c>
      <c r="AB64" s="538"/>
      <c r="AC64" s="538"/>
      <c r="AD64" s="538"/>
      <c r="AE64" s="538"/>
      <c r="AF64" s="538"/>
      <c r="AG64" s="538"/>
      <c r="AH64" s="658"/>
      <c r="AI64" s="97"/>
      <c r="AJ64" s="97"/>
      <c r="AK64" s="97"/>
      <c r="AL64" s="97"/>
      <c r="AM64" s="97"/>
      <c r="AN64" s="97"/>
      <c r="AO64" s="97"/>
      <c r="AP64" s="655"/>
      <c r="AQ64" s="655"/>
    </row>
    <row r="65" spans="1:43" ht="15.75" customHeight="1">
      <c r="A65" s="96"/>
      <c r="B65" s="96"/>
      <c r="C65" s="96"/>
      <c r="D65" s="96"/>
      <c r="E65" s="96"/>
      <c r="F65" s="96"/>
      <c r="G65" s="96"/>
      <c r="H65" s="92"/>
      <c r="I65" s="96"/>
      <c r="J65" s="96"/>
      <c r="K65" s="96"/>
      <c r="L65" s="533"/>
      <c r="M65" s="533"/>
      <c r="N65" s="533"/>
      <c r="O65" s="533"/>
      <c r="P65" s="652"/>
      <c r="Q65" s="652"/>
      <c r="R65" s="144"/>
      <c r="S65" s="97"/>
      <c r="T65" s="97"/>
      <c r="U65" s="97"/>
      <c r="V65" s="97"/>
      <c r="W65" s="97"/>
      <c r="X65" s="533"/>
      <c r="Y65" s="533"/>
      <c r="Z65" s="17"/>
      <c r="AA65" s="539"/>
      <c r="AB65" s="539"/>
      <c r="AC65" s="539"/>
      <c r="AD65" s="539"/>
      <c r="AE65" s="539"/>
      <c r="AF65" s="539"/>
      <c r="AG65" s="539"/>
      <c r="AH65" s="658"/>
      <c r="AI65" s="17"/>
      <c r="AJ65" s="98"/>
      <c r="AK65" s="98"/>
      <c r="AL65" s="97"/>
      <c r="AM65" s="97"/>
      <c r="AN65" s="97"/>
      <c r="AO65" s="97"/>
      <c r="AP65" s="655"/>
      <c r="AQ65" s="655"/>
    </row>
    <row r="66" spans="1:43" ht="15.75" customHeight="1">
      <c r="A66" s="96"/>
      <c r="B66" s="96"/>
      <c r="C66" s="96"/>
      <c r="D66" s="96"/>
      <c r="E66" s="96"/>
      <c r="F66" s="96"/>
      <c r="G66" s="96"/>
      <c r="H66" s="92"/>
      <c r="I66" s="96"/>
      <c r="J66" s="96"/>
      <c r="K66" s="96"/>
      <c r="L66" s="533"/>
      <c r="M66" s="533"/>
      <c r="N66" s="533"/>
      <c r="O66" s="533"/>
      <c r="P66" s="652"/>
      <c r="Q66" s="652"/>
      <c r="R66" s="144"/>
      <c r="S66" s="97"/>
      <c r="T66" s="97"/>
      <c r="U66" s="97"/>
      <c r="V66" s="97"/>
      <c r="W66" s="97"/>
      <c r="X66" s="533"/>
      <c r="Y66" s="533"/>
      <c r="Z66" s="17"/>
      <c r="AA66" s="97"/>
      <c r="AB66" s="97"/>
      <c r="AC66" s="97"/>
      <c r="AD66" s="97"/>
      <c r="AE66" s="97"/>
      <c r="AF66" s="97"/>
      <c r="AG66" s="97"/>
      <c r="AH66" s="658"/>
      <c r="AI66" s="98"/>
      <c r="AJ66" s="98"/>
      <c r="AK66" s="98"/>
      <c r="AL66" s="97"/>
      <c r="AM66" s="97"/>
      <c r="AN66" s="97"/>
      <c r="AO66" s="97"/>
      <c r="AP66" s="655"/>
      <c r="AQ66" s="655"/>
    </row>
    <row r="67" spans="1:43" ht="15.75" customHeight="1">
      <c r="A67" s="566" t="str">
        <f>INDEX(Helper!$G$284:$G$288,MATCH(Home!$O$1,Helper!$A$284:$A$288,0))</f>
        <v>The grade level with the highest percentage of available learning materials  is Grade 9 with 88.71 percent as compared to other grade levels.</v>
      </c>
      <c r="B67" s="566"/>
      <c r="C67" s="566"/>
      <c r="D67" s="96"/>
      <c r="E67" s="566" t="str">
        <f>INDEX(Helper!$G$263:$G$267,MATCH(Home!$O$1,Helper!$A$263:$A$267,0))</f>
        <v>The learning area with the highest percentage in terms of availability of books is English with 155.55 percent as compared to other subjects.</v>
      </c>
      <c r="F67" s="566"/>
      <c r="G67" s="566"/>
      <c r="H67" s="92"/>
      <c r="I67" s="96"/>
      <c r="J67" s="96"/>
      <c r="K67" s="96"/>
      <c r="L67" s="533"/>
      <c r="M67" s="533"/>
      <c r="N67" s="533"/>
      <c r="O67" s="533"/>
      <c r="P67" s="652"/>
      <c r="Q67" s="652"/>
      <c r="R67" s="144"/>
      <c r="S67" s="97"/>
      <c r="T67" s="97"/>
      <c r="U67" s="97"/>
      <c r="V67" s="97"/>
      <c r="W67" s="97"/>
      <c r="X67" s="533"/>
      <c r="Y67" s="533"/>
      <c r="Z67" s="17"/>
      <c r="AA67" s="97"/>
      <c r="AB67" s="97"/>
      <c r="AC67" s="97"/>
      <c r="AD67" s="97"/>
      <c r="AE67" s="533" t="str">
        <f>IF(Data!$H$6="Elementay(multi-grade)",Helper!$DE$124,INDEX(Helper!$L$473:$L$477,MATCH(Home!$O$1,Helper!$A$473:$A$477,0)))</f>
        <v>The biggest class size is on Grade 7 with an average class size of 61 followed by Grade 11 with an average class size of 52 learner/s per class which is beyond the recommended learner-classroom ratio.</v>
      </c>
      <c r="AF67" s="533"/>
      <c r="AG67" s="533"/>
      <c r="AH67" s="658"/>
      <c r="AI67" s="566" t="str">
        <f>IF(Helper!$J$599="","",INDEX(Helper!$J$599:$J$603,MATCH(Home!$O$1,Helper!$A$599:$A$603,0)))</f>
        <v>Currently there are enough seats for all learners. The learner-seat ratio is 1.01:1, with an excess of 15 seat/s for the whole school.</v>
      </c>
      <c r="AJ67" s="566"/>
      <c r="AK67" s="566"/>
      <c r="AL67" s="97"/>
      <c r="AM67" s="97"/>
      <c r="AN67" s="97"/>
      <c r="AO67" s="97"/>
      <c r="AP67" s="655"/>
      <c r="AQ67" s="655"/>
    </row>
    <row r="68" spans="1:43" ht="15.75" customHeight="1">
      <c r="A68" s="566"/>
      <c r="B68" s="566"/>
      <c r="C68" s="566"/>
      <c r="D68" s="96"/>
      <c r="E68" s="566"/>
      <c r="F68" s="566"/>
      <c r="G68" s="566"/>
      <c r="H68" s="92"/>
      <c r="I68" s="96"/>
      <c r="J68" s="96"/>
      <c r="K68" s="96"/>
      <c r="L68" s="533"/>
      <c r="M68" s="533"/>
      <c r="N68" s="533"/>
      <c r="O68" s="533"/>
      <c r="P68" s="652"/>
      <c r="Q68" s="652"/>
      <c r="R68" s="144"/>
      <c r="S68" s="97"/>
      <c r="T68" s="97"/>
      <c r="U68" s="97"/>
      <c r="V68" s="97"/>
      <c r="W68" s="97"/>
      <c r="X68" s="533"/>
      <c r="Y68" s="533"/>
      <c r="Z68" s="17"/>
      <c r="AA68" s="97"/>
      <c r="AB68" s="97"/>
      <c r="AC68" s="97"/>
      <c r="AD68" s="97"/>
      <c r="AE68" s="533"/>
      <c r="AF68" s="533"/>
      <c r="AG68" s="533"/>
      <c r="AH68" s="658"/>
      <c r="AI68" s="566"/>
      <c r="AJ68" s="566"/>
      <c r="AK68" s="566"/>
      <c r="AL68" s="97"/>
      <c r="AM68" s="97"/>
      <c r="AN68" s="97"/>
      <c r="AO68" s="97"/>
      <c r="AP68" s="655"/>
      <c r="AQ68" s="655"/>
    </row>
    <row r="69" spans="1:43" ht="15.75" customHeight="1">
      <c r="A69" s="566"/>
      <c r="B69" s="566"/>
      <c r="C69" s="566"/>
      <c r="D69" s="96"/>
      <c r="E69" s="566"/>
      <c r="F69" s="566"/>
      <c r="G69" s="566"/>
      <c r="H69" s="92"/>
      <c r="I69" s="96"/>
      <c r="J69" s="96"/>
      <c r="K69" s="96"/>
      <c r="L69" s="533"/>
      <c r="M69" s="533"/>
      <c r="N69" s="533"/>
      <c r="O69" s="533"/>
      <c r="P69" s="652"/>
      <c r="Q69" s="652"/>
      <c r="R69" s="144"/>
      <c r="S69" s="97"/>
      <c r="T69" s="97"/>
      <c r="U69" s="97"/>
      <c r="V69" s="97"/>
      <c r="W69" s="97"/>
      <c r="X69" s="533"/>
      <c r="Y69" s="533"/>
      <c r="Z69" s="17"/>
      <c r="AA69" s="97"/>
      <c r="AB69" s="97"/>
      <c r="AC69" s="97"/>
      <c r="AD69" s="97"/>
      <c r="AE69" s="533"/>
      <c r="AF69" s="533"/>
      <c r="AG69" s="533"/>
      <c r="AH69" s="658"/>
      <c r="AI69" s="566"/>
      <c r="AJ69" s="566"/>
      <c r="AK69" s="566"/>
      <c r="AL69" s="97"/>
      <c r="AM69" s="97"/>
      <c r="AN69" s="97"/>
      <c r="AO69" s="97"/>
      <c r="AP69" s="655"/>
      <c r="AQ69" s="655"/>
    </row>
    <row r="70" spans="1:43" ht="15.75" customHeight="1">
      <c r="A70" s="566"/>
      <c r="B70" s="566"/>
      <c r="C70" s="566"/>
      <c r="D70" s="96"/>
      <c r="E70" s="566"/>
      <c r="F70" s="566"/>
      <c r="G70" s="566"/>
      <c r="H70" s="92"/>
      <c r="I70" s="96"/>
      <c r="J70" s="96"/>
      <c r="K70" s="96"/>
      <c r="L70" s="533"/>
      <c r="M70" s="533"/>
      <c r="N70" s="533"/>
      <c r="O70" s="533"/>
      <c r="P70" s="652"/>
      <c r="Q70" s="652"/>
      <c r="R70" s="144"/>
      <c r="S70" s="97"/>
      <c r="T70" s="97"/>
      <c r="U70" s="97"/>
      <c r="V70" s="97"/>
      <c r="W70" s="97"/>
      <c r="X70" s="533"/>
      <c r="Y70" s="533"/>
      <c r="Z70" s="17"/>
      <c r="AA70" s="97"/>
      <c r="AB70" s="97"/>
      <c r="AC70" s="97"/>
      <c r="AD70" s="97"/>
      <c r="AE70" s="533"/>
      <c r="AF70" s="533"/>
      <c r="AG70" s="533"/>
      <c r="AH70" s="658"/>
      <c r="AI70" s="566"/>
      <c r="AJ70" s="566"/>
      <c r="AK70" s="566"/>
      <c r="AL70" s="97"/>
      <c r="AM70" s="97"/>
      <c r="AN70" s="97"/>
      <c r="AO70" s="97"/>
      <c r="AP70" s="655"/>
      <c r="AQ70" s="655"/>
    </row>
    <row r="71" spans="1:43" ht="15.75" customHeight="1">
      <c r="A71" s="566"/>
      <c r="B71" s="566"/>
      <c r="C71" s="566"/>
      <c r="D71" s="96"/>
      <c r="E71" s="566"/>
      <c r="F71" s="566"/>
      <c r="G71" s="566"/>
      <c r="H71" s="92"/>
      <c r="I71" s="96"/>
      <c r="J71" s="96"/>
      <c r="K71" s="96"/>
      <c r="L71" s="533"/>
      <c r="M71" s="533"/>
      <c r="N71" s="533"/>
      <c r="O71" s="533"/>
      <c r="P71" s="652"/>
      <c r="Q71" s="652"/>
      <c r="R71" s="144"/>
      <c r="S71" s="97"/>
      <c r="T71" s="97"/>
      <c r="U71" s="97"/>
      <c r="V71" s="97"/>
      <c r="W71" s="97"/>
      <c r="X71" s="533"/>
      <c r="Y71" s="533"/>
      <c r="Z71" s="17"/>
      <c r="AA71" s="97"/>
      <c r="AB71" s="97"/>
      <c r="AC71" s="97"/>
      <c r="AD71" s="97"/>
      <c r="AE71" s="533"/>
      <c r="AF71" s="533"/>
      <c r="AG71" s="533"/>
      <c r="AH71" s="658"/>
      <c r="AI71" s="566"/>
      <c r="AJ71" s="566"/>
      <c r="AK71" s="566"/>
      <c r="AL71" s="97"/>
      <c r="AM71" s="97"/>
      <c r="AN71" s="97"/>
      <c r="AO71" s="97"/>
      <c r="AP71" s="655"/>
      <c r="AQ71" s="655"/>
    </row>
    <row r="72" spans="1:43" ht="15.75" customHeight="1">
      <c r="A72" s="566"/>
      <c r="B72" s="566"/>
      <c r="C72" s="566"/>
      <c r="D72" s="96"/>
      <c r="E72" s="566"/>
      <c r="F72" s="566"/>
      <c r="G72" s="566"/>
      <c r="H72" s="92"/>
      <c r="I72" s="96"/>
      <c r="J72" s="96"/>
      <c r="K72" s="96"/>
      <c r="L72" s="533"/>
      <c r="M72" s="533"/>
      <c r="N72" s="533"/>
      <c r="O72" s="533"/>
      <c r="P72" s="652"/>
      <c r="Q72" s="652"/>
      <c r="R72" s="144"/>
      <c r="S72" s="97"/>
      <c r="T72" s="97"/>
      <c r="U72" s="97"/>
      <c r="V72" s="97"/>
      <c r="W72" s="97"/>
      <c r="X72" s="533"/>
      <c r="Y72" s="533"/>
      <c r="Z72" s="17"/>
      <c r="AA72" s="97"/>
      <c r="AB72" s="97"/>
      <c r="AC72" s="97"/>
      <c r="AD72" s="97"/>
      <c r="AE72" s="533"/>
      <c r="AF72" s="533"/>
      <c r="AG72" s="533"/>
      <c r="AH72" s="658"/>
      <c r="AI72" s="566"/>
      <c r="AJ72" s="566"/>
      <c r="AK72" s="566"/>
      <c r="AL72" s="97"/>
      <c r="AM72" s="97"/>
      <c r="AN72" s="97"/>
      <c r="AO72" s="97"/>
      <c r="AP72" s="655"/>
      <c r="AQ72" s="655"/>
    </row>
    <row r="73" spans="1:43" ht="15.75" customHeight="1">
      <c r="A73" s="566"/>
      <c r="B73" s="566"/>
      <c r="C73" s="566"/>
      <c r="D73" s="96"/>
      <c r="E73" s="566"/>
      <c r="F73" s="566"/>
      <c r="G73" s="566"/>
      <c r="H73" s="92"/>
      <c r="I73" s="96"/>
      <c r="J73" s="96"/>
      <c r="K73" s="96"/>
      <c r="L73" s="533"/>
      <c r="M73" s="533"/>
      <c r="N73" s="533"/>
      <c r="O73" s="533"/>
      <c r="P73" s="652"/>
      <c r="Q73" s="652"/>
      <c r="R73" s="144"/>
      <c r="S73" s="97"/>
      <c r="T73" s="97"/>
      <c r="U73" s="97"/>
      <c r="V73" s="97"/>
      <c r="W73" s="97"/>
      <c r="X73" s="533"/>
      <c r="Y73" s="533"/>
      <c r="Z73" s="17"/>
      <c r="AA73" s="97"/>
      <c r="AB73" s="97"/>
      <c r="AC73" s="97"/>
      <c r="AD73" s="97"/>
      <c r="AE73" s="533"/>
      <c r="AF73" s="533"/>
      <c r="AG73" s="533"/>
      <c r="AH73" s="658"/>
      <c r="AI73" s="566"/>
      <c r="AJ73" s="566"/>
      <c r="AK73" s="566"/>
      <c r="AL73" s="97"/>
      <c r="AM73" s="97"/>
      <c r="AN73" s="97"/>
      <c r="AO73" s="97"/>
      <c r="AP73" s="655"/>
      <c r="AQ73" s="655"/>
    </row>
    <row r="74" spans="1:43" ht="15.75" customHeight="1">
      <c r="A74" s="566"/>
      <c r="B74" s="566"/>
      <c r="C74" s="566"/>
      <c r="D74" s="96"/>
      <c r="E74" s="566"/>
      <c r="F74" s="566"/>
      <c r="G74" s="566"/>
      <c r="H74" s="92"/>
      <c r="I74" s="96"/>
      <c r="J74" s="96"/>
      <c r="K74" s="96"/>
      <c r="L74" s="533"/>
      <c r="M74" s="533"/>
      <c r="N74" s="533"/>
      <c r="O74" s="533"/>
      <c r="P74" s="652"/>
      <c r="Q74" s="652"/>
      <c r="R74" s="144"/>
      <c r="S74" s="97"/>
      <c r="T74" s="97"/>
      <c r="U74" s="97"/>
      <c r="V74" s="97"/>
      <c r="W74" s="97"/>
      <c r="X74" s="533"/>
      <c r="Y74" s="533"/>
      <c r="Z74" s="17"/>
      <c r="AA74" s="97"/>
      <c r="AB74" s="97"/>
      <c r="AC74" s="97"/>
      <c r="AD74" s="97"/>
      <c r="AE74" s="533"/>
      <c r="AF74" s="533"/>
      <c r="AG74" s="533"/>
      <c r="AH74" s="658"/>
      <c r="AI74" s="566"/>
      <c r="AJ74" s="566"/>
      <c r="AK74" s="566"/>
      <c r="AL74" s="97"/>
      <c r="AM74" s="97"/>
      <c r="AN74" s="97"/>
      <c r="AO74" s="97"/>
      <c r="AP74" s="655"/>
      <c r="AQ74" s="655"/>
    </row>
    <row r="75" spans="1:43" ht="15.75" customHeight="1" thickBot="1">
      <c r="A75" s="569"/>
      <c r="B75" s="569"/>
      <c r="C75" s="569"/>
      <c r="D75" s="99"/>
      <c r="E75" s="569"/>
      <c r="F75" s="569"/>
      <c r="G75" s="569"/>
      <c r="H75" s="92"/>
      <c r="I75" s="96"/>
      <c r="J75" s="96"/>
      <c r="K75" s="96"/>
      <c r="L75" s="533"/>
      <c r="M75" s="533"/>
      <c r="N75" s="533"/>
      <c r="O75" s="533"/>
      <c r="P75" s="652"/>
      <c r="Q75" s="652"/>
      <c r="R75" s="144"/>
      <c r="S75" s="97"/>
      <c r="T75" s="97"/>
      <c r="U75" s="97"/>
      <c r="V75" s="97"/>
      <c r="W75" s="97"/>
      <c r="X75" s="533"/>
      <c r="Y75" s="533"/>
      <c r="Z75" s="17"/>
      <c r="AA75" s="97"/>
      <c r="AB75" s="97"/>
      <c r="AC75" s="97"/>
      <c r="AD75" s="97"/>
      <c r="AE75" s="533"/>
      <c r="AF75" s="533"/>
      <c r="AG75" s="533"/>
      <c r="AH75" s="659"/>
      <c r="AI75" s="566"/>
      <c r="AJ75" s="566"/>
      <c r="AK75" s="566"/>
      <c r="AL75" s="97"/>
      <c r="AM75" s="97"/>
      <c r="AN75" s="97"/>
      <c r="AO75" s="97"/>
      <c r="AP75" s="655"/>
      <c r="AQ75" s="655"/>
    </row>
    <row r="76" spans="1:43" ht="3.9" customHeight="1">
      <c r="A76" s="92"/>
      <c r="B76" s="92"/>
      <c r="C76" s="92"/>
      <c r="D76" s="92"/>
      <c r="E76" s="92"/>
      <c r="F76" s="92"/>
      <c r="G76" s="92"/>
      <c r="H76" s="92"/>
      <c r="I76" s="92"/>
      <c r="J76" s="92"/>
      <c r="K76" s="92"/>
      <c r="L76" s="92"/>
      <c r="M76" s="92"/>
      <c r="N76" s="92"/>
      <c r="O76" s="92"/>
      <c r="P76" s="652"/>
      <c r="Q76" s="652"/>
      <c r="R76" s="144"/>
      <c r="S76" s="144"/>
      <c r="T76" s="144"/>
      <c r="U76" s="144"/>
      <c r="V76" s="144"/>
      <c r="W76" s="144"/>
      <c r="X76" s="144"/>
      <c r="Y76" s="144"/>
      <c r="Z76" s="144"/>
      <c r="AA76" s="144"/>
      <c r="AB76" s="144"/>
      <c r="AC76" s="144"/>
      <c r="AD76" s="144"/>
      <c r="AE76" s="144"/>
      <c r="AF76" s="144"/>
      <c r="AG76" s="144"/>
      <c r="AI76" s="144"/>
      <c r="AJ76" s="144"/>
      <c r="AK76" s="144"/>
      <c r="AL76" s="144"/>
      <c r="AM76" s="144"/>
      <c r="AN76" s="144"/>
      <c r="AO76" s="144"/>
      <c r="AP76" s="100"/>
      <c r="AQ76" s="100"/>
    </row>
    <row r="77" spans="1:43" ht="3.9" customHeight="1">
      <c r="A77" s="92"/>
      <c r="B77" s="92"/>
      <c r="C77" s="92"/>
      <c r="D77" s="92"/>
      <c r="E77" s="92"/>
      <c r="F77" s="92"/>
      <c r="G77" s="92"/>
      <c r="H77" s="92"/>
      <c r="I77" s="92"/>
      <c r="J77" s="92"/>
      <c r="K77" s="92"/>
      <c r="L77" s="92"/>
      <c r="M77" s="92"/>
      <c r="N77" s="92"/>
      <c r="O77" s="92"/>
      <c r="P77" s="652"/>
      <c r="Q77" s="652"/>
      <c r="R77" s="144"/>
      <c r="S77" s="144"/>
      <c r="T77" s="144"/>
      <c r="U77" s="144"/>
      <c r="V77" s="144"/>
      <c r="W77" s="144"/>
      <c r="X77" s="144"/>
      <c r="Y77" s="144"/>
      <c r="Z77" s="144"/>
      <c r="AA77" s="144"/>
      <c r="AB77" s="144"/>
      <c r="AC77" s="144"/>
      <c r="AD77" s="144"/>
      <c r="AE77" s="144"/>
      <c r="AF77" s="144"/>
      <c r="AG77" s="144"/>
      <c r="AI77" s="144"/>
      <c r="AJ77" s="144"/>
      <c r="AK77" s="144"/>
      <c r="AL77" s="144"/>
      <c r="AM77" s="144"/>
      <c r="AN77" s="144"/>
      <c r="AO77" s="144"/>
      <c r="AP77" s="100"/>
      <c r="AQ77" s="100"/>
    </row>
    <row r="78" spans="1:43" ht="15.75" customHeight="1">
      <c r="A78" s="96"/>
      <c r="B78" s="96"/>
      <c r="C78" s="96"/>
      <c r="D78" s="96"/>
      <c r="E78" s="96"/>
      <c r="F78" s="96"/>
      <c r="G78" s="96"/>
      <c r="H78" s="92"/>
      <c r="I78" s="663" t="s">
        <v>146</v>
      </c>
      <c r="J78" s="663"/>
      <c r="K78" s="663" t="s">
        <v>961</v>
      </c>
      <c r="L78" s="663" t="s">
        <v>61</v>
      </c>
      <c r="M78" s="663" t="s">
        <v>735</v>
      </c>
      <c r="N78" s="663" t="s">
        <v>2</v>
      </c>
      <c r="O78" s="669" t="s">
        <v>147</v>
      </c>
      <c r="P78" s="652"/>
      <c r="Q78" s="652"/>
      <c r="R78" s="144"/>
      <c r="S78" s="39"/>
      <c r="T78" s="39"/>
      <c r="U78" s="39"/>
      <c r="V78" s="39"/>
      <c r="W78" s="39"/>
      <c r="X78" s="39"/>
      <c r="Y78" s="39"/>
      <c r="Z78" s="101"/>
      <c r="AA78" s="656" t="s">
        <v>814</v>
      </c>
      <c r="AB78" s="656"/>
      <c r="AC78" s="656"/>
      <c r="AD78" s="656"/>
      <c r="AE78" s="656"/>
      <c r="AF78" s="656"/>
      <c r="AG78" s="656"/>
      <c r="AH78" s="102"/>
      <c r="AI78" s="103"/>
      <c r="AJ78" s="104"/>
      <c r="AK78" s="104"/>
      <c r="AL78" s="105"/>
      <c r="AM78" s="105"/>
      <c r="AN78" s="105"/>
      <c r="AO78" s="105"/>
      <c r="AP78" s="654" t="s">
        <v>737</v>
      </c>
      <c r="AQ78" s="654"/>
    </row>
    <row r="79" spans="1:43" ht="15.75" customHeight="1">
      <c r="A79" s="96"/>
      <c r="B79" s="96"/>
      <c r="C79" s="96"/>
      <c r="D79" s="96"/>
      <c r="E79" s="96"/>
      <c r="F79" s="96"/>
      <c r="G79" s="96"/>
      <c r="H79" s="92"/>
      <c r="I79" s="664"/>
      <c r="J79" s="664"/>
      <c r="K79" s="664"/>
      <c r="L79" s="664"/>
      <c r="M79" s="664"/>
      <c r="N79" s="664"/>
      <c r="O79" s="670"/>
      <c r="P79" s="652"/>
      <c r="Q79" s="652"/>
      <c r="R79" s="144"/>
      <c r="S79" s="39"/>
      <c r="T79" s="39"/>
      <c r="U79" s="39"/>
      <c r="V79" s="39"/>
      <c r="W79" s="39"/>
      <c r="X79" s="39"/>
      <c r="Y79" s="39"/>
      <c r="Z79" s="106"/>
      <c r="AA79" s="550" t="s">
        <v>248</v>
      </c>
      <c r="AB79" s="555" t="s">
        <v>249</v>
      </c>
      <c r="AC79" s="556"/>
      <c r="AD79" s="557"/>
      <c r="AE79" s="463" t="s">
        <v>823</v>
      </c>
      <c r="AF79" s="463"/>
      <c r="AG79" s="552" t="s">
        <v>734</v>
      </c>
      <c r="AH79" s="102"/>
      <c r="AI79" s="105"/>
      <c r="AJ79" s="105"/>
      <c r="AK79" s="105"/>
      <c r="AL79" s="105"/>
      <c r="AM79" s="105"/>
      <c r="AN79" s="105"/>
      <c r="AO79" s="105"/>
      <c r="AP79" s="654"/>
      <c r="AQ79" s="654"/>
    </row>
    <row r="80" spans="1:43" ht="15.75" customHeight="1">
      <c r="A80" s="96"/>
      <c r="B80" s="96"/>
      <c r="C80" s="96"/>
      <c r="D80" s="96"/>
      <c r="E80" s="96"/>
      <c r="F80" s="96"/>
      <c r="G80" s="96"/>
      <c r="H80" s="92"/>
      <c r="I80" s="666" t="str">
        <f>IF(Data!A110="","",Data!A110)</f>
        <v>Scouting ( Scout Membership Against Potentials Secondary Big Category)</v>
      </c>
      <c r="J80" s="667"/>
      <c r="K80" s="437">
        <f>IF(Data!E110="","",Data!E110)</f>
        <v>5</v>
      </c>
      <c r="L80" s="437">
        <f>IF(Data!F110="","",Data!F110)</f>
        <v>43546</v>
      </c>
      <c r="M80" s="437" t="str">
        <f>IF(Data!G110="","",Data!G110)</f>
        <v>Student</v>
      </c>
      <c r="N80" s="437" t="str">
        <f>IF(Data!H110="","",Data!H110)</f>
        <v>Division</v>
      </c>
      <c r="O80" s="437" t="str">
        <f>IF(Data!I110="","",Data!I110)</f>
        <v>Governor's Office</v>
      </c>
      <c r="P80" s="652"/>
      <c r="Q80" s="652"/>
      <c r="R80" s="144"/>
      <c r="S80" s="39"/>
      <c r="T80" s="39"/>
      <c r="U80" s="39"/>
      <c r="V80" s="39"/>
      <c r="W80" s="39"/>
      <c r="X80" s="39"/>
      <c r="Y80" s="39"/>
      <c r="Z80" s="106"/>
      <c r="AA80" s="551"/>
      <c r="AB80" s="558"/>
      <c r="AC80" s="559"/>
      <c r="AD80" s="560"/>
      <c r="AE80" s="296" t="s">
        <v>825</v>
      </c>
      <c r="AF80" s="296" t="s">
        <v>824</v>
      </c>
      <c r="AG80" s="553"/>
      <c r="AH80" s="102"/>
      <c r="AI80" s="105"/>
      <c r="AJ80" s="105"/>
      <c r="AK80" s="105"/>
      <c r="AL80" s="105"/>
      <c r="AM80" s="105"/>
      <c r="AN80" s="105"/>
      <c r="AO80" s="105"/>
      <c r="AP80" s="654"/>
      <c r="AQ80" s="654"/>
    </row>
    <row r="81" spans="1:43" ht="15.75" customHeight="1">
      <c r="A81" s="96"/>
      <c r="B81" s="96"/>
      <c r="C81" s="96"/>
      <c r="D81" s="96"/>
      <c r="E81" s="96"/>
      <c r="F81" s="96"/>
      <c r="G81" s="96"/>
      <c r="H81" s="92"/>
      <c r="I81" s="666" t="str">
        <f>IF(Data!A111="","",Data!A111)</f>
        <v>Scouting (2019 Award of Commendation on Woodbagdge Holder)</v>
      </c>
      <c r="J81" s="667"/>
      <c r="K81" s="437" t="str">
        <f>IF(Data!E111="","",Data!E111)</f>
        <v>First</v>
      </c>
      <c r="L81" s="133">
        <f>IF(Data!F111="","",Data!F111)</f>
        <v>43547</v>
      </c>
      <c r="M81" s="133" t="str">
        <f>IF(Data!G111="","",Data!G111)</f>
        <v>Teacher</v>
      </c>
      <c r="N81" s="133" t="str">
        <f>IF(Data!H111="","",Data!H111)</f>
        <v>Division</v>
      </c>
      <c r="O81" s="133" t="str">
        <f>IF(Data!I111="","",Data!I111)</f>
        <v>Division Office</v>
      </c>
      <c r="P81" s="652"/>
      <c r="Q81" s="652"/>
      <c r="R81" s="144"/>
      <c r="S81" s="39"/>
      <c r="T81" s="39"/>
      <c r="U81" s="39"/>
      <c r="V81" s="39"/>
      <c r="W81" s="39"/>
      <c r="X81" s="39"/>
      <c r="Y81" s="39"/>
      <c r="Z81" s="106"/>
      <c r="AA81" s="128" t="str">
        <f>IF(Data!A383="","",Data!A383)</f>
        <v>SCHOOL</v>
      </c>
      <c r="AB81" s="528" t="str">
        <f>IF(Data!B383="","",Data!B383)</f>
        <v>ENROLMENT</v>
      </c>
      <c r="AC81" s="465"/>
      <c r="AD81" s="466"/>
      <c r="AE81" s="300">
        <f>IF(Data!F383="","",Data!F383)</f>
        <v>2000</v>
      </c>
      <c r="AF81" s="301" t="str">
        <f>IF(Data!G383="","",Data!G383)</f>
        <v>MOOE</v>
      </c>
      <c r="AG81" s="95" t="str">
        <f>IF(Data!H383="","",Data!H383)</f>
        <v>Completed</v>
      </c>
      <c r="AH81" s="102"/>
      <c r="AI81" s="105"/>
      <c r="AJ81" s="105"/>
      <c r="AK81" s="105"/>
      <c r="AL81" s="105"/>
      <c r="AM81" s="105"/>
      <c r="AN81" s="105"/>
      <c r="AO81" s="105"/>
      <c r="AP81" s="654"/>
      <c r="AQ81" s="654"/>
    </row>
    <row r="82" spans="1:43" ht="15.75" customHeight="1">
      <c r="A82" s="96"/>
      <c r="B82" s="96"/>
      <c r="C82" s="96"/>
      <c r="D82" s="96"/>
      <c r="E82" s="96"/>
      <c r="F82" s="96"/>
      <c r="G82" s="96"/>
      <c r="H82" s="92"/>
      <c r="I82" s="666" t="str">
        <f>IF(Data!A112="","",Data!A112)</f>
        <v>Reading Interpretation</v>
      </c>
      <c r="J82" s="667"/>
      <c r="K82" s="437" t="str">
        <f>IF(Data!E112="","",Data!E112)</f>
        <v>First</v>
      </c>
      <c r="L82" s="133">
        <f>IF(Data!F112="","",Data!F112)</f>
        <v>43424</v>
      </c>
      <c r="M82" s="133" t="str">
        <f>IF(Data!G112="","",Data!G112)</f>
        <v>Student</v>
      </c>
      <c r="N82" s="133" t="str">
        <f>IF(Data!H112="","",Data!H112)</f>
        <v>District</v>
      </c>
      <c r="O82" s="133" t="str">
        <f>IF(Data!I112="","",Data!I112)</f>
        <v>Division Office</v>
      </c>
      <c r="P82" s="652"/>
      <c r="Q82" s="652"/>
      <c r="R82" s="144"/>
      <c r="S82" s="39"/>
      <c r="T82" s="39"/>
      <c r="U82" s="39"/>
      <c r="V82" s="39"/>
      <c r="W82" s="39"/>
      <c r="X82" s="39"/>
      <c r="Y82" s="39"/>
      <c r="Z82" s="106"/>
      <c r="AA82" s="128" t="str">
        <f>IF(Data!A384="","",Data!A384)</f>
        <v>PTA</v>
      </c>
      <c r="AB82" s="528" t="str">
        <f>IF(Data!B384="","",Data!B384)</f>
        <v>SAKAY NA LIBRE PA</v>
      </c>
      <c r="AC82" s="465"/>
      <c r="AD82" s="466"/>
      <c r="AE82" s="300">
        <f>IF(Data!F384="","",Data!F384)</f>
        <v>500</v>
      </c>
      <c r="AF82" s="301" t="str">
        <f>IF(Data!G384="","",Data!G384)</f>
        <v>Others</v>
      </c>
      <c r="AG82" s="95" t="str">
        <f>IF(Data!H384="","",Data!H384)</f>
        <v>Cancelled</v>
      </c>
      <c r="AH82" s="102"/>
      <c r="AI82" s="105"/>
      <c r="AJ82" s="105"/>
      <c r="AK82" s="105"/>
      <c r="AL82" s="105"/>
      <c r="AM82" s="105"/>
      <c r="AN82" s="105"/>
      <c r="AO82" s="105"/>
      <c r="AP82" s="654"/>
      <c r="AQ82" s="654"/>
    </row>
    <row r="83" spans="1:43" ht="15.75" customHeight="1">
      <c r="A83" s="96"/>
      <c r="B83" s="96"/>
      <c r="C83" s="96"/>
      <c r="D83" s="96"/>
      <c r="E83" s="96"/>
      <c r="F83" s="96"/>
      <c r="G83" s="96"/>
      <c r="H83" s="92"/>
      <c r="I83" s="666" t="str">
        <f>IF(Data!A113="","",Data!A113)</f>
        <v>Mathematics ( Math Quiz)</v>
      </c>
      <c r="J83" s="667"/>
      <c r="K83" s="437" t="str">
        <f>IF(Data!E113="","",Data!E113)</f>
        <v>Third</v>
      </c>
      <c r="L83" s="133" t="str">
        <f>IF(Data!F113="","",Data!F113)</f>
        <v/>
      </c>
      <c r="M83" s="133" t="str">
        <f>IF(Data!G113="","",Data!G113)</f>
        <v>Student</v>
      </c>
      <c r="N83" s="133" t="str">
        <f>IF(Data!H113="","",Data!H113)</f>
        <v>District</v>
      </c>
      <c r="O83" s="133" t="str">
        <f>IF(Data!I113="","",Data!I113)</f>
        <v>Division Office</v>
      </c>
      <c r="P83" s="652"/>
      <c r="Q83" s="652"/>
      <c r="R83" s="144"/>
      <c r="S83" s="39"/>
      <c r="T83" s="39"/>
      <c r="U83" s="39"/>
      <c r="V83" s="39"/>
      <c r="W83" s="39"/>
      <c r="X83" s="39"/>
      <c r="Y83" s="39"/>
      <c r="Z83" s="106"/>
      <c r="AA83" s="128" t="str">
        <f>IF(Data!A385="","",Data!A385)</f>
        <v>SCHOOL</v>
      </c>
      <c r="AB83" s="528" t="str">
        <f>IF(Data!B385="","",Data!B385)</f>
        <v xml:space="preserve">Talento MO- Pag-agak KO </v>
      </c>
      <c r="AC83" s="465"/>
      <c r="AD83" s="466"/>
      <c r="AE83" s="300">
        <f>IF(Data!F385="","",Data!F385)</f>
        <v>10000</v>
      </c>
      <c r="AF83" s="301" t="str">
        <f>IF(Data!G385="","",Data!G385)</f>
        <v>Others</v>
      </c>
      <c r="AG83" s="95" t="str">
        <f>IF(Data!H385="","",Data!H385)</f>
        <v>Completed</v>
      </c>
      <c r="AH83" s="102"/>
      <c r="AI83" s="105"/>
      <c r="AJ83" s="105"/>
      <c r="AK83" s="105"/>
      <c r="AL83" s="105"/>
      <c r="AM83" s="105"/>
      <c r="AN83" s="105"/>
      <c r="AO83" s="105"/>
      <c r="AP83" s="654"/>
      <c r="AQ83" s="654"/>
    </row>
    <row r="84" spans="1:43" ht="15.75" customHeight="1">
      <c r="A84" s="96"/>
      <c r="B84" s="96"/>
      <c r="C84" s="96"/>
      <c r="D84" s="96"/>
      <c r="E84" s="96"/>
      <c r="F84" s="96"/>
      <c r="G84" s="96"/>
      <c r="H84" s="92"/>
      <c r="I84" s="666" t="str">
        <f>IF(Data!A114="","",Data!A114)</f>
        <v>Provincial Meet ( Arnis)</v>
      </c>
      <c r="J84" s="667"/>
      <c r="K84" s="437" t="str">
        <f>IF(Data!E114="","",Data!E114)</f>
        <v>Second</v>
      </c>
      <c r="L84" s="133">
        <f>IF(Data!F114="","",Data!F114)</f>
        <v>43405</v>
      </c>
      <c r="M84" s="133" t="str">
        <f>IF(Data!G114="","",Data!G114)</f>
        <v>Student</v>
      </c>
      <c r="N84" s="133" t="str">
        <f>IF(Data!H114="","",Data!H114)</f>
        <v>Division</v>
      </c>
      <c r="O84" s="133" t="str">
        <f>IF(Data!I114="","",Data!I114)</f>
        <v>Division Office</v>
      </c>
      <c r="P84" s="652"/>
      <c r="Q84" s="652"/>
      <c r="R84" s="144"/>
      <c r="S84" s="39"/>
      <c r="T84" s="39"/>
      <c r="U84" s="39"/>
      <c r="V84" s="39"/>
      <c r="W84" s="39"/>
      <c r="X84" s="39"/>
      <c r="Y84" s="39"/>
      <c r="Z84" s="106"/>
      <c r="AA84" s="128" t="str">
        <f>IF(Data!A386="","",Data!A386)</f>
        <v>SCHOOL</v>
      </c>
      <c r="AB84" s="528" t="str">
        <f>IF(Data!B386="","",Data!B386)</f>
        <v>HASHTAG ( Help Achieve High performance Teacher Assistance Group)</v>
      </c>
      <c r="AC84" s="465"/>
      <c r="AD84" s="466"/>
      <c r="AE84" s="300">
        <f>IF(Data!F386="","",Data!F386)</f>
        <v>5000</v>
      </c>
      <c r="AF84" s="301" t="str">
        <f>IF(Data!G386="","",Data!G386)</f>
        <v>MOOE</v>
      </c>
      <c r="AG84" s="95" t="str">
        <f>IF(Data!H386="","",Data!H386)</f>
        <v>Ongoing</v>
      </c>
      <c r="AH84" s="102"/>
      <c r="AI84" s="105"/>
      <c r="AJ84" s="105"/>
      <c r="AK84" s="105"/>
      <c r="AL84" s="105"/>
      <c r="AM84" s="105"/>
      <c r="AN84" s="105"/>
      <c r="AO84" s="105"/>
      <c r="AP84" s="654"/>
      <c r="AQ84" s="654"/>
    </row>
    <row r="85" spans="1:43" ht="15.75" customHeight="1">
      <c r="A85" s="96"/>
      <c r="B85" s="96"/>
      <c r="C85" s="96"/>
      <c r="D85" s="96"/>
      <c r="E85" s="96"/>
      <c r="F85" s="96"/>
      <c r="G85" s="96"/>
      <c r="H85" s="92"/>
      <c r="I85" s="666" t="str">
        <f>IF(Data!A115="","",Data!A115)</f>
        <v>Softball</v>
      </c>
      <c r="J85" s="667"/>
      <c r="K85" s="437" t="str">
        <f>IF(Data!E115="","",Data!E115)</f>
        <v>First</v>
      </c>
      <c r="L85" s="133" t="str">
        <f>IF(Data!F115="","",Data!F115)</f>
        <v/>
      </c>
      <c r="M85" s="133" t="str">
        <f>IF(Data!G115="","",Data!G115)</f>
        <v>Student</v>
      </c>
      <c r="N85" s="133" t="str">
        <f>IF(Data!H115="","",Data!H115)</f>
        <v>Region</v>
      </c>
      <c r="O85" s="133" t="str">
        <f>IF(Data!I115="","",Data!I115)</f>
        <v/>
      </c>
      <c r="P85" s="652"/>
      <c r="Q85" s="652"/>
      <c r="R85" s="144"/>
      <c r="S85" s="39"/>
      <c r="T85" s="39"/>
      <c r="U85" s="39"/>
      <c r="V85" s="39"/>
      <c r="W85" s="39"/>
      <c r="X85" s="39"/>
      <c r="Y85" s="39"/>
      <c r="Z85" s="106"/>
      <c r="AA85" s="128" t="str">
        <f>IF(Data!A387="","",Data!A387)</f>
        <v>SCHOOL</v>
      </c>
      <c r="AB85" s="528" t="str">
        <f>IF(Data!B387="","",Data!B387)</f>
        <v>Bahay Sa Paaralan ko Pansamantalang Tirahan KO</v>
      </c>
      <c r="AC85" s="465"/>
      <c r="AD85" s="466"/>
      <c r="AE85" s="300">
        <f>IF(Data!F387="","",Data!F387)</f>
        <v>50000</v>
      </c>
      <c r="AF85" s="301" t="str">
        <f>IF(Data!G387="","",Data!G387)</f>
        <v>MOOE</v>
      </c>
      <c r="AG85" s="95" t="str">
        <f>IF(Data!H387="","",Data!H387)</f>
        <v>Ongoing</v>
      </c>
      <c r="AH85" s="102"/>
      <c r="AI85" s="105"/>
      <c r="AJ85" s="105"/>
      <c r="AK85" s="105"/>
      <c r="AL85" s="105"/>
      <c r="AM85" s="105"/>
      <c r="AN85" s="105"/>
      <c r="AO85" s="105"/>
      <c r="AP85" s="654"/>
      <c r="AQ85" s="654"/>
    </row>
    <row r="86" spans="1:43" ht="15.75" customHeight="1">
      <c r="A86" s="96"/>
      <c r="B86" s="96"/>
      <c r="C86" s="96"/>
      <c r="D86" s="96"/>
      <c r="E86" s="96"/>
      <c r="F86" s="96"/>
      <c r="G86" s="96"/>
      <c r="H86" s="92"/>
      <c r="I86" s="666" t="str">
        <f>IF(Data!A116="","",Data!A116)</f>
        <v>Baseball</v>
      </c>
      <c r="J86" s="667"/>
      <c r="K86" s="437" t="str">
        <f>IF(Data!E116="","",Data!E116)</f>
        <v>First</v>
      </c>
      <c r="L86" s="133" t="str">
        <f>IF(Data!F116="","",Data!F116)</f>
        <v/>
      </c>
      <c r="M86" s="133" t="str">
        <f>IF(Data!G116="","",Data!G116)</f>
        <v>Student</v>
      </c>
      <c r="N86" s="133" t="str">
        <f>IF(Data!H116="","",Data!H116)</f>
        <v>Region</v>
      </c>
      <c r="O86" s="133" t="str">
        <f>IF(Data!I116="","",Data!I116)</f>
        <v/>
      </c>
      <c r="P86" s="652"/>
      <c r="Q86" s="652"/>
      <c r="R86" s="144"/>
      <c r="S86" s="39"/>
      <c r="T86" s="39"/>
      <c r="U86" s="39"/>
      <c r="V86" s="39"/>
      <c r="W86" s="39"/>
      <c r="X86" s="39"/>
      <c r="Y86" s="39"/>
      <c r="Z86" s="106"/>
      <c r="AA86" s="128" t="str">
        <f>IF(Data!A388="","",Data!A388)</f>
        <v>SCHOOL</v>
      </c>
      <c r="AB86" s="528" t="str">
        <f>IF(Data!B388="","",Data!B388)</f>
        <v xml:space="preserve"> Pagkain Alagaan, Timbang dagdagan</v>
      </c>
      <c r="AC86" s="465"/>
      <c r="AD86" s="466"/>
      <c r="AE86" s="300">
        <f>IF(Data!F388="","",Data!F388)</f>
        <v>12500</v>
      </c>
      <c r="AF86" s="301" t="str">
        <f>IF(Data!G388="","",Data!G388)</f>
        <v>Others</v>
      </c>
      <c r="AG86" s="95" t="str">
        <f>IF(Data!H388="","",Data!H388)</f>
        <v>Ongoing</v>
      </c>
      <c r="AH86" s="102"/>
      <c r="AI86" s="105"/>
      <c r="AJ86" s="105"/>
      <c r="AK86" s="105"/>
      <c r="AL86" s="105"/>
      <c r="AM86" s="105"/>
      <c r="AN86" s="105"/>
      <c r="AO86" s="105"/>
      <c r="AP86" s="654"/>
      <c r="AQ86" s="654"/>
    </row>
    <row r="87" spans="1:43" ht="15.75" customHeight="1">
      <c r="A87" s="96"/>
      <c r="B87" s="96"/>
      <c r="C87" s="96"/>
      <c r="D87" s="96"/>
      <c r="E87" s="96"/>
      <c r="F87" s="96"/>
      <c r="G87" s="96"/>
      <c r="H87" s="92"/>
      <c r="I87" s="666" t="str">
        <f>IF(Data!A117="","",Data!A117)</f>
        <v>Table Tennis</v>
      </c>
      <c r="J87" s="667"/>
      <c r="K87" s="437" t="str">
        <f>IF(Data!E117="","",Data!E117)</f>
        <v>First</v>
      </c>
      <c r="L87" s="133" t="str">
        <f>IF(Data!F117="","",Data!F117)</f>
        <v/>
      </c>
      <c r="M87" s="133" t="str">
        <f>IF(Data!G117="","",Data!G117)</f>
        <v>Student</v>
      </c>
      <c r="N87" s="133" t="str">
        <f>IF(Data!H117="","",Data!H117)</f>
        <v>Division</v>
      </c>
      <c r="O87" s="133" t="str">
        <f>IF(Data!I117="","",Data!I117)</f>
        <v>Division Office</v>
      </c>
      <c r="P87" s="652"/>
      <c r="Q87" s="652"/>
      <c r="R87" s="144"/>
      <c r="S87" s="39"/>
      <c r="T87" s="39"/>
      <c r="U87" s="39"/>
      <c r="V87" s="39"/>
      <c r="W87" s="39"/>
      <c r="X87" s="39"/>
      <c r="Y87" s="39"/>
      <c r="Z87" s="106"/>
      <c r="AA87" s="128" t="str">
        <f>IF(Data!A389="","",Data!A389)</f>
        <v>SCHOOL</v>
      </c>
      <c r="AB87" s="528" t="str">
        <f>IF(Data!B389="","",Data!B389)</f>
        <v>Improved Reading Program (IRP)</v>
      </c>
      <c r="AC87" s="465"/>
      <c r="AD87" s="466"/>
      <c r="AE87" s="300">
        <f>IF(Data!F389="","",Data!F389)</f>
        <v>2000</v>
      </c>
      <c r="AF87" s="301" t="str">
        <f>IF(Data!G389="","",Data!G389)</f>
        <v>MOOE</v>
      </c>
      <c r="AG87" s="95" t="str">
        <f>IF(Data!H389="","",Data!H389)</f>
        <v>Ongoing</v>
      </c>
      <c r="AH87" s="102"/>
      <c r="AI87" s="105"/>
      <c r="AJ87" s="105"/>
      <c r="AK87" s="105"/>
      <c r="AL87" s="105"/>
      <c r="AM87" s="105"/>
      <c r="AN87" s="105"/>
      <c r="AO87" s="105"/>
      <c r="AP87" s="654"/>
      <c r="AQ87" s="654"/>
    </row>
    <row r="88" spans="1:43" ht="15.75" customHeight="1">
      <c r="A88" s="96"/>
      <c r="B88" s="96"/>
      <c r="C88" s="96"/>
      <c r="D88" s="96"/>
      <c r="E88" s="96"/>
      <c r="F88" s="96"/>
      <c r="G88" s="96"/>
      <c r="H88" s="92"/>
      <c r="I88" s="666" t="str">
        <f>IF(Data!A118="","",Data!A118)</f>
        <v>Badminton</v>
      </c>
      <c r="J88" s="667"/>
      <c r="K88" s="437" t="str">
        <f>IF(Data!E118="","",Data!E118)</f>
        <v>First</v>
      </c>
      <c r="L88" s="133" t="str">
        <f>IF(Data!F118="","",Data!F118)</f>
        <v/>
      </c>
      <c r="M88" s="133" t="str">
        <f>IF(Data!G118="","",Data!G118)</f>
        <v>Student</v>
      </c>
      <c r="N88" s="133" t="str">
        <f>IF(Data!H118="","",Data!H118)</f>
        <v>Division</v>
      </c>
      <c r="O88" s="133" t="str">
        <f>IF(Data!I118="","",Data!I118)</f>
        <v>Division Office</v>
      </c>
      <c r="P88" s="652"/>
      <c r="Q88" s="652"/>
      <c r="R88" s="144"/>
      <c r="S88" s="39"/>
      <c r="T88" s="39"/>
      <c r="U88" s="39"/>
      <c r="V88" s="39"/>
      <c r="W88" s="39"/>
      <c r="X88" s="39"/>
      <c r="Y88" s="39"/>
      <c r="Z88" s="106"/>
      <c r="AA88" s="128" t="str">
        <f>IF(Data!A390="","",Data!A390)</f>
        <v>SCHOOL</v>
      </c>
      <c r="AB88" s="528" t="str">
        <f>IF(Data!B390="","",Data!B390)</f>
        <v>Kumprehensibong Programa sa Pagbasa</v>
      </c>
      <c r="AC88" s="465"/>
      <c r="AD88" s="466"/>
      <c r="AE88" s="300">
        <f>IF(Data!F390="","",Data!F390)</f>
        <v>30000</v>
      </c>
      <c r="AF88" s="301" t="str">
        <f>IF(Data!G390="","",Data!G390)</f>
        <v>Others</v>
      </c>
      <c r="AG88" s="95" t="str">
        <f>IF(Data!H390="","",Data!H390)</f>
        <v>Ongoing</v>
      </c>
      <c r="AH88" s="102"/>
      <c r="AI88" s="105"/>
      <c r="AJ88" s="105"/>
      <c r="AK88" s="105"/>
      <c r="AL88" s="105"/>
      <c r="AM88" s="105"/>
      <c r="AN88" s="105"/>
      <c r="AO88" s="105"/>
      <c r="AP88" s="654"/>
      <c r="AQ88" s="654"/>
    </row>
    <row r="89" spans="1:43" ht="15.75" customHeight="1">
      <c r="A89" s="96"/>
      <c r="B89" s="96"/>
      <c r="C89" s="96"/>
      <c r="D89" s="96"/>
      <c r="E89" s="96"/>
      <c r="F89" s="96"/>
      <c r="G89" s="96"/>
      <c r="H89" s="92"/>
      <c r="I89" s="666" t="str">
        <f>IF(Data!A119="","",Data!A119)</f>
        <v>Taekwondo</v>
      </c>
      <c r="J89" s="667"/>
      <c r="K89" s="437" t="str">
        <f>IF(Data!E119="","",Data!E119)</f>
        <v>First</v>
      </c>
      <c r="L89" s="133" t="str">
        <f>IF(Data!F119="","",Data!F119)</f>
        <v/>
      </c>
      <c r="M89" s="133" t="str">
        <f>IF(Data!G119="","",Data!G119)</f>
        <v>Student</v>
      </c>
      <c r="N89" s="133" t="str">
        <f>IF(Data!H119="","",Data!H119)</f>
        <v>Division</v>
      </c>
      <c r="O89" s="133" t="str">
        <f>IF(Data!I119="","",Data!I119)</f>
        <v>Division Office</v>
      </c>
      <c r="P89" s="652"/>
      <c r="Q89" s="652"/>
      <c r="R89" s="144"/>
      <c r="S89" s="39"/>
      <c r="T89" s="39"/>
      <c r="U89" s="39"/>
      <c r="V89" s="39"/>
      <c r="W89" s="39"/>
      <c r="X89" s="39"/>
      <c r="Y89" s="39"/>
      <c r="Z89" s="106"/>
      <c r="AA89" s="128" t="str">
        <f>IF(Data!A391="","",Data!A391)</f>
        <v>SCHOOL</v>
      </c>
      <c r="AB89" s="528" t="str">
        <f>IF(Data!B391="","",Data!B391)</f>
        <v>I LOVE MATH PROGRAM</v>
      </c>
      <c r="AC89" s="465"/>
      <c r="AD89" s="466"/>
      <c r="AE89" s="300">
        <f>IF(Data!F391="","",Data!F391)</f>
        <v>3000</v>
      </c>
      <c r="AF89" s="301" t="str">
        <f>IF(Data!G391="","",Data!G391)</f>
        <v>MOOE</v>
      </c>
      <c r="AG89" s="95" t="str">
        <f>IF(Data!H391="","",Data!H391)</f>
        <v>Ongoing</v>
      </c>
      <c r="AH89" s="102"/>
      <c r="AI89" s="107"/>
      <c r="AJ89" s="105"/>
      <c r="AK89" s="105"/>
      <c r="AL89" s="105"/>
      <c r="AM89" s="105"/>
      <c r="AN89" s="105"/>
      <c r="AO89" s="105"/>
      <c r="AP89" s="654"/>
      <c r="AQ89" s="654"/>
    </row>
    <row r="90" spans="1:43" ht="15.75" customHeight="1">
      <c r="A90" s="96"/>
      <c r="B90" s="96"/>
      <c r="C90" s="96"/>
      <c r="D90" s="96"/>
      <c r="E90" s="96"/>
      <c r="F90" s="96"/>
      <c r="G90" s="96"/>
      <c r="H90" s="92"/>
      <c r="I90" s="666" t="str">
        <f>IF(Data!A120="","",Data!A120)</f>
        <v>Yes -o Camp</v>
      </c>
      <c r="J90" s="667"/>
      <c r="K90" s="437" t="str">
        <f>IF(Data!E120="","",Data!E120)</f>
        <v>Fourth</v>
      </c>
      <c r="L90" s="133" t="str">
        <f>IF(Data!F120="","",Data!F120)</f>
        <v/>
      </c>
      <c r="M90" s="133" t="str">
        <f>IF(Data!G120="","",Data!G120)</f>
        <v>Student</v>
      </c>
      <c r="N90" s="133" t="str">
        <f>IF(Data!H120="","",Data!H120)</f>
        <v>Division</v>
      </c>
      <c r="O90" s="133" t="str">
        <f>IF(Data!I120="","",Data!I120)</f>
        <v>Division Office</v>
      </c>
      <c r="P90" s="652"/>
      <c r="Q90" s="652"/>
      <c r="R90" s="144"/>
      <c r="S90" s="39"/>
      <c r="T90" s="39"/>
      <c r="U90" s="39"/>
      <c r="V90" s="39"/>
      <c r="W90" s="39"/>
      <c r="X90" s="39"/>
      <c r="Y90" s="39"/>
      <c r="Z90" s="106"/>
      <c r="AA90" s="128" t="str">
        <f>IF(Data!A392="","",Data!A392)</f>
        <v>SCHOOL</v>
      </c>
      <c r="AB90" s="528" t="str">
        <f>IF(Data!B392="","",Data!B392)</f>
        <v>Project BEST (Barangay Education Strategic Team)</v>
      </c>
      <c r="AC90" s="465"/>
      <c r="AD90" s="466"/>
      <c r="AE90" s="300" t="str">
        <f>IF(Data!F392="","",Data!F392)</f>
        <v/>
      </c>
      <c r="AF90" s="301" t="str">
        <f>IF(Data!G392="","",Data!G392)</f>
        <v>Others</v>
      </c>
      <c r="AG90" s="95" t="str">
        <f>IF(Data!H392="","",Data!H392)</f>
        <v>Ongoing</v>
      </c>
      <c r="AH90" s="102"/>
      <c r="AI90" s="105"/>
      <c r="AJ90" s="105"/>
      <c r="AK90" s="105"/>
      <c r="AL90" s="105"/>
      <c r="AM90" s="105"/>
      <c r="AN90" s="105"/>
      <c r="AO90" s="105"/>
      <c r="AP90" s="654"/>
      <c r="AQ90" s="654"/>
    </row>
    <row r="91" spans="1:43" ht="15.75" customHeight="1">
      <c r="A91" s="96"/>
      <c r="B91" s="96"/>
      <c r="C91" s="96"/>
      <c r="D91" s="96"/>
      <c r="E91" s="96"/>
      <c r="F91" s="96"/>
      <c r="G91" s="96"/>
      <c r="H91" s="92"/>
      <c r="I91" s="666" t="str">
        <f>IF(Data!A121="","",Data!A121)</f>
        <v>Technolympics (Dressmaking Contest)</v>
      </c>
      <c r="J91" s="667"/>
      <c r="K91" s="437" t="str">
        <f>IF(Data!E121="","",Data!E121)</f>
        <v>Third</v>
      </c>
      <c r="L91" s="133" t="str">
        <f>IF(Data!F121="","",Data!F121)</f>
        <v/>
      </c>
      <c r="M91" s="133" t="str">
        <f>IF(Data!G121="","",Data!G121)</f>
        <v>Student</v>
      </c>
      <c r="N91" s="133" t="str">
        <f>IF(Data!H121="","",Data!H121)</f>
        <v>Division</v>
      </c>
      <c r="O91" s="133" t="str">
        <f>IF(Data!I121="","",Data!I121)</f>
        <v>Division Office</v>
      </c>
      <c r="P91" s="652"/>
      <c r="Q91" s="652"/>
      <c r="R91" s="144"/>
      <c r="S91" s="39"/>
      <c r="T91" s="39"/>
      <c r="U91" s="39"/>
      <c r="V91" s="39"/>
      <c r="W91" s="39"/>
      <c r="X91" s="39"/>
      <c r="Y91" s="39"/>
      <c r="Z91" s="106"/>
      <c r="AA91" s="128" t="str">
        <f>IF(Data!A393="","",Data!A393)</f>
        <v>SCHOOL</v>
      </c>
      <c r="AB91" s="528" t="str">
        <f>IF(Data!B393="","",Data!B393)</f>
        <v>MVSports "ABAG" Program</v>
      </c>
      <c r="AC91" s="465"/>
      <c r="AD91" s="466"/>
      <c r="AE91" s="300" t="str">
        <f>IF(Data!F393="","",Data!F393)</f>
        <v/>
      </c>
      <c r="AF91" s="301" t="str">
        <f>IF(Data!G393="","",Data!G393)</f>
        <v>MOOE</v>
      </c>
      <c r="AG91" s="95" t="str">
        <f>IF(Data!H393="","",Data!H393)</f>
        <v>Ongoing</v>
      </c>
      <c r="AH91" s="102"/>
      <c r="AI91" s="105"/>
      <c r="AJ91" s="105"/>
      <c r="AK91" s="105"/>
      <c r="AL91" s="105"/>
      <c r="AM91" s="105"/>
      <c r="AN91" s="105"/>
      <c r="AO91" s="105"/>
      <c r="AP91" s="654"/>
      <c r="AQ91" s="654"/>
    </row>
    <row r="92" spans="1:43" ht="15.75" customHeight="1">
      <c r="A92" s="96"/>
      <c r="B92" s="96"/>
      <c r="C92" s="96"/>
      <c r="D92" s="96"/>
      <c r="E92" s="96"/>
      <c r="F92" s="96"/>
      <c r="G92" s="96"/>
      <c r="H92" s="92"/>
      <c r="I92" s="666" t="str">
        <f>IF(Data!A122="","",Data!A122)</f>
        <v>Technolympics(Automotice Servicing)</v>
      </c>
      <c r="J92" s="667"/>
      <c r="K92" s="437" t="str">
        <f>IF(Data!E122="","",Data!E122)</f>
        <v>Fifth</v>
      </c>
      <c r="L92" s="133" t="str">
        <f>IF(Data!F122="","",Data!F122)</f>
        <v/>
      </c>
      <c r="M92" s="133" t="str">
        <f>IF(Data!G122="","",Data!G122)</f>
        <v>Student</v>
      </c>
      <c r="N92" s="133" t="str">
        <f>IF(Data!H122="","",Data!H122)</f>
        <v>Division</v>
      </c>
      <c r="O92" s="133" t="str">
        <f>IF(Data!I122="","",Data!I122)</f>
        <v>Division Office</v>
      </c>
      <c r="P92" s="652"/>
      <c r="Q92" s="652"/>
      <c r="R92" s="144"/>
      <c r="S92" s="39"/>
      <c r="T92" s="39"/>
      <c r="U92" s="39"/>
      <c r="V92" s="39"/>
      <c r="W92" s="39"/>
      <c r="X92" s="39"/>
      <c r="Y92" s="39"/>
      <c r="Z92" s="106"/>
      <c r="AA92" s="128" t="str">
        <f>IF(Data!A394="","",Data!A394)</f>
        <v>SCHOOL</v>
      </c>
      <c r="AB92" s="528" t="str">
        <f>IF(Data!B394="","",Data!B394)</f>
        <v xml:space="preserve"> MVS ARKADO (Arnis-Kali-Do)</v>
      </c>
      <c r="AC92" s="465"/>
      <c r="AD92" s="466"/>
      <c r="AE92" s="300" t="str">
        <f>IF(Data!F394="","",Data!F394)</f>
        <v/>
      </c>
      <c r="AF92" s="301" t="str">
        <f>IF(Data!G394="","",Data!G394)</f>
        <v>MOOE</v>
      </c>
      <c r="AG92" s="95" t="str">
        <f>IF(Data!H394="","",Data!H394)</f>
        <v>Proposed</v>
      </c>
      <c r="AH92" s="102"/>
      <c r="AI92" s="105"/>
      <c r="AJ92" s="105"/>
      <c r="AK92" s="105"/>
      <c r="AL92" s="105"/>
      <c r="AM92" s="105"/>
      <c r="AN92" s="105"/>
      <c r="AO92" s="105"/>
      <c r="AP92" s="654"/>
      <c r="AQ92" s="654"/>
    </row>
    <row r="93" spans="1:43" ht="15.75" customHeight="1">
      <c r="A93" s="96"/>
      <c r="B93" s="96"/>
      <c r="C93" s="96"/>
      <c r="D93" s="96"/>
      <c r="E93" s="96"/>
      <c r="F93" s="96"/>
      <c r="G93" s="96"/>
      <c r="H93" s="92"/>
      <c r="I93" s="666" t="str">
        <f>IF(Data!A123="","",Data!A123)</f>
        <v/>
      </c>
      <c r="J93" s="667"/>
      <c r="K93" s="437" t="str">
        <f>IF(Data!E123="","",Data!E123)</f>
        <v/>
      </c>
      <c r="L93" s="133" t="str">
        <f>IF(Data!F123="","",Data!F123)</f>
        <v/>
      </c>
      <c r="M93" s="133" t="str">
        <f>IF(Data!G123="","",Data!G123)</f>
        <v/>
      </c>
      <c r="N93" s="133" t="str">
        <f>IF(Data!H123="","",Data!H123)</f>
        <v/>
      </c>
      <c r="O93" s="133" t="str">
        <f>IF(Data!I123="","",Data!I123)</f>
        <v/>
      </c>
      <c r="P93" s="652"/>
      <c r="Q93" s="652"/>
      <c r="R93" s="144"/>
      <c r="S93" s="39"/>
      <c r="T93" s="39"/>
      <c r="U93" s="39"/>
      <c r="V93" s="39"/>
      <c r="W93" s="39"/>
      <c r="X93" s="39"/>
      <c r="Y93" s="39"/>
      <c r="Z93" s="106"/>
      <c r="AA93" s="128" t="str">
        <f>IF(Data!A395="","",Data!A395)</f>
        <v>SCHOOL</v>
      </c>
      <c r="AB93" s="528" t="str">
        <f>IF(Data!B395="","",Data!B395)</f>
        <v>The Meridian - Journalism</v>
      </c>
      <c r="AC93" s="465"/>
      <c r="AD93" s="466"/>
      <c r="AE93" s="300" t="str">
        <f>IF(Data!F395="","",Data!F395)</f>
        <v/>
      </c>
      <c r="AF93" s="301" t="str">
        <f>IF(Data!G395="","",Data!G395)</f>
        <v>MOOE</v>
      </c>
      <c r="AG93" s="95" t="str">
        <f>IF(Data!H395="","",Data!H395)</f>
        <v>Ongoing</v>
      </c>
      <c r="AH93" s="102"/>
      <c r="AI93" s="105"/>
      <c r="AJ93" s="105"/>
      <c r="AK93" s="105"/>
      <c r="AL93" s="105"/>
      <c r="AM93" s="105"/>
      <c r="AN93" s="105"/>
      <c r="AO93" s="105"/>
      <c r="AP93" s="654"/>
      <c r="AQ93" s="654"/>
    </row>
    <row r="94" spans="1:43" ht="15.75" customHeight="1">
      <c r="A94" s="96"/>
      <c r="B94" s="96"/>
      <c r="C94" s="96"/>
      <c r="D94" s="96"/>
      <c r="E94" s="96"/>
      <c r="F94" s="96"/>
      <c r="G94" s="96"/>
      <c r="H94" s="92"/>
      <c r="I94" s="666" t="str">
        <f>IF(Data!A124="","",Data!A124)</f>
        <v/>
      </c>
      <c r="J94" s="667"/>
      <c r="K94" s="437" t="str">
        <f>IF(Data!E124="","",Data!E124)</f>
        <v/>
      </c>
      <c r="L94" s="133" t="str">
        <f>IF(Data!F124="","",Data!F124)</f>
        <v/>
      </c>
      <c r="M94" s="133" t="str">
        <f>IF(Data!G124="","",Data!G124)</f>
        <v/>
      </c>
      <c r="N94" s="133" t="str">
        <f>IF(Data!H124="","",Data!H124)</f>
        <v/>
      </c>
      <c r="O94" s="133" t="str">
        <f>IF(Data!I124="","",Data!I124)</f>
        <v/>
      </c>
      <c r="P94" s="652"/>
      <c r="Q94" s="652"/>
      <c r="R94" s="144"/>
      <c r="S94" s="39"/>
      <c r="T94" s="39"/>
      <c r="U94" s="39"/>
      <c r="V94" s="39"/>
      <c r="W94" s="39"/>
      <c r="X94" s="39"/>
      <c r="Y94" s="39"/>
      <c r="Z94" s="106"/>
      <c r="AA94" s="128" t="str">
        <f>IF(Data!A396="","",Data!A396)</f>
        <v>SCHOOL</v>
      </c>
      <c r="AB94" s="528" t="str">
        <f>IF(Data!B396="","",Data!B396)</f>
        <v xml:space="preserve"> Repaired today, Damaged away</v>
      </c>
      <c r="AC94" s="465"/>
      <c r="AD94" s="466"/>
      <c r="AE94" s="300" t="str">
        <f>IF(Data!F396="","",Data!F396)</f>
        <v/>
      </c>
      <c r="AF94" s="301" t="str">
        <f>IF(Data!G396="","",Data!G396)</f>
        <v>Donation</v>
      </c>
      <c r="AG94" s="95" t="str">
        <f>IF(Data!H396="","",Data!H396)</f>
        <v>Ongoing</v>
      </c>
      <c r="AH94" s="102"/>
      <c r="AI94" s="105"/>
      <c r="AJ94" s="105"/>
      <c r="AK94" s="105"/>
      <c r="AL94" s="105"/>
      <c r="AM94" s="105"/>
      <c r="AN94" s="105"/>
      <c r="AO94" s="105"/>
      <c r="AP94" s="654"/>
      <c r="AQ94" s="654"/>
    </row>
    <row r="95" spans="1:43" ht="15.75" customHeight="1">
      <c r="A95" s="96"/>
      <c r="B95" s="96"/>
      <c r="C95" s="96"/>
      <c r="D95" s="96"/>
      <c r="E95" s="96"/>
      <c r="F95" s="96"/>
      <c r="G95" s="96"/>
      <c r="H95" s="92"/>
      <c r="I95" s="666" t="str">
        <f>IF(Data!A125="","",Data!A125)</f>
        <v/>
      </c>
      <c r="J95" s="667"/>
      <c r="K95" s="437" t="str">
        <f>IF(Data!E125="","",Data!E125)</f>
        <v/>
      </c>
      <c r="L95" s="133" t="str">
        <f>IF(Data!F125="","",Data!F125)</f>
        <v/>
      </c>
      <c r="M95" s="133" t="str">
        <f>IF(Data!G125="","",Data!G125)</f>
        <v/>
      </c>
      <c r="N95" s="133" t="str">
        <f>IF(Data!H125="","",Data!H125)</f>
        <v/>
      </c>
      <c r="O95" s="133" t="str">
        <f>IF(Data!I125="","",Data!I125)</f>
        <v/>
      </c>
      <c r="P95" s="652"/>
      <c r="Q95" s="652"/>
      <c r="R95" s="144"/>
      <c r="S95" s="39"/>
      <c r="T95" s="39"/>
      <c r="U95" s="39"/>
      <c r="V95" s="39"/>
      <c r="W95" s="39"/>
      <c r="X95" s="39"/>
      <c r="Y95" s="39"/>
      <c r="Z95" s="106"/>
      <c r="AA95" s="128" t="str">
        <f>IF(Data!A397="","",Data!A397)</f>
        <v>SCHOOL</v>
      </c>
      <c r="AB95" s="528" t="str">
        <f>IF(Data!B397="","",Data!B397)</f>
        <v>MVS ERUF (Emergency Response Unit Force)</v>
      </c>
      <c r="AC95" s="465"/>
      <c r="AD95" s="466"/>
      <c r="AE95" s="300" t="str">
        <f>IF(Data!F397="","",Data!F397)</f>
        <v/>
      </c>
      <c r="AF95" s="301" t="str">
        <f>IF(Data!G397="","",Data!G397)</f>
        <v>Others</v>
      </c>
      <c r="AG95" s="95" t="str">
        <f>IF(Data!H397="","",Data!H397)</f>
        <v>Ongoing</v>
      </c>
      <c r="AH95" s="102"/>
      <c r="AI95" s="105"/>
      <c r="AJ95" s="105"/>
      <c r="AK95" s="105"/>
      <c r="AL95" s="105"/>
      <c r="AM95" s="105"/>
      <c r="AN95" s="105"/>
      <c r="AO95" s="105"/>
      <c r="AP95" s="654"/>
      <c r="AQ95" s="654"/>
    </row>
    <row r="96" spans="1:43" ht="15.75" customHeight="1" thickBot="1">
      <c r="A96" s="96"/>
      <c r="B96" s="96"/>
      <c r="C96" s="96"/>
      <c r="D96" s="96"/>
      <c r="E96" s="96"/>
      <c r="F96" s="96"/>
      <c r="G96" s="96"/>
      <c r="H96" s="92"/>
      <c r="I96" s="666" t="str">
        <f>IF(Data!A126="","",Data!A126)</f>
        <v/>
      </c>
      <c r="J96" s="667"/>
      <c r="K96" s="437" t="str">
        <f>IF(Data!E126="","",Data!E126)</f>
        <v/>
      </c>
      <c r="L96" s="133" t="str">
        <f>IF(Data!F126="","",Data!F126)</f>
        <v/>
      </c>
      <c r="M96" s="133" t="str">
        <f>IF(Data!G126="","",Data!G126)</f>
        <v/>
      </c>
      <c r="N96" s="133" t="str">
        <f>IF(Data!H126="","",Data!H126)</f>
        <v/>
      </c>
      <c r="O96" s="133" t="str">
        <f>IF(Data!I126="","",Data!I126)</f>
        <v/>
      </c>
      <c r="P96" s="652"/>
      <c r="Q96" s="652"/>
      <c r="R96" s="144"/>
      <c r="S96" s="39"/>
      <c r="T96" s="39"/>
      <c r="U96" s="39"/>
      <c r="V96" s="39"/>
      <c r="W96" s="39"/>
      <c r="X96" s="39"/>
      <c r="Y96" s="39"/>
      <c r="Z96" s="106"/>
      <c r="AA96" s="39"/>
      <c r="AB96" s="39"/>
      <c r="AC96" s="39"/>
      <c r="AD96" s="39"/>
      <c r="AE96" s="554" t="str">
        <f>IF(Helper!N620="","",INDEX(Helper!N620:N639,MATCH(Home!$O$1,Helper!A620:A639,0)))</f>
        <v>For the current year, the school proposed 14 major projects as included in the AIP. There are 2 projects completed and 12 projects which are still in proposed, ongoing or cancelled status. The total percentage of accomplishment for the completed projects is 14.29 percent.</v>
      </c>
      <c r="AF96" s="554"/>
      <c r="AG96" s="554"/>
      <c r="AH96" s="102"/>
      <c r="AI96" s="105"/>
      <c r="AJ96" s="105"/>
      <c r="AK96" s="105"/>
      <c r="AL96" s="105"/>
      <c r="AM96" s="105"/>
      <c r="AN96" s="105"/>
      <c r="AO96" s="105"/>
      <c r="AP96" s="654"/>
      <c r="AQ96" s="654"/>
    </row>
    <row r="97" spans="1:43" ht="15.75" customHeight="1">
      <c r="A97" s="668" t="str">
        <f>SRC!$B$292</f>
        <v>General Appropriations Act (School MOOE)</v>
      </c>
      <c r="B97" s="668"/>
      <c r="C97" s="668"/>
      <c r="D97" s="668"/>
      <c r="E97" s="668"/>
      <c r="F97" s="665">
        <f>IF(Helper!$A$48="","",Helper!$A$48)</f>
        <v>104000</v>
      </c>
      <c r="G97" s="665"/>
      <c r="H97" s="92"/>
      <c r="I97" s="666" t="str">
        <f>IF(Data!A127="","",Data!A127)</f>
        <v/>
      </c>
      <c r="J97" s="667"/>
      <c r="K97" s="437" t="str">
        <f>IF(Data!E127="","",Data!E127)</f>
        <v/>
      </c>
      <c r="L97" s="133" t="str">
        <f>IF(Data!F127="","",Data!F127)</f>
        <v/>
      </c>
      <c r="M97" s="133" t="str">
        <f>IF(Data!G127="","",Data!G127)</f>
        <v/>
      </c>
      <c r="N97" s="133" t="str">
        <f>IF(Data!H127="","",Data!H127)</f>
        <v/>
      </c>
      <c r="O97" s="133" t="str">
        <f>IF(Data!I127="","",Data!I127)</f>
        <v/>
      </c>
      <c r="P97" s="652"/>
      <c r="Q97" s="652"/>
      <c r="R97" s="144"/>
      <c r="S97" s="39"/>
      <c r="T97" s="39"/>
      <c r="U97" s="39"/>
      <c r="V97" s="39"/>
      <c r="W97" s="39"/>
      <c r="X97" s="39"/>
      <c r="Y97" s="39"/>
      <c r="Z97" s="106"/>
      <c r="AA97" s="39"/>
      <c r="AB97" s="39"/>
      <c r="AC97" s="39"/>
      <c r="AD97" s="39"/>
      <c r="AE97" s="554"/>
      <c r="AF97" s="554"/>
      <c r="AG97" s="554"/>
      <c r="AH97" s="102"/>
      <c r="AI97" s="105"/>
      <c r="AJ97" s="105"/>
      <c r="AK97" s="105"/>
      <c r="AL97" s="105"/>
      <c r="AM97" s="105"/>
      <c r="AN97" s="105"/>
      <c r="AO97" s="105"/>
      <c r="AP97" s="654"/>
      <c r="AQ97" s="654"/>
    </row>
    <row r="98" spans="1:43" ht="15.75" customHeight="1">
      <c r="A98" s="661" t="str">
        <f>SRC!$B$293</f>
        <v>General Appropriations Act (Subsidy for Special Programs)</v>
      </c>
      <c r="B98" s="661"/>
      <c r="C98" s="661"/>
      <c r="D98" s="661"/>
      <c r="E98" s="661"/>
      <c r="F98" s="662">
        <f>IF(Helper!$B$48="","",Helper!$B$48)</f>
        <v>0</v>
      </c>
      <c r="G98" s="662"/>
      <c r="H98" s="92"/>
      <c r="I98" s="666" t="str">
        <f>IF(Data!A128="","",Data!A128)</f>
        <v/>
      </c>
      <c r="J98" s="667"/>
      <c r="K98" s="437" t="str">
        <f>IF(Data!E128="","",Data!E128)</f>
        <v/>
      </c>
      <c r="L98" s="133" t="str">
        <f>IF(Data!F128="","",Data!F128)</f>
        <v/>
      </c>
      <c r="M98" s="133" t="str">
        <f>IF(Data!G128="","",Data!G128)</f>
        <v/>
      </c>
      <c r="N98" s="133" t="str">
        <f>IF(Data!H128="","",Data!H128)</f>
        <v/>
      </c>
      <c r="O98" s="133" t="str">
        <f>IF(Data!I128="","",Data!I128)</f>
        <v/>
      </c>
      <c r="P98" s="652"/>
      <c r="Q98" s="652"/>
      <c r="R98" s="144"/>
      <c r="S98" s="39"/>
      <c r="T98" s="39"/>
      <c r="U98" s="39"/>
      <c r="V98" s="39"/>
      <c r="W98" s="39"/>
      <c r="X98" s="39"/>
      <c r="Y98" s="39"/>
      <c r="Z98" s="106"/>
      <c r="AA98" s="39"/>
      <c r="AB98" s="39"/>
      <c r="AC98" s="39"/>
      <c r="AD98" s="39"/>
      <c r="AE98" s="554"/>
      <c r="AF98" s="554"/>
      <c r="AG98" s="554"/>
      <c r="AH98" s="102"/>
      <c r="AI98" s="105"/>
      <c r="AJ98" s="105"/>
      <c r="AK98" s="105"/>
      <c r="AL98" s="105"/>
      <c r="AM98" s="105"/>
      <c r="AN98" s="105"/>
      <c r="AO98" s="105"/>
      <c r="AP98" s="654"/>
      <c r="AQ98" s="654"/>
    </row>
    <row r="99" spans="1:43" ht="15.75" customHeight="1">
      <c r="A99" s="661" t="str">
        <f>SRC!$B$294</f>
        <v>Local Government Unit funds</v>
      </c>
      <c r="B99" s="661"/>
      <c r="C99" s="661"/>
      <c r="D99" s="661"/>
      <c r="E99" s="661"/>
      <c r="F99" s="662">
        <f>IF(Helper!$C$48="","",Helper!$C$48)</f>
        <v>147000</v>
      </c>
      <c r="G99" s="662"/>
      <c r="H99" s="92"/>
      <c r="I99" s="666" t="str">
        <f>IF(Data!A129="","",Data!A129)</f>
        <v/>
      </c>
      <c r="J99" s="667"/>
      <c r="K99" s="437" t="str">
        <f>IF(Data!E129="","",Data!E129)</f>
        <v/>
      </c>
      <c r="L99" s="133" t="str">
        <f>IF(Data!F129="","",Data!F129)</f>
        <v/>
      </c>
      <c r="M99" s="133" t="str">
        <f>IF(Data!G129="","",Data!G129)</f>
        <v/>
      </c>
      <c r="N99" s="133" t="str">
        <f>IF(Data!H129="","",Data!H129)</f>
        <v/>
      </c>
      <c r="O99" s="133" t="str">
        <f>IF(Data!I129="","",Data!I129)</f>
        <v/>
      </c>
      <c r="P99" s="652"/>
      <c r="Q99" s="652"/>
      <c r="R99" s="144"/>
      <c r="S99" s="39"/>
      <c r="T99" s="39"/>
      <c r="U99" s="39"/>
      <c r="V99" s="39"/>
      <c r="W99" s="39"/>
      <c r="X99" s="39"/>
      <c r="Y99" s="39"/>
      <c r="Z99" s="106"/>
      <c r="AA99" s="39"/>
      <c r="AB99" s="39"/>
      <c r="AC99" s="39"/>
      <c r="AD99" s="39"/>
      <c r="AE99" s="554"/>
      <c r="AF99" s="554"/>
      <c r="AG99" s="554"/>
      <c r="AH99" s="102"/>
      <c r="AI99" s="105"/>
      <c r="AJ99" s="105"/>
      <c r="AK99" s="105"/>
      <c r="AL99" s="105"/>
      <c r="AM99" s="105"/>
      <c r="AN99" s="105"/>
      <c r="AO99" s="105"/>
      <c r="AP99" s="654"/>
      <c r="AQ99" s="654"/>
    </row>
    <row r="100" spans="1:43" ht="15.75" customHeight="1">
      <c r="A100" s="661" t="str">
        <f>SRC!$B$295</f>
        <v>Canteen funds</v>
      </c>
      <c r="B100" s="661"/>
      <c r="C100" s="661"/>
      <c r="D100" s="661"/>
      <c r="E100" s="661"/>
      <c r="F100" s="662">
        <f>IF(Helper!$D$48="","",Helper!$D$48)</f>
        <v>10000</v>
      </c>
      <c r="G100" s="662"/>
      <c r="H100" s="92"/>
      <c r="I100" s="666" t="str">
        <f>IF(Data!A130="","",Data!A130)</f>
        <v/>
      </c>
      <c r="J100" s="667"/>
      <c r="K100" s="437" t="str">
        <f>IF(Data!E130="","",Data!E130)</f>
        <v/>
      </c>
      <c r="L100" s="133" t="str">
        <f>IF(Data!F130="","",Data!F130)</f>
        <v/>
      </c>
      <c r="M100" s="133" t="str">
        <f>IF(Data!G130="","",Data!G130)</f>
        <v/>
      </c>
      <c r="N100" s="133" t="str">
        <f>IF(Data!H130="","",Data!H130)</f>
        <v/>
      </c>
      <c r="O100" s="133" t="str">
        <f>IF(Data!I130="","",Data!I130)</f>
        <v/>
      </c>
      <c r="P100" s="652"/>
      <c r="Q100" s="652"/>
      <c r="R100" s="144"/>
      <c r="S100" s="39"/>
      <c r="T100" s="39"/>
      <c r="U100" s="39"/>
      <c r="V100" s="39"/>
      <c r="W100" s="39"/>
      <c r="X100" s="39"/>
      <c r="Y100" s="39"/>
      <c r="Z100" s="106"/>
      <c r="AA100" s="39"/>
      <c r="AB100" s="39"/>
      <c r="AC100" s="39"/>
      <c r="AD100" s="39"/>
      <c r="AE100" s="554"/>
      <c r="AF100" s="554"/>
      <c r="AG100" s="554"/>
      <c r="AH100" s="102"/>
      <c r="AI100" s="653" t="str">
        <f>IF(Helper!$X$620="","",INDEX(Helper!$X$620:$X$624,MATCH(Home!$O$1,Helper!$A$620:$A$624,0)))</f>
        <v>12 projects which are still in proposed, ongoing or cancelled status. The total percentage of accomplishment for the completed projects is 14percent.  For the current year, the school proposed 14 major projects as included in the AIP. There are 2 projects completed and 12 projects which are still in proposed, ongoing or cancelled status. The total percentage of accomplishment for the completed projects is 14.29 percent.        0</v>
      </c>
      <c r="AJ100" s="653"/>
      <c r="AK100" s="653"/>
      <c r="AL100" s="653"/>
      <c r="AM100" s="653"/>
      <c r="AN100" s="105"/>
      <c r="AO100" s="105"/>
      <c r="AP100" s="654"/>
      <c r="AQ100" s="654"/>
    </row>
    <row r="101" spans="1:43" ht="15.75" customHeight="1" thickBot="1">
      <c r="A101" s="661" t="str">
        <f>SRC!$B$296</f>
        <v>Donations</v>
      </c>
      <c r="B101" s="661"/>
      <c r="C101" s="661"/>
      <c r="D101" s="661"/>
      <c r="E101" s="661"/>
      <c r="F101" s="662">
        <f>IF(Helper!$E$48="","",Helper!$E$48)</f>
        <v>278713</v>
      </c>
      <c r="G101" s="662"/>
      <c r="H101" s="92"/>
      <c r="I101" s="666" t="str">
        <f>IF(Data!A131="","",Data!A131)</f>
        <v/>
      </c>
      <c r="J101" s="667"/>
      <c r="K101" s="437" t="str">
        <f>IF(Data!E131="","",Data!E131)</f>
        <v/>
      </c>
      <c r="L101" s="133" t="str">
        <f>IF(Data!F131="","",Data!F131)</f>
        <v/>
      </c>
      <c r="M101" s="133" t="str">
        <f>IF(Data!G131="","",Data!G131)</f>
        <v/>
      </c>
      <c r="N101" s="133" t="str">
        <f>IF(Data!H131="","",Data!H131)</f>
        <v/>
      </c>
      <c r="O101" s="133" t="str">
        <f>IF(Data!I131="","",Data!I131)</f>
        <v/>
      </c>
      <c r="P101" s="652"/>
      <c r="Q101" s="652"/>
      <c r="R101" s="134"/>
      <c r="S101" s="129"/>
      <c r="T101" s="129"/>
      <c r="U101" s="129"/>
      <c r="V101" s="129"/>
      <c r="W101" s="129"/>
      <c r="X101" s="129"/>
      <c r="Y101" s="129"/>
      <c r="Z101" s="132"/>
      <c r="AA101" s="39"/>
      <c r="AB101" s="39"/>
      <c r="AC101" s="39"/>
      <c r="AD101" s="39"/>
      <c r="AE101" s="554"/>
      <c r="AF101" s="554"/>
      <c r="AG101" s="554"/>
      <c r="AH101" s="102"/>
      <c r="AI101" s="653"/>
      <c r="AJ101" s="653"/>
      <c r="AK101" s="653"/>
      <c r="AL101" s="653"/>
      <c r="AM101" s="653"/>
      <c r="AN101" s="105"/>
      <c r="AO101" s="105"/>
      <c r="AP101" s="654"/>
      <c r="AQ101" s="654"/>
    </row>
    <row r="102" spans="1:43" ht="15.75" customHeight="1">
      <c r="A102" s="661" t="str">
        <f>SRC!$B$297</f>
        <v>Others</v>
      </c>
      <c r="B102" s="661"/>
      <c r="C102" s="661"/>
      <c r="D102" s="661"/>
      <c r="E102" s="661"/>
      <c r="F102" s="662">
        <f>IF(Helper!$F$48="","",Helper!$F$48)</f>
        <v>106131</v>
      </c>
      <c r="G102" s="662"/>
      <c r="H102" s="92"/>
      <c r="I102" s="666" t="str">
        <f>IF(Data!A132="","",Data!A132)</f>
        <v/>
      </c>
      <c r="J102" s="667"/>
      <c r="K102" s="437" t="str">
        <f>IF(Data!E132="","",Data!E132)</f>
        <v/>
      </c>
      <c r="L102" s="133" t="str">
        <f>IF(Data!F132="","",Data!F132)</f>
        <v/>
      </c>
      <c r="M102" s="133" t="str">
        <f>IF(Data!G132="","",Data!G132)</f>
        <v/>
      </c>
      <c r="N102" s="133" t="str">
        <f>IF(Data!H132="","",Data!H132)</f>
        <v/>
      </c>
      <c r="O102" s="133" t="str">
        <f>IF(Data!I132="","",Data!I132)</f>
        <v/>
      </c>
      <c r="P102" s="652"/>
      <c r="Q102" s="652"/>
      <c r="R102" s="547" t="str">
        <f>IF(Data!$P$11="","",UPPER(Data!$P$11))</f>
        <v>JUNRIL S. OBEDA</v>
      </c>
      <c r="S102" s="547"/>
      <c r="T102" s="547"/>
      <c r="U102" s="547"/>
      <c r="V102" s="135"/>
      <c r="W102" s="604" t="str">
        <f>IF(Data!$P$10="","",UPPER(Data!$P$10))</f>
        <v>DIVINA B. SANCHEZ</v>
      </c>
      <c r="X102" s="604"/>
      <c r="Y102" s="604"/>
      <c r="Z102" s="605"/>
      <c r="AA102" s="39"/>
      <c r="AB102" s="39"/>
      <c r="AC102" s="39"/>
      <c r="AD102" s="39"/>
      <c r="AE102" s="554"/>
      <c r="AF102" s="554"/>
      <c r="AG102" s="554"/>
      <c r="AH102" s="102"/>
      <c r="AI102" s="653"/>
      <c r="AJ102" s="653"/>
      <c r="AK102" s="653"/>
      <c r="AL102" s="653"/>
      <c r="AM102" s="653"/>
      <c r="AN102" s="105"/>
      <c r="AO102" s="105"/>
      <c r="AP102" s="654"/>
      <c r="AQ102" s="654"/>
    </row>
    <row r="103" spans="1:43" ht="15.75" customHeight="1" thickBot="1">
      <c r="A103" s="671" t="s">
        <v>18</v>
      </c>
      <c r="B103" s="671"/>
      <c r="C103" s="671"/>
      <c r="D103" s="671"/>
      <c r="E103" s="671"/>
      <c r="F103" s="672">
        <f>IF(SUM(F97:G102)&lt;1,"",SUM(F97:G102))</f>
        <v>645844</v>
      </c>
      <c r="G103" s="672"/>
      <c r="H103" s="92"/>
      <c r="I103" s="666" t="str">
        <f>IF(Data!A133="","",Data!A133)</f>
        <v/>
      </c>
      <c r="J103" s="667"/>
      <c r="K103" s="437" t="str">
        <f>IF(Data!E133="","",Data!E133)</f>
        <v/>
      </c>
      <c r="L103" s="133" t="str">
        <f>IF(Data!F133="","",Data!F133)</f>
        <v/>
      </c>
      <c r="M103" s="133" t="str">
        <f>IF(Data!G133="","",Data!G133)</f>
        <v/>
      </c>
      <c r="N103" s="133" t="str">
        <f>IF(Data!H133="","",Data!H133)</f>
        <v/>
      </c>
      <c r="O103" s="133" t="str">
        <f>IF(Data!I133="","",Data!I133)</f>
        <v/>
      </c>
      <c r="P103" s="652"/>
      <c r="Q103" s="652"/>
      <c r="R103" s="606" t="str">
        <f>Data!$M$11</f>
        <v>Student Representative</v>
      </c>
      <c r="S103" s="606"/>
      <c r="T103" s="606"/>
      <c r="U103" s="606"/>
      <c r="V103" s="136"/>
      <c r="W103" s="606" t="str">
        <f>Data!$M$10</f>
        <v>Teacher Representative</v>
      </c>
      <c r="X103" s="606"/>
      <c r="Y103" s="606"/>
      <c r="Z103" s="608"/>
      <c r="AA103" s="39"/>
      <c r="AB103" s="39"/>
      <c r="AC103" s="39"/>
      <c r="AD103" s="39"/>
      <c r="AE103" s="554"/>
      <c r="AF103" s="554"/>
      <c r="AG103" s="554"/>
      <c r="AH103" s="102"/>
      <c r="AI103" s="653"/>
      <c r="AJ103" s="653"/>
      <c r="AK103" s="653"/>
      <c r="AL103" s="653"/>
      <c r="AM103" s="653"/>
      <c r="AN103" s="105"/>
      <c r="AO103" s="105"/>
      <c r="AP103" s="654"/>
      <c r="AQ103" s="654"/>
    </row>
    <row r="104" spans="1:43" ht="15.75" customHeight="1">
      <c r="A104" s="429"/>
      <c r="B104" s="429"/>
      <c r="C104" s="429"/>
      <c r="D104" s="429"/>
      <c r="E104" s="429"/>
      <c r="F104" s="429"/>
      <c r="G104" s="429"/>
      <c r="H104" s="92"/>
      <c r="I104" s="666" t="str">
        <f>IF(Data!A134="","",Data!A134)</f>
        <v/>
      </c>
      <c r="J104" s="667"/>
      <c r="K104" s="437" t="str">
        <f>IF(Data!E134="","",Data!E134)</f>
        <v/>
      </c>
      <c r="L104" s="133" t="str">
        <f>IF(Data!F134="","",Data!F134)</f>
        <v/>
      </c>
      <c r="M104" s="133" t="str">
        <f>IF(Data!G134="","",Data!G134)</f>
        <v/>
      </c>
      <c r="N104" s="133" t="str">
        <f>IF(Data!H134="","",Data!H134)</f>
        <v/>
      </c>
      <c r="O104" s="133" t="str">
        <f>IF(Data!I134="","",Data!I134)</f>
        <v/>
      </c>
      <c r="P104" s="652"/>
      <c r="Q104" s="652"/>
      <c r="R104" s="129"/>
      <c r="S104" s="129"/>
      <c r="T104" s="129"/>
      <c r="U104" s="129"/>
      <c r="V104" s="137"/>
      <c r="W104" s="129"/>
      <c r="X104" s="129"/>
      <c r="Y104" s="129"/>
      <c r="Z104" s="131"/>
      <c r="AA104" s="39"/>
      <c r="AB104" s="39"/>
      <c r="AC104" s="39"/>
      <c r="AD104" s="39"/>
      <c r="AE104" s="554"/>
      <c r="AF104" s="554"/>
      <c r="AG104" s="554"/>
      <c r="AH104" s="102"/>
      <c r="AI104" s="653"/>
      <c r="AJ104" s="653"/>
      <c r="AK104" s="653"/>
      <c r="AL104" s="653"/>
      <c r="AM104" s="653"/>
      <c r="AN104" s="105"/>
      <c r="AO104" s="105"/>
      <c r="AP104" s="654"/>
      <c r="AQ104" s="654"/>
    </row>
    <row r="105" spans="1:43" ht="15.75" customHeight="1">
      <c r="A105" s="566" t="str">
        <f>INDEX(Helper!$P$326:$P$330,MATCH(Home!$O$1,Helper!$A$326:$A$330,0))</f>
        <v>The biggest source of school funding came from the Donations amounting to Php 278,713.00 or 43.15 percent of the total fund source. Other sources are Local Government Unit funds, Others, General Appropriations Act (School MOOE), Canteen funds and General Appropriations Act (Subsidy for Special Programs).</v>
      </c>
      <c r="B105" s="566"/>
      <c r="C105" s="566"/>
      <c r="D105" s="566"/>
      <c r="E105" s="566"/>
      <c r="F105" s="566"/>
      <c r="G105" s="566"/>
      <c r="H105" s="92"/>
      <c r="I105" s="666" t="str">
        <f>IF(Data!A135="","",Data!A135)</f>
        <v/>
      </c>
      <c r="J105" s="667"/>
      <c r="K105" s="437" t="str">
        <f>IF(Data!E135="","",Data!E135)</f>
        <v/>
      </c>
      <c r="L105" s="133" t="str">
        <f>IF(Data!F135="","",Data!F135)</f>
        <v/>
      </c>
      <c r="M105" s="133" t="str">
        <f>IF(Data!G135="","",Data!G135)</f>
        <v/>
      </c>
      <c r="N105" s="133" t="str">
        <f>IF(Data!H135="","",Data!H135)</f>
        <v/>
      </c>
      <c r="O105" s="133" t="str">
        <f>IF(Data!I135="","",Data!I135)</f>
        <v/>
      </c>
      <c r="P105" s="652"/>
      <c r="Q105" s="652"/>
      <c r="R105" s="129"/>
      <c r="S105" s="129"/>
      <c r="T105" s="129"/>
      <c r="U105" s="129"/>
      <c r="V105" s="137"/>
      <c r="W105" s="129"/>
      <c r="X105" s="129"/>
      <c r="Y105" s="129"/>
      <c r="Z105" s="131"/>
      <c r="AA105" s="39"/>
      <c r="AB105" s="39"/>
      <c r="AC105" s="39"/>
      <c r="AD105" s="39"/>
      <c r="AE105" s="554"/>
      <c r="AF105" s="554"/>
      <c r="AG105" s="554"/>
      <c r="AH105" s="102"/>
      <c r="AI105" s="653"/>
      <c r="AJ105" s="653"/>
      <c r="AK105" s="653"/>
      <c r="AL105" s="653"/>
      <c r="AM105" s="653"/>
      <c r="AN105" s="105"/>
      <c r="AO105" s="105"/>
      <c r="AP105" s="654"/>
      <c r="AQ105" s="654"/>
    </row>
    <row r="106" spans="1:43" ht="15.75" customHeight="1">
      <c r="A106" s="566"/>
      <c r="B106" s="566"/>
      <c r="C106" s="566"/>
      <c r="D106" s="566"/>
      <c r="E106" s="566"/>
      <c r="F106" s="566"/>
      <c r="G106" s="566"/>
      <c r="H106" s="92"/>
      <c r="I106" s="666" t="str">
        <f>IF(Data!A136="","",Data!A136)</f>
        <v/>
      </c>
      <c r="J106" s="667"/>
      <c r="K106" s="437" t="str">
        <f>IF(Data!E136="","",Data!E136)</f>
        <v/>
      </c>
      <c r="L106" s="133" t="str">
        <f>IF(Data!F136="","",Data!F136)</f>
        <v/>
      </c>
      <c r="M106" s="133" t="str">
        <f>IF(Data!G136="","",Data!G136)</f>
        <v/>
      </c>
      <c r="N106" s="133" t="str">
        <f>IF(Data!H136="","",Data!H136)</f>
        <v/>
      </c>
      <c r="O106" s="133" t="str">
        <f>IF(Data!I136="","",Data!I136)</f>
        <v/>
      </c>
      <c r="P106" s="652"/>
      <c r="Q106" s="652"/>
      <c r="R106" s="547" t="str">
        <f>IF(Data!$P$9="","",UPPER(Data!$P$9))</f>
        <v>LIDA L. CABARDO</v>
      </c>
      <c r="S106" s="547"/>
      <c r="T106" s="547"/>
      <c r="U106" s="547"/>
      <c r="V106" s="135"/>
      <c r="W106" s="547" t="str">
        <f>IF(Data!$P$8="","",UPPER(Data!$P$8))</f>
        <v>RAUL G. ITCHON</v>
      </c>
      <c r="X106" s="547"/>
      <c r="Y106" s="547"/>
      <c r="Z106" s="610"/>
      <c r="AA106" s="39"/>
      <c r="AB106" s="39"/>
      <c r="AC106" s="39"/>
      <c r="AD106" s="39"/>
      <c r="AE106" s="554"/>
      <c r="AF106" s="554"/>
      <c r="AG106" s="554"/>
      <c r="AH106" s="102"/>
      <c r="AI106" s="653"/>
      <c r="AJ106" s="653"/>
      <c r="AK106" s="653"/>
      <c r="AL106" s="653"/>
      <c r="AM106" s="653"/>
      <c r="AN106" s="108"/>
      <c r="AO106" s="108"/>
      <c r="AP106" s="654"/>
      <c r="AQ106" s="654"/>
    </row>
    <row r="107" spans="1:43" ht="15.75" customHeight="1" thickBot="1">
      <c r="A107" s="566"/>
      <c r="B107" s="566"/>
      <c r="C107" s="566"/>
      <c r="D107" s="566"/>
      <c r="E107" s="566"/>
      <c r="F107" s="566"/>
      <c r="G107" s="566"/>
      <c r="H107" s="92"/>
      <c r="I107" s="96"/>
      <c r="J107" s="96"/>
      <c r="K107" s="96"/>
      <c r="L107" s="109"/>
      <c r="M107" s="109"/>
      <c r="N107" s="109"/>
      <c r="O107" s="109"/>
      <c r="P107" s="652"/>
      <c r="Q107" s="652"/>
      <c r="R107" s="606" t="str">
        <f>Data!$M$9</f>
        <v>PTA President</v>
      </c>
      <c r="S107" s="606"/>
      <c r="T107" s="606"/>
      <c r="U107" s="606"/>
      <c r="V107" s="136"/>
      <c r="W107" s="612" t="str">
        <f>Data!$M$8</f>
        <v>SGC Chair</v>
      </c>
      <c r="X107" s="612"/>
      <c r="Y107" s="612"/>
      <c r="Z107" s="613"/>
      <c r="AA107" s="39"/>
      <c r="AB107" s="39"/>
      <c r="AC107" s="39"/>
      <c r="AD107" s="39"/>
      <c r="AE107" s="554"/>
      <c r="AF107" s="554"/>
      <c r="AG107" s="554"/>
      <c r="AH107" s="102"/>
      <c r="AI107" s="653"/>
      <c r="AJ107" s="653"/>
      <c r="AK107" s="653"/>
      <c r="AL107" s="653"/>
      <c r="AM107" s="653"/>
      <c r="AN107" s="108"/>
      <c r="AO107" s="108"/>
      <c r="AP107" s="654"/>
      <c r="AQ107" s="654"/>
    </row>
    <row r="108" spans="1:43" ht="15.75" customHeight="1">
      <c r="A108" s="566"/>
      <c r="B108" s="566"/>
      <c r="C108" s="566"/>
      <c r="D108" s="566"/>
      <c r="E108" s="566"/>
      <c r="F108" s="566"/>
      <c r="G108" s="566"/>
      <c r="H108" s="92"/>
      <c r="I108" s="96"/>
      <c r="J108" s="96"/>
      <c r="K108" s="96"/>
      <c r="L108" s="110"/>
      <c r="M108" s="110"/>
      <c r="N108" s="110"/>
      <c r="O108" s="110"/>
      <c r="P108" s="652"/>
      <c r="Q108" s="652"/>
      <c r="R108" s="134"/>
      <c r="S108" s="129"/>
      <c r="T108" s="129"/>
      <c r="U108" s="129"/>
      <c r="V108" s="129"/>
      <c r="W108" s="129"/>
      <c r="X108" s="129"/>
      <c r="Y108" s="129"/>
      <c r="Z108" s="132"/>
      <c r="AA108" s="39"/>
      <c r="AB108" s="39"/>
      <c r="AC108" s="39"/>
      <c r="AD108" s="39"/>
      <c r="AE108" s="554"/>
      <c r="AF108" s="554"/>
      <c r="AG108" s="554"/>
      <c r="AH108" s="102"/>
      <c r="AI108" s="653"/>
      <c r="AJ108" s="653"/>
      <c r="AK108" s="653"/>
      <c r="AL108" s="653"/>
      <c r="AM108" s="653"/>
      <c r="AN108" s="108"/>
      <c r="AO108" s="108"/>
      <c r="AP108" s="654"/>
      <c r="AQ108" s="654"/>
    </row>
    <row r="109" spans="1:43" ht="15.75" customHeight="1">
      <c r="A109" s="566"/>
      <c r="B109" s="566"/>
      <c r="C109" s="566"/>
      <c r="D109" s="566"/>
      <c r="E109" s="566"/>
      <c r="F109" s="566"/>
      <c r="G109" s="566"/>
      <c r="H109" s="92"/>
      <c r="I109" s="96"/>
      <c r="J109" s="96"/>
      <c r="K109" s="96"/>
      <c r="L109" s="110"/>
      <c r="M109" s="110"/>
      <c r="N109" s="110"/>
      <c r="O109" s="110"/>
      <c r="P109" s="652"/>
      <c r="Q109" s="652"/>
      <c r="R109" s="134"/>
      <c r="S109" s="129"/>
      <c r="T109" s="614"/>
      <c r="U109" s="614"/>
      <c r="V109" s="614"/>
      <c r="W109" s="614"/>
      <c r="X109" s="614"/>
      <c r="Y109" s="614"/>
      <c r="Z109" s="132"/>
      <c r="AA109" s="39"/>
      <c r="AB109" s="39"/>
      <c r="AC109" s="39"/>
      <c r="AD109" s="39"/>
      <c r="AE109" s="554"/>
      <c r="AF109" s="554"/>
      <c r="AG109" s="554"/>
      <c r="AH109" s="102"/>
      <c r="AI109" s="653"/>
      <c r="AJ109" s="653"/>
      <c r="AK109" s="653"/>
      <c r="AL109" s="653"/>
      <c r="AM109" s="653"/>
      <c r="AN109" s="108"/>
      <c r="AO109" s="108"/>
      <c r="AP109" s="654"/>
      <c r="AQ109" s="654"/>
    </row>
    <row r="110" spans="1:43" ht="15.75" customHeight="1">
      <c r="A110" s="566"/>
      <c r="B110" s="566"/>
      <c r="C110" s="566"/>
      <c r="D110" s="566"/>
      <c r="E110" s="566"/>
      <c r="F110" s="566"/>
      <c r="G110" s="566"/>
      <c r="H110" s="92"/>
      <c r="I110" s="96"/>
      <c r="J110" s="96"/>
      <c r="K110" s="96"/>
      <c r="L110" s="110"/>
      <c r="M110" s="110"/>
      <c r="N110" s="110"/>
      <c r="O110" s="110"/>
      <c r="P110" s="652"/>
      <c r="Q110" s="652"/>
      <c r="R110" s="134"/>
      <c r="S110" s="129"/>
      <c r="T110" s="615" t="str">
        <f>IF(Data!$P$7="","",UPPER(Data!$P$7))</f>
        <v>FRANCISCO B. LATORRE</v>
      </c>
      <c r="U110" s="615"/>
      <c r="V110" s="615"/>
      <c r="W110" s="615"/>
      <c r="X110" s="615"/>
      <c r="Y110" s="138"/>
      <c r="Z110" s="132"/>
      <c r="AA110" s="39"/>
      <c r="AB110" s="39"/>
      <c r="AC110" s="39"/>
      <c r="AD110" s="39"/>
      <c r="AE110" s="554"/>
      <c r="AF110" s="554"/>
      <c r="AG110" s="554"/>
      <c r="AH110" s="102"/>
      <c r="AI110" s="653"/>
      <c r="AJ110" s="653"/>
      <c r="AK110" s="653"/>
      <c r="AL110" s="653"/>
      <c r="AM110" s="653"/>
      <c r="AN110" s="108"/>
      <c r="AO110" s="108"/>
      <c r="AP110" s="654"/>
      <c r="AQ110" s="654"/>
    </row>
    <row r="111" spans="1:43" ht="15.75" customHeight="1" thickBot="1">
      <c r="A111" s="569"/>
      <c r="B111" s="569"/>
      <c r="C111" s="569"/>
      <c r="D111" s="569"/>
      <c r="E111" s="569"/>
      <c r="F111" s="569"/>
      <c r="G111" s="569"/>
      <c r="H111" s="92"/>
      <c r="I111" s="96"/>
      <c r="J111" s="96"/>
      <c r="K111" s="96"/>
      <c r="L111" s="110"/>
      <c r="M111" s="110"/>
      <c r="N111" s="110"/>
      <c r="O111" s="110"/>
      <c r="P111" s="652"/>
      <c r="Q111" s="652"/>
      <c r="R111" s="134"/>
      <c r="S111" s="129"/>
      <c r="T111" s="660" t="str">
        <f>Data!$M$7</f>
        <v>School Head</v>
      </c>
      <c r="U111" s="660"/>
      <c r="V111" s="660"/>
      <c r="W111" s="660"/>
      <c r="X111" s="660"/>
      <c r="Y111" s="139"/>
      <c r="Z111" s="132"/>
      <c r="AA111" s="39"/>
      <c r="AB111" s="39"/>
      <c r="AC111" s="39"/>
      <c r="AD111" s="39"/>
      <c r="AE111" s="554"/>
      <c r="AF111" s="554"/>
      <c r="AG111" s="554"/>
      <c r="AH111" s="102"/>
      <c r="AI111" s="653"/>
      <c r="AJ111" s="653"/>
      <c r="AK111" s="653"/>
      <c r="AL111" s="653"/>
      <c r="AM111" s="653"/>
      <c r="AN111" s="108"/>
      <c r="AO111" s="108"/>
      <c r="AP111" s="654"/>
      <c r="AQ111" s="654"/>
    </row>
    <row r="112" spans="1:43" ht="15.75" customHeight="1">
      <c r="AP112" s="12"/>
      <c r="AQ112" s="12"/>
    </row>
    <row r="113" spans="42:43" ht="15.75" customHeight="1">
      <c r="AP113" s="12"/>
      <c r="AQ113" s="12"/>
    </row>
    <row r="114" spans="42:43" ht="15.75" customHeight="1"/>
    <row r="115" spans="42:43" ht="15.75" customHeight="1"/>
    <row r="116" spans="42:43" ht="15.75" customHeight="1"/>
    <row r="117" spans="42:43" ht="15.75" customHeight="1"/>
    <row r="118" spans="42:43" ht="15.75" customHeight="1"/>
    <row r="119" spans="42:43" ht="15.75" customHeight="1"/>
    <row r="120" spans="42:43" ht="15.75" customHeight="1"/>
    <row r="121" spans="42:43" ht="15.75" customHeight="1"/>
    <row r="122" spans="42:43" ht="15.75" customHeight="1"/>
    <row r="123" spans="42:43" ht="15.75" customHeight="1"/>
    <row r="124" spans="42:43" ht="15.75" customHeight="1"/>
    <row r="125" spans="42:43" ht="15.75" customHeight="1"/>
    <row r="126" spans="42:43" ht="15.75" customHeight="1"/>
    <row r="127" spans="42:43" ht="15.75" customHeight="1"/>
    <row r="128" spans="42:43"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sheetData>
  <sheetProtection algorithmName="SHA-512" hashValue="QJ3sGhzZ9lrqLyxL6+fbadk4K+P9soBZcaKP56kIUMd42RfRd1ahUQKeo6mzD2fA29H2AUo48JKFVFTtf/vOvw==" saltValue="icKyAP/+dN56gFKVlC7WJw==" spinCount="100000" sheet="1" objects="1" scenarios="1"/>
  <mergeCells count="111">
    <mergeCell ref="I106:J106"/>
    <mergeCell ref="A105:G111"/>
    <mergeCell ref="A103:E103"/>
    <mergeCell ref="F103:G103"/>
    <mergeCell ref="A101:E101"/>
    <mergeCell ref="F101:G101"/>
    <mergeCell ref="I85:J85"/>
    <mergeCell ref="I86:J86"/>
    <mergeCell ref="I99:J99"/>
    <mergeCell ref="I100:J100"/>
    <mergeCell ref="I101:J101"/>
    <mergeCell ref="I102:J102"/>
    <mergeCell ref="I103:J103"/>
    <mergeCell ref="I104:J104"/>
    <mergeCell ref="I105:J105"/>
    <mergeCell ref="A39:G39"/>
    <mergeCell ref="K30:O39"/>
    <mergeCell ref="A67:C75"/>
    <mergeCell ref="E67:G75"/>
    <mergeCell ref="L61:O75"/>
    <mergeCell ref="A97:E97"/>
    <mergeCell ref="A27:G33"/>
    <mergeCell ref="A34:G34"/>
    <mergeCell ref="A35:G35"/>
    <mergeCell ref="A36:G36"/>
    <mergeCell ref="A37:G37"/>
    <mergeCell ref="A38:G38"/>
    <mergeCell ref="M78:M79"/>
    <mergeCell ref="N78:N79"/>
    <mergeCell ref="O78:O79"/>
    <mergeCell ref="I87:J87"/>
    <mergeCell ref="I88:J88"/>
    <mergeCell ref="I89:J89"/>
    <mergeCell ref="I90:J90"/>
    <mergeCell ref="I91:J91"/>
    <mergeCell ref="I92:J92"/>
    <mergeCell ref="I93:J93"/>
    <mergeCell ref="I94:J94"/>
    <mergeCell ref="I95:J95"/>
    <mergeCell ref="AE67:AG75"/>
    <mergeCell ref="AL50:AO57"/>
    <mergeCell ref="T111:X111"/>
    <mergeCell ref="T110:X110"/>
    <mergeCell ref="A102:E102"/>
    <mergeCell ref="F102:G102"/>
    <mergeCell ref="L78:L79"/>
    <mergeCell ref="F97:G97"/>
    <mergeCell ref="A98:E98"/>
    <mergeCell ref="F98:G98"/>
    <mergeCell ref="A99:E99"/>
    <mergeCell ref="F99:G99"/>
    <mergeCell ref="A100:E100"/>
    <mergeCell ref="F100:G100"/>
    <mergeCell ref="I96:J96"/>
    <mergeCell ref="I97:J97"/>
    <mergeCell ref="I98:J98"/>
    <mergeCell ref="I78:J79"/>
    <mergeCell ref="K78:K79"/>
    <mergeCell ref="I80:J80"/>
    <mergeCell ref="I81:J81"/>
    <mergeCell ref="I82:J82"/>
    <mergeCell ref="I83:J83"/>
    <mergeCell ref="I84:J84"/>
    <mergeCell ref="AB86:AD86"/>
    <mergeCell ref="AB87:AD87"/>
    <mergeCell ref="A1:AQ3"/>
    <mergeCell ref="W107:Z107"/>
    <mergeCell ref="T109:Y109"/>
    <mergeCell ref="R102:U102"/>
    <mergeCell ref="R103:U103"/>
    <mergeCell ref="R106:U106"/>
    <mergeCell ref="R107:U107"/>
    <mergeCell ref="AI100:AM111"/>
    <mergeCell ref="AP78:AQ111"/>
    <mergeCell ref="W102:Z102"/>
    <mergeCell ref="W103:Z103"/>
    <mergeCell ref="W106:Z106"/>
    <mergeCell ref="AE96:AG111"/>
    <mergeCell ref="AP6:AQ75"/>
    <mergeCell ref="AA78:AG78"/>
    <mergeCell ref="AA79:AA80"/>
    <mergeCell ref="AG79:AG80"/>
    <mergeCell ref="AH42:AH75"/>
    <mergeCell ref="AC56:AG60"/>
    <mergeCell ref="X58:Y75"/>
    <mergeCell ref="AA61:AG62"/>
    <mergeCell ref="AA64:AG65"/>
    <mergeCell ref="AI29:AM39"/>
    <mergeCell ref="AB93:AD93"/>
    <mergeCell ref="AB94:AD94"/>
    <mergeCell ref="AB95:AD95"/>
    <mergeCell ref="A4:AQ4"/>
    <mergeCell ref="A5:AQ5"/>
    <mergeCell ref="AI67:AK75"/>
    <mergeCell ref="AA7:AC10"/>
    <mergeCell ref="AD23:AG26"/>
    <mergeCell ref="S34:Y39"/>
    <mergeCell ref="AA30:AB39"/>
    <mergeCell ref="P6:Q111"/>
    <mergeCell ref="AB79:AD80"/>
    <mergeCell ref="AE79:AF79"/>
    <mergeCell ref="AB81:AD81"/>
    <mergeCell ref="AB82:AD82"/>
    <mergeCell ref="AB83:AD83"/>
    <mergeCell ref="AB88:AD88"/>
    <mergeCell ref="AB89:AD89"/>
    <mergeCell ref="AB90:AD90"/>
    <mergeCell ref="AB91:AD91"/>
    <mergeCell ref="AB92:AD92"/>
    <mergeCell ref="AB84:AD84"/>
    <mergeCell ref="AB85:AD85"/>
  </mergeCells>
  <dataValidations count="1">
    <dataValidation type="list" allowBlank="1" showInputMessage="1" showErrorMessage="1" sqref="A34:A39">
      <formula1>REASONS</formula1>
    </dataValidation>
  </dataValidations>
  <printOptions horizontalCentered="1" verticalCentered="1"/>
  <pageMargins left="0.2" right="0.2" top="0.5" bottom="0.5" header="0" footer="0"/>
  <pageSetup paperSize="66" scale="65" orientation="landscape"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42</vt:i4>
      </vt:variant>
    </vt:vector>
  </HeadingPairs>
  <TitlesOfParts>
    <vt:vector size="53" baseType="lpstr">
      <vt:lpstr>Home</vt:lpstr>
      <vt:lpstr>Instructions</vt:lpstr>
      <vt:lpstr>Definition of Terms</vt:lpstr>
      <vt:lpstr>policy</vt:lpstr>
      <vt:lpstr>DEVs</vt:lpstr>
      <vt:lpstr>SRC</vt:lpstr>
      <vt:lpstr>booklet</vt:lpstr>
      <vt:lpstr>brochure</vt:lpstr>
      <vt:lpstr>tarp</vt:lpstr>
      <vt:lpstr>Helper</vt:lpstr>
      <vt:lpstr>Data</vt:lpstr>
      <vt:lpstr>Advocacy_Support</vt:lpstr>
      <vt:lpstr>AIP_status</vt:lpstr>
      <vt:lpstr>Appliances_Equipment</vt:lpstr>
      <vt:lpstr>Attendance</vt:lpstr>
      <vt:lpstr>Civil_Society_Organizations</vt:lpstr>
      <vt:lpstr>Classification</vt:lpstr>
      <vt:lpstr>Classification_of_Schools</vt:lpstr>
      <vt:lpstr>ClassOrganization</vt:lpstr>
      <vt:lpstr>Contribution_Type</vt:lpstr>
      <vt:lpstr>Elementary</vt:lpstr>
      <vt:lpstr>Financial_Support</vt:lpstr>
      <vt:lpstr>Furniture</vt:lpstr>
      <vt:lpstr>General_Partner_Type</vt:lpstr>
      <vt:lpstr>Infrastructure</vt:lpstr>
      <vt:lpstr>Integrated__K_to_SHS</vt:lpstr>
      <vt:lpstr>Intergrated_K_to_JHS</vt:lpstr>
      <vt:lpstr>International</vt:lpstr>
      <vt:lpstr>Junior_High_School</vt:lpstr>
      <vt:lpstr>Junior_High_School__w__SHS</vt:lpstr>
      <vt:lpstr>Kinder_Primary</vt:lpstr>
      <vt:lpstr>LANGUAGE</vt:lpstr>
      <vt:lpstr>Learner_School_Supplies_Uniforms</vt:lpstr>
      <vt:lpstr>Learner_Wellness_Health_Nutrition</vt:lpstr>
      <vt:lpstr>Others</vt:lpstr>
      <vt:lpstr>Policy_Support</vt:lpstr>
      <vt:lpstr>booklet!Print_Area</vt:lpstr>
      <vt:lpstr>brochure!Print_Area</vt:lpstr>
      <vt:lpstr>SRC!Print_Area</vt:lpstr>
      <vt:lpstr>tarp!Print_Area</vt:lpstr>
      <vt:lpstr>Private_Sector</vt:lpstr>
      <vt:lpstr>Public_Sector</vt:lpstr>
      <vt:lpstr>RANK</vt:lpstr>
      <vt:lpstr>REASONS</vt:lpstr>
      <vt:lpstr>Senior_High_School</vt:lpstr>
      <vt:lpstr>Source</vt:lpstr>
      <vt:lpstr>Teaching_Non_Teaching_Personnel_Support</vt:lpstr>
      <vt:lpstr>Technical_Assistance</vt:lpstr>
      <vt:lpstr>Technology</vt:lpstr>
      <vt:lpstr>Use_of_Facilities</vt:lpstr>
      <vt:lpstr>Volunteer_Hours</vt:lpstr>
      <vt:lpstr>w</vt:lpstr>
      <vt:lpstr>Work_Immersion</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DEPED</dc:creator>
  <cp:lastModifiedBy>Administrator</cp:lastModifiedBy>
  <cp:lastPrinted>2019-06-25T08:06:03Z</cp:lastPrinted>
  <dcterms:created xsi:type="dcterms:W3CDTF">2018-02-05T21:51:43Z</dcterms:created>
  <dcterms:modified xsi:type="dcterms:W3CDTF">2019-06-25T08:20:56Z</dcterms:modified>
</cp:coreProperties>
</file>