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drawings/drawing4.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ml.chartshapes+xml"/>
  <Override PartName="/xl/charts/chart9.xml" ContentType="application/vnd.openxmlformats-officedocument.drawingml.chart+xml"/>
  <Override PartName="/xl/drawings/drawing7.xml" ContentType="application/vnd.openxmlformats-officedocument.drawingml.chartshapes+xml"/>
  <Override PartName="/xl/charts/chart10.xml" ContentType="application/vnd.openxmlformats-officedocument.drawingml.chart+xml"/>
  <Override PartName="/xl/drawings/drawing8.xml" ContentType="application/vnd.openxmlformats-officedocument.drawingml.chartshapes+xml"/>
  <Override PartName="/xl/charts/chart11.xml" ContentType="application/vnd.openxmlformats-officedocument.drawingml.chart+xml"/>
  <Override PartName="/xl/drawings/drawing9.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10.xml" ContentType="application/vnd.openxmlformats-officedocument.drawingml.chartshapes+xml"/>
  <Override PartName="/xl/charts/chart14.xml" ContentType="application/vnd.openxmlformats-officedocument.drawingml.chart+xml"/>
  <Override PartName="/xl/drawings/drawing11.xml" ContentType="application/vnd.openxmlformats-officedocument.drawingml.chartshapes+xml"/>
  <Override PartName="/xl/charts/chart15.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14.xml" ContentType="application/vnd.openxmlformats-officedocument.drawingml.chartshapes+xml"/>
  <Override PartName="/xl/charts/chart18.xml" ContentType="application/vnd.openxmlformats-officedocument.drawingml.chart+xml"/>
  <Override PartName="/xl/drawings/drawing15.xml" ContentType="application/vnd.openxmlformats-officedocument.drawingml.chartshapes+xml"/>
  <Override PartName="/xl/charts/chart19.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drawings/drawing18.xml" ContentType="application/vnd.openxmlformats-officedocument.drawingml.chartshapes+xml"/>
  <Override PartName="/xl/charts/chart22.xml" ContentType="application/vnd.openxmlformats-officedocument.drawingml.chart+xml"/>
  <Override PartName="/xl/drawings/drawing19.xml" ContentType="application/vnd.openxmlformats-officedocument.drawingml.chartshapes+xml"/>
  <Override PartName="/xl/charts/chart23.xml" ContentType="application/vnd.openxmlformats-officedocument.drawingml.chart+xml"/>
  <Override PartName="/xl/drawings/drawing20.xml" ContentType="application/vnd.openxmlformats-officedocument.drawingml.chartshapes+xml"/>
  <Override PartName="/xl/charts/chart2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1.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drawings/drawing22.xml" ContentType="application/vnd.openxmlformats-officedocument.drawingml.chartshapes+xml"/>
  <Override PartName="/xl/charts/chart27.xml" ContentType="application/vnd.openxmlformats-officedocument.drawingml.chart+xml"/>
  <Override PartName="/xl/drawings/drawing23.xml" ContentType="application/vnd.openxmlformats-officedocument.drawingml.chartshapes+xml"/>
  <Override PartName="/xl/charts/chart28.xml" ContentType="application/vnd.openxmlformats-officedocument.drawingml.chart+xml"/>
  <Override PartName="/xl/drawings/drawing24.xml" ContentType="application/vnd.openxmlformats-officedocument.drawingml.chartshapes+xml"/>
  <Override PartName="/xl/charts/chart29.xml" ContentType="application/vnd.openxmlformats-officedocument.drawingml.chart+xml"/>
  <Override PartName="/xl/charts/style2.xml" ContentType="application/vnd.ms-office.chartstyle+xml"/>
  <Override PartName="/xl/charts/colors2.xml" ContentType="application/vnd.ms-office.chartcolorstyle+xml"/>
  <Override PartName="/xl/charts/chart30.xml" ContentType="application/vnd.openxmlformats-officedocument.drawingml.chart+xml"/>
  <Override PartName="/xl/drawings/drawing25.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drawings/drawing26.xml" ContentType="application/vnd.openxmlformats-officedocument.drawingml.chartshapes+xml"/>
  <Override PartName="/xl/charts/chart33.xml" ContentType="application/vnd.openxmlformats-officedocument.drawingml.chart+xml"/>
  <Override PartName="/xl/drawings/drawing27.xml" ContentType="application/vnd.openxmlformats-officedocument.drawingml.chartshapes+xml"/>
  <Override PartName="/xl/charts/chart34.xml" ContentType="application/vnd.openxmlformats-officedocument.drawingml.chart+xml"/>
  <Override PartName="/xl/drawings/drawing28.xml" ContentType="application/vnd.openxmlformats-officedocument.drawingml.chartshapes+xml"/>
  <Override PartName="/xl/charts/chart35.xml" ContentType="application/vnd.openxmlformats-officedocument.drawingml.chart+xml"/>
  <Override PartName="/xl/charts/style3.xml" ContentType="application/vnd.ms-office.chartstyle+xml"/>
  <Override PartName="/xl/charts/colors3.xml" ContentType="application/vnd.ms-office.chartcolorstyle+xml"/>
  <Override PartName="/xl/charts/chart36.xml" ContentType="application/vnd.openxmlformats-officedocument.drawingml.chart+xml"/>
  <Override PartName="/xl/charts/chart37.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9.xml" ContentType="application/vnd.openxmlformats-officedocument.drawing+xml"/>
  <Override PartName="/xl/charts/chart38.xml" ContentType="application/vnd.openxmlformats-officedocument.drawingml.chart+xml"/>
  <Override PartName="/xl/charts/chart39.xml" ContentType="application/vnd.openxmlformats-officedocument.drawingml.chart+xml"/>
  <Override PartName="/xl/drawings/drawing30.xml" ContentType="application/vnd.openxmlformats-officedocument.drawingml.chartshapes+xml"/>
  <Override PartName="/xl/charts/chart40.xml" ContentType="application/vnd.openxmlformats-officedocument.drawingml.chart+xml"/>
  <Override PartName="/xl/drawings/drawing31.xml" ContentType="application/vnd.openxmlformats-officedocument.drawingml.chartshapes+xml"/>
  <Override PartName="/xl/charts/chart41.xml" ContentType="application/vnd.openxmlformats-officedocument.drawingml.chart+xml"/>
  <Override PartName="/xl/drawings/drawing32.xml" ContentType="application/vnd.openxmlformats-officedocument.drawingml.chartshapes+xml"/>
  <Override PartName="/xl/charts/chart42.xml" ContentType="application/vnd.openxmlformats-officedocument.drawingml.chart+xml"/>
  <Override PartName="/xl/charts/style5.xml" ContentType="application/vnd.ms-office.chartstyle+xml"/>
  <Override PartName="/xl/charts/colors5.xml" ContentType="application/vnd.ms-office.chartcolorstyle+xml"/>
  <Override PartName="/xl/charts/chart43.xml" ContentType="application/vnd.openxmlformats-officedocument.drawingml.chart+xml"/>
  <Override PartName="/xl/charts/chart4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3.xml" ContentType="application/vnd.openxmlformats-officedocument.drawing+xml"/>
  <Override PartName="/xl/charts/chart45.xml" ContentType="application/vnd.openxmlformats-officedocument.drawingml.chart+xml"/>
  <Override PartName="/xl/charts/chart46.xml" ContentType="application/vnd.openxmlformats-officedocument.drawingml.chart+xml"/>
  <Override PartName="/xl/drawings/drawing34.xml" ContentType="application/vnd.openxmlformats-officedocument.drawingml.chartshapes+xml"/>
  <Override PartName="/xl/charts/chart47.xml" ContentType="application/vnd.openxmlformats-officedocument.drawingml.chart+xml"/>
  <Override PartName="/xl/drawings/drawing35.xml" ContentType="application/vnd.openxmlformats-officedocument.drawingml.chartshapes+xml"/>
  <Override PartName="/xl/charts/chart48.xml" ContentType="application/vnd.openxmlformats-officedocument.drawingml.chart+xml"/>
  <Override PartName="/xl/drawings/drawing36.xml" ContentType="application/vnd.openxmlformats-officedocument.drawingml.chartshapes+xml"/>
  <Override PartName="/xl/charts/chart4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7.xml" ContentType="application/vnd.openxmlformats-officedocument.drawing+xml"/>
  <Override PartName="/xl/charts/chart50.xml" ContentType="application/vnd.openxmlformats-officedocument.drawingml.chart+xml"/>
  <Override PartName="/xl/charts/chart51.xml" ContentType="application/vnd.openxmlformats-officedocument.drawingml.chart+xml"/>
  <Override PartName="/xl/drawings/drawing38.xml" ContentType="application/vnd.openxmlformats-officedocument.drawingml.chartshapes+xml"/>
  <Override PartName="/xl/charts/chart52.xml" ContentType="application/vnd.openxmlformats-officedocument.drawingml.chart+xml"/>
  <Override PartName="/xl/drawings/drawing39.xml" ContentType="application/vnd.openxmlformats-officedocument.drawingml.chartshapes+xml"/>
  <Override PartName="/xl/charts/chart53.xml" ContentType="application/vnd.openxmlformats-officedocument.drawingml.chart+xml"/>
  <Override PartName="/xl/drawings/drawing40.xml" ContentType="application/vnd.openxmlformats-officedocument.drawingml.chartshapes+xml"/>
  <Override PartName="/xl/charts/chart54.xml" ContentType="application/vnd.openxmlformats-officedocument.drawingml.chart+xml"/>
  <Override PartName="/xl/charts/style8.xml" ContentType="application/vnd.ms-office.chartstyle+xml"/>
  <Override PartName="/xl/charts/colors8.xml" ContentType="application/vnd.ms-office.chartcolorstyle+xml"/>
  <Override PartName="/xl/charts/chart5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1.xml" ContentType="application/vnd.openxmlformats-officedocument.drawing+xml"/>
  <Override PartName="/xl/charts/chart56.xml" ContentType="application/vnd.openxmlformats-officedocument.drawingml.chart+xml"/>
  <Override PartName="/xl/charts/chart57.xml" ContentType="application/vnd.openxmlformats-officedocument.drawingml.chart+xml"/>
  <Override PartName="/xl/drawings/drawing42.xml" ContentType="application/vnd.openxmlformats-officedocument.drawingml.chartshapes+xml"/>
  <Override PartName="/xl/charts/chart58.xml" ContentType="application/vnd.openxmlformats-officedocument.drawingml.chart+xml"/>
  <Override PartName="/xl/drawings/drawing43.xml" ContentType="application/vnd.openxmlformats-officedocument.drawingml.chartshapes+xml"/>
  <Override PartName="/xl/charts/chart59.xml" ContentType="application/vnd.openxmlformats-officedocument.drawingml.chart+xml"/>
  <Override PartName="/xl/drawings/drawing44.xml" ContentType="application/vnd.openxmlformats-officedocument.drawingml.chartshapes+xml"/>
  <Override PartName="/xl/charts/chart60.xml" ContentType="application/vnd.openxmlformats-officedocument.drawingml.chart+xml"/>
  <Override PartName="/xl/drawings/drawing45.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drawings/drawing46.xml" ContentType="application/vnd.openxmlformats-officedocument.drawingml.chartshapes+xml"/>
  <Override PartName="/xl/charts/chart63.xml" ContentType="application/vnd.openxmlformats-officedocument.drawingml.chart+xml"/>
  <Override PartName="/xl/drawings/drawing47.xml" ContentType="application/vnd.openxmlformats-officedocument.drawingml.chartshapes+xml"/>
  <Override PartName="/xl/charts/chart64.xml" ContentType="application/vnd.openxmlformats-officedocument.drawingml.chart+xml"/>
  <Override PartName="/xl/drawings/drawing48.xml" ContentType="application/vnd.openxmlformats-officedocument.drawingml.chartshapes+xml"/>
  <Override PartName="/xl/drawings/drawing49.xml" ContentType="application/vnd.openxmlformats-officedocument.drawing+xml"/>
  <Override PartName="/xl/charts/chart65.xml" ContentType="application/vnd.openxmlformats-officedocument.drawingml.chart+xml"/>
  <Override PartName="/xl/charts/chart66.xml" ContentType="application/vnd.openxmlformats-officedocument.drawingml.chart+xml"/>
  <Override PartName="/xl/drawings/drawing50.xml" ContentType="application/vnd.openxmlformats-officedocument.drawingml.chartshapes+xml"/>
  <Override PartName="/xl/charts/chart67.xml" ContentType="application/vnd.openxmlformats-officedocument.drawingml.chart+xml"/>
  <Override PartName="/xl/drawings/drawing51.xml" ContentType="application/vnd.openxmlformats-officedocument.drawingml.chartshapes+xml"/>
  <Override PartName="/xl/charts/chart68.xml" ContentType="application/vnd.openxmlformats-officedocument.drawingml.chart+xml"/>
  <Override PartName="/xl/drawings/drawing52.xml" ContentType="application/vnd.openxmlformats-officedocument.drawingml.chartshapes+xml"/>
  <Override PartName="/xl/drawings/drawing53.xml" ContentType="application/vnd.openxmlformats-officedocument.drawing+xml"/>
  <Override PartName="/xl/charts/chart69.xml" ContentType="application/vnd.openxmlformats-officedocument.drawingml.chart+xml"/>
  <Override PartName="/xl/charts/chart70.xml" ContentType="application/vnd.openxmlformats-officedocument.drawingml.chart+xml"/>
  <Override PartName="/xl/drawings/drawing54.xml" ContentType="application/vnd.openxmlformats-officedocument.drawingml.chartshapes+xml"/>
  <Override PartName="/xl/charts/chart71.xml" ContentType="application/vnd.openxmlformats-officedocument.drawingml.chart+xml"/>
  <Override PartName="/xl/drawings/drawing55.xml" ContentType="application/vnd.openxmlformats-officedocument.drawingml.chartshapes+xml"/>
  <Override PartName="/xl/charts/chart72.xml" ContentType="application/vnd.openxmlformats-officedocument.drawingml.chart+xml"/>
  <Override PartName="/xl/drawings/drawing56.xml" ContentType="application/vnd.openxmlformats-officedocument.drawingml.chartshapes+xml"/>
  <Override PartName="/xl/drawings/drawing57.xml" ContentType="application/vnd.openxmlformats-officedocument.drawing+xml"/>
  <Override PartName="/xl/charts/chart73.xml" ContentType="application/vnd.openxmlformats-officedocument.drawingml.chart+xml"/>
  <Override PartName="/xl/charts/chart74.xml" ContentType="application/vnd.openxmlformats-officedocument.drawingml.chart+xml"/>
  <Override PartName="/xl/drawings/drawing58.xml" ContentType="application/vnd.openxmlformats-officedocument.drawingml.chartshapes+xml"/>
  <Override PartName="/xl/charts/chart75.xml" ContentType="application/vnd.openxmlformats-officedocument.drawingml.chart+xml"/>
  <Override PartName="/xl/drawings/drawing59.xml" ContentType="application/vnd.openxmlformats-officedocument.drawingml.chartshapes+xml"/>
  <Override PartName="/xl/charts/chart76.xml" ContentType="application/vnd.openxmlformats-officedocument.drawingml.chart+xml"/>
  <Override PartName="/xl/drawings/drawing60.xml" ContentType="application/vnd.openxmlformats-officedocument.drawingml.chartshapes+xml"/>
  <Override PartName="/xl/drawings/drawing61.xml" ContentType="application/vnd.openxmlformats-officedocument.drawing+xml"/>
  <Override PartName="/xl/charts/chart77.xml" ContentType="application/vnd.openxmlformats-officedocument.drawingml.chart+xml"/>
  <Override PartName="/xl/charts/chart78.xml" ContentType="application/vnd.openxmlformats-officedocument.drawingml.chart+xml"/>
  <Override PartName="/xl/drawings/drawing62.xml" ContentType="application/vnd.openxmlformats-officedocument.drawingml.chartshapes+xml"/>
  <Override PartName="/xl/charts/chart79.xml" ContentType="application/vnd.openxmlformats-officedocument.drawingml.chart+xml"/>
  <Override PartName="/xl/drawings/drawing63.xml" ContentType="application/vnd.openxmlformats-officedocument.drawingml.chartshapes+xml"/>
  <Override PartName="/xl/charts/chart80.xml" ContentType="application/vnd.openxmlformats-officedocument.drawingml.chart+xml"/>
  <Override PartName="/xl/drawings/drawing64.xml" ContentType="application/vnd.openxmlformats-officedocument.drawingml.chartshapes+xml"/>
  <Override PartName="/xl/charts/chart8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5.xml" ContentType="application/vnd.openxmlformats-officedocument.drawing+xml"/>
  <Override PartName="/xl/charts/chart82.xml" ContentType="application/vnd.openxmlformats-officedocument.drawingml.chart+xml"/>
  <Override PartName="/xl/charts/chart83.xml" ContentType="application/vnd.openxmlformats-officedocument.drawingml.chart+xml"/>
  <Override PartName="/xl/drawings/drawing66.xml" ContentType="application/vnd.openxmlformats-officedocument.drawingml.chartshapes+xml"/>
  <Override PartName="/xl/charts/chart84.xml" ContentType="application/vnd.openxmlformats-officedocument.drawingml.chart+xml"/>
  <Override PartName="/xl/drawings/drawing67.xml" ContentType="application/vnd.openxmlformats-officedocument.drawingml.chartshapes+xml"/>
  <Override PartName="/xl/charts/chart85.xml" ContentType="application/vnd.openxmlformats-officedocument.drawingml.chart+xml"/>
  <Override PartName="/xl/drawings/drawing68.xml" ContentType="application/vnd.openxmlformats-officedocument.drawingml.chartshapes+xml"/>
  <Override PartName="/xl/charts/chart86.xml" ContentType="application/vnd.openxmlformats-officedocument.drawingml.chart+xml"/>
  <Override PartName="/xl/charts/style11.xml" ContentType="application/vnd.ms-office.chartstyle+xml"/>
  <Override PartName="/xl/charts/colors11.xml" ContentType="application/vnd.ms-office.chartcolorstyle+xml"/>
  <Override PartName="/xl/charts/chart87.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9.xml" ContentType="application/vnd.openxmlformats-officedocument.drawing+xml"/>
  <Override PartName="/xl/charts/chart88.xml" ContentType="application/vnd.openxmlformats-officedocument.drawingml.chart+xml"/>
  <Override PartName="/xl/charts/chart89.xml" ContentType="application/vnd.openxmlformats-officedocument.drawingml.chart+xml"/>
  <Override PartName="/xl/drawings/drawing70.xml" ContentType="application/vnd.openxmlformats-officedocument.drawingml.chartshapes+xml"/>
  <Override PartName="/xl/charts/chart90.xml" ContentType="application/vnd.openxmlformats-officedocument.drawingml.chart+xml"/>
  <Override PartName="/xl/drawings/drawing71.xml" ContentType="application/vnd.openxmlformats-officedocument.drawingml.chartshapes+xml"/>
  <Override PartName="/xl/charts/chart91.xml" ContentType="application/vnd.openxmlformats-officedocument.drawingml.chart+xml"/>
  <Override PartName="/xl/drawings/drawing72.xml" ContentType="application/vnd.openxmlformats-officedocument.drawingml.chartshapes+xml"/>
  <Override PartName="/xl/charts/chart92.xml" ContentType="application/vnd.openxmlformats-officedocument.drawingml.chart+xml"/>
  <Override PartName="/xl/charts/style13.xml" ContentType="application/vnd.ms-office.chartstyle+xml"/>
  <Override PartName="/xl/charts/colors13.xml" ContentType="application/vnd.ms-office.chartcolorstyle+xml"/>
  <Override PartName="/xl/charts/chart9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3.xml" ContentType="application/vnd.openxmlformats-officedocument.drawing+xml"/>
  <Override PartName="/xl/charts/chart94.xml" ContentType="application/vnd.openxmlformats-officedocument.drawingml.chart+xml"/>
  <Override PartName="/xl/charts/chart95.xml" ContentType="application/vnd.openxmlformats-officedocument.drawingml.chart+xml"/>
  <Override PartName="/xl/drawings/drawing74.xml" ContentType="application/vnd.openxmlformats-officedocument.drawingml.chartshapes+xml"/>
  <Override PartName="/xl/charts/chart96.xml" ContentType="application/vnd.openxmlformats-officedocument.drawingml.chart+xml"/>
  <Override PartName="/xl/drawings/drawing75.xml" ContentType="application/vnd.openxmlformats-officedocument.drawingml.chartshapes+xml"/>
  <Override PartName="/xl/charts/chart97.xml" ContentType="application/vnd.openxmlformats-officedocument.drawingml.chart+xml"/>
  <Override PartName="/xl/drawings/drawing76.xml" ContentType="application/vnd.openxmlformats-officedocument.drawingml.chartshapes+xml"/>
  <Override PartName="/xl/charts/chart98.xml" ContentType="application/vnd.openxmlformats-officedocument.drawingml.chart+xml"/>
  <Override PartName="/xl/charts/style15.xml" ContentType="application/vnd.ms-office.chartstyle+xml"/>
  <Override PartName="/xl/charts/colors15.xml" ContentType="application/vnd.ms-office.chartcolorstyle+xml"/>
  <Override PartName="/xl/charts/chart99.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77.xml" ContentType="application/vnd.openxmlformats-officedocument.drawing+xml"/>
  <Override PartName="/xl/charts/chart100.xml" ContentType="application/vnd.openxmlformats-officedocument.drawingml.chart+xml"/>
  <Override PartName="/xl/charts/chart101.xml" ContentType="application/vnd.openxmlformats-officedocument.drawingml.chart+xml"/>
  <Override PartName="/xl/drawings/drawing78.xml" ContentType="application/vnd.openxmlformats-officedocument.drawingml.chartshapes+xml"/>
  <Override PartName="/xl/charts/chart102.xml" ContentType="application/vnd.openxmlformats-officedocument.drawingml.chart+xml"/>
  <Override PartName="/xl/drawings/drawing79.xml" ContentType="application/vnd.openxmlformats-officedocument.drawingml.chartshapes+xml"/>
  <Override PartName="/xl/charts/chart103.xml" ContentType="application/vnd.openxmlformats-officedocument.drawingml.chart+xml"/>
  <Override PartName="/xl/drawings/drawing80.xml" ContentType="application/vnd.openxmlformats-officedocument.drawingml.chartshapes+xml"/>
  <Override PartName="/xl/charts/chart104.xml" ContentType="application/vnd.openxmlformats-officedocument.drawingml.chart+xml"/>
  <Override PartName="/xl/charts/style17.xml" ContentType="application/vnd.ms-office.chartstyle+xml"/>
  <Override PartName="/xl/charts/colors17.xml" ContentType="application/vnd.ms-office.chartcolorstyle+xml"/>
  <Override PartName="/xl/charts/chart105.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81.xml" ContentType="application/vnd.openxmlformats-officedocument.drawing+xml"/>
  <Override PartName="/xl/charts/chart106.xml" ContentType="application/vnd.openxmlformats-officedocument.drawingml.chart+xml"/>
  <Override PartName="/xl/charts/chart107.xml" ContentType="application/vnd.openxmlformats-officedocument.drawingml.chart+xml"/>
  <Override PartName="/xl/drawings/drawing82.xml" ContentType="application/vnd.openxmlformats-officedocument.drawingml.chartshapes+xml"/>
  <Override PartName="/xl/charts/chart108.xml" ContentType="application/vnd.openxmlformats-officedocument.drawingml.chart+xml"/>
  <Override PartName="/xl/drawings/drawing83.xml" ContentType="application/vnd.openxmlformats-officedocument.drawingml.chartshapes+xml"/>
  <Override PartName="/xl/charts/chart109.xml" ContentType="application/vnd.openxmlformats-officedocument.drawingml.chart+xml"/>
  <Override PartName="/xl/drawings/drawing84.xml" ContentType="application/vnd.openxmlformats-officedocument.drawingml.chartshapes+xml"/>
  <Override PartName="/xl/charts/chart110.xml" ContentType="application/vnd.openxmlformats-officedocument.drawingml.chart+xml"/>
  <Override PartName="/xl/charts/style19.xml" ContentType="application/vnd.ms-office.chartstyle+xml"/>
  <Override PartName="/xl/charts/colors19.xml" ContentType="application/vnd.ms-office.chartcolorstyle+xml"/>
  <Override PartName="/xl/charts/chart111.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filterPrivacy="1" defaultThemeVersion="124226"/>
  <xr:revisionPtr revIDLastSave="30" documentId="6_{7E888F49-20B9-4F89-A5B3-091C99021EBB}" xr6:coauthVersionLast="40" xr6:coauthVersionMax="40" xr10:uidLastSave="{87A89BD3-A134-4BB1-9A0F-360F76B77F5C}"/>
  <bookViews>
    <workbookView xWindow="0" yWindow="0" windowWidth="28770" windowHeight="11580" tabRatio="867" firstSheet="16" activeTab="19" xr2:uid="{00000000-000D-0000-FFFF-FFFF00000000}"/>
  </bookViews>
  <sheets>
    <sheet name="Research" sheetId="20" r:id="rId1"/>
    <sheet name="Sparklehorse (SH)" sheetId="19" r:id="rId2"/>
    <sheet name="Dink (D)" sheetId="17" r:id="rId3"/>
    <sheet name="SH Models" sheetId="21" r:id="rId4"/>
    <sheet name="EG (All)" sheetId="23" r:id="rId5"/>
    <sheet name="Exp (All)" sheetId="51" r:id="rId6"/>
    <sheet name="W (All)" sheetId="53" r:id="rId7"/>
    <sheet name="W(Holdout)" sheetId="58" r:id="rId8"/>
    <sheet name="W(All)+Cov (Holdout)" sheetId="56" r:id="rId9"/>
    <sheet name="delta" sheetId="59" r:id="rId10"/>
    <sheet name="2-seg W(All)+Cov" sheetId="57" r:id="rId11"/>
    <sheet name="D Models" sheetId="27" r:id="rId12"/>
    <sheet name="Model Comp" sheetId="38" r:id="rId13"/>
    <sheet name="Raw Data" sheetId="22" r:id="rId14"/>
    <sheet name="EG (2)" sheetId="18" r:id="rId15"/>
    <sheet name="Exp (2)" sheetId="39" r:id="rId16"/>
    <sheet name="W (No HO)" sheetId="65" r:id="rId17"/>
    <sheet name="W (1)" sheetId="31" r:id="rId18"/>
    <sheet name="W+cov (AP)" sheetId="30" r:id="rId19"/>
    <sheet name="W+cov (AP+R+BB)" sheetId="41" r:id="rId20"/>
    <sheet name="W (Jan 1)" sheetId="67" r:id="rId21"/>
    <sheet name="W+cov (Lag6 AP)" sheetId="66" r:id="rId22"/>
    <sheet name="W+cov (Lag6 AP+BB)" sheetId="62" r:id="rId23"/>
    <sheet name="delta1" sheetId="70" r:id="rId24"/>
  </sheets>
  <definedNames>
    <definedName name="solver_adj" localSheetId="10" hidden="1">'2-seg W(All)+Cov'!$C$1:$C$7</definedName>
    <definedName name="solver_adj" localSheetId="9" hidden="1">delta!$C$1:$C$3</definedName>
    <definedName name="solver_adj" localSheetId="23" hidden="1">delta1!$C$2:$C$4</definedName>
    <definedName name="solver_adj" localSheetId="2" hidden="1">'Dink (D)'!#REF!,'Dink (D)'!#REF!</definedName>
    <definedName name="solver_adj" localSheetId="14" hidden="1">'EG (2)'!$C$1:$C$2</definedName>
    <definedName name="solver_adj" localSheetId="4" hidden="1">'EG (All)'!$B$1:$B$2</definedName>
    <definedName name="solver_adj" localSheetId="15" hidden="1">'Exp (2)'!$C$1</definedName>
    <definedName name="solver_adj" localSheetId="5" hidden="1">'Exp (All)'!$C$1</definedName>
    <definedName name="solver_adj" localSheetId="12" hidden="1">'Model Comp'!#REF!,'Model Comp'!#REF!</definedName>
    <definedName name="solver_adj" localSheetId="13" hidden="1">'Raw Data'!#REF!,'Raw Data'!#REF!</definedName>
    <definedName name="solver_adj" localSheetId="1" hidden="1">'Sparklehorse (SH)'!#REF!,'Sparklehorse (SH)'!#REF!</definedName>
    <definedName name="solver_adj" localSheetId="17" hidden="1">'W (1)'!$C$1:$C$2</definedName>
    <definedName name="solver_adj" localSheetId="6" hidden="1">'W (All)'!$C$1:$C$2</definedName>
    <definedName name="solver_adj" localSheetId="20" hidden="1">'W (Jan 1)'!$C$2:$C$3</definedName>
    <definedName name="solver_adj" localSheetId="16" hidden="1">'W (No HO)'!$C$1:$C$2</definedName>
    <definedName name="solver_adj" localSheetId="8" hidden="1">'W(All)+Cov (Holdout)'!$C$1:$C$3</definedName>
    <definedName name="solver_adj" localSheetId="7" hidden="1">'W(Holdout)'!$C$1:$C$2</definedName>
    <definedName name="solver_adj" localSheetId="18" hidden="1">'W+cov (AP)'!$C$2:$C$4</definedName>
    <definedName name="solver_adj" localSheetId="19" hidden="1">'W+cov (AP+R+BB)'!$C$2:$C$9</definedName>
    <definedName name="solver_adj" localSheetId="21" hidden="1">'W+cov (Lag6 AP)'!$C$2:$C$4</definedName>
    <definedName name="solver_adj" localSheetId="22" hidden="1">'W+cov (Lag6 AP+BB)'!$C$2:$C$4,'W+cov (Lag6 AP+BB)'!$C$7:$C$9</definedName>
    <definedName name="solver_cvg" localSheetId="10" hidden="1">0.0001</definedName>
    <definedName name="solver_cvg" localSheetId="9" hidden="1">0.0001</definedName>
    <definedName name="solver_cvg" localSheetId="23" hidden="1">0.0001</definedName>
    <definedName name="solver_cvg" localSheetId="14" hidden="1">0.0001</definedName>
    <definedName name="solver_cvg" localSheetId="4" hidden="1">0.0001</definedName>
    <definedName name="solver_cvg" localSheetId="15" hidden="1">0.0001</definedName>
    <definedName name="solver_cvg" localSheetId="5" hidden="1">0.0001</definedName>
    <definedName name="solver_cvg" localSheetId="17" hidden="1">0.0001</definedName>
    <definedName name="solver_cvg" localSheetId="6" hidden="1">0.0001</definedName>
    <definedName name="solver_cvg" localSheetId="20" hidden="1">0.0001</definedName>
    <definedName name="solver_cvg" localSheetId="16" hidden="1">0.0001</definedName>
    <definedName name="solver_cvg" localSheetId="8" hidden="1">0.0001</definedName>
    <definedName name="solver_cvg" localSheetId="7" hidden="1">0.0001</definedName>
    <definedName name="solver_cvg" localSheetId="18" hidden="1">0.0001</definedName>
    <definedName name="solver_cvg" localSheetId="19" hidden="1">0.0001</definedName>
    <definedName name="solver_cvg" localSheetId="21" hidden="1">0.0001</definedName>
    <definedName name="solver_cvg" localSheetId="22" hidden="1">0.0001</definedName>
    <definedName name="solver_drv" localSheetId="10" hidden="1">1</definedName>
    <definedName name="solver_drv" localSheetId="9" hidden="1">1</definedName>
    <definedName name="solver_drv" localSheetId="23" hidden="1">1</definedName>
    <definedName name="solver_drv" localSheetId="2" hidden="1">1</definedName>
    <definedName name="solver_drv" localSheetId="14" hidden="1">1</definedName>
    <definedName name="solver_drv" localSheetId="4" hidden="1">1</definedName>
    <definedName name="solver_drv" localSheetId="15" hidden="1">1</definedName>
    <definedName name="solver_drv" localSheetId="5" hidden="1">1</definedName>
    <definedName name="solver_drv" localSheetId="12" hidden="1">1</definedName>
    <definedName name="solver_drv" localSheetId="13" hidden="1">1</definedName>
    <definedName name="solver_drv" localSheetId="1" hidden="1">1</definedName>
    <definedName name="solver_drv" localSheetId="17" hidden="1">1</definedName>
    <definedName name="solver_drv" localSheetId="6" hidden="1">1</definedName>
    <definedName name="solver_drv" localSheetId="20" hidden="1">1</definedName>
    <definedName name="solver_drv" localSheetId="16" hidden="1">1</definedName>
    <definedName name="solver_drv" localSheetId="8" hidden="1">1</definedName>
    <definedName name="solver_drv" localSheetId="7" hidden="1">1</definedName>
    <definedName name="solver_drv" localSheetId="18" hidden="1">1</definedName>
    <definedName name="solver_drv" localSheetId="19" hidden="1">1</definedName>
    <definedName name="solver_drv" localSheetId="21" hidden="1">1</definedName>
    <definedName name="solver_drv" localSheetId="22" hidden="1">1</definedName>
    <definedName name="solver_eng" localSheetId="10" hidden="1">1</definedName>
    <definedName name="solver_eng" localSheetId="9" hidden="1">1</definedName>
    <definedName name="solver_eng" localSheetId="23" hidden="1">1</definedName>
    <definedName name="solver_eng" localSheetId="14" hidden="1">1</definedName>
    <definedName name="solver_eng" localSheetId="4" hidden="1">1</definedName>
    <definedName name="solver_eng" localSheetId="15" hidden="1">1</definedName>
    <definedName name="solver_eng" localSheetId="5" hidden="1">1</definedName>
    <definedName name="solver_eng" localSheetId="17" hidden="1">1</definedName>
    <definedName name="solver_eng" localSheetId="6" hidden="1">1</definedName>
    <definedName name="solver_eng" localSheetId="20" hidden="1">1</definedName>
    <definedName name="solver_eng" localSheetId="16" hidden="1">1</definedName>
    <definedName name="solver_eng" localSheetId="8" hidden="1">1</definedName>
    <definedName name="solver_eng" localSheetId="7" hidden="1">1</definedName>
    <definedName name="solver_eng" localSheetId="18" hidden="1">1</definedName>
    <definedName name="solver_eng" localSheetId="19" hidden="1">1</definedName>
    <definedName name="solver_eng" localSheetId="21" hidden="1">1</definedName>
    <definedName name="solver_eng" localSheetId="22" hidden="1">1</definedName>
    <definedName name="solver_est" localSheetId="10" hidden="1">1</definedName>
    <definedName name="solver_est" localSheetId="9" hidden="1">1</definedName>
    <definedName name="solver_est" localSheetId="23" hidden="1">1</definedName>
    <definedName name="solver_est" localSheetId="2" hidden="1">1</definedName>
    <definedName name="solver_est" localSheetId="14" hidden="1">1</definedName>
    <definedName name="solver_est" localSheetId="4" hidden="1">1</definedName>
    <definedName name="solver_est" localSheetId="15" hidden="1">1</definedName>
    <definedName name="solver_est" localSheetId="5" hidden="1">1</definedName>
    <definedName name="solver_est" localSheetId="12" hidden="1">1</definedName>
    <definedName name="solver_est" localSheetId="13" hidden="1">1</definedName>
    <definedName name="solver_est" localSheetId="1" hidden="1">1</definedName>
    <definedName name="solver_est" localSheetId="17" hidden="1">1</definedName>
    <definedName name="solver_est" localSheetId="6" hidden="1">1</definedName>
    <definedName name="solver_est" localSheetId="20" hidden="1">1</definedName>
    <definedName name="solver_est" localSheetId="16" hidden="1">1</definedName>
    <definedName name="solver_est" localSheetId="8" hidden="1">1</definedName>
    <definedName name="solver_est" localSheetId="7" hidden="1">1</definedName>
    <definedName name="solver_est" localSheetId="18" hidden="1">1</definedName>
    <definedName name="solver_est" localSheetId="19" hidden="1">1</definedName>
    <definedName name="solver_est" localSheetId="21" hidden="1">1</definedName>
    <definedName name="solver_est" localSheetId="22" hidden="1">1</definedName>
    <definedName name="solver_itr" localSheetId="10" hidden="1">100</definedName>
    <definedName name="solver_itr" localSheetId="9" hidden="1">100</definedName>
    <definedName name="solver_itr" localSheetId="23" hidden="1">100</definedName>
    <definedName name="solver_itr" localSheetId="2" hidden="1">100</definedName>
    <definedName name="solver_itr" localSheetId="14" hidden="1">100</definedName>
    <definedName name="solver_itr" localSheetId="4" hidden="1">100</definedName>
    <definedName name="solver_itr" localSheetId="15" hidden="1">100</definedName>
    <definedName name="solver_itr" localSheetId="5" hidden="1">100</definedName>
    <definedName name="solver_itr" localSheetId="12" hidden="1">100</definedName>
    <definedName name="solver_itr" localSheetId="13" hidden="1">100</definedName>
    <definedName name="solver_itr" localSheetId="1" hidden="1">100</definedName>
    <definedName name="solver_itr" localSheetId="17" hidden="1">100</definedName>
    <definedName name="solver_itr" localSheetId="6" hidden="1">100</definedName>
    <definedName name="solver_itr" localSheetId="20" hidden="1">100</definedName>
    <definedName name="solver_itr" localSheetId="16" hidden="1">100</definedName>
    <definedName name="solver_itr" localSheetId="8" hidden="1">100</definedName>
    <definedName name="solver_itr" localSheetId="7" hidden="1">100</definedName>
    <definedName name="solver_itr" localSheetId="18" hidden="1">100</definedName>
    <definedName name="solver_itr" localSheetId="19" hidden="1">100</definedName>
    <definedName name="solver_itr" localSheetId="21" hidden="1">100</definedName>
    <definedName name="solver_itr" localSheetId="22" hidden="1">100</definedName>
    <definedName name="solver_lhs1" localSheetId="10" hidden="1">'2-seg W(All)+Cov'!$B$1:$B$2</definedName>
    <definedName name="solver_lhs1" localSheetId="9" hidden="1">delta!$B$1:$B$2</definedName>
    <definedName name="solver_lhs1" localSheetId="23" hidden="1">delta1!$B$2:$B$3</definedName>
    <definedName name="solver_lhs1" localSheetId="2" hidden="1">'Dink (D)'!#REF!</definedName>
    <definedName name="solver_lhs1" localSheetId="14" hidden="1">'EG (2)'!$B$1:$B$2</definedName>
    <definedName name="solver_lhs1" localSheetId="4" hidden="1">'EG (All)'!$B$1:$B$2</definedName>
    <definedName name="solver_lhs1" localSheetId="15" hidden="1">'Exp (2)'!$B$1:$B$2</definedName>
    <definedName name="solver_lhs1" localSheetId="5" hidden="1">'Exp (All)'!$B$1:$B$2</definedName>
    <definedName name="solver_lhs1" localSheetId="12" hidden="1">'Model Comp'!#REF!</definedName>
    <definedName name="solver_lhs1" localSheetId="13" hidden="1">'Raw Data'!#REF!</definedName>
    <definedName name="solver_lhs1" localSheetId="1" hidden="1">'Sparklehorse (SH)'!#REF!</definedName>
    <definedName name="solver_lhs1" localSheetId="17" hidden="1">'W (1)'!$B$1:$B$2</definedName>
    <definedName name="solver_lhs1" localSheetId="6" hidden="1">'W (All)'!$B$1:$B$2</definedName>
    <definedName name="solver_lhs1" localSheetId="20" hidden="1">'W (Jan 1)'!$B$2:$B$3</definedName>
    <definedName name="solver_lhs1" localSheetId="16" hidden="1">'W (No HO)'!$B$1:$B$2</definedName>
    <definedName name="solver_lhs1" localSheetId="8" hidden="1">'W(All)+Cov (Holdout)'!$B$1:$B$2</definedName>
    <definedName name="solver_lhs1" localSheetId="7" hidden="1">'W(Holdout)'!$B$1:$B$2</definedName>
    <definedName name="solver_lhs1" localSheetId="18" hidden="1">'W+cov (AP)'!$B$2:$B$3</definedName>
    <definedName name="solver_lhs1" localSheetId="19" hidden="1">'W+cov (AP+R+BB)'!$B$2:$B$3</definedName>
    <definedName name="solver_lhs1" localSheetId="21" hidden="1">'W+cov (Lag6 AP)'!$B$2:$B$3</definedName>
    <definedName name="solver_lhs1" localSheetId="22" hidden="1">'W+cov (Lag6 AP+BB)'!$B$2:$B$3</definedName>
    <definedName name="solver_lhs2" localSheetId="10" hidden="1">'2-seg W(All)+Cov'!#REF!</definedName>
    <definedName name="solver_lhs2" localSheetId="9" hidden="1">delta!#REF!</definedName>
    <definedName name="solver_lhs2" localSheetId="23" hidden="1">delta1!#REF!</definedName>
    <definedName name="solver_lhs2" localSheetId="2" hidden="1">'Dink (D)'!#REF!</definedName>
    <definedName name="solver_lhs2" localSheetId="14" hidden="1">'EG (2)'!#REF!</definedName>
    <definedName name="solver_lhs2" localSheetId="4" hidden="1">'EG (All)'!#REF!</definedName>
    <definedName name="solver_lhs2" localSheetId="15" hidden="1">'Exp (2)'!#REF!</definedName>
    <definedName name="solver_lhs2" localSheetId="5" hidden="1">'Exp (All)'!#REF!</definedName>
    <definedName name="solver_lhs2" localSheetId="12" hidden="1">'Model Comp'!#REF!</definedName>
    <definedName name="solver_lhs2" localSheetId="13" hidden="1">'Raw Data'!#REF!</definedName>
    <definedName name="solver_lhs2" localSheetId="1" hidden="1">'Sparklehorse (SH)'!#REF!</definedName>
    <definedName name="solver_lhs2" localSheetId="17" hidden="1">'W (1)'!#REF!</definedName>
    <definedName name="solver_lhs2" localSheetId="6" hidden="1">'W (All)'!#REF!</definedName>
    <definedName name="solver_lhs2" localSheetId="20" hidden="1">'W (Jan 1)'!#REF!</definedName>
    <definedName name="solver_lhs2" localSheetId="16" hidden="1">'W (No HO)'!#REF!</definedName>
    <definedName name="solver_lhs2" localSheetId="8" hidden="1">'W(All)+Cov (Holdout)'!#REF!</definedName>
    <definedName name="solver_lhs2" localSheetId="7" hidden="1">'W(Holdout)'!#REF!</definedName>
    <definedName name="solver_lhs2" localSheetId="18" hidden="1">'W+cov (AP)'!#REF!</definedName>
    <definedName name="solver_lhs2" localSheetId="19" hidden="1">'W+cov (AP+R+BB)'!#REF!</definedName>
    <definedName name="solver_lhs2" localSheetId="21" hidden="1">'W+cov (Lag6 AP)'!#REF!</definedName>
    <definedName name="solver_lhs2" localSheetId="22" hidden="1">'W+cov (Lag6 AP+BB)'!#REF!</definedName>
    <definedName name="solver_lhs3" localSheetId="10" hidden="1">'2-seg W(All)+Cov'!#REF!</definedName>
    <definedName name="solver_lhs3" localSheetId="9" hidden="1">delta!#REF!</definedName>
    <definedName name="solver_lhs3" localSheetId="23" hidden="1">delta1!#REF!</definedName>
    <definedName name="solver_lhs3" localSheetId="2" hidden="1">'Dink (D)'!#REF!</definedName>
    <definedName name="solver_lhs3" localSheetId="14" hidden="1">'EG (2)'!#REF!</definedName>
    <definedName name="solver_lhs3" localSheetId="4" hidden="1">'EG (All)'!#REF!</definedName>
    <definedName name="solver_lhs3" localSheetId="15" hidden="1">'Exp (2)'!#REF!</definedName>
    <definedName name="solver_lhs3" localSheetId="5" hidden="1">'Exp (All)'!#REF!</definedName>
    <definedName name="solver_lhs3" localSheetId="12" hidden="1">'Model Comp'!#REF!</definedName>
    <definedName name="solver_lhs3" localSheetId="13" hidden="1">'Raw Data'!#REF!</definedName>
    <definedName name="solver_lhs3" localSheetId="1" hidden="1">'Sparklehorse (SH)'!#REF!</definedName>
    <definedName name="solver_lhs3" localSheetId="17" hidden="1">'W (1)'!#REF!</definedName>
    <definedName name="solver_lhs3" localSheetId="6" hidden="1">'W (All)'!#REF!</definedName>
    <definedName name="solver_lhs3" localSheetId="20" hidden="1">'W (Jan 1)'!#REF!</definedName>
    <definedName name="solver_lhs3" localSheetId="16" hidden="1">'W (No HO)'!#REF!</definedName>
    <definedName name="solver_lhs3" localSheetId="8" hidden="1">'W(All)+Cov (Holdout)'!#REF!</definedName>
    <definedName name="solver_lhs3" localSheetId="7" hidden="1">'W(Holdout)'!#REF!</definedName>
    <definedName name="solver_lhs3" localSheetId="18" hidden="1">'W+cov (AP)'!#REF!</definedName>
    <definedName name="solver_lhs3" localSheetId="19" hidden="1">'W+cov (AP+R+BB)'!#REF!</definedName>
    <definedName name="solver_lhs3" localSheetId="21" hidden="1">'W+cov (Lag6 AP)'!#REF!</definedName>
    <definedName name="solver_lhs3" localSheetId="22" hidden="1">'W+cov (Lag6 AP+BB)'!#REF!</definedName>
    <definedName name="solver_lin" localSheetId="10" hidden="1">0</definedName>
    <definedName name="solver_lin" localSheetId="9" hidden="1">0</definedName>
    <definedName name="solver_lin" localSheetId="23" hidden="1">0</definedName>
    <definedName name="solver_lin" localSheetId="2" hidden="1">0</definedName>
    <definedName name="solver_lin" localSheetId="14" hidden="1">0</definedName>
    <definedName name="solver_lin" localSheetId="4" hidden="1">0</definedName>
    <definedName name="solver_lin" localSheetId="15" hidden="1">0</definedName>
    <definedName name="solver_lin" localSheetId="5" hidden="1">0</definedName>
    <definedName name="solver_lin" localSheetId="12" hidden="1">0</definedName>
    <definedName name="solver_lin" localSheetId="13" hidden="1">0</definedName>
    <definedName name="solver_lin" localSheetId="1" hidden="1">0</definedName>
    <definedName name="solver_lin" localSheetId="17" hidden="1">0</definedName>
    <definedName name="solver_lin" localSheetId="6" hidden="1">0</definedName>
    <definedName name="solver_lin" localSheetId="20" hidden="1">0</definedName>
    <definedName name="solver_lin" localSheetId="16" hidden="1">0</definedName>
    <definedName name="solver_lin" localSheetId="8" hidden="1">0</definedName>
    <definedName name="solver_lin" localSheetId="7" hidden="1">0</definedName>
    <definedName name="solver_lin" localSheetId="18" hidden="1">0</definedName>
    <definedName name="solver_lin" localSheetId="19" hidden="1">0</definedName>
    <definedName name="solver_lin" localSheetId="21" hidden="1">0</definedName>
    <definedName name="solver_lin" localSheetId="22" hidden="1">0</definedName>
    <definedName name="solver_mip" localSheetId="10" hidden="1">2147483647</definedName>
    <definedName name="solver_mip" localSheetId="9" hidden="1">2147483647</definedName>
    <definedName name="solver_mip" localSheetId="23" hidden="1">2147483647</definedName>
    <definedName name="solver_mip" localSheetId="14" hidden="1">2147483647</definedName>
    <definedName name="solver_mip" localSheetId="4" hidden="1">2147483647</definedName>
    <definedName name="solver_mip" localSheetId="15" hidden="1">2147483647</definedName>
    <definedName name="solver_mip" localSheetId="5" hidden="1">2147483647</definedName>
    <definedName name="solver_mip" localSheetId="17" hidden="1">2147483647</definedName>
    <definedName name="solver_mip" localSheetId="6" hidden="1">2147483647</definedName>
    <definedName name="solver_mip" localSheetId="20" hidden="1">2147483647</definedName>
    <definedName name="solver_mip" localSheetId="16" hidden="1">2147483647</definedName>
    <definedName name="solver_mip" localSheetId="8" hidden="1">2147483647</definedName>
    <definedName name="solver_mip" localSheetId="7" hidden="1">2147483647</definedName>
    <definedName name="solver_mip" localSheetId="18" hidden="1">2147483647</definedName>
    <definedName name="solver_mip" localSheetId="19" hidden="1">2147483647</definedName>
    <definedName name="solver_mip" localSheetId="21" hidden="1">2147483647</definedName>
    <definedName name="solver_mip" localSheetId="22" hidden="1">2147483647</definedName>
    <definedName name="solver_mni" localSheetId="10" hidden="1">30</definedName>
    <definedName name="solver_mni" localSheetId="9" hidden="1">30</definedName>
    <definedName name="solver_mni" localSheetId="23" hidden="1">30</definedName>
    <definedName name="solver_mni" localSheetId="14" hidden="1">30</definedName>
    <definedName name="solver_mni" localSheetId="4" hidden="1">30</definedName>
    <definedName name="solver_mni" localSheetId="15" hidden="1">30</definedName>
    <definedName name="solver_mni" localSheetId="5" hidden="1">30</definedName>
    <definedName name="solver_mni" localSheetId="17" hidden="1">30</definedName>
    <definedName name="solver_mni" localSheetId="6" hidden="1">30</definedName>
    <definedName name="solver_mni" localSheetId="20" hidden="1">30</definedName>
    <definedName name="solver_mni" localSheetId="16" hidden="1">30</definedName>
    <definedName name="solver_mni" localSheetId="8" hidden="1">30</definedName>
    <definedName name="solver_mni" localSheetId="7" hidden="1">30</definedName>
    <definedName name="solver_mni" localSheetId="18" hidden="1">30</definedName>
    <definedName name="solver_mni" localSheetId="19" hidden="1">30</definedName>
    <definedName name="solver_mni" localSheetId="21" hidden="1">30</definedName>
    <definedName name="solver_mni" localSheetId="22" hidden="1">30</definedName>
    <definedName name="solver_mrt" localSheetId="10" hidden="1">0.075</definedName>
    <definedName name="solver_mrt" localSheetId="9" hidden="1">0.075</definedName>
    <definedName name="solver_mrt" localSheetId="23" hidden="1">0.075</definedName>
    <definedName name="solver_mrt" localSheetId="14" hidden="1">0.075</definedName>
    <definedName name="solver_mrt" localSheetId="4" hidden="1">0.075</definedName>
    <definedName name="solver_mrt" localSheetId="15" hidden="1">0.075</definedName>
    <definedName name="solver_mrt" localSheetId="5" hidden="1">0.075</definedName>
    <definedName name="solver_mrt" localSheetId="17" hidden="1">0.075</definedName>
    <definedName name="solver_mrt" localSheetId="6" hidden="1">0.075</definedName>
    <definedName name="solver_mrt" localSheetId="20" hidden="1">0.075</definedName>
    <definedName name="solver_mrt" localSheetId="16" hidden="1">0.075</definedName>
    <definedName name="solver_mrt" localSheetId="8" hidden="1">0.075</definedName>
    <definedName name="solver_mrt" localSheetId="7" hidden="1">0.075</definedName>
    <definedName name="solver_mrt" localSheetId="18" hidden="1">0.075</definedName>
    <definedName name="solver_mrt" localSheetId="19" hidden="1">0.075</definedName>
    <definedName name="solver_mrt" localSheetId="21" hidden="1">0.075</definedName>
    <definedName name="solver_mrt" localSheetId="22" hidden="1">0.075</definedName>
    <definedName name="solver_msl" localSheetId="10" hidden="1">1</definedName>
    <definedName name="solver_msl" localSheetId="9" hidden="1">1</definedName>
    <definedName name="solver_msl" localSheetId="23" hidden="1">1</definedName>
    <definedName name="solver_msl" localSheetId="14" hidden="1">1</definedName>
    <definedName name="solver_msl" localSheetId="4" hidden="1">1</definedName>
    <definedName name="solver_msl" localSheetId="15" hidden="1">1</definedName>
    <definedName name="solver_msl" localSheetId="5" hidden="1">1</definedName>
    <definedName name="solver_msl" localSheetId="17" hidden="1">1</definedName>
    <definedName name="solver_msl" localSheetId="6" hidden="1">1</definedName>
    <definedName name="solver_msl" localSheetId="20" hidden="1">1</definedName>
    <definedName name="solver_msl" localSheetId="16" hidden="1">1</definedName>
    <definedName name="solver_msl" localSheetId="8" hidden="1">1</definedName>
    <definedName name="solver_msl" localSheetId="7" hidden="1">1</definedName>
    <definedName name="solver_msl" localSheetId="18" hidden="1">1</definedName>
    <definedName name="solver_msl" localSheetId="19" hidden="1">1</definedName>
    <definedName name="solver_msl" localSheetId="21" hidden="1">1</definedName>
    <definedName name="solver_msl" localSheetId="22" hidden="1">1</definedName>
    <definedName name="solver_neg" localSheetId="10" hidden="1">2</definedName>
    <definedName name="solver_neg" localSheetId="9" hidden="1">2</definedName>
    <definedName name="solver_neg" localSheetId="23" hidden="1">2</definedName>
    <definedName name="solver_neg" localSheetId="14" hidden="1">2</definedName>
    <definedName name="solver_neg" localSheetId="4" hidden="1">1</definedName>
    <definedName name="solver_neg" localSheetId="15" hidden="1">2</definedName>
    <definedName name="solver_neg" localSheetId="5" hidden="1">2</definedName>
    <definedName name="solver_neg" localSheetId="17" hidden="1">2</definedName>
    <definedName name="solver_neg" localSheetId="6" hidden="1">2</definedName>
    <definedName name="solver_neg" localSheetId="20" hidden="1">2</definedName>
    <definedName name="solver_neg" localSheetId="16" hidden="1">2</definedName>
    <definedName name="solver_neg" localSheetId="8" hidden="1">2</definedName>
    <definedName name="solver_neg" localSheetId="7" hidden="1">2</definedName>
    <definedName name="solver_neg" localSheetId="18" hidden="1">2</definedName>
    <definedName name="solver_neg" localSheetId="19" hidden="1">2</definedName>
    <definedName name="solver_neg" localSheetId="21" hidden="1">2</definedName>
    <definedName name="solver_neg" localSheetId="22" hidden="1">2</definedName>
    <definedName name="solver_nod" localSheetId="10" hidden="1">2147483647</definedName>
    <definedName name="solver_nod" localSheetId="9" hidden="1">2147483647</definedName>
    <definedName name="solver_nod" localSheetId="23" hidden="1">2147483647</definedName>
    <definedName name="solver_nod" localSheetId="14" hidden="1">2147483647</definedName>
    <definedName name="solver_nod" localSheetId="4" hidden="1">2147483647</definedName>
    <definedName name="solver_nod" localSheetId="15" hidden="1">2147483647</definedName>
    <definedName name="solver_nod" localSheetId="5" hidden="1">2147483647</definedName>
    <definedName name="solver_nod" localSheetId="17" hidden="1">2147483647</definedName>
    <definedName name="solver_nod" localSheetId="6" hidden="1">2147483647</definedName>
    <definedName name="solver_nod" localSheetId="20" hidden="1">2147483647</definedName>
    <definedName name="solver_nod" localSheetId="16" hidden="1">2147483647</definedName>
    <definedName name="solver_nod" localSheetId="8" hidden="1">2147483647</definedName>
    <definedName name="solver_nod" localSheetId="7" hidden="1">2147483647</definedName>
    <definedName name="solver_nod" localSheetId="18" hidden="1">2147483647</definedName>
    <definedName name="solver_nod" localSheetId="19" hidden="1">2147483647</definedName>
    <definedName name="solver_nod" localSheetId="21" hidden="1">2147483647</definedName>
    <definedName name="solver_nod" localSheetId="22" hidden="1">2147483647</definedName>
    <definedName name="solver_num" localSheetId="10" hidden="1">0</definedName>
    <definedName name="solver_num" localSheetId="9" hidden="1">0</definedName>
    <definedName name="solver_num" localSheetId="23" hidden="1">0</definedName>
    <definedName name="solver_num" localSheetId="2" hidden="1">3</definedName>
    <definedName name="solver_num" localSheetId="14" hidden="1">0</definedName>
    <definedName name="solver_num" localSheetId="4" hidden="1">1</definedName>
    <definedName name="solver_num" localSheetId="15" hidden="1">0</definedName>
    <definedName name="solver_num" localSheetId="5" hidden="1">0</definedName>
    <definedName name="solver_num" localSheetId="12" hidden="1">3</definedName>
    <definedName name="solver_num" localSheetId="13" hidden="1">3</definedName>
    <definedName name="solver_num" localSheetId="1" hidden="1">3</definedName>
    <definedName name="solver_num" localSheetId="17" hidden="1">0</definedName>
    <definedName name="solver_num" localSheetId="6" hidden="1">0</definedName>
    <definedName name="solver_num" localSheetId="20" hidden="1">0</definedName>
    <definedName name="solver_num" localSheetId="16" hidden="1">0</definedName>
    <definedName name="solver_num" localSheetId="8" hidden="1">0</definedName>
    <definedName name="solver_num" localSheetId="7" hidden="1">0</definedName>
    <definedName name="solver_num" localSheetId="18" hidden="1">0</definedName>
    <definedName name="solver_num" localSheetId="19" hidden="1">0</definedName>
    <definedName name="solver_num" localSheetId="21" hidden="1">0</definedName>
    <definedName name="solver_num" localSheetId="22" hidden="1">0</definedName>
    <definedName name="solver_nwt" localSheetId="10" hidden="1">1</definedName>
    <definedName name="solver_nwt" localSheetId="9" hidden="1">1</definedName>
    <definedName name="solver_nwt" localSheetId="23" hidden="1">1</definedName>
    <definedName name="solver_nwt" localSheetId="2" hidden="1">1</definedName>
    <definedName name="solver_nwt" localSheetId="14" hidden="1">1</definedName>
    <definedName name="solver_nwt" localSheetId="4" hidden="1">1</definedName>
    <definedName name="solver_nwt" localSheetId="15" hidden="1">1</definedName>
    <definedName name="solver_nwt" localSheetId="5" hidden="1">1</definedName>
    <definedName name="solver_nwt" localSheetId="12" hidden="1">1</definedName>
    <definedName name="solver_nwt" localSheetId="13" hidden="1">1</definedName>
    <definedName name="solver_nwt" localSheetId="1" hidden="1">1</definedName>
    <definedName name="solver_nwt" localSheetId="17" hidden="1">1</definedName>
    <definedName name="solver_nwt" localSheetId="6" hidden="1">1</definedName>
    <definedName name="solver_nwt" localSheetId="20" hidden="1">1</definedName>
    <definedName name="solver_nwt" localSheetId="16" hidden="1">1</definedName>
    <definedName name="solver_nwt" localSheetId="8" hidden="1">1</definedName>
    <definedName name="solver_nwt" localSheetId="7" hidden="1">1</definedName>
    <definedName name="solver_nwt" localSheetId="18" hidden="1">1</definedName>
    <definedName name="solver_nwt" localSheetId="19" hidden="1">1</definedName>
    <definedName name="solver_nwt" localSheetId="21" hidden="1">1</definedName>
    <definedName name="solver_nwt" localSheetId="22" hidden="1">1</definedName>
    <definedName name="solver_opt" localSheetId="10" hidden="1">'2-seg W(All)+Cov'!$H$2</definedName>
    <definedName name="solver_opt" localSheetId="9" hidden="1">delta!$H$2</definedName>
    <definedName name="solver_opt" localSheetId="23" hidden="1">delta1!$G$3</definedName>
    <definedName name="solver_opt" localSheetId="2" hidden="1">'Dink (D)'!#REF!</definedName>
    <definedName name="solver_opt" localSheetId="14" hidden="1">'EG (2)'!$G$2</definedName>
    <definedName name="solver_opt" localSheetId="4" hidden="1">'EG (All)'!$G$2</definedName>
    <definedName name="solver_opt" localSheetId="15" hidden="1">'Exp (2)'!$G$2</definedName>
    <definedName name="solver_opt" localSheetId="5" hidden="1">'Exp (All)'!$G$2</definedName>
    <definedName name="solver_opt" localSheetId="12" hidden="1">'Model Comp'!#REF!</definedName>
    <definedName name="solver_opt" localSheetId="13" hidden="1">'Raw Data'!#REF!</definedName>
    <definedName name="solver_opt" localSheetId="1" hidden="1">'Sparklehorse (SH)'!#REF!</definedName>
    <definedName name="solver_opt" localSheetId="17" hidden="1">'W (1)'!$G$2</definedName>
    <definedName name="solver_opt" localSheetId="6" hidden="1">'W (All)'!$G$2</definedName>
    <definedName name="solver_opt" localSheetId="20" hidden="1">'W (Jan 1)'!$G$3</definedName>
    <definedName name="solver_opt" localSheetId="16" hidden="1">'W (No HO)'!$G$2</definedName>
    <definedName name="solver_opt" localSheetId="8" hidden="1">'W(All)+Cov (Holdout)'!$H$2</definedName>
    <definedName name="solver_opt" localSheetId="7" hidden="1">'W(Holdout)'!$H$2</definedName>
    <definedName name="solver_opt" localSheetId="18" hidden="1">'W+cov (AP)'!$G$3</definedName>
    <definedName name="solver_opt" localSheetId="19" hidden="1">'W+cov (AP+R+BB)'!$G$3</definedName>
    <definedName name="solver_opt" localSheetId="21" hidden="1">'W+cov (Lag6 AP)'!$G$3</definedName>
    <definedName name="solver_opt" localSheetId="22" hidden="1">'W+cov (Lag6 AP+BB)'!$G$3</definedName>
    <definedName name="solver_pre" localSheetId="10" hidden="1">0.000001</definedName>
    <definedName name="solver_pre" localSheetId="9" hidden="1">0.000001</definedName>
    <definedName name="solver_pre" localSheetId="23" hidden="1">0.000001</definedName>
    <definedName name="solver_pre" localSheetId="2" hidden="1">0.000001</definedName>
    <definedName name="solver_pre" localSheetId="14" hidden="1">0.000001</definedName>
    <definedName name="solver_pre" localSheetId="4" hidden="1">0.000001</definedName>
    <definedName name="solver_pre" localSheetId="15" hidden="1">0.000001</definedName>
    <definedName name="solver_pre" localSheetId="5" hidden="1">0.000001</definedName>
    <definedName name="solver_pre" localSheetId="12" hidden="1">0.000001</definedName>
    <definedName name="solver_pre" localSheetId="13" hidden="1">0.000001</definedName>
    <definedName name="solver_pre" localSheetId="1" hidden="1">0.000001</definedName>
    <definedName name="solver_pre" localSheetId="17" hidden="1">0.000001</definedName>
    <definedName name="solver_pre" localSheetId="6" hidden="1">0.000001</definedName>
    <definedName name="solver_pre" localSheetId="20" hidden="1">0.000001</definedName>
    <definedName name="solver_pre" localSheetId="16" hidden="1">0.000001</definedName>
    <definedName name="solver_pre" localSheetId="8" hidden="1">0.000001</definedName>
    <definedName name="solver_pre" localSheetId="7" hidden="1">0.000001</definedName>
    <definedName name="solver_pre" localSheetId="18" hidden="1">0.000001</definedName>
    <definedName name="solver_pre" localSheetId="19" hidden="1">0.000001</definedName>
    <definedName name="solver_pre" localSheetId="21" hidden="1">0.000001</definedName>
    <definedName name="solver_pre" localSheetId="22" hidden="1">0.000001</definedName>
    <definedName name="solver_rbv" localSheetId="10" hidden="1">2</definedName>
    <definedName name="solver_rbv" localSheetId="9" hidden="1">2</definedName>
    <definedName name="solver_rbv" localSheetId="23" hidden="1">2</definedName>
    <definedName name="solver_rbv" localSheetId="14" hidden="1">2</definedName>
    <definedName name="solver_rbv" localSheetId="4" hidden="1">2</definedName>
    <definedName name="solver_rbv" localSheetId="15" hidden="1">2</definedName>
    <definedName name="solver_rbv" localSheetId="5" hidden="1">2</definedName>
    <definedName name="solver_rbv" localSheetId="17" hidden="1">2</definedName>
    <definedName name="solver_rbv" localSheetId="6" hidden="1">2</definedName>
    <definedName name="solver_rbv" localSheetId="20" hidden="1">2</definedName>
    <definedName name="solver_rbv" localSheetId="16" hidden="1">2</definedName>
    <definedName name="solver_rbv" localSheetId="8" hidden="1">2</definedName>
    <definedName name="solver_rbv" localSheetId="7" hidden="1">2</definedName>
    <definedName name="solver_rbv" localSheetId="18" hidden="1">2</definedName>
    <definedName name="solver_rbv" localSheetId="19" hidden="1">2</definedName>
    <definedName name="solver_rbv" localSheetId="21" hidden="1">2</definedName>
    <definedName name="solver_rbv" localSheetId="22" hidden="1">2</definedName>
    <definedName name="solver_rel1" localSheetId="10" hidden="1">3</definedName>
    <definedName name="solver_rel1" localSheetId="9" hidden="1">3</definedName>
    <definedName name="solver_rel1" localSheetId="23" hidden="1">3</definedName>
    <definedName name="solver_rel1" localSheetId="2" hidden="1">1</definedName>
    <definedName name="solver_rel1" localSheetId="14" hidden="1">3</definedName>
    <definedName name="solver_rel1" localSheetId="4" hidden="1">3</definedName>
    <definedName name="solver_rel1" localSheetId="15" hidden="1">3</definedName>
    <definedName name="solver_rel1" localSheetId="5" hidden="1">3</definedName>
    <definedName name="solver_rel1" localSheetId="12" hidden="1">1</definedName>
    <definedName name="solver_rel1" localSheetId="13" hidden="1">1</definedName>
    <definedName name="solver_rel1" localSheetId="1" hidden="1">1</definedName>
    <definedName name="solver_rel1" localSheetId="17" hidden="1">3</definedName>
    <definedName name="solver_rel1" localSheetId="6" hidden="1">3</definedName>
    <definedName name="solver_rel1" localSheetId="20" hidden="1">3</definedName>
    <definedName name="solver_rel1" localSheetId="16" hidden="1">3</definedName>
    <definedName name="solver_rel1" localSheetId="8" hidden="1">3</definedName>
    <definedName name="solver_rel1" localSheetId="7" hidden="1">3</definedName>
    <definedName name="solver_rel1" localSheetId="18" hidden="1">3</definedName>
    <definedName name="solver_rel1" localSheetId="19" hidden="1">3</definedName>
    <definedName name="solver_rel1" localSheetId="21" hidden="1">3</definedName>
    <definedName name="solver_rel1" localSheetId="22" hidden="1">3</definedName>
    <definedName name="solver_rel2" localSheetId="10" hidden="1">1</definedName>
    <definedName name="solver_rel2" localSheetId="9" hidden="1">1</definedName>
    <definedName name="solver_rel2" localSheetId="23" hidden="1">1</definedName>
    <definedName name="solver_rel2" localSheetId="2" hidden="1">1</definedName>
    <definedName name="solver_rel2" localSheetId="14" hidden="1">1</definedName>
    <definedName name="solver_rel2" localSheetId="4" hidden="1">1</definedName>
    <definedName name="solver_rel2" localSheetId="15" hidden="1">1</definedName>
    <definedName name="solver_rel2" localSheetId="5" hidden="1">1</definedName>
    <definedName name="solver_rel2" localSheetId="12" hidden="1">1</definedName>
    <definedName name="solver_rel2" localSheetId="13" hidden="1">1</definedName>
    <definedName name="solver_rel2" localSheetId="1" hidden="1">1</definedName>
    <definedName name="solver_rel2" localSheetId="17" hidden="1">1</definedName>
    <definedName name="solver_rel2" localSheetId="6" hidden="1">1</definedName>
    <definedName name="solver_rel2" localSheetId="20" hidden="1">1</definedName>
    <definedName name="solver_rel2" localSheetId="16" hidden="1">1</definedName>
    <definedName name="solver_rel2" localSheetId="8" hidden="1">1</definedName>
    <definedName name="solver_rel2" localSheetId="7" hidden="1">1</definedName>
    <definedName name="solver_rel2" localSheetId="18" hidden="1">1</definedName>
    <definedName name="solver_rel2" localSheetId="19" hidden="1">1</definedName>
    <definedName name="solver_rel2" localSheetId="21" hidden="1">1</definedName>
    <definedName name="solver_rel2" localSheetId="22" hidden="1">1</definedName>
    <definedName name="solver_rel3" localSheetId="10" hidden="1">1</definedName>
    <definedName name="solver_rel3" localSheetId="9" hidden="1">1</definedName>
    <definedName name="solver_rel3" localSheetId="23" hidden="1">1</definedName>
    <definedName name="solver_rel3" localSheetId="2" hidden="1">1</definedName>
    <definedName name="solver_rel3" localSheetId="14" hidden="1">1</definedName>
    <definedName name="solver_rel3" localSheetId="4" hidden="1">1</definedName>
    <definedName name="solver_rel3" localSheetId="15" hidden="1">1</definedName>
    <definedName name="solver_rel3" localSheetId="5" hidden="1">1</definedName>
    <definedName name="solver_rel3" localSheetId="12" hidden="1">1</definedName>
    <definedName name="solver_rel3" localSheetId="13" hidden="1">1</definedName>
    <definedName name="solver_rel3" localSheetId="1" hidden="1">1</definedName>
    <definedName name="solver_rel3" localSheetId="17" hidden="1">1</definedName>
    <definedName name="solver_rel3" localSheetId="6" hidden="1">1</definedName>
    <definedName name="solver_rel3" localSheetId="20" hidden="1">1</definedName>
    <definedName name="solver_rel3" localSheetId="16" hidden="1">1</definedName>
    <definedName name="solver_rel3" localSheetId="8" hidden="1">1</definedName>
    <definedName name="solver_rel3" localSheetId="7" hidden="1">1</definedName>
    <definedName name="solver_rel3" localSheetId="18" hidden="1">1</definedName>
    <definedName name="solver_rel3" localSheetId="19" hidden="1">1</definedName>
    <definedName name="solver_rel3" localSheetId="21" hidden="1">1</definedName>
    <definedName name="solver_rel3" localSheetId="22" hidden="1">1</definedName>
    <definedName name="solver_rhs1" localSheetId="10" hidden="1">0.000001</definedName>
    <definedName name="solver_rhs1" localSheetId="9" hidden="1">0.000001</definedName>
    <definedName name="solver_rhs1" localSheetId="23" hidden="1">0.000001</definedName>
    <definedName name="solver_rhs1" localSheetId="2" hidden="1">1</definedName>
    <definedName name="solver_rhs1" localSheetId="14" hidden="1">0.000001</definedName>
    <definedName name="solver_rhs1" localSheetId="4" hidden="1">0.000001</definedName>
    <definedName name="solver_rhs1" localSheetId="15" hidden="1">0.000001</definedName>
    <definedName name="solver_rhs1" localSheetId="5" hidden="1">0.000001</definedName>
    <definedName name="solver_rhs1" localSheetId="12" hidden="1">1</definedName>
    <definedName name="solver_rhs1" localSheetId="13" hidden="1">1</definedName>
    <definedName name="solver_rhs1" localSheetId="1" hidden="1">1</definedName>
    <definedName name="solver_rhs1" localSheetId="17" hidden="1">0.000001</definedName>
    <definedName name="solver_rhs1" localSheetId="6" hidden="1">0.000001</definedName>
    <definedName name="solver_rhs1" localSheetId="20" hidden="1">0.000001</definedName>
    <definedName name="solver_rhs1" localSheetId="16" hidden="1">0.000001</definedName>
    <definedName name="solver_rhs1" localSheetId="8" hidden="1">0.000001</definedName>
    <definedName name="solver_rhs1" localSheetId="7" hidden="1">0.000001</definedName>
    <definedName name="solver_rhs1" localSheetId="18" hidden="1">0.000001</definedName>
    <definedName name="solver_rhs1" localSheetId="19" hidden="1">0.000001</definedName>
    <definedName name="solver_rhs1" localSheetId="21" hidden="1">0.000001</definedName>
    <definedName name="solver_rhs1" localSheetId="22" hidden="1">0.000001</definedName>
    <definedName name="solver_rhs2" localSheetId="10" hidden="1">1</definedName>
    <definedName name="solver_rhs2" localSheetId="9" hidden="1">1</definedName>
    <definedName name="solver_rhs2" localSheetId="23" hidden="1">1</definedName>
    <definedName name="solver_rhs2" localSheetId="2" hidden="1">1</definedName>
    <definedName name="solver_rhs2" localSheetId="14" hidden="1">1</definedName>
    <definedName name="solver_rhs2" localSheetId="4" hidden="1">1</definedName>
    <definedName name="solver_rhs2" localSheetId="15" hidden="1">1</definedName>
    <definedName name="solver_rhs2" localSheetId="5" hidden="1">1</definedName>
    <definedName name="solver_rhs2" localSheetId="12" hidden="1">1</definedName>
    <definedName name="solver_rhs2" localSheetId="13" hidden="1">1</definedName>
    <definedName name="solver_rhs2" localSheetId="1" hidden="1">1</definedName>
    <definedName name="solver_rhs2" localSheetId="17" hidden="1">1</definedName>
    <definedName name="solver_rhs2" localSheetId="6" hidden="1">1</definedName>
    <definedName name="solver_rhs2" localSheetId="20" hidden="1">1</definedName>
    <definedName name="solver_rhs2" localSheetId="16" hidden="1">1</definedName>
    <definedName name="solver_rhs2" localSheetId="8" hidden="1">1</definedName>
    <definedName name="solver_rhs2" localSheetId="7" hidden="1">1</definedName>
    <definedName name="solver_rhs2" localSheetId="18" hidden="1">1</definedName>
    <definedName name="solver_rhs2" localSheetId="19" hidden="1">1</definedName>
    <definedName name="solver_rhs2" localSheetId="21" hidden="1">1</definedName>
    <definedName name="solver_rhs2" localSheetId="22" hidden="1">1</definedName>
    <definedName name="solver_rhs3" localSheetId="10" hidden="1">1</definedName>
    <definedName name="solver_rhs3" localSheetId="9" hidden="1">1</definedName>
    <definedName name="solver_rhs3" localSheetId="23" hidden="1">1</definedName>
    <definedName name="solver_rhs3" localSheetId="2" hidden="1">1</definedName>
    <definedName name="solver_rhs3" localSheetId="14" hidden="1">1</definedName>
    <definedName name="solver_rhs3" localSheetId="4" hidden="1">1</definedName>
    <definedName name="solver_rhs3" localSheetId="15" hidden="1">1</definedName>
    <definedName name="solver_rhs3" localSheetId="5" hidden="1">1</definedName>
    <definedName name="solver_rhs3" localSheetId="12" hidden="1">1</definedName>
    <definedName name="solver_rhs3" localSheetId="13" hidden="1">1</definedName>
    <definedName name="solver_rhs3" localSheetId="1" hidden="1">1</definedName>
    <definedName name="solver_rhs3" localSheetId="17" hidden="1">1</definedName>
    <definedName name="solver_rhs3" localSheetId="6" hidden="1">1</definedName>
    <definedName name="solver_rhs3" localSheetId="20" hidden="1">1</definedName>
    <definedName name="solver_rhs3" localSheetId="16" hidden="1">1</definedName>
    <definedName name="solver_rhs3" localSheetId="8" hidden="1">1</definedName>
    <definedName name="solver_rhs3" localSheetId="7" hidden="1">1</definedName>
    <definedName name="solver_rhs3" localSheetId="18" hidden="1">1</definedName>
    <definedName name="solver_rhs3" localSheetId="19" hidden="1">1</definedName>
    <definedName name="solver_rhs3" localSheetId="21" hidden="1">1</definedName>
    <definedName name="solver_rhs3" localSheetId="22" hidden="1">1</definedName>
    <definedName name="solver_rlx" localSheetId="10" hidden="1">1</definedName>
    <definedName name="solver_rlx" localSheetId="9" hidden="1">1</definedName>
    <definedName name="solver_rlx" localSheetId="23" hidden="1">1</definedName>
    <definedName name="solver_rlx" localSheetId="14" hidden="1">1</definedName>
    <definedName name="solver_rlx" localSheetId="4" hidden="1">1</definedName>
    <definedName name="solver_rlx" localSheetId="15" hidden="1">1</definedName>
    <definedName name="solver_rlx" localSheetId="5" hidden="1">1</definedName>
    <definedName name="solver_rlx" localSheetId="17" hidden="1">1</definedName>
    <definedName name="solver_rlx" localSheetId="6" hidden="1">1</definedName>
    <definedName name="solver_rlx" localSheetId="20" hidden="1">1</definedName>
    <definedName name="solver_rlx" localSheetId="16" hidden="1">1</definedName>
    <definedName name="solver_rlx" localSheetId="8" hidden="1">1</definedName>
    <definedName name="solver_rlx" localSheetId="7" hidden="1">1</definedName>
    <definedName name="solver_rlx" localSheetId="18" hidden="1">1</definedName>
    <definedName name="solver_rlx" localSheetId="19" hidden="1">1</definedName>
    <definedName name="solver_rlx" localSheetId="21" hidden="1">1</definedName>
    <definedName name="solver_rlx" localSheetId="22" hidden="1">1</definedName>
    <definedName name="solver_rsd" localSheetId="10" hidden="1">0</definedName>
    <definedName name="solver_rsd" localSheetId="9" hidden="1">0</definedName>
    <definedName name="solver_rsd" localSheetId="23" hidden="1">0</definedName>
    <definedName name="solver_rsd" localSheetId="14" hidden="1">0</definedName>
    <definedName name="solver_rsd" localSheetId="4" hidden="1">0</definedName>
    <definedName name="solver_rsd" localSheetId="15" hidden="1">0</definedName>
    <definedName name="solver_rsd" localSheetId="5" hidden="1">0</definedName>
    <definedName name="solver_rsd" localSheetId="17" hidden="1">0</definedName>
    <definedName name="solver_rsd" localSheetId="6" hidden="1">0</definedName>
    <definedName name="solver_rsd" localSheetId="20" hidden="1">0</definedName>
    <definedName name="solver_rsd" localSheetId="16" hidden="1">0</definedName>
    <definedName name="solver_rsd" localSheetId="8" hidden="1">0</definedName>
    <definedName name="solver_rsd" localSheetId="7" hidden="1">0</definedName>
    <definedName name="solver_rsd" localSheetId="18" hidden="1">0</definedName>
    <definedName name="solver_rsd" localSheetId="19" hidden="1">0</definedName>
    <definedName name="solver_rsd" localSheetId="21" hidden="1">0</definedName>
    <definedName name="solver_rsd" localSheetId="22" hidden="1">0</definedName>
    <definedName name="solver_scl" localSheetId="10" hidden="1">1</definedName>
    <definedName name="solver_scl" localSheetId="9" hidden="1">1</definedName>
    <definedName name="solver_scl" localSheetId="23" hidden="1">1</definedName>
    <definedName name="solver_scl" localSheetId="2" hidden="1">0</definedName>
    <definedName name="solver_scl" localSheetId="14" hidden="1">1</definedName>
    <definedName name="solver_scl" localSheetId="4" hidden="1">1</definedName>
    <definedName name="solver_scl" localSheetId="15" hidden="1">1</definedName>
    <definedName name="solver_scl" localSheetId="5" hidden="1">1</definedName>
    <definedName name="solver_scl" localSheetId="12" hidden="1">0</definedName>
    <definedName name="solver_scl" localSheetId="13" hidden="1">0</definedName>
    <definedName name="solver_scl" localSheetId="1" hidden="1">0</definedName>
    <definedName name="solver_scl" localSheetId="17" hidden="1">1</definedName>
    <definedName name="solver_scl" localSheetId="6" hidden="1">1</definedName>
    <definedName name="solver_scl" localSheetId="20" hidden="1">1</definedName>
    <definedName name="solver_scl" localSheetId="16" hidden="1">1</definedName>
    <definedName name="solver_scl" localSheetId="8" hidden="1">1</definedName>
    <definedName name="solver_scl" localSheetId="7" hidden="1">1</definedName>
    <definedName name="solver_scl" localSheetId="18" hidden="1">1</definedName>
    <definedName name="solver_scl" localSheetId="19" hidden="1">1</definedName>
    <definedName name="solver_scl" localSheetId="21" hidden="1">1</definedName>
    <definedName name="solver_scl" localSheetId="22" hidden="1">1</definedName>
    <definedName name="solver_sho" localSheetId="10" hidden="1">2</definedName>
    <definedName name="solver_sho" localSheetId="9" hidden="1">2</definedName>
    <definedName name="solver_sho" localSheetId="23" hidden="1">2</definedName>
    <definedName name="solver_sho" localSheetId="2" hidden="1">0</definedName>
    <definedName name="solver_sho" localSheetId="14" hidden="1">2</definedName>
    <definedName name="solver_sho" localSheetId="4" hidden="1">2</definedName>
    <definedName name="solver_sho" localSheetId="15" hidden="1">2</definedName>
    <definedName name="solver_sho" localSheetId="5" hidden="1">2</definedName>
    <definedName name="solver_sho" localSheetId="12" hidden="1">0</definedName>
    <definedName name="solver_sho" localSheetId="13" hidden="1">0</definedName>
    <definedName name="solver_sho" localSheetId="1" hidden="1">0</definedName>
    <definedName name="solver_sho" localSheetId="17" hidden="1">2</definedName>
    <definedName name="solver_sho" localSheetId="6" hidden="1">2</definedName>
    <definedName name="solver_sho" localSheetId="20" hidden="1">2</definedName>
    <definedName name="solver_sho" localSheetId="16" hidden="1">2</definedName>
    <definedName name="solver_sho" localSheetId="8" hidden="1">2</definedName>
    <definedName name="solver_sho" localSheetId="7" hidden="1">2</definedName>
    <definedName name="solver_sho" localSheetId="18" hidden="1">2</definedName>
    <definedName name="solver_sho" localSheetId="19" hidden="1">2</definedName>
    <definedName name="solver_sho" localSheetId="21" hidden="1">2</definedName>
    <definedName name="solver_sho" localSheetId="22" hidden="1">2</definedName>
    <definedName name="solver_ssz" localSheetId="10" hidden="1">100</definedName>
    <definedName name="solver_ssz" localSheetId="9" hidden="1">100</definedName>
    <definedName name="solver_ssz" localSheetId="23" hidden="1">100</definedName>
    <definedName name="solver_ssz" localSheetId="14" hidden="1">100</definedName>
    <definedName name="solver_ssz" localSheetId="4" hidden="1">100</definedName>
    <definedName name="solver_ssz" localSheetId="15" hidden="1">100</definedName>
    <definedName name="solver_ssz" localSheetId="5" hidden="1">100</definedName>
    <definedName name="solver_ssz" localSheetId="17" hidden="1">100</definedName>
    <definedName name="solver_ssz" localSheetId="6" hidden="1">100</definedName>
    <definedName name="solver_ssz" localSheetId="20" hidden="1">100</definedName>
    <definedName name="solver_ssz" localSheetId="16" hidden="1">100</definedName>
    <definedName name="solver_ssz" localSheetId="8" hidden="1">100</definedName>
    <definedName name="solver_ssz" localSheetId="7" hidden="1">100</definedName>
    <definedName name="solver_ssz" localSheetId="18" hidden="1">100</definedName>
    <definedName name="solver_ssz" localSheetId="19" hidden="1">100</definedName>
    <definedName name="solver_ssz" localSheetId="21" hidden="1">100</definedName>
    <definedName name="solver_ssz" localSheetId="22" hidden="1">100</definedName>
    <definedName name="solver_tim" localSheetId="10" hidden="1">30</definedName>
    <definedName name="solver_tim" localSheetId="9" hidden="1">30</definedName>
    <definedName name="solver_tim" localSheetId="23" hidden="1">30</definedName>
    <definedName name="solver_tim" localSheetId="2" hidden="1">30</definedName>
    <definedName name="solver_tim" localSheetId="14" hidden="1">30</definedName>
    <definedName name="solver_tim" localSheetId="4" hidden="1">30</definedName>
    <definedName name="solver_tim" localSheetId="15" hidden="1">30</definedName>
    <definedName name="solver_tim" localSheetId="5" hidden="1">30</definedName>
    <definedName name="solver_tim" localSheetId="12" hidden="1">30</definedName>
    <definedName name="solver_tim" localSheetId="13" hidden="1">30</definedName>
    <definedName name="solver_tim" localSheetId="1" hidden="1">30</definedName>
    <definedName name="solver_tim" localSheetId="17" hidden="1">30</definedName>
    <definedName name="solver_tim" localSheetId="6" hidden="1">30</definedName>
    <definedName name="solver_tim" localSheetId="20" hidden="1">30</definedName>
    <definedName name="solver_tim" localSheetId="16" hidden="1">30</definedName>
    <definedName name="solver_tim" localSheetId="8" hidden="1">30</definedName>
    <definedName name="solver_tim" localSheetId="7" hidden="1">30</definedName>
    <definedName name="solver_tim" localSheetId="18" hidden="1">30</definedName>
    <definedName name="solver_tim" localSheetId="19" hidden="1">30</definedName>
    <definedName name="solver_tim" localSheetId="21" hidden="1">30</definedName>
    <definedName name="solver_tim" localSheetId="22" hidden="1">30</definedName>
    <definedName name="solver_tmp" localSheetId="10" hidden="1">1</definedName>
    <definedName name="solver_tmp" localSheetId="9" hidden="1">1</definedName>
    <definedName name="solver_tmp" localSheetId="23" hidden="1">1</definedName>
    <definedName name="solver_tmp" localSheetId="2" hidden="1">1</definedName>
    <definedName name="solver_tmp" localSheetId="14" hidden="1">1</definedName>
    <definedName name="solver_tmp" localSheetId="4" hidden="1">1</definedName>
    <definedName name="solver_tmp" localSheetId="15" hidden="1">1</definedName>
    <definedName name="solver_tmp" localSheetId="5" hidden="1">1</definedName>
    <definedName name="solver_tmp" localSheetId="12" hidden="1">1</definedName>
    <definedName name="solver_tmp" localSheetId="13" hidden="1">1</definedName>
    <definedName name="solver_tmp" localSheetId="1" hidden="1">1</definedName>
    <definedName name="solver_tmp" localSheetId="17" hidden="1">1</definedName>
    <definedName name="solver_tmp" localSheetId="6" hidden="1">1</definedName>
    <definedName name="solver_tmp" localSheetId="20" hidden="1">1</definedName>
    <definedName name="solver_tmp" localSheetId="16" hidden="1">1</definedName>
    <definedName name="solver_tmp" localSheetId="8" hidden="1">1</definedName>
    <definedName name="solver_tmp" localSheetId="7" hidden="1">1</definedName>
    <definedName name="solver_tmp" localSheetId="18" hidden="1">1</definedName>
    <definedName name="solver_tmp" localSheetId="19" hidden="1">1</definedName>
    <definedName name="solver_tmp" localSheetId="21" hidden="1">1</definedName>
    <definedName name="solver_tmp" localSheetId="22" hidden="1">1</definedName>
    <definedName name="solver_tol" localSheetId="10" hidden="1">0.05</definedName>
    <definedName name="solver_tol" localSheetId="9" hidden="1">0.05</definedName>
    <definedName name="solver_tol" localSheetId="23" hidden="1">0.05</definedName>
    <definedName name="solver_tol" localSheetId="2" hidden="1">0.05</definedName>
    <definedName name="solver_tol" localSheetId="14" hidden="1">0.05</definedName>
    <definedName name="solver_tol" localSheetId="4" hidden="1">0.05</definedName>
    <definedName name="solver_tol" localSheetId="15" hidden="1">0.05</definedName>
    <definedName name="solver_tol" localSheetId="5" hidden="1">0.05</definedName>
    <definedName name="solver_tol" localSheetId="12" hidden="1">0.05</definedName>
    <definedName name="solver_tol" localSheetId="13" hidden="1">0.05</definedName>
    <definedName name="solver_tol" localSheetId="1" hidden="1">0.05</definedName>
    <definedName name="solver_tol" localSheetId="17" hidden="1">0.05</definedName>
    <definedName name="solver_tol" localSheetId="6" hidden="1">0.05</definedName>
    <definedName name="solver_tol" localSheetId="20" hidden="1">0.05</definedName>
    <definedName name="solver_tol" localSheetId="16" hidden="1">0.05</definedName>
    <definedName name="solver_tol" localSheetId="8" hidden="1">0.05</definedName>
    <definedName name="solver_tol" localSheetId="7" hidden="1">0.05</definedName>
    <definedName name="solver_tol" localSheetId="18" hidden="1">0.05</definedName>
    <definedName name="solver_tol" localSheetId="19" hidden="1">0.05</definedName>
    <definedName name="solver_tol" localSheetId="21" hidden="1">0.05</definedName>
    <definedName name="solver_tol" localSheetId="22" hidden="1">0.05</definedName>
    <definedName name="solver_typ" localSheetId="10" hidden="1">1</definedName>
    <definedName name="solver_typ" localSheetId="9" hidden="1">1</definedName>
    <definedName name="solver_typ" localSheetId="23" hidden="1">1</definedName>
    <definedName name="solver_typ" localSheetId="2" hidden="1">2</definedName>
    <definedName name="solver_typ" localSheetId="14" hidden="1">1</definedName>
    <definedName name="solver_typ" localSheetId="4" hidden="1">1</definedName>
    <definedName name="solver_typ" localSheetId="15" hidden="1">1</definedName>
    <definedName name="solver_typ" localSheetId="5" hidden="1">1</definedName>
    <definedName name="solver_typ" localSheetId="12" hidden="1">2</definedName>
    <definedName name="solver_typ" localSheetId="13" hidden="1">2</definedName>
    <definedName name="solver_typ" localSheetId="1" hidden="1">2</definedName>
    <definedName name="solver_typ" localSheetId="17" hidden="1">1</definedName>
    <definedName name="solver_typ" localSheetId="6" hidden="1">1</definedName>
    <definedName name="solver_typ" localSheetId="20" hidden="1">1</definedName>
    <definedName name="solver_typ" localSheetId="16" hidden="1">1</definedName>
    <definedName name="solver_typ" localSheetId="8" hidden="1">1</definedName>
    <definedName name="solver_typ" localSheetId="7" hidden="1">1</definedName>
    <definedName name="solver_typ" localSheetId="18" hidden="1">1</definedName>
    <definedName name="solver_typ" localSheetId="19" hidden="1">1</definedName>
    <definedName name="solver_typ" localSheetId="21" hidden="1">1</definedName>
    <definedName name="solver_typ" localSheetId="22" hidden="1">1</definedName>
    <definedName name="solver_val" localSheetId="10" hidden="1">0</definedName>
    <definedName name="solver_val" localSheetId="9" hidden="1">0</definedName>
    <definedName name="solver_val" localSheetId="23" hidden="1">0</definedName>
    <definedName name="solver_val" localSheetId="2" hidden="1">0</definedName>
    <definedName name="solver_val" localSheetId="14" hidden="1">0</definedName>
    <definedName name="solver_val" localSheetId="4" hidden="1">0</definedName>
    <definedName name="solver_val" localSheetId="15" hidden="1">0</definedName>
    <definedName name="solver_val" localSheetId="5" hidden="1">0</definedName>
    <definedName name="solver_val" localSheetId="12" hidden="1">0</definedName>
    <definedName name="solver_val" localSheetId="13" hidden="1">0</definedName>
    <definedName name="solver_val" localSheetId="1" hidden="1">0</definedName>
    <definedName name="solver_val" localSheetId="17" hidden="1">0</definedName>
    <definedName name="solver_val" localSheetId="6" hidden="1">0</definedName>
    <definedName name="solver_val" localSheetId="20" hidden="1">0</definedName>
    <definedName name="solver_val" localSheetId="16" hidden="1">0</definedName>
    <definedName name="solver_val" localSheetId="8" hidden="1">0</definedName>
    <definedName name="solver_val" localSheetId="7" hidden="1">0</definedName>
    <definedName name="solver_val" localSheetId="18" hidden="1">0</definedName>
    <definedName name="solver_val" localSheetId="19" hidden="1">0</definedName>
    <definedName name="solver_val" localSheetId="21" hidden="1">0</definedName>
    <definedName name="solver_val" localSheetId="22" hidden="1">0</definedName>
    <definedName name="solver_ver" localSheetId="10" hidden="1">3</definedName>
    <definedName name="solver_ver" localSheetId="9" hidden="1">3</definedName>
    <definedName name="solver_ver" localSheetId="23" hidden="1">3</definedName>
    <definedName name="solver_ver" localSheetId="14" hidden="1">3</definedName>
    <definedName name="solver_ver" localSheetId="4" hidden="1">3</definedName>
    <definedName name="solver_ver" localSheetId="15" hidden="1">3</definedName>
    <definedName name="solver_ver" localSheetId="5" hidden="1">3</definedName>
    <definedName name="solver_ver" localSheetId="17" hidden="1">3</definedName>
    <definedName name="solver_ver" localSheetId="6" hidden="1">3</definedName>
    <definedName name="solver_ver" localSheetId="20" hidden="1">3</definedName>
    <definedName name="solver_ver" localSheetId="16" hidden="1">3</definedName>
    <definedName name="solver_ver" localSheetId="8" hidden="1">3</definedName>
    <definedName name="solver_ver" localSheetId="7" hidden="1">3</definedName>
    <definedName name="solver_ver" localSheetId="18" hidden="1">3</definedName>
    <definedName name="solver_ver" localSheetId="19" hidden="1">3</definedName>
    <definedName name="solver_ver" localSheetId="21" hidden="1">3</definedName>
    <definedName name="solver_ver" localSheetId="22" hidden="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40" i="70" l="1"/>
  <c r="C40" i="70"/>
  <c r="Q36" i="70"/>
  <c r="Q35" i="70"/>
  <c r="Q34" i="70"/>
  <c r="Q33" i="70"/>
  <c r="Q32" i="70"/>
  <c r="Q31" i="70"/>
  <c r="Q30" i="70"/>
  <c r="Q29" i="70"/>
  <c r="Q28" i="70"/>
  <c r="Q27" i="70"/>
  <c r="Q26" i="70"/>
  <c r="Q25" i="70"/>
  <c r="Q24" i="70"/>
  <c r="Q23" i="70"/>
  <c r="Q22" i="70"/>
  <c r="Q21" i="70"/>
  <c r="Q20" i="70"/>
  <c r="Q19" i="70"/>
  <c r="Q18" i="70"/>
  <c r="Q17" i="70"/>
  <c r="Q16" i="70"/>
  <c r="C16" i="70"/>
  <c r="C17" i="70" s="1"/>
  <c r="C18" i="70" s="1"/>
  <c r="C19" i="70" s="1"/>
  <c r="C20" i="70" s="1"/>
  <c r="C21" i="70" s="1"/>
  <c r="C22" i="70" s="1"/>
  <c r="C23" i="70" s="1"/>
  <c r="C24" i="70" s="1"/>
  <c r="C25" i="70" s="1"/>
  <c r="C26" i="70" s="1"/>
  <c r="C27" i="70" s="1"/>
  <c r="C28" i="70" s="1"/>
  <c r="C29" i="70" s="1"/>
  <c r="C30" i="70" s="1"/>
  <c r="C31" i="70" s="1"/>
  <c r="C32" i="70" s="1"/>
  <c r="C33" i="70" s="1"/>
  <c r="C34" i="70" s="1"/>
  <c r="C35" i="70" s="1"/>
  <c r="C36" i="70" s="1"/>
  <c r="B16" i="70"/>
  <c r="B17" i="70" s="1"/>
  <c r="B18" i="70" s="1"/>
  <c r="B19" i="70" s="1"/>
  <c r="B20" i="70" s="1"/>
  <c r="B21" i="70" s="1"/>
  <c r="B22" i="70" s="1"/>
  <c r="B23" i="70" s="1"/>
  <c r="B24" i="70" s="1"/>
  <c r="B25" i="70" s="1"/>
  <c r="B26" i="70" s="1"/>
  <c r="B27" i="70" s="1"/>
  <c r="B28" i="70" s="1"/>
  <c r="B29" i="70" s="1"/>
  <c r="B30" i="70" s="1"/>
  <c r="B31" i="70" s="1"/>
  <c r="B32" i="70" s="1"/>
  <c r="B33" i="70" s="1"/>
  <c r="B34" i="70" s="1"/>
  <c r="B35" i="70" s="1"/>
  <c r="B36" i="70" s="1"/>
  <c r="B9" i="70"/>
  <c r="B8" i="70"/>
  <c r="B7" i="70"/>
  <c r="R13" i="70" s="1"/>
  <c r="B6" i="70"/>
  <c r="B5" i="70"/>
  <c r="B4" i="70"/>
  <c r="Q13" i="70" s="1"/>
  <c r="B3" i="70"/>
  <c r="B2" i="70"/>
  <c r="Q40" i="67"/>
  <c r="C40" i="67"/>
  <c r="Q36" i="67"/>
  <c r="Q35" i="67"/>
  <c r="Q34" i="67"/>
  <c r="Q33" i="67"/>
  <c r="Q32" i="67"/>
  <c r="Q31" i="67"/>
  <c r="Q30" i="67"/>
  <c r="Q29" i="67"/>
  <c r="Q28" i="67"/>
  <c r="Q27" i="67"/>
  <c r="Q26" i="67"/>
  <c r="Q25" i="67"/>
  <c r="Q24" i="67"/>
  <c r="Q23" i="67"/>
  <c r="Q22" i="67"/>
  <c r="Q21" i="67"/>
  <c r="Q20" i="67"/>
  <c r="Q19" i="67"/>
  <c r="Q18" i="67"/>
  <c r="Q17" i="67"/>
  <c r="Q16" i="67"/>
  <c r="C16" i="67"/>
  <c r="C17" i="67" s="1"/>
  <c r="B16" i="67"/>
  <c r="B9" i="67"/>
  <c r="B8" i="67"/>
  <c r="B7" i="67"/>
  <c r="R13" i="67" s="1"/>
  <c r="B6" i="67"/>
  <c r="B5" i="67"/>
  <c r="B4" i="67"/>
  <c r="Q13" i="67" s="1"/>
  <c r="B3" i="67"/>
  <c r="B2" i="67"/>
  <c r="P41" i="30"/>
  <c r="B7" i="62"/>
  <c r="R16" i="67" l="1"/>
  <c r="R30" i="70"/>
  <c r="R18" i="70"/>
  <c r="P18" i="70" s="1"/>
  <c r="R23" i="70"/>
  <c r="P23" i="70" s="1"/>
  <c r="R19" i="70"/>
  <c r="P19" i="70" s="1"/>
  <c r="R31" i="70"/>
  <c r="R27" i="70"/>
  <c r="P27" i="70" s="1"/>
  <c r="R16" i="70"/>
  <c r="P16" i="70" s="1"/>
  <c r="O16" i="70" s="1"/>
  <c r="R20" i="70"/>
  <c r="P20" i="70" s="1"/>
  <c r="R24" i="70"/>
  <c r="P24" i="70" s="1"/>
  <c r="R28" i="70"/>
  <c r="P30" i="70"/>
  <c r="R32" i="70"/>
  <c r="P32" i="70" s="1"/>
  <c r="R17" i="70"/>
  <c r="P17" i="70" s="1"/>
  <c r="R21" i="70"/>
  <c r="P21" i="70" s="1"/>
  <c r="R25" i="70"/>
  <c r="P25" i="70" s="1"/>
  <c r="R29" i="70"/>
  <c r="P29" i="70" s="1"/>
  <c r="P31" i="70"/>
  <c r="R33" i="70"/>
  <c r="P33" i="70" s="1"/>
  <c r="R34" i="70"/>
  <c r="P34" i="70" s="1"/>
  <c r="R35" i="70"/>
  <c r="P35" i="70" s="1"/>
  <c r="R36" i="70"/>
  <c r="P36" i="70" s="1"/>
  <c r="R22" i="70"/>
  <c r="P22" i="70" s="1"/>
  <c r="R26" i="70"/>
  <c r="P26" i="70" s="1"/>
  <c r="P28" i="70"/>
  <c r="B17" i="67"/>
  <c r="B18" i="67" s="1"/>
  <c r="B19" i="67" s="1"/>
  <c r="B20" i="67" s="1"/>
  <c r="P16" i="67"/>
  <c r="O16" i="67" s="1"/>
  <c r="C18" i="67"/>
  <c r="C19" i="67" s="1"/>
  <c r="C20" i="67" s="1"/>
  <c r="C21" i="67" s="1"/>
  <c r="C22" i="67" s="1"/>
  <c r="C23" i="67" s="1"/>
  <c r="C24" i="67" s="1"/>
  <c r="C25" i="67" s="1"/>
  <c r="C26" i="67" s="1"/>
  <c r="C27" i="67" s="1"/>
  <c r="C28" i="67" s="1"/>
  <c r="C29" i="67" s="1"/>
  <c r="C30" i="67" s="1"/>
  <c r="C31" i="67" s="1"/>
  <c r="C32" i="67" s="1"/>
  <c r="C33" i="67" s="1"/>
  <c r="C34" i="67" s="1"/>
  <c r="C35" i="67" s="1"/>
  <c r="C36" i="67" s="1"/>
  <c r="R17" i="67" l="1"/>
  <c r="P17" i="67" s="1"/>
  <c r="O17" i="70"/>
  <c r="F16" i="70"/>
  <c r="O17" i="67"/>
  <c r="F16" i="67"/>
  <c r="R18" i="67"/>
  <c r="P18" i="67" s="1"/>
  <c r="R19" i="67"/>
  <c r="P19" i="67" s="1"/>
  <c r="R20" i="67"/>
  <c r="P20" i="67" s="1"/>
  <c r="B21" i="67"/>
  <c r="J16" i="70" l="1"/>
  <c r="G16" i="70"/>
  <c r="H16" i="70" s="1"/>
  <c r="O18" i="70"/>
  <c r="F17" i="70"/>
  <c r="B22" i="67"/>
  <c r="R21" i="67"/>
  <c r="P21" i="67" s="1"/>
  <c r="G16" i="67"/>
  <c r="H16" i="67" s="1"/>
  <c r="J16" i="67"/>
  <c r="O18" i="67"/>
  <c r="F17" i="67"/>
  <c r="J17" i="70" l="1"/>
  <c r="G17" i="70"/>
  <c r="H17" i="70" s="1"/>
  <c r="O19" i="70"/>
  <c r="F18" i="70"/>
  <c r="K16" i="70"/>
  <c r="L16" i="70" s="1"/>
  <c r="M16" i="70"/>
  <c r="K16" i="67"/>
  <c r="L16" i="67" s="1"/>
  <c r="M16" i="67"/>
  <c r="J17" i="67"/>
  <c r="G17" i="67"/>
  <c r="H17" i="67" s="1"/>
  <c r="O19" i="67"/>
  <c r="F18" i="67"/>
  <c r="B23" i="67"/>
  <c r="R22" i="67"/>
  <c r="P22" i="67" s="1"/>
  <c r="Q40" i="66"/>
  <c r="C40" i="66"/>
  <c r="Q36" i="66"/>
  <c r="Q35" i="66"/>
  <c r="Q34" i="66"/>
  <c r="Q33" i="66"/>
  <c r="Q32" i="66"/>
  <c r="Q31" i="66"/>
  <c r="Q30" i="66"/>
  <c r="Q29" i="66"/>
  <c r="Q28" i="66"/>
  <c r="Q27" i="66"/>
  <c r="Q26" i="66"/>
  <c r="Q25" i="66"/>
  <c r="Q24" i="66"/>
  <c r="Q23" i="66"/>
  <c r="Q22" i="66"/>
  <c r="Q21" i="66"/>
  <c r="Q20" i="66"/>
  <c r="Q19" i="66"/>
  <c r="Q18" i="66"/>
  <c r="Q17" i="66"/>
  <c r="Q16" i="66"/>
  <c r="C16" i="66"/>
  <c r="C17" i="66" s="1"/>
  <c r="B16" i="66"/>
  <c r="B9" i="66"/>
  <c r="B8" i="66"/>
  <c r="B7" i="66"/>
  <c r="R13" i="66" s="1"/>
  <c r="B6" i="66"/>
  <c r="B5" i="66"/>
  <c r="B4" i="66"/>
  <c r="Q13" i="66" s="1"/>
  <c r="B3" i="66"/>
  <c r="B2" i="66"/>
  <c r="C44" i="41"/>
  <c r="B13" i="65"/>
  <c r="B14" i="65" s="1"/>
  <c r="B15" i="65" s="1"/>
  <c r="B16" i="65" s="1"/>
  <c r="B17" i="65" s="1"/>
  <c r="B18" i="65" s="1"/>
  <c r="B19" i="65" s="1"/>
  <c r="B20" i="65" s="1"/>
  <c r="B21" i="65" s="1"/>
  <c r="B22" i="65" s="1"/>
  <c r="B23" i="65" s="1"/>
  <c r="B24" i="65" s="1"/>
  <c r="B25" i="65" s="1"/>
  <c r="B26" i="65" s="1"/>
  <c r="B27" i="65" s="1"/>
  <c r="B28" i="65" s="1"/>
  <c r="B29" i="65" s="1"/>
  <c r="B30" i="65" s="1"/>
  <c r="B31" i="65" s="1"/>
  <c r="B32" i="65" s="1"/>
  <c r="B33" i="65" s="1"/>
  <c r="B34" i="65" s="1"/>
  <c r="B35" i="65" s="1"/>
  <c r="B36" i="65" s="1"/>
  <c r="B37" i="65" s="1"/>
  <c r="B38" i="65" s="1"/>
  <c r="R12" i="65"/>
  <c r="C12" i="65"/>
  <c r="C13" i="65" s="1"/>
  <c r="B4" i="65"/>
  <c r="R9" i="65" s="1"/>
  <c r="B3" i="65"/>
  <c r="Q9" i="65" s="1"/>
  <c r="P25" i="65" s="1"/>
  <c r="B2" i="65"/>
  <c r="B1" i="65"/>
  <c r="B4" i="62"/>
  <c r="Q13" i="62" s="1"/>
  <c r="Q36" i="62"/>
  <c r="Q35" i="62"/>
  <c r="Q34" i="62"/>
  <c r="Q33" i="62"/>
  <c r="Q32" i="62"/>
  <c r="Q31" i="62"/>
  <c r="Q30" i="62"/>
  <c r="Q29" i="62"/>
  <c r="Q28" i="62"/>
  <c r="Q27" i="62"/>
  <c r="Q26" i="62"/>
  <c r="Q25" i="62"/>
  <c r="Q24" i="62"/>
  <c r="Q23" i="62"/>
  <c r="Q22" i="62"/>
  <c r="Q21" i="62"/>
  <c r="Q20" i="62"/>
  <c r="Q19" i="62"/>
  <c r="Q18" i="62"/>
  <c r="Q17" i="62"/>
  <c r="Q16" i="62"/>
  <c r="C16" i="62"/>
  <c r="B16" i="62"/>
  <c r="B17" i="62" s="1"/>
  <c r="B18" i="62" s="1"/>
  <c r="B19" i="62" s="1"/>
  <c r="B20" i="62" s="1"/>
  <c r="B21" i="62" s="1"/>
  <c r="B22" i="62" s="1"/>
  <c r="B23" i="62" s="1"/>
  <c r="B24" i="62" s="1"/>
  <c r="B25" i="62" s="1"/>
  <c r="B26" i="62" s="1"/>
  <c r="B27" i="62" s="1"/>
  <c r="B28" i="62" s="1"/>
  <c r="B29" i="62" s="1"/>
  <c r="B30" i="62" s="1"/>
  <c r="B31" i="62" s="1"/>
  <c r="B32" i="62" s="1"/>
  <c r="B33" i="62" s="1"/>
  <c r="B34" i="62" s="1"/>
  <c r="B35" i="62" s="1"/>
  <c r="B36" i="62" s="1"/>
  <c r="Q40" i="62"/>
  <c r="C40" i="62"/>
  <c r="B9" i="62"/>
  <c r="B8" i="62"/>
  <c r="R13" i="62"/>
  <c r="B6" i="62"/>
  <c r="B5" i="62"/>
  <c r="B3" i="62"/>
  <c r="B2" i="62"/>
  <c r="B10" i="59"/>
  <c r="B11" i="59" s="1"/>
  <c r="B12" i="59" s="1"/>
  <c r="B13" i="59" s="1"/>
  <c r="B14" i="59" s="1"/>
  <c r="B15" i="59" s="1"/>
  <c r="B16" i="59" s="1"/>
  <c r="B17" i="59" s="1"/>
  <c r="B18" i="59" s="1"/>
  <c r="B19" i="59" s="1"/>
  <c r="B20" i="59" s="1"/>
  <c r="B21" i="59" s="1"/>
  <c r="B22" i="59" s="1"/>
  <c r="B23" i="59" s="1"/>
  <c r="B24" i="59" s="1"/>
  <c r="B25" i="59" s="1"/>
  <c r="B26" i="59" s="1"/>
  <c r="B27" i="59" s="1"/>
  <c r="B28" i="59" s="1"/>
  <c r="B29" i="59" s="1"/>
  <c r="B30" i="59" s="1"/>
  <c r="B31" i="59" s="1"/>
  <c r="B32" i="59" s="1"/>
  <c r="B33" i="59" s="1"/>
  <c r="B34" i="59" s="1"/>
  <c r="C9" i="59"/>
  <c r="C10" i="59" s="1"/>
  <c r="C11" i="59" s="1"/>
  <c r="C12" i="59" s="1"/>
  <c r="C13" i="59" s="1"/>
  <c r="C14" i="59" s="1"/>
  <c r="C15" i="59" s="1"/>
  <c r="C16" i="59" s="1"/>
  <c r="C17" i="59" s="1"/>
  <c r="C18" i="59" s="1"/>
  <c r="C19" i="59" s="1"/>
  <c r="C20" i="59" s="1"/>
  <c r="C21" i="59" s="1"/>
  <c r="C22" i="59" s="1"/>
  <c r="C23" i="59" s="1"/>
  <c r="C24" i="59" s="1"/>
  <c r="C25" i="59" s="1"/>
  <c r="C26" i="59" s="1"/>
  <c r="C27" i="59" s="1"/>
  <c r="C28" i="59" s="1"/>
  <c r="C29" i="59" s="1"/>
  <c r="C30" i="59" s="1"/>
  <c r="C31" i="59" s="1"/>
  <c r="C32" i="59" s="1"/>
  <c r="C33" i="59" s="1"/>
  <c r="C34" i="59" s="1"/>
  <c r="C35" i="59" s="1"/>
  <c r="B3" i="59"/>
  <c r="R6" i="59" s="1"/>
  <c r="B2" i="59"/>
  <c r="B1" i="59"/>
  <c r="B10" i="58"/>
  <c r="B11" i="58" s="1"/>
  <c r="B12" i="58" s="1"/>
  <c r="B13" i="58" s="1"/>
  <c r="B14" i="58" s="1"/>
  <c r="B15" i="58" s="1"/>
  <c r="B16" i="58" s="1"/>
  <c r="B17" i="58" s="1"/>
  <c r="B18" i="58" s="1"/>
  <c r="B19" i="58" s="1"/>
  <c r="B20" i="58" s="1"/>
  <c r="B21" i="58" s="1"/>
  <c r="B22" i="58" s="1"/>
  <c r="B23" i="58" s="1"/>
  <c r="B24" i="58" s="1"/>
  <c r="B25" i="58" s="1"/>
  <c r="B26" i="58" s="1"/>
  <c r="B27" i="58" s="1"/>
  <c r="B28" i="58" s="1"/>
  <c r="B29" i="58" s="1"/>
  <c r="B30" i="58" s="1"/>
  <c r="B31" i="58" s="1"/>
  <c r="B32" i="58" s="1"/>
  <c r="B33" i="58" s="1"/>
  <c r="B34" i="58" s="1"/>
  <c r="C9" i="58"/>
  <c r="C10" i="58" s="1"/>
  <c r="C11" i="58" s="1"/>
  <c r="C12" i="58" s="1"/>
  <c r="C13" i="58" s="1"/>
  <c r="C14" i="58" s="1"/>
  <c r="C15" i="58" s="1"/>
  <c r="C16" i="58" s="1"/>
  <c r="C17" i="58" s="1"/>
  <c r="C18" i="58" s="1"/>
  <c r="C19" i="58" s="1"/>
  <c r="C20" i="58" s="1"/>
  <c r="C21" i="58" s="1"/>
  <c r="C22" i="58" s="1"/>
  <c r="C23" i="58" s="1"/>
  <c r="C24" i="58" s="1"/>
  <c r="C25" i="58" s="1"/>
  <c r="C26" i="58" s="1"/>
  <c r="C27" i="58" s="1"/>
  <c r="C28" i="58" s="1"/>
  <c r="C29" i="58" s="1"/>
  <c r="C30" i="58" s="1"/>
  <c r="C31" i="58" s="1"/>
  <c r="C32" i="58" s="1"/>
  <c r="C33" i="58" s="1"/>
  <c r="C34" i="58" s="1"/>
  <c r="C35" i="58" s="1"/>
  <c r="B3" i="58"/>
  <c r="Q6" i="58" s="1"/>
  <c r="B2" i="58"/>
  <c r="B1" i="58"/>
  <c r="H26" i="19"/>
  <c r="R16" i="62" l="1"/>
  <c r="C17" i="62"/>
  <c r="P17" i="65"/>
  <c r="P12" i="65"/>
  <c r="O12" i="65" s="1"/>
  <c r="G18" i="70"/>
  <c r="H18" i="70" s="1"/>
  <c r="J18" i="70"/>
  <c r="O20" i="70"/>
  <c r="F19" i="70"/>
  <c r="M17" i="70"/>
  <c r="K17" i="70"/>
  <c r="L17" i="70" s="1"/>
  <c r="B24" i="67"/>
  <c r="R23" i="67"/>
  <c r="P23" i="67" s="1"/>
  <c r="J18" i="67"/>
  <c r="G18" i="67"/>
  <c r="H18" i="67" s="1"/>
  <c r="F19" i="67"/>
  <c r="O20" i="67"/>
  <c r="K17" i="67"/>
  <c r="L17" i="67" s="1"/>
  <c r="M17" i="67"/>
  <c r="B17" i="66"/>
  <c r="B18" i="66" s="1"/>
  <c r="B19" i="66" s="1"/>
  <c r="B20" i="66" s="1"/>
  <c r="C18" i="66"/>
  <c r="C19" i="66" s="1"/>
  <c r="C20" i="66" s="1"/>
  <c r="C21" i="66" s="1"/>
  <c r="C22" i="66" s="1"/>
  <c r="C23" i="66" s="1"/>
  <c r="C24" i="66" s="1"/>
  <c r="C25" i="66" s="1"/>
  <c r="C26" i="66" s="1"/>
  <c r="C27" i="66" s="1"/>
  <c r="C28" i="66" s="1"/>
  <c r="C29" i="66" s="1"/>
  <c r="C30" i="66" s="1"/>
  <c r="C31" i="66" s="1"/>
  <c r="C32" i="66" s="1"/>
  <c r="C33" i="66" s="1"/>
  <c r="C34" i="66" s="1"/>
  <c r="C35" i="66" s="1"/>
  <c r="C36" i="66" s="1"/>
  <c r="R16" i="66"/>
  <c r="P16" i="66" s="1"/>
  <c r="O16" i="66" s="1"/>
  <c r="P38" i="65"/>
  <c r="P36" i="65"/>
  <c r="P34" i="65"/>
  <c r="P32" i="65"/>
  <c r="P30" i="65"/>
  <c r="P26" i="65"/>
  <c r="P22" i="65"/>
  <c r="P18" i="65"/>
  <c r="P14" i="65"/>
  <c r="P33" i="65"/>
  <c r="P31" i="65"/>
  <c r="P27" i="65"/>
  <c r="P23" i="65"/>
  <c r="P19" i="65"/>
  <c r="P15" i="65"/>
  <c r="P37" i="65"/>
  <c r="P35" i="65"/>
  <c r="P20" i="65"/>
  <c r="P28" i="65"/>
  <c r="C14" i="65"/>
  <c r="P13" i="65"/>
  <c r="P21" i="65"/>
  <c r="P29" i="65"/>
  <c r="P16" i="65"/>
  <c r="P24" i="65"/>
  <c r="R17" i="62"/>
  <c r="P17" i="62" s="1"/>
  <c r="R33" i="62"/>
  <c r="P33" i="62" s="1"/>
  <c r="R29" i="62"/>
  <c r="P29" i="62" s="1"/>
  <c r="R25" i="62"/>
  <c r="P25" i="62" s="1"/>
  <c r="R21" i="62"/>
  <c r="P21" i="62" s="1"/>
  <c r="R18" i="62"/>
  <c r="P18" i="62" s="1"/>
  <c r="R36" i="62"/>
  <c r="P36" i="62" s="1"/>
  <c r="R32" i="62"/>
  <c r="P32" i="62" s="1"/>
  <c r="R28" i="62"/>
  <c r="P28" i="62" s="1"/>
  <c r="R24" i="62"/>
  <c r="P24" i="62" s="1"/>
  <c r="R20" i="62"/>
  <c r="P20" i="62" s="1"/>
  <c r="R19" i="62"/>
  <c r="P19" i="62" s="1"/>
  <c r="R35" i="62"/>
  <c r="P35" i="62" s="1"/>
  <c r="R31" i="62"/>
  <c r="P31" i="62" s="1"/>
  <c r="R27" i="62"/>
  <c r="P27" i="62" s="1"/>
  <c r="R23" i="62"/>
  <c r="P23" i="62" s="1"/>
  <c r="P16" i="62"/>
  <c r="O16" i="62" s="1"/>
  <c r="R34" i="62"/>
  <c r="P34" i="62" s="1"/>
  <c r="R30" i="62"/>
  <c r="P30" i="62" s="1"/>
  <c r="R26" i="62"/>
  <c r="P26" i="62" s="1"/>
  <c r="R22" i="62"/>
  <c r="P22" i="62" s="1"/>
  <c r="B35" i="59"/>
  <c r="V31" i="59"/>
  <c r="Q35" i="59"/>
  <c r="Q31" i="59"/>
  <c r="Q29" i="59"/>
  <c r="Q27" i="59"/>
  <c r="Q25" i="59"/>
  <c r="Q23" i="59"/>
  <c r="Q21" i="59"/>
  <c r="Q19" i="59"/>
  <c r="Q17" i="59"/>
  <c r="Q15" i="59"/>
  <c r="Q13" i="59"/>
  <c r="Q11" i="59"/>
  <c r="Q9" i="59"/>
  <c r="P9" i="59" s="1"/>
  <c r="Q34" i="59"/>
  <c r="Q32" i="59"/>
  <c r="Q30" i="59"/>
  <c r="Q28" i="59"/>
  <c r="Q26" i="59"/>
  <c r="Q24" i="59"/>
  <c r="Q22" i="59"/>
  <c r="Q20" i="59"/>
  <c r="Q18" i="59"/>
  <c r="Q16" i="59"/>
  <c r="Q14" i="59"/>
  <c r="Q12" i="59"/>
  <c r="Q10" i="59"/>
  <c r="Q33" i="59"/>
  <c r="B35" i="58"/>
  <c r="U31" i="58"/>
  <c r="P35" i="58"/>
  <c r="P31" i="58"/>
  <c r="P29" i="58"/>
  <c r="P27" i="58"/>
  <c r="P25" i="58"/>
  <c r="P23" i="58"/>
  <c r="P21" i="58"/>
  <c r="P19" i="58"/>
  <c r="P17" i="58"/>
  <c r="P15" i="58"/>
  <c r="P13" i="58"/>
  <c r="P11" i="58"/>
  <c r="P9" i="58"/>
  <c r="O9" i="58" s="1"/>
  <c r="P33" i="58"/>
  <c r="P34" i="58"/>
  <c r="P32" i="58"/>
  <c r="P30" i="58"/>
  <c r="P28" i="58"/>
  <c r="P26" i="58"/>
  <c r="P24" i="58"/>
  <c r="P22" i="58"/>
  <c r="P20" i="58"/>
  <c r="P18" i="58"/>
  <c r="P16" i="58"/>
  <c r="P14" i="58"/>
  <c r="P12" i="58"/>
  <c r="P10" i="58"/>
  <c r="Q20" i="38"/>
  <c r="L2" i="57"/>
  <c r="Q18" i="38"/>
  <c r="B3" i="57"/>
  <c r="S7" i="57" s="1"/>
  <c r="B7" i="57"/>
  <c r="S8" i="57" s="1"/>
  <c r="B6" i="57"/>
  <c r="E6" i="57" s="1"/>
  <c r="B5" i="57"/>
  <c r="B4" i="57"/>
  <c r="B12" i="57"/>
  <c r="B13" i="57" s="1"/>
  <c r="B14" i="57" s="1"/>
  <c r="B15" i="57" s="1"/>
  <c r="B16" i="57" s="1"/>
  <c r="B17" i="57" s="1"/>
  <c r="B18" i="57" s="1"/>
  <c r="B19" i="57" s="1"/>
  <c r="B20" i="57" s="1"/>
  <c r="B21" i="57" s="1"/>
  <c r="B22" i="57" s="1"/>
  <c r="B23" i="57" s="1"/>
  <c r="B24" i="57" s="1"/>
  <c r="B25" i="57" s="1"/>
  <c r="B26" i="57" s="1"/>
  <c r="B27" i="57" s="1"/>
  <c r="B28" i="57" s="1"/>
  <c r="B29" i="57" s="1"/>
  <c r="B30" i="57" s="1"/>
  <c r="B31" i="57" s="1"/>
  <c r="B32" i="57" s="1"/>
  <c r="B33" i="57" s="1"/>
  <c r="B34" i="57" s="1"/>
  <c r="B35" i="57" s="1"/>
  <c r="B36" i="57" s="1"/>
  <c r="B37" i="57" s="1"/>
  <c r="C11" i="57"/>
  <c r="C12" i="57" s="1"/>
  <c r="C13" i="57" s="1"/>
  <c r="C14" i="57" s="1"/>
  <c r="C15" i="57" s="1"/>
  <c r="C16" i="57" s="1"/>
  <c r="C17" i="57" s="1"/>
  <c r="C18" i="57" s="1"/>
  <c r="C19" i="57" s="1"/>
  <c r="C20" i="57" s="1"/>
  <c r="C21" i="57" s="1"/>
  <c r="C22" i="57" s="1"/>
  <c r="C23" i="57" s="1"/>
  <c r="C24" i="57" s="1"/>
  <c r="C25" i="57" s="1"/>
  <c r="C26" i="57" s="1"/>
  <c r="C27" i="57" s="1"/>
  <c r="C28" i="57" s="1"/>
  <c r="C29" i="57" s="1"/>
  <c r="C30" i="57" s="1"/>
  <c r="C31" i="57" s="1"/>
  <c r="C32" i="57" s="1"/>
  <c r="C33" i="57" s="1"/>
  <c r="C34" i="57" s="1"/>
  <c r="C35" i="57" s="1"/>
  <c r="C36" i="57" s="1"/>
  <c r="C37" i="57" s="1"/>
  <c r="B2" i="57"/>
  <c r="B1" i="57"/>
  <c r="B2" i="53"/>
  <c r="B1" i="53"/>
  <c r="O10" i="51"/>
  <c r="O11" i="51"/>
  <c r="O12" i="51"/>
  <c r="O13" i="51"/>
  <c r="O14" i="51"/>
  <c r="O15" i="51"/>
  <c r="O16" i="51"/>
  <c r="O17" i="51"/>
  <c r="O18" i="51"/>
  <c r="O19" i="51"/>
  <c r="O20" i="51"/>
  <c r="O21" i="51"/>
  <c r="O22" i="51"/>
  <c r="O23" i="51"/>
  <c r="O24" i="51"/>
  <c r="O25" i="51"/>
  <c r="O26" i="51"/>
  <c r="O27" i="51"/>
  <c r="O28" i="51"/>
  <c r="O29" i="51"/>
  <c r="O30" i="51"/>
  <c r="O31" i="51"/>
  <c r="O32" i="51"/>
  <c r="O33" i="51"/>
  <c r="O34" i="51"/>
  <c r="O35" i="51"/>
  <c r="O9" i="51"/>
  <c r="N24" i="23"/>
  <c r="N25" i="23"/>
  <c r="B10" i="56"/>
  <c r="B11" i="56" s="1"/>
  <c r="B12" i="56" s="1"/>
  <c r="B13" i="56" s="1"/>
  <c r="B14" i="56" s="1"/>
  <c r="B15" i="56" s="1"/>
  <c r="B16" i="56" s="1"/>
  <c r="B17" i="56" s="1"/>
  <c r="B18" i="56" s="1"/>
  <c r="B19" i="56" s="1"/>
  <c r="B20" i="56" s="1"/>
  <c r="B21" i="56" s="1"/>
  <c r="B22" i="56" s="1"/>
  <c r="B23" i="56" s="1"/>
  <c r="B24" i="56" s="1"/>
  <c r="B25" i="56" s="1"/>
  <c r="B26" i="56" s="1"/>
  <c r="B27" i="56" s="1"/>
  <c r="B28" i="56" s="1"/>
  <c r="B29" i="56" s="1"/>
  <c r="B30" i="56" s="1"/>
  <c r="B31" i="56" s="1"/>
  <c r="B32" i="56" s="1"/>
  <c r="B33" i="56" s="1"/>
  <c r="B34" i="56" s="1"/>
  <c r="C9" i="56"/>
  <c r="C10" i="56" s="1"/>
  <c r="C11" i="56" s="1"/>
  <c r="C12" i="56" s="1"/>
  <c r="C13" i="56" s="1"/>
  <c r="C14" i="56" s="1"/>
  <c r="C15" i="56" s="1"/>
  <c r="C16" i="56" s="1"/>
  <c r="C17" i="56" s="1"/>
  <c r="C18" i="56" s="1"/>
  <c r="C19" i="56" s="1"/>
  <c r="C20" i="56" s="1"/>
  <c r="C21" i="56" s="1"/>
  <c r="C22" i="56" s="1"/>
  <c r="C23" i="56" s="1"/>
  <c r="C24" i="56" s="1"/>
  <c r="C25" i="56" s="1"/>
  <c r="C26" i="56" s="1"/>
  <c r="C27" i="56" s="1"/>
  <c r="C28" i="56" s="1"/>
  <c r="C29" i="56" s="1"/>
  <c r="C30" i="56" s="1"/>
  <c r="C31" i="56" s="1"/>
  <c r="C32" i="56" s="1"/>
  <c r="C33" i="56" s="1"/>
  <c r="C34" i="56" s="1"/>
  <c r="C35" i="56" s="1"/>
  <c r="B3" i="56"/>
  <c r="R6" i="56" s="1"/>
  <c r="Q22" i="56" s="1"/>
  <c r="B2" i="56"/>
  <c r="B1" i="56"/>
  <c r="F21" i="19"/>
  <c r="B10" i="53"/>
  <c r="B11" i="53" s="1"/>
  <c r="B12" i="53" s="1"/>
  <c r="B13" i="53" s="1"/>
  <c r="B14" i="53" s="1"/>
  <c r="B15" i="53" s="1"/>
  <c r="B16" i="53" s="1"/>
  <c r="B17" i="53" s="1"/>
  <c r="B18" i="53" s="1"/>
  <c r="B19" i="53" s="1"/>
  <c r="B20" i="53" s="1"/>
  <c r="B21" i="53" s="1"/>
  <c r="B22" i="53" s="1"/>
  <c r="B23" i="53" s="1"/>
  <c r="B24" i="53" s="1"/>
  <c r="B25" i="53" s="1"/>
  <c r="B26" i="53" s="1"/>
  <c r="B27" i="53" s="1"/>
  <c r="B28" i="53" s="1"/>
  <c r="B29" i="53" s="1"/>
  <c r="B30" i="53" s="1"/>
  <c r="B31" i="53" s="1"/>
  <c r="B32" i="53" s="1"/>
  <c r="B33" i="53" s="1"/>
  <c r="B34" i="53" s="1"/>
  <c r="B35" i="53" s="1"/>
  <c r="C9" i="53"/>
  <c r="C10" i="53" s="1"/>
  <c r="C11" i="53" s="1"/>
  <c r="R6" i="53"/>
  <c r="Q6" i="53"/>
  <c r="B4" i="53"/>
  <c r="B3" i="53"/>
  <c r="B2" i="51"/>
  <c r="B10" i="51"/>
  <c r="B11" i="51" s="1"/>
  <c r="B12" i="51" s="1"/>
  <c r="B13" i="51" s="1"/>
  <c r="B14" i="51" s="1"/>
  <c r="B15" i="51" s="1"/>
  <c r="B16" i="51" s="1"/>
  <c r="B17" i="51" s="1"/>
  <c r="B18" i="51" s="1"/>
  <c r="B19" i="51" s="1"/>
  <c r="B20" i="51" s="1"/>
  <c r="B21" i="51" s="1"/>
  <c r="B22" i="51" s="1"/>
  <c r="B23" i="51" s="1"/>
  <c r="B24" i="51" s="1"/>
  <c r="B25" i="51" s="1"/>
  <c r="B26" i="51" s="1"/>
  <c r="B27" i="51" s="1"/>
  <c r="B28" i="51" s="1"/>
  <c r="B29" i="51" s="1"/>
  <c r="B30" i="51" s="1"/>
  <c r="B31" i="51" s="1"/>
  <c r="B32" i="51" s="1"/>
  <c r="B33" i="51" s="1"/>
  <c r="B34" i="51" s="1"/>
  <c r="B35" i="51" s="1"/>
  <c r="C9" i="51"/>
  <c r="C10" i="51" s="1"/>
  <c r="C11" i="51" s="1"/>
  <c r="B4" i="51"/>
  <c r="B3" i="51"/>
  <c r="B1" i="51"/>
  <c r="F6" i="23"/>
  <c r="G6" i="23" s="1"/>
  <c r="H6" i="23" s="1"/>
  <c r="B2" i="18"/>
  <c r="B1" i="18"/>
  <c r="B17" i="41"/>
  <c r="B18" i="41" s="1"/>
  <c r="C16" i="41"/>
  <c r="S13" i="41"/>
  <c r="B9" i="41"/>
  <c r="B8" i="41"/>
  <c r="B7" i="41"/>
  <c r="B6" i="41"/>
  <c r="R16" i="41" s="1"/>
  <c r="B5" i="41"/>
  <c r="R13" i="41" s="1"/>
  <c r="B4" i="41"/>
  <c r="Q13" i="41" s="1"/>
  <c r="B3" i="41"/>
  <c r="B2" i="41"/>
  <c r="R17" i="66" l="1"/>
  <c r="P17" i="66" s="1"/>
  <c r="B35" i="56"/>
  <c r="V31" i="56"/>
  <c r="R19" i="66"/>
  <c r="P19" i="66" s="1"/>
  <c r="C18" i="62"/>
  <c r="F7" i="18"/>
  <c r="O35" i="53"/>
  <c r="R18" i="66"/>
  <c r="P18" i="66" s="1"/>
  <c r="O21" i="70"/>
  <c r="F20" i="70"/>
  <c r="M18" i="70"/>
  <c r="K18" i="70"/>
  <c r="L18" i="70" s="1"/>
  <c r="G19" i="70"/>
  <c r="H19" i="70" s="1"/>
  <c r="J19" i="70"/>
  <c r="M18" i="67"/>
  <c r="K18" i="67"/>
  <c r="L18" i="67" s="1"/>
  <c r="O21" i="67"/>
  <c r="F20" i="67"/>
  <c r="G19" i="67"/>
  <c r="H19" i="67" s="1"/>
  <c r="J19" i="67"/>
  <c r="R24" i="67"/>
  <c r="P24" i="67" s="1"/>
  <c r="B25" i="67"/>
  <c r="O17" i="66"/>
  <c r="F16" i="66"/>
  <c r="B21" i="66"/>
  <c r="R20" i="66"/>
  <c r="P20" i="66" s="1"/>
  <c r="O13" i="65"/>
  <c r="F12" i="65"/>
  <c r="C15" i="65"/>
  <c r="O17" i="62"/>
  <c r="O18" i="62" s="1"/>
  <c r="O19" i="62" s="1"/>
  <c r="P10" i="59"/>
  <c r="G9" i="59"/>
  <c r="O10" i="58"/>
  <c r="G9" i="58"/>
  <c r="R13" i="57"/>
  <c r="R17" i="57"/>
  <c r="R21" i="57"/>
  <c r="R25" i="57"/>
  <c r="R29" i="57"/>
  <c r="R33" i="57"/>
  <c r="R37" i="57"/>
  <c r="R14" i="57"/>
  <c r="R18" i="57"/>
  <c r="R22" i="57"/>
  <c r="R26" i="57"/>
  <c r="R30" i="57"/>
  <c r="R34" i="57"/>
  <c r="R11" i="57"/>
  <c r="Q11" i="57" s="1"/>
  <c r="R15" i="57"/>
  <c r="R19" i="57"/>
  <c r="R23" i="57"/>
  <c r="R27" i="57"/>
  <c r="R31" i="57"/>
  <c r="R35" i="57"/>
  <c r="R12" i="57"/>
  <c r="R16" i="57"/>
  <c r="R20" i="57"/>
  <c r="R24" i="57"/>
  <c r="R28" i="57"/>
  <c r="R32" i="57"/>
  <c r="R36" i="57"/>
  <c r="P12" i="57"/>
  <c r="P15" i="57"/>
  <c r="P21" i="57"/>
  <c r="P26" i="57"/>
  <c r="P31" i="57"/>
  <c r="P37" i="57"/>
  <c r="P17" i="57"/>
  <c r="P22" i="57"/>
  <c r="P27" i="57"/>
  <c r="P33" i="57"/>
  <c r="P11" i="57"/>
  <c r="O11" i="57" s="1"/>
  <c r="P13" i="57"/>
  <c r="P18" i="57"/>
  <c r="P23" i="57"/>
  <c r="P29" i="57"/>
  <c r="P34" i="57"/>
  <c r="P14" i="57"/>
  <c r="P19" i="57"/>
  <c r="P25" i="57"/>
  <c r="P30" i="57"/>
  <c r="P35" i="57"/>
  <c r="P36" i="57"/>
  <c r="P32" i="57"/>
  <c r="P28" i="57"/>
  <c r="P24" i="57"/>
  <c r="P20" i="57"/>
  <c r="P16" i="57"/>
  <c r="Q12" i="56"/>
  <c r="Q20" i="56"/>
  <c r="Q10" i="56"/>
  <c r="Q18" i="56"/>
  <c r="Q14" i="56"/>
  <c r="Q26" i="56"/>
  <c r="Q35" i="56"/>
  <c r="Q33" i="56"/>
  <c r="Q31" i="56"/>
  <c r="Q29" i="56"/>
  <c r="Q27" i="56"/>
  <c r="Q25" i="56"/>
  <c r="Q23" i="56"/>
  <c r="Q21" i="56"/>
  <c r="Q19" i="56"/>
  <c r="Q17" i="56"/>
  <c r="Q15" i="56"/>
  <c r="Q13" i="56"/>
  <c r="Q11" i="56"/>
  <c r="Q9" i="56"/>
  <c r="Q34" i="56"/>
  <c r="Q32" i="56"/>
  <c r="Q30" i="56"/>
  <c r="Q28" i="56"/>
  <c r="Q16" i="56"/>
  <c r="Q24" i="56"/>
  <c r="O19" i="53"/>
  <c r="O23" i="53"/>
  <c r="O11" i="53"/>
  <c r="O30" i="53"/>
  <c r="O15" i="53"/>
  <c r="O34" i="53"/>
  <c r="C12" i="53"/>
  <c r="O12" i="53"/>
  <c r="O16" i="53"/>
  <c r="O20" i="53"/>
  <c r="O24" i="53"/>
  <c r="O29" i="53"/>
  <c r="O33" i="53"/>
  <c r="O9" i="53"/>
  <c r="N9" i="53" s="1"/>
  <c r="O13" i="53"/>
  <c r="O17" i="53"/>
  <c r="O21" i="53"/>
  <c r="O25" i="53"/>
  <c r="O28" i="53"/>
  <c r="O32" i="53"/>
  <c r="O10" i="53"/>
  <c r="O14" i="53"/>
  <c r="O18" i="53"/>
  <c r="O22" i="53"/>
  <c r="O26" i="53"/>
  <c r="O27" i="53"/>
  <c r="O31" i="53"/>
  <c r="C12" i="51"/>
  <c r="N9" i="51"/>
  <c r="J6" i="23"/>
  <c r="K6" i="23" s="1"/>
  <c r="L6" i="23" s="1"/>
  <c r="P21" i="41"/>
  <c r="C17" i="41"/>
  <c r="B19" i="41"/>
  <c r="R18" i="41"/>
  <c r="P18" i="41" s="1"/>
  <c r="P22" i="41"/>
  <c r="P20" i="41"/>
  <c r="P16" i="41"/>
  <c r="O16" i="41" s="1"/>
  <c r="R17" i="41"/>
  <c r="P17" i="41" s="1"/>
  <c r="AJ5" i="38"/>
  <c r="AK5" i="38" s="1"/>
  <c r="AJ6" i="38"/>
  <c r="AK6" i="38" s="1"/>
  <c r="AJ7" i="38"/>
  <c r="AK7" i="38" s="1"/>
  <c r="AJ8" i="38"/>
  <c r="AK8" i="38" s="1"/>
  <c r="AJ9" i="38"/>
  <c r="AK9" i="38" s="1"/>
  <c r="AJ10" i="38"/>
  <c r="AK10" i="38" s="1"/>
  <c r="AJ11" i="38"/>
  <c r="AK11" i="38" s="1"/>
  <c r="AJ12" i="38"/>
  <c r="AK12" i="38" s="1"/>
  <c r="AJ13" i="38"/>
  <c r="AK13" i="38" s="1"/>
  <c r="AJ14" i="38"/>
  <c r="AK14" i="38" s="1"/>
  <c r="AJ15" i="38"/>
  <c r="AK15" i="38" s="1"/>
  <c r="AJ16" i="38"/>
  <c r="AK16" i="38" s="1"/>
  <c r="AJ17" i="38"/>
  <c r="AK17" i="38" s="1"/>
  <c r="AJ18" i="38"/>
  <c r="AK18" i="38" s="1"/>
  <c r="AJ19" i="38"/>
  <c r="AK19" i="38" s="1"/>
  <c r="AJ20" i="38"/>
  <c r="AK20" i="38" s="1"/>
  <c r="AJ21" i="38"/>
  <c r="AK21" i="38" s="1"/>
  <c r="AJ22" i="38"/>
  <c r="AK22" i="38" s="1"/>
  <c r="AJ23" i="38"/>
  <c r="AK23" i="38" s="1"/>
  <c r="AJ24" i="38"/>
  <c r="AK24" i="38" s="1"/>
  <c r="AJ25" i="38"/>
  <c r="AK25" i="38" s="1"/>
  <c r="AJ26" i="38"/>
  <c r="AK26" i="38" s="1"/>
  <c r="AJ27" i="38"/>
  <c r="AK27" i="38" s="1"/>
  <c r="AJ28" i="38"/>
  <c r="AK28" i="38" s="1"/>
  <c r="AJ29" i="38"/>
  <c r="AK29" i="38" s="1"/>
  <c r="AJ4" i="38"/>
  <c r="AK4" i="38" s="1"/>
  <c r="AJ3" i="38"/>
  <c r="AK3" i="38" s="1"/>
  <c r="AO14" i="38" l="1"/>
  <c r="AO13" i="38"/>
  <c r="P9" i="56"/>
  <c r="G9" i="56" s="1"/>
  <c r="C19" i="62"/>
  <c r="O22" i="70"/>
  <c r="F21" i="70"/>
  <c r="K19" i="70"/>
  <c r="L19" i="70" s="1"/>
  <c r="M19" i="70"/>
  <c r="J20" i="70"/>
  <c r="G20" i="70"/>
  <c r="H20" i="70" s="1"/>
  <c r="M19" i="67"/>
  <c r="K19" i="67"/>
  <c r="L19" i="67" s="1"/>
  <c r="B26" i="67"/>
  <c r="R25" i="67"/>
  <c r="P25" i="67" s="1"/>
  <c r="G20" i="67"/>
  <c r="H20" i="67" s="1"/>
  <c r="J20" i="67"/>
  <c r="O22" i="67"/>
  <c r="F21" i="67"/>
  <c r="B22" i="66"/>
  <c r="R21" i="66"/>
  <c r="P21" i="66" s="1"/>
  <c r="G16" i="66"/>
  <c r="H16" i="66" s="1"/>
  <c r="J16" i="66"/>
  <c r="O18" i="66"/>
  <c r="F17" i="66"/>
  <c r="C16" i="65"/>
  <c r="J12" i="65"/>
  <c r="G12" i="65"/>
  <c r="H12" i="65" s="1"/>
  <c r="O14" i="65"/>
  <c r="F13" i="65"/>
  <c r="G7" i="18"/>
  <c r="H7" i="18" s="1"/>
  <c r="J7" i="18"/>
  <c r="K7" i="18" s="1"/>
  <c r="L7" i="18" s="1"/>
  <c r="F17" i="62"/>
  <c r="J17" i="62" s="1"/>
  <c r="M17" i="62" s="1"/>
  <c r="F16" i="62"/>
  <c r="K9" i="59"/>
  <c r="L9" i="59" s="1"/>
  <c r="H9" i="59"/>
  <c r="I9" i="59" s="1"/>
  <c r="P11" i="59"/>
  <c r="G10" i="59"/>
  <c r="O11" i="58"/>
  <c r="G10" i="58"/>
  <c r="K9" i="58"/>
  <c r="L9" i="58" s="1"/>
  <c r="M9" i="58" s="1"/>
  <c r="H9" i="58"/>
  <c r="I9" i="58" s="1"/>
  <c r="Q12" i="57"/>
  <c r="Q13" i="57" s="1"/>
  <c r="Q14" i="57" s="1"/>
  <c r="Q15" i="57" s="1"/>
  <c r="Q16" i="57" s="1"/>
  <c r="Q17" i="57" s="1"/>
  <c r="Q18" i="57" s="1"/>
  <c r="Q19" i="57" s="1"/>
  <c r="Q20" i="57" s="1"/>
  <c r="Q21" i="57" s="1"/>
  <c r="Q22" i="57" s="1"/>
  <c r="Q23" i="57" s="1"/>
  <c r="Q24" i="57" s="1"/>
  <c r="Q25" i="57" s="1"/>
  <c r="Q26" i="57" s="1"/>
  <c r="Q27" i="57" s="1"/>
  <c r="Q28" i="57" s="1"/>
  <c r="Q29" i="57" s="1"/>
  <c r="Q30" i="57" s="1"/>
  <c r="Q31" i="57" s="1"/>
  <c r="Q32" i="57" s="1"/>
  <c r="Q33" i="57" s="1"/>
  <c r="Q34" i="57" s="1"/>
  <c r="Q35" i="57" s="1"/>
  <c r="Q36" i="57" s="1"/>
  <c r="Q37" i="57" s="1"/>
  <c r="O12" i="57"/>
  <c r="O13" i="57" s="1"/>
  <c r="O14" i="57" s="1"/>
  <c r="G11" i="57"/>
  <c r="H11" i="57" s="1"/>
  <c r="I11" i="57" s="1"/>
  <c r="P10" i="56"/>
  <c r="N10" i="53"/>
  <c r="F9" i="53"/>
  <c r="C13" i="53"/>
  <c r="N10" i="51"/>
  <c r="F9" i="51"/>
  <c r="C13" i="51"/>
  <c r="O17" i="41"/>
  <c r="C18" i="41"/>
  <c r="F16" i="41"/>
  <c r="B20" i="41"/>
  <c r="B21" i="41" s="1"/>
  <c r="B22" i="41" s="1"/>
  <c r="B23" i="41" s="1"/>
  <c r="R19" i="41"/>
  <c r="P19" i="41" s="1"/>
  <c r="K9" i="56" l="1"/>
  <c r="L9" i="56" s="1"/>
  <c r="H9" i="56"/>
  <c r="I9" i="56" s="1"/>
  <c r="C20" i="62"/>
  <c r="K20" i="70"/>
  <c r="L20" i="70" s="1"/>
  <c r="M20" i="70"/>
  <c r="J21" i="70"/>
  <c r="G21" i="70"/>
  <c r="H21" i="70" s="1"/>
  <c r="O23" i="70"/>
  <c r="F22" i="70"/>
  <c r="K20" i="67"/>
  <c r="L20" i="67" s="1"/>
  <c r="M20" i="67"/>
  <c r="J21" i="67"/>
  <c r="G21" i="67"/>
  <c r="H21" i="67" s="1"/>
  <c r="O23" i="67"/>
  <c r="F22" i="67"/>
  <c r="B27" i="67"/>
  <c r="R26" i="67"/>
  <c r="P26" i="67" s="1"/>
  <c r="K16" i="66"/>
  <c r="L16" i="66" s="1"/>
  <c r="M16" i="66"/>
  <c r="J17" i="66"/>
  <c r="G17" i="66"/>
  <c r="H17" i="66" s="1"/>
  <c r="O19" i="66"/>
  <c r="F18" i="66"/>
  <c r="B23" i="66"/>
  <c r="R22" i="66"/>
  <c r="P22" i="66" s="1"/>
  <c r="K12" i="65"/>
  <c r="L12" i="65" s="1"/>
  <c r="M12" i="65"/>
  <c r="J13" i="65"/>
  <c r="G13" i="65"/>
  <c r="H13" i="65" s="1"/>
  <c r="O15" i="65"/>
  <c r="F14" i="65"/>
  <c r="C17" i="65"/>
  <c r="G17" i="62"/>
  <c r="H17" i="62" s="1"/>
  <c r="G16" i="62"/>
  <c r="H16" i="62" s="1"/>
  <c r="J16" i="62"/>
  <c r="F18" i="62"/>
  <c r="G18" i="62" s="1"/>
  <c r="H18" i="62" s="1"/>
  <c r="O20" i="62"/>
  <c r="F19" i="62"/>
  <c r="H10" i="59"/>
  <c r="I10" i="59" s="1"/>
  <c r="K10" i="59"/>
  <c r="L10" i="59" s="1"/>
  <c r="M10" i="59" s="1"/>
  <c r="P12" i="59"/>
  <c r="G11" i="59"/>
  <c r="M9" i="59"/>
  <c r="H10" i="58"/>
  <c r="I10" i="58" s="1"/>
  <c r="K10" i="58"/>
  <c r="L10" i="58" s="1"/>
  <c r="M10" i="58" s="1"/>
  <c r="O12" i="58"/>
  <c r="G11" i="58"/>
  <c r="G12" i="57"/>
  <c r="G13" i="57"/>
  <c r="O15" i="57"/>
  <c r="G14" i="57"/>
  <c r="K11" i="57"/>
  <c r="L11" i="57" s="1"/>
  <c r="M11" i="57" s="1"/>
  <c r="P11" i="56"/>
  <c r="G10" i="56"/>
  <c r="C14" i="53"/>
  <c r="J9" i="53"/>
  <c r="K9" i="53" s="1"/>
  <c r="L9" i="53" s="1"/>
  <c r="G9" i="53"/>
  <c r="H9" i="53" s="1"/>
  <c r="N11" i="53"/>
  <c r="F10" i="53"/>
  <c r="C14" i="51"/>
  <c r="J9" i="51"/>
  <c r="K9" i="51" s="1"/>
  <c r="L9" i="51" s="1"/>
  <c r="G9" i="51"/>
  <c r="H9" i="51" s="1"/>
  <c r="N11" i="51"/>
  <c r="F10" i="51"/>
  <c r="G16" i="41"/>
  <c r="H16" i="41" s="1"/>
  <c r="J16" i="41"/>
  <c r="C19" i="41"/>
  <c r="B24" i="41"/>
  <c r="S23" i="41"/>
  <c r="P23" i="41" s="1"/>
  <c r="O18" i="41"/>
  <c r="F17" i="41"/>
  <c r="B2" i="31"/>
  <c r="E4" i="38"/>
  <c r="E5" i="38" s="1"/>
  <c r="E6" i="38" s="1"/>
  <c r="E7" i="38" s="1"/>
  <c r="E8" i="38" s="1"/>
  <c r="E9" i="38" s="1"/>
  <c r="E10" i="38" s="1"/>
  <c r="E11" i="38" s="1"/>
  <c r="E12" i="38" s="1"/>
  <c r="E13" i="38" s="1"/>
  <c r="E14" i="38" s="1"/>
  <c r="E15" i="38" s="1"/>
  <c r="E16" i="38" s="1"/>
  <c r="E17" i="38" s="1"/>
  <c r="E18" i="38" s="1"/>
  <c r="E19" i="38" s="1"/>
  <c r="E20" i="38" s="1"/>
  <c r="E21" i="38" s="1"/>
  <c r="E22" i="38" s="1"/>
  <c r="E23" i="38" s="1"/>
  <c r="E24" i="38" s="1"/>
  <c r="E25" i="38" s="1"/>
  <c r="E26" i="38" s="1"/>
  <c r="E27" i="38" s="1"/>
  <c r="E28" i="38" s="1"/>
  <c r="E29" i="38" s="1"/>
  <c r="B12" i="39"/>
  <c r="B13" i="39" s="1"/>
  <c r="B14" i="39" s="1"/>
  <c r="B15" i="39" s="1"/>
  <c r="B16" i="39" s="1"/>
  <c r="B17" i="39" s="1"/>
  <c r="B18" i="39" s="1"/>
  <c r="B19" i="39" s="1"/>
  <c r="B20" i="39" s="1"/>
  <c r="B21" i="39" s="1"/>
  <c r="B22" i="39" s="1"/>
  <c r="B23" i="39" s="1"/>
  <c r="B24" i="39" s="1"/>
  <c r="B25" i="39" s="1"/>
  <c r="B26" i="39" s="1"/>
  <c r="B27" i="39" s="1"/>
  <c r="B28" i="39" s="1"/>
  <c r="B29" i="39" s="1"/>
  <c r="B30" i="39" s="1"/>
  <c r="B31" i="39" s="1"/>
  <c r="B32" i="39" s="1"/>
  <c r="B33" i="39" s="1"/>
  <c r="B34" i="39" s="1"/>
  <c r="B35" i="39" s="1"/>
  <c r="B36" i="39" s="1"/>
  <c r="B37" i="39" s="1"/>
  <c r="R11" i="39"/>
  <c r="C11" i="39"/>
  <c r="C12" i="39" s="1"/>
  <c r="B4" i="39"/>
  <c r="R8" i="39" s="1"/>
  <c r="B3" i="39"/>
  <c r="Q8" i="39" s="1"/>
  <c r="B2" i="39"/>
  <c r="B1" i="39"/>
  <c r="AO18" i="38"/>
  <c r="AO20" i="38"/>
  <c r="AF18" i="38"/>
  <c r="AF20" i="38" s="1"/>
  <c r="K17" i="62" l="1"/>
  <c r="M16" i="62"/>
  <c r="C21" i="62"/>
  <c r="M9" i="56"/>
  <c r="N9" i="59"/>
  <c r="K21" i="70"/>
  <c r="L21" i="70" s="1"/>
  <c r="M21" i="70"/>
  <c r="G22" i="70"/>
  <c r="H22" i="70" s="1"/>
  <c r="J22" i="70"/>
  <c r="O24" i="70"/>
  <c r="F23" i="70"/>
  <c r="B28" i="67"/>
  <c r="R27" i="67"/>
  <c r="P27" i="67" s="1"/>
  <c r="J22" i="67"/>
  <c r="G22" i="67"/>
  <c r="H22" i="67" s="1"/>
  <c r="K21" i="67"/>
  <c r="L21" i="67" s="1"/>
  <c r="M21" i="67"/>
  <c r="F23" i="67"/>
  <c r="O24" i="67"/>
  <c r="B24" i="66"/>
  <c r="R23" i="66"/>
  <c r="P23" i="66" s="1"/>
  <c r="K17" i="66"/>
  <c r="L17" i="66" s="1"/>
  <c r="M17" i="66"/>
  <c r="J18" i="66"/>
  <c r="G18" i="66"/>
  <c r="H18" i="66" s="1"/>
  <c r="O20" i="66"/>
  <c r="F19" i="66"/>
  <c r="C18" i="65"/>
  <c r="K13" i="65"/>
  <c r="L13" i="65" s="1"/>
  <c r="M13" i="65"/>
  <c r="J14" i="65"/>
  <c r="G14" i="65"/>
  <c r="H14" i="65" s="1"/>
  <c r="O16" i="65"/>
  <c r="F15" i="65"/>
  <c r="K16" i="62"/>
  <c r="J18" i="62"/>
  <c r="M18" i="62" s="1"/>
  <c r="G19" i="62"/>
  <c r="H19" i="62" s="1"/>
  <c r="J19" i="62"/>
  <c r="M19" i="62" s="1"/>
  <c r="O21" i="62"/>
  <c r="F20" i="62"/>
  <c r="K11" i="59"/>
  <c r="L11" i="59" s="1"/>
  <c r="M11" i="59" s="1"/>
  <c r="H11" i="59"/>
  <c r="I11" i="59" s="1"/>
  <c r="P13" i="59"/>
  <c r="G12" i="59"/>
  <c r="K11" i="58"/>
  <c r="L11" i="58" s="1"/>
  <c r="M11" i="58" s="1"/>
  <c r="H11" i="58"/>
  <c r="I11" i="58" s="1"/>
  <c r="O13" i="58"/>
  <c r="G12" i="58"/>
  <c r="O16" i="57"/>
  <c r="G15" i="57"/>
  <c r="H10" i="56"/>
  <c r="I10" i="56" s="1"/>
  <c r="K10" i="56"/>
  <c r="L10" i="56" s="1"/>
  <c r="P12" i="56"/>
  <c r="G11" i="56"/>
  <c r="G10" i="53"/>
  <c r="H10" i="53" s="1"/>
  <c r="J10" i="53"/>
  <c r="K10" i="53" s="1"/>
  <c r="L10" i="53" s="1"/>
  <c r="C15" i="53"/>
  <c r="N12" i="53"/>
  <c r="F11" i="53"/>
  <c r="G10" i="51"/>
  <c r="H10" i="51" s="1"/>
  <c r="J10" i="51"/>
  <c r="K10" i="51" s="1"/>
  <c r="L10" i="51" s="1"/>
  <c r="C15" i="51"/>
  <c r="N12" i="51"/>
  <c r="F11" i="51"/>
  <c r="O19" i="41"/>
  <c r="F18" i="41"/>
  <c r="G17" i="41"/>
  <c r="H17" i="41" s="1"/>
  <c r="J17" i="41"/>
  <c r="K16" i="41"/>
  <c r="L16" i="41" s="1"/>
  <c r="M16" i="41"/>
  <c r="C20" i="41"/>
  <c r="B25" i="41"/>
  <c r="S24" i="41"/>
  <c r="P24" i="41" s="1"/>
  <c r="C13" i="39"/>
  <c r="P37" i="39"/>
  <c r="P36" i="39"/>
  <c r="P35" i="39"/>
  <c r="P34" i="39"/>
  <c r="P33" i="39"/>
  <c r="P32" i="39"/>
  <c r="P31" i="39"/>
  <c r="P30" i="39"/>
  <c r="P29" i="39"/>
  <c r="P25" i="39"/>
  <c r="P21" i="39"/>
  <c r="P17" i="39"/>
  <c r="P13" i="39"/>
  <c r="P14" i="39"/>
  <c r="P28" i="39"/>
  <c r="P24" i="39"/>
  <c r="P20" i="39"/>
  <c r="P16" i="39"/>
  <c r="P12" i="39"/>
  <c r="P22" i="39"/>
  <c r="P18" i="39"/>
  <c r="P11" i="39"/>
  <c r="O11" i="39" s="1"/>
  <c r="F11" i="39" s="1"/>
  <c r="P27" i="39"/>
  <c r="P23" i="39"/>
  <c r="P19" i="39"/>
  <c r="P15" i="39"/>
  <c r="P26" i="39"/>
  <c r="L16" i="62" l="1"/>
  <c r="S16" i="70"/>
  <c r="M10" i="56"/>
  <c r="N10" i="59"/>
  <c r="L17" i="62"/>
  <c r="S17" i="70"/>
  <c r="C22" i="62"/>
  <c r="G23" i="70"/>
  <c r="H23" i="70" s="1"/>
  <c r="J23" i="70"/>
  <c r="O25" i="70"/>
  <c r="F24" i="70"/>
  <c r="M22" i="70"/>
  <c r="K22" i="70"/>
  <c r="L22" i="70" s="1"/>
  <c r="O25" i="67"/>
  <c r="F24" i="67"/>
  <c r="G23" i="67"/>
  <c r="H23" i="67" s="1"/>
  <c r="J23" i="67"/>
  <c r="M22" i="67"/>
  <c r="K22" i="67"/>
  <c r="L22" i="67" s="1"/>
  <c r="R28" i="67"/>
  <c r="P28" i="67" s="1"/>
  <c r="B29" i="67"/>
  <c r="M18" i="66"/>
  <c r="K18" i="66"/>
  <c r="L18" i="66" s="1"/>
  <c r="G19" i="66"/>
  <c r="H19" i="66" s="1"/>
  <c r="J19" i="66"/>
  <c r="R24" i="66"/>
  <c r="P24" i="66" s="1"/>
  <c r="B25" i="66"/>
  <c r="O21" i="66"/>
  <c r="F20" i="66"/>
  <c r="G15" i="65"/>
  <c r="H15" i="65" s="1"/>
  <c r="J15" i="65"/>
  <c r="K14" i="65"/>
  <c r="L14" i="65" s="1"/>
  <c r="M14" i="65"/>
  <c r="C19" i="65"/>
  <c r="O17" i="65"/>
  <c r="F16" i="65"/>
  <c r="K18" i="62"/>
  <c r="K19" i="62"/>
  <c r="G20" i="62"/>
  <c r="H20" i="62" s="1"/>
  <c r="J20" i="62"/>
  <c r="M20" i="62" s="1"/>
  <c r="O22" i="62"/>
  <c r="F21" i="62"/>
  <c r="H12" i="59"/>
  <c r="I12" i="59" s="1"/>
  <c r="K12" i="59"/>
  <c r="L12" i="59" s="1"/>
  <c r="P14" i="59"/>
  <c r="G13" i="59"/>
  <c r="H12" i="58"/>
  <c r="I12" i="58" s="1"/>
  <c r="K12" i="58"/>
  <c r="L12" i="58" s="1"/>
  <c r="M12" i="58" s="1"/>
  <c r="O14" i="58"/>
  <c r="G13" i="58"/>
  <c r="O17" i="57"/>
  <c r="G16" i="57"/>
  <c r="K11" i="56"/>
  <c r="L11" i="56" s="1"/>
  <c r="H11" i="56"/>
  <c r="I11" i="56" s="1"/>
  <c r="P13" i="56"/>
  <c r="G12" i="56"/>
  <c r="G11" i="53"/>
  <c r="H11" i="53" s="1"/>
  <c r="J11" i="53"/>
  <c r="K11" i="53" s="1"/>
  <c r="L11" i="53" s="1"/>
  <c r="N13" i="53"/>
  <c r="F12" i="53"/>
  <c r="C16" i="53"/>
  <c r="N13" i="51"/>
  <c r="F12" i="51"/>
  <c r="G11" i="51"/>
  <c r="H11" i="51" s="1"/>
  <c r="J11" i="51"/>
  <c r="K11" i="51" s="1"/>
  <c r="L11" i="51" s="1"/>
  <c r="C16" i="51"/>
  <c r="K17" i="41"/>
  <c r="L17" i="41" s="1"/>
  <c r="M17" i="41"/>
  <c r="B26" i="41"/>
  <c r="S25" i="41"/>
  <c r="P25" i="41" s="1"/>
  <c r="G18" i="41"/>
  <c r="H18" i="41" s="1"/>
  <c r="J18" i="41"/>
  <c r="C21" i="41"/>
  <c r="O20" i="41"/>
  <c r="F19" i="41"/>
  <c r="O12" i="39"/>
  <c r="C14" i="39"/>
  <c r="M12" i="59" l="1"/>
  <c r="M11" i="56"/>
  <c r="N11" i="59"/>
  <c r="L18" i="62"/>
  <c r="S18" i="70"/>
  <c r="L19" i="62"/>
  <c r="S19" i="70"/>
  <c r="C23" i="62"/>
  <c r="F25" i="70"/>
  <c r="O26" i="70"/>
  <c r="K23" i="70"/>
  <c r="L23" i="70" s="1"/>
  <c r="M23" i="70"/>
  <c r="J24" i="70"/>
  <c r="G24" i="70"/>
  <c r="H24" i="70" s="1"/>
  <c r="M23" i="67"/>
  <c r="K23" i="67"/>
  <c r="L23" i="67" s="1"/>
  <c r="B30" i="67"/>
  <c r="R29" i="67"/>
  <c r="P29" i="67" s="1"/>
  <c r="G24" i="67"/>
  <c r="H24" i="67" s="1"/>
  <c r="J24" i="67"/>
  <c r="O26" i="67"/>
  <c r="F25" i="67"/>
  <c r="B26" i="66"/>
  <c r="R25" i="66"/>
  <c r="P25" i="66" s="1"/>
  <c r="G20" i="66"/>
  <c r="H20" i="66" s="1"/>
  <c r="J20" i="66"/>
  <c r="M19" i="66"/>
  <c r="K19" i="66"/>
  <c r="L19" i="66" s="1"/>
  <c r="O22" i="66"/>
  <c r="F21" i="66"/>
  <c r="C20" i="65"/>
  <c r="K15" i="65"/>
  <c r="L15" i="65" s="1"/>
  <c r="M15" i="65"/>
  <c r="G16" i="65"/>
  <c r="H16" i="65" s="1"/>
  <c r="J16" i="65"/>
  <c r="O18" i="65"/>
  <c r="F17" i="65"/>
  <c r="G21" i="62"/>
  <c r="H21" i="62" s="1"/>
  <c r="J21" i="62"/>
  <c r="M21" i="62" s="1"/>
  <c r="K20" i="62"/>
  <c r="O23" i="62"/>
  <c r="F22" i="62"/>
  <c r="P15" i="59"/>
  <c r="G14" i="59"/>
  <c r="K13" i="59"/>
  <c r="L13" i="59" s="1"/>
  <c r="M13" i="59" s="1"/>
  <c r="H13" i="59"/>
  <c r="I13" i="59" s="1"/>
  <c r="O15" i="58"/>
  <c r="G14" i="58"/>
  <c r="K13" i="58"/>
  <c r="L13" i="58" s="1"/>
  <c r="M13" i="58" s="1"/>
  <c r="H13" i="58"/>
  <c r="I13" i="58" s="1"/>
  <c r="O18" i="57"/>
  <c r="G17" i="57"/>
  <c r="P14" i="56"/>
  <c r="G13" i="56"/>
  <c r="H12" i="56"/>
  <c r="I12" i="56" s="1"/>
  <c r="K12" i="56"/>
  <c r="L12" i="56" s="1"/>
  <c r="J12" i="53"/>
  <c r="K12" i="53" s="1"/>
  <c r="L12" i="53" s="1"/>
  <c r="G12" i="53"/>
  <c r="H12" i="53" s="1"/>
  <c r="C17" i="53"/>
  <c r="N14" i="53"/>
  <c r="F13" i="53"/>
  <c r="J12" i="51"/>
  <c r="K12" i="51" s="1"/>
  <c r="L12" i="51" s="1"/>
  <c r="G12" i="51"/>
  <c r="H12" i="51" s="1"/>
  <c r="C17" i="51"/>
  <c r="N14" i="51"/>
  <c r="F13" i="51"/>
  <c r="K18" i="41"/>
  <c r="L18" i="41" s="1"/>
  <c r="M18" i="41"/>
  <c r="O21" i="41"/>
  <c r="F20" i="41"/>
  <c r="B27" i="41"/>
  <c r="S26" i="41"/>
  <c r="P26" i="41" s="1"/>
  <c r="G19" i="41"/>
  <c r="H19" i="41" s="1"/>
  <c r="J19" i="41"/>
  <c r="C22" i="41"/>
  <c r="C15" i="39"/>
  <c r="G11" i="39"/>
  <c r="H11" i="39" s="1"/>
  <c r="J11" i="39"/>
  <c r="O13" i="39"/>
  <c r="F12" i="39"/>
  <c r="M12" i="56" l="1"/>
  <c r="N12" i="59"/>
  <c r="L20" i="62"/>
  <c r="S20" i="70"/>
  <c r="C24" i="62"/>
  <c r="O27" i="70"/>
  <c r="F26" i="70"/>
  <c r="K24" i="70"/>
  <c r="L24" i="70" s="1"/>
  <c r="M24" i="70"/>
  <c r="J25" i="70"/>
  <c r="G25" i="70"/>
  <c r="H25" i="70" s="1"/>
  <c r="O27" i="67"/>
  <c r="F26" i="67"/>
  <c r="K24" i="67"/>
  <c r="L24" i="67" s="1"/>
  <c r="M24" i="67"/>
  <c r="B31" i="67"/>
  <c r="R30" i="67"/>
  <c r="P30" i="67" s="1"/>
  <c r="J25" i="67"/>
  <c r="G25" i="67"/>
  <c r="H25" i="67" s="1"/>
  <c r="J21" i="66"/>
  <c r="G21" i="66"/>
  <c r="H21" i="66" s="1"/>
  <c r="O23" i="66"/>
  <c r="F22" i="66"/>
  <c r="B27" i="66"/>
  <c r="R26" i="66"/>
  <c r="P26" i="66" s="1"/>
  <c r="K20" i="66"/>
  <c r="L20" i="66" s="1"/>
  <c r="M20" i="66"/>
  <c r="K16" i="65"/>
  <c r="L16" i="65" s="1"/>
  <c r="M16" i="65"/>
  <c r="C21" i="65"/>
  <c r="O19" i="65"/>
  <c r="F18" i="65"/>
  <c r="J17" i="65"/>
  <c r="G17" i="65"/>
  <c r="H17" i="65" s="1"/>
  <c r="O24" i="62"/>
  <c r="F23" i="62"/>
  <c r="K21" i="62"/>
  <c r="G22" i="62"/>
  <c r="H22" i="62" s="1"/>
  <c r="J22" i="62"/>
  <c r="M22" i="62" s="1"/>
  <c r="H14" i="59"/>
  <c r="I14" i="59" s="1"/>
  <c r="K14" i="59"/>
  <c r="L14" i="59" s="1"/>
  <c r="M14" i="59" s="1"/>
  <c r="P16" i="59"/>
  <c r="G15" i="59"/>
  <c r="H14" i="58"/>
  <c r="I14" i="58" s="1"/>
  <c r="K14" i="58"/>
  <c r="L14" i="58" s="1"/>
  <c r="M14" i="58" s="1"/>
  <c r="O16" i="58"/>
  <c r="G15" i="58"/>
  <c r="O19" i="57"/>
  <c r="G18" i="57"/>
  <c r="K13" i="56"/>
  <c r="L13" i="56" s="1"/>
  <c r="H13" i="56"/>
  <c r="I13" i="56" s="1"/>
  <c r="P15" i="56"/>
  <c r="G14" i="56"/>
  <c r="C18" i="53"/>
  <c r="N15" i="53"/>
  <c r="F14" i="53"/>
  <c r="J13" i="53"/>
  <c r="K13" i="53" s="1"/>
  <c r="L13" i="53" s="1"/>
  <c r="G13" i="53"/>
  <c r="H13" i="53" s="1"/>
  <c r="C18" i="51"/>
  <c r="J13" i="51"/>
  <c r="K13" i="51" s="1"/>
  <c r="L13" i="51" s="1"/>
  <c r="G13" i="51"/>
  <c r="H13" i="51" s="1"/>
  <c r="N15" i="51"/>
  <c r="F14" i="51"/>
  <c r="O22" i="41"/>
  <c r="F21" i="41"/>
  <c r="C23" i="41"/>
  <c r="B28" i="41"/>
  <c r="S27" i="41"/>
  <c r="P27" i="41" s="1"/>
  <c r="K19" i="41"/>
  <c r="L19" i="41" s="1"/>
  <c r="M19" i="41"/>
  <c r="G20" i="41"/>
  <c r="H20" i="41" s="1"/>
  <c r="J20" i="41"/>
  <c r="M11" i="39"/>
  <c r="K11" i="39"/>
  <c r="L11" i="39" s="1"/>
  <c r="J12" i="39"/>
  <c r="G12" i="39"/>
  <c r="H12" i="39" s="1"/>
  <c r="O14" i="39"/>
  <c r="F13" i="39"/>
  <c r="C16" i="39"/>
  <c r="L21" i="62" l="1"/>
  <c r="S21" i="70"/>
  <c r="C25" i="62"/>
  <c r="M13" i="56"/>
  <c r="N13" i="59"/>
  <c r="O28" i="70"/>
  <c r="F27" i="70"/>
  <c r="M25" i="70"/>
  <c r="K25" i="70"/>
  <c r="L25" i="70" s="1"/>
  <c r="J26" i="70"/>
  <c r="G26" i="70"/>
  <c r="H26" i="70" s="1"/>
  <c r="K25" i="67"/>
  <c r="L25" i="67" s="1"/>
  <c r="M25" i="67"/>
  <c r="J26" i="67"/>
  <c r="G26" i="67"/>
  <c r="H26" i="67" s="1"/>
  <c r="B32" i="67"/>
  <c r="R31" i="67"/>
  <c r="P31" i="67" s="1"/>
  <c r="F27" i="67"/>
  <c r="O28" i="67"/>
  <c r="O24" i="66"/>
  <c r="F23" i="66"/>
  <c r="J22" i="66"/>
  <c r="G22" i="66"/>
  <c r="H22" i="66" s="1"/>
  <c r="B28" i="66"/>
  <c r="R27" i="66"/>
  <c r="P27" i="66" s="1"/>
  <c r="K21" i="66"/>
  <c r="L21" i="66" s="1"/>
  <c r="M21" i="66"/>
  <c r="O20" i="65"/>
  <c r="F19" i="65"/>
  <c r="J18" i="65"/>
  <c r="G18" i="65"/>
  <c r="H18" i="65" s="1"/>
  <c r="K17" i="65"/>
  <c r="L17" i="65" s="1"/>
  <c r="M17" i="65"/>
  <c r="C22" i="65"/>
  <c r="G23" i="62"/>
  <c r="H23" i="62" s="1"/>
  <c r="J23" i="62"/>
  <c r="M23" i="62" s="1"/>
  <c r="O25" i="62"/>
  <c r="F24" i="62"/>
  <c r="K22" i="62"/>
  <c r="P17" i="59"/>
  <c r="G16" i="59"/>
  <c r="K15" i="59"/>
  <c r="L15" i="59" s="1"/>
  <c r="M15" i="59" s="1"/>
  <c r="H15" i="59"/>
  <c r="I15" i="59" s="1"/>
  <c r="O17" i="58"/>
  <c r="G16" i="58"/>
  <c r="K15" i="58"/>
  <c r="L15" i="58" s="1"/>
  <c r="M15" i="58" s="1"/>
  <c r="H15" i="58"/>
  <c r="I15" i="58" s="1"/>
  <c r="O20" i="57"/>
  <c r="G19" i="57"/>
  <c r="H14" i="56"/>
  <c r="I14" i="56" s="1"/>
  <c r="K14" i="56"/>
  <c r="L14" i="56" s="1"/>
  <c r="P16" i="56"/>
  <c r="G15" i="56"/>
  <c r="N16" i="53"/>
  <c r="F15" i="53"/>
  <c r="G14" i="53"/>
  <c r="H14" i="53" s="1"/>
  <c r="J14" i="53"/>
  <c r="K14" i="53" s="1"/>
  <c r="L14" i="53" s="1"/>
  <c r="C19" i="53"/>
  <c r="G14" i="51"/>
  <c r="H14" i="51" s="1"/>
  <c r="J14" i="51"/>
  <c r="K14" i="51" s="1"/>
  <c r="L14" i="51" s="1"/>
  <c r="C19" i="51"/>
  <c r="N16" i="51"/>
  <c r="F15" i="51"/>
  <c r="J21" i="41"/>
  <c r="G21" i="41"/>
  <c r="H21" i="41" s="1"/>
  <c r="K20" i="41"/>
  <c r="L20" i="41" s="1"/>
  <c r="M20" i="41"/>
  <c r="C24" i="41"/>
  <c r="B29" i="41"/>
  <c r="S28" i="41"/>
  <c r="P28" i="41" s="1"/>
  <c r="O23" i="41"/>
  <c r="F22" i="41"/>
  <c r="M12" i="39"/>
  <c r="K12" i="39"/>
  <c r="L12" i="39" s="1"/>
  <c r="G13" i="39"/>
  <c r="H13" i="39" s="1"/>
  <c r="J13" i="39"/>
  <c r="C17" i="39"/>
  <c r="O15" i="39"/>
  <c r="F14" i="39"/>
  <c r="C26" i="62" l="1"/>
  <c r="M14" i="56"/>
  <c r="N14" i="59"/>
  <c r="L22" i="62"/>
  <c r="S22" i="70"/>
  <c r="O29" i="70"/>
  <c r="F28" i="70"/>
  <c r="M26" i="70"/>
  <c r="K26" i="70"/>
  <c r="L26" i="70" s="1"/>
  <c r="G27" i="70"/>
  <c r="H27" i="70" s="1"/>
  <c r="J27" i="70"/>
  <c r="O29" i="67"/>
  <c r="F28" i="67"/>
  <c r="G27" i="67"/>
  <c r="H27" i="67" s="1"/>
  <c r="J27" i="67"/>
  <c r="M26" i="67"/>
  <c r="K26" i="67"/>
  <c r="L26" i="67" s="1"/>
  <c r="B33" i="67"/>
  <c r="R32" i="67"/>
  <c r="P32" i="67" s="1"/>
  <c r="M22" i="66"/>
  <c r="K22" i="66"/>
  <c r="L22" i="66" s="1"/>
  <c r="B29" i="66"/>
  <c r="R28" i="66"/>
  <c r="P28" i="66" s="1"/>
  <c r="O25" i="66"/>
  <c r="F24" i="66"/>
  <c r="G23" i="66"/>
  <c r="H23" i="66" s="1"/>
  <c r="J23" i="66"/>
  <c r="C23" i="65"/>
  <c r="K18" i="65"/>
  <c r="L18" i="65" s="1"/>
  <c r="M18" i="65"/>
  <c r="G19" i="65"/>
  <c r="H19" i="65" s="1"/>
  <c r="J19" i="65"/>
  <c r="O21" i="65"/>
  <c r="F20" i="65"/>
  <c r="G24" i="62"/>
  <c r="H24" i="62" s="1"/>
  <c r="J24" i="62"/>
  <c r="M24" i="62" s="1"/>
  <c r="O26" i="62"/>
  <c r="F25" i="62"/>
  <c r="K23" i="62"/>
  <c r="P18" i="59"/>
  <c r="G17" i="59"/>
  <c r="H16" i="59"/>
  <c r="I16" i="59" s="1"/>
  <c r="K16" i="59"/>
  <c r="L16" i="59" s="1"/>
  <c r="M16" i="59" s="1"/>
  <c r="H16" i="58"/>
  <c r="I16" i="58" s="1"/>
  <c r="K16" i="58"/>
  <c r="L16" i="58" s="1"/>
  <c r="M16" i="58" s="1"/>
  <c r="O18" i="58"/>
  <c r="G17" i="58"/>
  <c r="O21" i="57"/>
  <c r="G20" i="57"/>
  <c r="K15" i="56"/>
  <c r="L15" i="56" s="1"/>
  <c r="H15" i="56"/>
  <c r="I15" i="56" s="1"/>
  <c r="P17" i="56"/>
  <c r="G16" i="56"/>
  <c r="C20" i="53"/>
  <c r="G15" i="53"/>
  <c r="H15" i="53" s="1"/>
  <c r="J15" i="53"/>
  <c r="K15" i="53" s="1"/>
  <c r="L15" i="53" s="1"/>
  <c r="N17" i="53"/>
  <c r="F16" i="53"/>
  <c r="C20" i="51"/>
  <c r="G15" i="51"/>
  <c r="H15" i="51" s="1"/>
  <c r="J15" i="51"/>
  <c r="K15" i="51" s="1"/>
  <c r="L15" i="51" s="1"/>
  <c r="N17" i="51"/>
  <c r="F16" i="51"/>
  <c r="B30" i="41"/>
  <c r="S29" i="41"/>
  <c r="P29" i="41" s="1"/>
  <c r="J22" i="41"/>
  <c r="G22" i="41"/>
  <c r="H22" i="41" s="1"/>
  <c r="O24" i="41"/>
  <c r="F23" i="41"/>
  <c r="C25" i="41"/>
  <c r="K21" i="41"/>
  <c r="L21" i="41" s="1"/>
  <c r="M21" i="41"/>
  <c r="M13" i="39"/>
  <c r="K13" i="39"/>
  <c r="L13" i="39" s="1"/>
  <c r="G14" i="39"/>
  <c r="H14" i="39" s="1"/>
  <c r="J14" i="39"/>
  <c r="O16" i="39"/>
  <c r="F15" i="39"/>
  <c r="C18" i="39"/>
  <c r="L23" i="62" l="1"/>
  <c r="S23" i="70"/>
  <c r="C27" i="62"/>
  <c r="M15" i="56"/>
  <c r="N15" i="59"/>
  <c r="K27" i="70"/>
  <c r="L27" i="70" s="1"/>
  <c r="M27" i="70"/>
  <c r="J28" i="70"/>
  <c r="G28" i="70"/>
  <c r="H28" i="70" s="1"/>
  <c r="O30" i="70"/>
  <c r="F29" i="70"/>
  <c r="M27" i="67"/>
  <c r="K27" i="67"/>
  <c r="L27" i="67" s="1"/>
  <c r="B34" i="67"/>
  <c r="R33" i="67"/>
  <c r="P33" i="67" s="1"/>
  <c r="G28" i="67"/>
  <c r="H28" i="67" s="1"/>
  <c r="J28" i="67"/>
  <c r="O30" i="67"/>
  <c r="F29" i="67"/>
  <c r="M23" i="66"/>
  <c r="K23" i="66"/>
  <c r="L23" i="66" s="1"/>
  <c r="G24" i="66"/>
  <c r="H24" i="66" s="1"/>
  <c r="J24" i="66"/>
  <c r="O26" i="66"/>
  <c r="F25" i="66"/>
  <c r="B30" i="66"/>
  <c r="R29" i="66"/>
  <c r="P29" i="66" s="1"/>
  <c r="O22" i="65"/>
  <c r="F21" i="65"/>
  <c r="K19" i="65"/>
  <c r="L19" i="65" s="1"/>
  <c r="M19" i="65"/>
  <c r="C24" i="65"/>
  <c r="G20" i="65"/>
  <c r="H20" i="65" s="1"/>
  <c r="J20" i="65"/>
  <c r="G25" i="62"/>
  <c r="H25" i="62" s="1"/>
  <c r="J25" i="62"/>
  <c r="M25" i="62" s="1"/>
  <c r="O27" i="62"/>
  <c r="F26" i="62"/>
  <c r="K24" i="62"/>
  <c r="P19" i="59"/>
  <c r="G18" i="59"/>
  <c r="K17" i="59"/>
  <c r="L17" i="59" s="1"/>
  <c r="M17" i="59" s="1"/>
  <c r="H17" i="59"/>
  <c r="I17" i="59" s="1"/>
  <c r="K17" i="58"/>
  <c r="L17" i="58" s="1"/>
  <c r="M17" i="58" s="1"/>
  <c r="H17" i="58"/>
  <c r="I17" i="58" s="1"/>
  <c r="O19" i="58"/>
  <c r="G18" i="58"/>
  <c r="O22" i="57"/>
  <c r="G21" i="57"/>
  <c r="P18" i="56"/>
  <c r="G17" i="56"/>
  <c r="H16" i="56"/>
  <c r="I16" i="56" s="1"/>
  <c r="K16" i="56"/>
  <c r="L16" i="56" s="1"/>
  <c r="J16" i="53"/>
  <c r="K16" i="53" s="1"/>
  <c r="L16" i="53" s="1"/>
  <c r="G16" i="53"/>
  <c r="H16" i="53" s="1"/>
  <c r="C21" i="53"/>
  <c r="N18" i="53"/>
  <c r="F17" i="53"/>
  <c r="J16" i="51"/>
  <c r="K16" i="51" s="1"/>
  <c r="L16" i="51" s="1"/>
  <c r="G16" i="51"/>
  <c r="H16" i="51" s="1"/>
  <c r="N18" i="51"/>
  <c r="F17" i="51"/>
  <c r="C21" i="51"/>
  <c r="G23" i="41"/>
  <c r="H23" i="41" s="1"/>
  <c r="J23" i="41"/>
  <c r="K22" i="41"/>
  <c r="L22" i="41" s="1"/>
  <c r="M22" i="41"/>
  <c r="O25" i="41"/>
  <c r="F24" i="41"/>
  <c r="C26" i="41"/>
  <c r="B31" i="41"/>
  <c r="S30" i="41"/>
  <c r="P30" i="41" s="1"/>
  <c r="M14" i="39"/>
  <c r="K14" i="39"/>
  <c r="L14" i="39" s="1"/>
  <c r="O17" i="39"/>
  <c r="F16" i="39"/>
  <c r="C19" i="39"/>
  <c r="J15" i="39"/>
  <c r="G15" i="39"/>
  <c r="H15" i="39" s="1"/>
  <c r="M16" i="56" l="1"/>
  <c r="N16" i="59"/>
  <c r="C28" i="62"/>
  <c r="L24" i="62"/>
  <c r="S24" i="70"/>
  <c r="K28" i="70"/>
  <c r="L28" i="70" s="1"/>
  <c r="M28" i="70"/>
  <c r="J29" i="70"/>
  <c r="G29" i="70"/>
  <c r="H29" i="70" s="1"/>
  <c r="O31" i="70"/>
  <c r="F30" i="70"/>
  <c r="J29" i="67"/>
  <c r="G29" i="67"/>
  <c r="H29" i="67" s="1"/>
  <c r="O31" i="67"/>
  <c r="F30" i="67"/>
  <c r="B35" i="67"/>
  <c r="R34" i="67"/>
  <c r="P34" i="67" s="1"/>
  <c r="K28" i="67"/>
  <c r="L28" i="67" s="1"/>
  <c r="M28" i="67"/>
  <c r="O27" i="66"/>
  <c r="F26" i="66"/>
  <c r="K24" i="66"/>
  <c r="L24" i="66" s="1"/>
  <c r="M24" i="66"/>
  <c r="J25" i="66"/>
  <c r="G25" i="66"/>
  <c r="H25" i="66" s="1"/>
  <c r="B31" i="66"/>
  <c r="R30" i="66"/>
  <c r="P30" i="66" s="1"/>
  <c r="K20" i="65"/>
  <c r="L20" i="65" s="1"/>
  <c r="M20" i="65"/>
  <c r="J21" i="65"/>
  <c r="G21" i="65"/>
  <c r="H21" i="65" s="1"/>
  <c r="C25" i="65"/>
  <c r="O23" i="65"/>
  <c r="F22" i="65"/>
  <c r="O28" i="62"/>
  <c r="F27" i="62"/>
  <c r="K25" i="62"/>
  <c r="G26" i="62"/>
  <c r="H26" i="62" s="1"/>
  <c r="J26" i="62"/>
  <c r="M26" i="62" s="1"/>
  <c r="H18" i="59"/>
  <c r="I18" i="59" s="1"/>
  <c r="K18" i="59"/>
  <c r="L18" i="59" s="1"/>
  <c r="M18" i="59" s="1"/>
  <c r="P20" i="59"/>
  <c r="G19" i="59"/>
  <c r="H18" i="58"/>
  <c r="I18" i="58" s="1"/>
  <c r="K18" i="58"/>
  <c r="L18" i="58" s="1"/>
  <c r="M18" i="58" s="1"/>
  <c r="O20" i="58"/>
  <c r="G19" i="58"/>
  <c r="O23" i="57"/>
  <c r="G22" i="57"/>
  <c r="K17" i="56"/>
  <c r="L17" i="56" s="1"/>
  <c r="H17" i="56"/>
  <c r="I17" i="56" s="1"/>
  <c r="P19" i="56"/>
  <c r="G18" i="56"/>
  <c r="C22" i="53"/>
  <c r="J17" i="53"/>
  <c r="K17" i="53" s="1"/>
  <c r="L17" i="53" s="1"/>
  <c r="G17" i="53"/>
  <c r="H17" i="53" s="1"/>
  <c r="N19" i="53"/>
  <c r="F18" i="53"/>
  <c r="J17" i="51"/>
  <c r="K17" i="51" s="1"/>
  <c r="L17" i="51" s="1"/>
  <c r="G17" i="51"/>
  <c r="H17" i="51" s="1"/>
  <c r="N19" i="51"/>
  <c r="F18" i="51"/>
  <c r="C22" i="51"/>
  <c r="C27" i="41"/>
  <c r="G24" i="41"/>
  <c r="H24" i="41" s="1"/>
  <c r="J24" i="41"/>
  <c r="K23" i="41"/>
  <c r="L23" i="41" s="1"/>
  <c r="M23" i="41"/>
  <c r="B32" i="41"/>
  <c r="S31" i="41"/>
  <c r="P31" i="41" s="1"/>
  <c r="O26" i="41"/>
  <c r="F25" i="41"/>
  <c r="M15" i="39"/>
  <c r="K15" i="39"/>
  <c r="L15" i="39" s="1"/>
  <c r="C20" i="39"/>
  <c r="J16" i="39"/>
  <c r="G16" i="39"/>
  <c r="H16" i="39" s="1"/>
  <c r="O18" i="39"/>
  <c r="F17" i="39"/>
  <c r="L25" i="62" l="1"/>
  <c r="S25" i="70"/>
  <c r="M17" i="56"/>
  <c r="N17" i="59"/>
  <c r="C29" i="62"/>
  <c r="M29" i="70"/>
  <c r="K29" i="70"/>
  <c r="L29" i="70" s="1"/>
  <c r="G30" i="70"/>
  <c r="H30" i="70" s="1"/>
  <c r="J30" i="70"/>
  <c r="O32" i="70"/>
  <c r="F31" i="70"/>
  <c r="J30" i="67"/>
  <c r="G30" i="67"/>
  <c r="H30" i="67" s="1"/>
  <c r="O32" i="67"/>
  <c r="F31" i="67"/>
  <c r="B36" i="67"/>
  <c r="R36" i="67" s="1"/>
  <c r="P36" i="67" s="1"/>
  <c r="R35" i="67"/>
  <c r="P35" i="67" s="1"/>
  <c r="K29" i="67"/>
  <c r="L29" i="67" s="1"/>
  <c r="M29" i="67"/>
  <c r="B32" i="66"/>
  <c r="R31" i="66"/>
  <c r="P31" i="66" s="1"/>
  <c r="J26" i="66"/>
  <c r="G26" i="66"/>
  <c r="H26" i="66" s="1"/>
  <c r="K25" i="66"/>
  <c r="L25" i="66" s="1"/>
  <c r="M25" i="66"/>
  <c r="O28" i="66"/>
  <c r="F27" i="66"/>
  <c r="J22" i="65"/>
  <c r="G22" i="65"/>
  <c r="H22" i="65" s="1"/>
  <c r="O24" i="65"/>
  <c r="F23" i="65"/>
  <c r="K21" i="65"/>
  <c r="L21" i="65" s="1"/>
  <c r="M21" i="65"/>
  <c r="C26" i="65"/>
  <c r="G27" i="62"/>
  <c r="H27" i="62" s="1"/>
  <c r="J27" i="62"/>
  <c r="M27" i="62" s="1"/>
  <c r="K26" i="62"/>
  <c r="O29" i="62"/>
  <c r="F28" i="62"/>
  <c r="K19" i="59"/>
  <c r="L19" i="59" s="1"/>
  <c r="M19" i="59" s="1"/>
  <c r="H19" i="59"/>
  <c r="I19" i="59" s="1"/>
  <c r="P21" i="59"/>
  <c r="G20" i="59"/>
  <c r="K19" i="58"/>
  <c r="L19" i="58" s="1"/>
  <c r="M19" i="58" s="1"/>
  <c r="H19" i="58"/>
  <c r="I19" i="58" s="1"/>
  <c r="O21" i="58"/>
  <c r="G20" i="58"/>
  <c r="O24" i="57"/>
  <c r="G23" i="57"/>
  <c r="P20" i="56"/>
  <c r="G19" i="56"/>
  <c r="H18" i="56"/>
  <c r="I18" i="56" s="1"/>
  <c r="K18" i="56"/>
  <c r="L18" i="56" s="1"/>
  <c r="G18" i="53"/>
  <c r="H18" i="53" s="1"/>
  <c r="J18" i="53"/>
  <c r="K18" i="53" s="1"/>
  <c r="L18" i="53" s="1"/>
  <c r="N20" i="53"/>
  <c r="F19" i="53"/>
  <c r="C23" i="53"/>
  <c r="G18" i="51"/>
  <c r="H18" i="51" s="1"/>
  <c r="J18" i="51"/>
  <c r="K18" i="51" s="1"/>
  <c r="L18" i="51" s="1"/>
  <c r="N20" i="51"/>
  <c r="F19" i="51"/>
  <c r="C23" i="51"/>
  <c r="B33" i="41"/>
  <c r="S32" i="41"/>
  <c r="P32" i="41" s="1"/>
  <c r="K24" i="41"/>
  <c r="L24" i="41" s="1"/>
  <c r="M24" i="41"/>
  <c r="G25" i="41"/>
  <c r="H25" i="41" s="1"/>
  <c r="J25" i="41"/>
  <c r="O27" i="41"/>
  <c r="F26" i="41"/>
  <c r="C28" i="41"/>
  <c r="M16" i="39"/>
  <c r="K16" i="39"/>
  <c r="L16" i="39" s="1"/>
  <c r="G17" i="39"/>
  <c r="H17" i="39" s="1"/>
  <c r="J17" i="39"/>
  <c r="O19" i="39"/>
  <c r="F18" i="39"/>
  <c r="C21" i="39"/>
  <c r="L26" i="62" l="1"/>
  <c r="S26" i="70"/>
  <c r="M18" i="56"/>
  <c r="N18" i="59"/>
  <c r="C30" i="62"/>
  <c r="M30" i="70"/>
  <c r="K30" i="70"/>
  <c r="L30" i="70" s="1"/>
  <c r="G31" i="70"/>
  <c r="H31" i="70" s="1"/>
  <c r="J31" i="70"/>
  <c r="O33" i="70"/>
  <c r="F32" i="70"/>
  <c r="G31" i="67"/>
  <c r="H31" i="67" s="1"/>
  <c r="J31" i="67"/>
  <c r="O33" i="67"/>
  <c r="F32" i="67"/>
  <c r="M30" i="67"/>
  <c r="K30" i="67"/>
  <c r="L30" i="67" s="1"/>
  <c r="J27" i="66"/>
  <c r="G27" i="66"/>
  <c r="H27" i="66" s="1"/>
  <c r="O29" i="66"/>
  <c r="F28" i="66"/>
  <c r="M26" i="66"/>
  <c r="K26" i="66"/>
  <c r="L26" i="66" s="1"/>
  <c r="B33" i="66"/>
  <c r="R32" i="66"/>
  <c r="P32" i="66" s="1"/>
  <c r="K22" i="65"/>
  <c r="L22" i="65" s="1"/>
  <c r="M22" i="65"/>
  <c r="G23" i="65"/>
  <c r="H23" i="65" s="1"/>
  <c r="J23" i="65"/>
  <c r="C27" i="65"/>
  <c r="O25" i="65"/>
  <c r="F24" i="65"/>
  <c r="K27" i="62"/>
  <c r="O30" i="62"/>
  <c r="F29" i="62"/>
  <c r="J28" i="62"/>
  <c r="M28" i="62" s="1"/>
  <c r="G28" i="62"/>
  <c r="H28" i="62" s="1"/>
  <c r="H20" i="59"/>
  <c r="I20" i="59" s="1"/>
  <c r="K20" i="59"/>
  <c r="L20" i="59" s="1"/>
  <c r="M20" i="59" s="1"/>
  <c r="P22" i="59"/>
  <c r="G21" i="59"/>
  <c r="H20" i="58"/>
  <c r="I20" i="58" s="1"/>
  <c r="K20" i="58"/>
  <c r="L20" i="58" s="1"/>
  <c r="M20" i="58" s="1"/>
  <c r="O22" i="58"/>
  <c r="G21" i="58"/>
  <c r="O25" i="57"/>
  <c r="G24" i="57"/>
  <c r="K19" i="56"/>
  <c r="L19" i="56" s="1"/>
  <c r="H19" i="56"/>
  <c r="I19" i="56" s="1"/>
  <c r="P21" i="56"/>
  <c r="G20" i="56"/>
  <c r="G19" i="53"/>
  <c r="H19" i="53" s="1"/>
  <c r="J19" i="53"/>
  <c r="K19" i="53" s="1"/>
  <c r="L19" i="53" s="1"/>
  <c r="N21" i="53"/>
  <c r="F20" i="53"/>
  <c r="C24" i="53"/>
  <c r="C25" i="53" s="1"/>
  <c r="C26" i="53" s="1"/>
  <c r="C27" i="53" s="1"/>
  <c r="C28" i="53" s="1"/>
  <c r="C29" i="53" s="1"/>
  <c r="C30" i="53" s="1"/>
  <c r="C31" i="53" s="1"/>
  <c r="C32" i="53" s="1"/>
  <c r="C33" i="53" s="1"/>
  <c r="C34" i="53" s="1"/>
  <c r="C35" i="53" s="1"/>
  <c r="C24" i="51"/>
  <c r="G19" i="51"/>
  <c r="H19" i="51" s="1"/>
  <c r="J19" i="51"/>
  <c r="K19" i="51" s="1"/>
  <c r="L19" i="51" s="1"/>
  <c r="N21" i="51"/>
  <c r="F20" i="51"/>
  <c r="O28" i="41"/>
  <c r="F27" i="41"/>
  <c r="G26" i="41"/>
  <c r="H26" i="41" s="1"/>
  <c r="J26" i="41"/>
  <c r="K25" i="41"/>
  <c r="L25" i="41" s="1"/>
  <c r="M25" i="41"/>
  <c r="C29" i="41"/>
  <c r="B34" i="41"/>
  <c r="S33" i="41"/>
  <c r="P33" i="41" s="1"/>
  <c r="M17" i="39"/>
  <c r="K17" i="39"/>
  <c r="L17" i="39" s="1"/>
  <c r="O20" i="39"/>
  <c r="F19" i="39"/>
  <c r="G18" i="39"/>
  <c r="H18" i="39" s="1"/>
  <c r="J18" i="39"/>
  <c r="C22" i="39"/>
  <c r="L27" i="62" l="1"/>
  <c r="S27" i="70"/>
  <c r="M19" i="56"/>
  <c r="N19" i="59"/>
  <c r="C31" i="62"/>
  <c r="K31" i="70"/>
  <c r="L31" i="70" s="1"/>
  <c r="M31" i="70"/>
  <c r="J32" i="70"/>
  <c r="G32" i="70"/>
  <c r="H32" i="70" s="1"/>
  <c r="O34" i="70"/>
  <c r="F33" i="70"/>
  <c r="G32" i="67"/>
  <c r="H32" i="67" s="1"/>
  <c r="J32" i="67"/>
  <c r="O34" i="67"/>
  <c r="F33" i="67"/>
  <c r="M31" i="67"/>
  <c r="K31" i="67"/>
  <c r="L31" i="67" s="1"/>
  <c r="G28" i="66"/>
  <c r="H28" i="66" s="1"/>
  <c r="J28" i="66"/>
  <c r="B34" i="66"/>
  <c r="R33" i="66"/>
  <c r="P33" i="66" s="1"/>
  <c r="O30" i="66"/>
  <c r="F29" i="66"/>
  <c r="M27" i="66"/>
  <c r="K27" i="66"/>
  <c r="L27" i="66" s="1"/>
  <c r="G24" i="65"/>
  <c r="H24" i="65" s="1"/>
  <c r="J24" i="65"/>
  <c r="K23" i="65"/>
  <c r="L23" i="65" s="1"/>
  <c r="M23" i="65"/>
  <c r="C28" i="65"/>
  <c r="O26" i="65"/>
  <c r="F25" i="65"/>
  <c r="G29" i="62"/>
  <c r="H29" i="62" s="1"/>
  <c r="J29" i="62"/>
  <c r="M29" i="62" s="1"/>
  <c r="K28" i="62"/>
  <c r="O31" i="62"/>
  <c r="F30" i="62"/>
  <c r="K21" i="59"/>
  <c r="L21" i="59" s="1"/>
  <c r="M21" i="59" s="1"/>
  <c r="H21" i="59"/>
  <c r="I21" i="59" s="1"/>
  <c r="P23" i="59"/>
  <c r="G22" i="59"/>
  <c r="K21" i="58"/>
  <c r="L21" i="58" s="1"/>
  <c r="M21" i="58" s="1"/>
  <c r="H21" i="58"/>
  <c r="I21" i="58" s="1"/>
  <c r="O23" i="58"/>
  <c r="G22" i="58"/>
  <c r="O26" i="57"/>
  <c r="G25" i="57"/>
  <c r="P22" i="56"/>
  <c r="G21" i="56"/>
  <c r="H20" i="56"/>
  <c r="I20" i="56" s="1"/>
  <c r="K20" i="56"/>
  <c r="L20" i="56" s="1"/>
  <c r="J20" i="53"/>
  <c r="K20" i="53" s="1"/>
  <c r="L20" i="53" s="1"/>
  <c r="G20" i="53"/>
  <c r="H20" i="53" s="1"/>
  <c r="N22" i="53"/>
  <c r="F21" i="53"/>
  <c r="C25" i="51"/>
  <c r="N22" i="51"/>
  <c r="F21" i="51"/>
  <c r="J20" i="51"/>
  <c r="K20" i="51" s="1"/>
  <c r="L20" i="51" s="1"/>
  <c r="G20" i="51"/>
  <c r="H20" i="51" s="1"/>
  <c r="K26" i="41"/>
  <c r="L26" i="41" s="1"/>
  <c r="M26" i="41"/>
  <c r="C30" i="41"/>
  <c r="G27" i="41"/>
  <c r="H27" i="41" s="1"/>
  <c r="J27" i="41"/>
  <c r="B35" i="41"/>
  <c r="S34" i="41"/>
  <c r="P34" i="41" s="1"/>
  <c r="O29" i="41"/>
  <c r="F28" i="41"/>
  <c r="M18" i="39"/>
  <c r="K18" i="39"/>
  <c r="L18" i="39" s="1"/>
  <c r="G19" i="39"/>
  <c r="H19" i="39" s="1"/>
  <c r="J19" i="39"/>
  <c r="C23" i="39"/>
  <c r="O21" i="39"/>
  <c r="F20" i="39"/>
  <c r="M20" i="56" l="1"/>
  <c r="N20" i="59"/>
  <c r="L28" i="62"/>
  <c r="S28" i="70"/>
  <c r="C32" i="62"/>
  <c r="K32" i="70"/>
  <c r="L32" i="70" s="1"/>
  <c r="G8" i="70" s="1"/>
  <c r="M32" i="70"/>
  <c r="J33" i="70"/>
  <c r="H33" i="70"/>
  <c r="G3" i="70" s="1"/>
  <c r="G33" i="70"/>
  <c r="O35" i="70"/>
  <c r="F34" i="70"/>
  <c r="J33" i="67"/>
  <c r="H33" i="67"/>
  <c r="G3" i="67" s="1"/>
  <c r="G2" i="67" s="1"/>
  <c r="G33" i="67"/>
  <c r="O35" i="67"/>
  <c r="F34" i="67"/>
  <c r="K32" i="67"/>
  <c r="L32" i="67" s="1"/>
  <c r="G8" i="67" s="1"/>
  <c r="M32" i="67"/>
  <c r="B35" i="66"/>
  <c r="R34" i="66"/>
  <c r="P34" i="66" s="1"/>
  <c r="G29" i="66"/>
  <c r="H29" i="66" s="1"/>
  <c r="J29" i="66"/>
  <c r="M28" i="66"/>
  <c r="K28" i="66"/>
  <c r="L28" i="66" s="1"/>
  <c r="O31" i="66"/>
  <c r="F30" i="66"/>
  <c r="C29" i="65"/>
  <c r="J25" i="65"/>
  <c r="G25" i="65"/>
  <c r="H25" i="65" s="1"/>
  <c r="O27" i="65"/>
  <c r="F26" i="65"/>
  <c r="K24" i="65"/>
  <c r="L24" i="65" s="1"/>
  <c r="M24" i="65"/>
  <c r="K29" i="62"/>
  <c r="O32" i="62"/>
  <c r="F31" i="62"/>
  <c r="G30" i="62"/>
  <c r="H30" i="62" s="1"/>
  <c r="J30" i="62"/>
  <c r="M30" i="62" s="1"/>
  <c r="H22" i="59"/>
  <c r="I22" i="59" s="1"/>
  <c r="K22" i="59"/>
  <c r="L22" i="59" s="1"/>
  <c r="M22" i="59" s="1"/>
  <c r="P24" i="59"/>
  <c r="G23" i="59"/>
  <c r="H22" i="58"/>
  <c r="I22" i="58" s="1"/>
  <c r="K22" i="58"/>
  <c r="L22" i="58" s="1"/>
  <c r="M22" i="58" s="1"/>
  <c r="O24" i="58"/>
  <c r="G23" i="58"/>
  <c r="O27" i="57"/>
  <c r="G26" i="57"/>
  <c r="K21" i="56"/>
  <c r="L21" i="56" s="1"/>
  <c r="H21" i="56"/>
  <c r="I21" i="56" s="1"/>
  <c r="P23" i="56"/>
  <c r="G22" i="56"/>
  <c r="J21" i="53"/>
  <c r="K21" i="53" s="1"/>
  <c r="L21" i="53" s="1"/>
  <c r="G21" i="53"/>
  <c r="H21" i="53" s="1"/>
  <c r="N23" i="53"/>
  <c r="F22" i="53"/>
  <c r="J21" i="51"/>
  <c r="K21" i="51" s="1"/>
  <c r="L21" i="51" s="1"/>
  <c r="G21" i="51"/>
  <c r="H21" i="51" s="1"/>
  <c r="N23" i="51"/>
  <c r="F22" i="51"/>
  <c r="C26" i="51"/>
  <c r="B36" i="41"/>
  <c r="S35" i="41"/>
  <c r="P35" i="41" s="1"/>
  <c r="C31" i="41"/>
  <c r="G28" i="41"/>
  <c r="H28" i="41" s="1"/>
  <c r="J28" i="41"/>
  <c r="K27" i="41"/>
  <c r="L27" i="41" s="1"/>
  <c r="M27" i="41"/>
  <c r="O30" i="41"/>
  <c r="F29" i="41"/>
  <c r="M19" i="39"/>
  <c r="K19" i="39"/>
  <c r="L19" i="39" s="1"/>
  <c r="C24" i="39"/>
  <c r="J20" i="39"/>
  <c r="G20" i="39"/>
  <c r="H20" i="39" s="1"/>
  <c r="O22" i="39"/>
  <c r="F21" i="39"/>
  <c r="M21" i="56" l="1"/>
  <c r="N21" i="59"/>
  <c r="L29" i="62"/>
  <c r="S29" i="70"/>
  <c r="C33" i="62"/>
  <c r="P4" i="70"/>
  <c r="P6" i="70" s="1"/>
  <c r="G2" i="70"/>
  <c r="J34" i="70"/>
  <c r="G34" i="70"/>
  <c r="M33" i="70"/>
  <c r="K33" i="70"/>
  <c r="L33" i="70" s="1"/>
  <c r="O36" i="70"/>
  <c r="F36" i="70" s="1"/>
  <c r="F35" i="70"/>
  <c r="K33" i="67"/>
  <c r="L33" i="67" s="1"/>
  <c r="M33" i="67"/>
  <c r="O36" i="67"/>
  <c r="F36" i="67" s="1"/>
  <c r="F35" i="67"/>
  <c r="J34" i="67"/>
  <c r="G34" i="67"/>
  <c r="J30" i="66"/>
  <c r="G30" i="66"/>
  <c r="H30" i="66" s="1"/>
  <c r="K29" i="66"/>
  <c r="L29" i="66" s="1"/>
  <c r="M29" i="66"/>
  <c r="O32" i="66"/>
  <c r="F31" i="66"/>
  <c r="B36" i="66"/>
  <c r="R36" i="66" s="1"/>
  <c r="P36" i="66" s="1"/>
  <c r="R35" i="66"/>
  <c r="P35" i="66" s="1"/>
  <c r="J26" i="65"/>
  <c r="G26" i="65"/>
  <c r="H26" i="65" s="1"/>
  <c r="C30" i="65"/>
  <c r="O28" i="65"/>
  <c r="F27" i="65"/>
  <c r="K25" i="65"/>
  <c r="L25" i="65" s="1"/>
  <c r="M25" i="65"/>
  <c r="J31" i="62"/>
  <c r="M31" i="62" s="1"/>
  <c r="G31" i="62"/>
  <c r="H31" i="62" s="1"/>
  <c r="O33" i="62"/>
  <c r="O34" i="62" s="1"/>
  <c r="F32" i="62"/>
  <c r="K30" i="62"/>
  <c r="K23" i="59"/>
  <c r="L23" i="59" s="1"/>
  <c r="M23" i="59" s="1"/>
  <c r="H23" i="59"/>
  <c r="I23" i="59" s="1"/>
  <c r="P25" i="59"/>
  <c r="G24" i="59"/>
  <c r="K23" i="58"/>
  <c r="L23" i="58" s="1"/>
  <c r="M23" i="58" s="1"/>
  <c r="H23" i="58"/>
  <c r="I23" i="58" s="1"/>
  <c r="O25" i="58"/>
  <c r="G24" i="58"/>
  <c r="O28" i="57"/>
  <c r="G27" i="57"/>
  <c r="P24" i="56"/>
  <c r="G23" i="56"/>
  <c r="H22" i="56"/>
  <c r="I22" i="56" s="1"/>
  <c r="K22" i="56"/>
  <c r="L22" i="56" s="1"/>
  <c r="G22" i="53"/>
  <c r="H22" i="53" s="1"/>
  <c r="J22" i="53"/>
  <c r="K22" i="53" s="1"/>
  <c r="L22" i="53" s="1"/>
  <c r="N24" i="53"/>
  <c r="F23" i="53"/>
  <c r="G22" i="51"/>
  <c r="H22" i="51" s="1"/>
  <c r="J22" i="51"/>
  <c r="K22" i="51" s="1"/>
  <c r="L22" i="51" s="1"/>
  <c r="C27" i="51"/>
  <c r="C28" i="51" s="1"/>
  <c r="C29" i="51" s="1"/>
  <c r="C30" i="51" s="1"/>
  <c r="C31" i="51" s="1"/>
  <c r="C32" i="51" s="1"/>
  <c r="C33" i="51" s="1"/>
  <c r="C34" i="51" s="1"/>
  <c r="C35" i="51" s="1"/>
  <c r="N24" i="51"/>
  <c r="F23" i="51"/>
  <c r="C32" i="41"/>
  <c r="G29" i="41"/>
  <c r="H29" i="41" s="1"/>
  <c r="J29" i="41"/>
  <c r="K28" i="41"/>
  <c r="L28" i="41" s="1"/>
  <c r="M28" i="41"/>
  <c r="O31" i="41"/>
  <c r="F30" i="41"/>
  <c r="B37" i="41"/>
  <c r="S36" i="41"/>
  <c r="P36" i="41" s="1"/>
  <c r="M20" i="39"/>
  <c r="K20" i="39"/>
  <c r="L20" i="39" s="1"/>
  <c r="G21" i="39"/>
  <c r="H21" i="39" s="1"/>
  <c r="J21" i="39"/>
  <c r="O23" i="39"/>
  <c r="F22" i="39"/>
  <c r="C25" i="39"/>
  <c r="M22" i="56" l="1"/>
  <c r="N22" i="59"/>
  <c r="L30" i="62"/>
  <c r="S30" i="70"/>
  <c r="C34" i="62"/>
  <c r="J35" i="70"/>
  <c r="G35" i="70"/>
  <c r="J36" i="70"/>
  <c r="G36" i="70"/>
  <c r="M34" i="70"/>
  <c r="K34" i="70"/>
  <c r="L34" i="70" s="1"/>
  <c r="J35" i="67"/>
  <c r="G35" i="67"/>
  <c r="J36" i="67"/>
  <c r="G36" i="67"/>
  <c r="K34" i="67"/>
  <c r="L34" i="67" s="1"/>
  <c r="M34" i="67"/>
  <c r="J31" i="66"/>
  <c r="G31" i="66"/>
  <c r="H31" i="66" s="1"/>
  <c r="O33" i="66"/>
  <c r="F32" i="66"/>
  <c r="M30" i="66"/>
  <c r="K30" i="66"/>
  <c r="L30" i="66" s="1"/>
  <c r="G27" i="65"/>
  <c r="H27" i="65" s="1"/>
  <c r="J27" i="65"/>
  <c r="K26" i="65"/>
  <c r="L26" i="65" s="1"/>
  <c r="M26" i="65"/>
  <c r="O29" i="65"/>
  <c r="F28" i="65"/>
  <c r="C31" i="65"/>
  <c r="K31" i="62"/>
  <c r="F33" i="62"/>
  <c r="H33" i="62" s="1"/>
  <c r="J32" i="62"/>
  <c r="M32" i="62" s="1"/>
  <c r="G32" i="62"/>
  <c r="H32" i="62" s="1"/>
  <c r="H24" i="59"/>
  <c r="I24" i="59" s="1"/>
  <c r="K24" i="59"/>
  <c r="L24" i="59" s="1"/>
  <c r="M24" i="59" s="1"/>
  <c r="P26" i="59"/>
  <c r="G25" i="59"/>
  <c r="H24" i="58"/>
  <c r="I24" i="58" s="1"/>
  <c r="K24" i="58"/>
  <c r="L24" i="58" s="1"/>
  <c r="M24" i="58" s="1"/>
  <c r="O26" i="58"/>
  <c r="G25" i="58"/>
  <c r="O29" i="57"/>
  <c r="G28" i="57"/>
  <c r="K23" i="56"/>
  <c r="L23" i="56" s="1"/>
  <c r="H23" i="56"/>
  <c r="I23" i="56" s="1"/>
  <c r="P25" i="56"/>
  <c r="G24" i="56"/>
  <c r="G23" i="53"/>
  <c r="H23" i="53" s="1"/>
  <c r="J23" i="53"/>
  <c r="K23" i="53" s="1"/>
  <c r="L23" i="53" s="1"/>
  <c r="N25" i="53"/>
  <c r="F25" i="53" s="1"/>
  <c r="F24" i="53"/>
  <c r="G23" i="51"/>
  <c r="H23" i="51" s="1"/>
  <c r="J23" i="51"/>
  <c r="K23" i="51" s="1"/>
  <c r="L23" i="51" s="1"/>
  <c r="N25" i="51"/>
  <c r="F24" i="51"/>
  <c r="O32" i="41"/>
  <c r="F31" i="41"/>
  <c r="G30" i="41"/>
  <c r="H30" i="41" s="1"/>
  <c r="J30" i="41"/>
  <c r="K29" i="41"/>
  <c r="L29" i="41" s="1"/>
  <c r="M29" i="41"/>
  <c r="B38" i="41"/>
  <c r="S37" i="41"/>
  <c r="P37" i="41" s="1"/>
  <c r="C33" i="41"/>
  <c r="M21" i="39"/>
  <c r="K21" i="39"/>
  <c r="L21" i="39" s="1"/>
  <c r="G22" i="39"/>
  <c r="H22" i="39" s="1"/>
  <c r="J22" i="39"/>
  <c r="O24" i="39"/>
  <c r="F23" i="39"/>
  <c r="C26" i="39"/>
  <c r="M23" i="56" l="1"/>
  <c r="N23" i="59"/>
  <c r="C35" i="62"/>
  <c r="L31" i="62"/>
  <c r="S31" i="70"/>
  <c r="S38" i="70" s="1"/>
  <c r="M36" i="70"/>
  <c r="K36" i="70"/>
  <c r="L36" i="70" s="1"/>
  <c r="G6" i="70"/>
  <c r="G4" i="70"/>
  <c r="M35" i="70"/>
  <c r="G5" i="70" s="1"/>
  <c r="K35" i="70"/>
  <c r="L35" i="70" s="1"/>
  <c r="G9" i="70" s="1"/>
  <c r="K36" i="67"/>
  <c r="L36" i="67" s="1"/>
  <c r="M36" i="67"/>
  <c r="G6" i="67"/>
  <c r="G4" i="67"/>
  <c r="K35" i="67"/>
  <c r="L35" i="67" s="1"/>
  <c r="G9" i="67" s="1"/>
  <c r="M35" i="67"/>
  <c r="G5" i="67" s="1"/>
  <c r="G3" i="62"/>
  <c r="G32" i="66"/>
  <c r="H32" i="66" s="1"/>
  <c r="J32" i="66"/>
  <c r="O34" i="66"/>
  <c r="F33" i="66"/>
  <c r="M31" i="66"/>
  <c r="K31" i="66"/>
  <c r="L31" i="66" s="1"/>
  <c r="G28" i="65"/>
  <c r="H28" i="65" s="1"/>
  <c r="J28" i="65"/>
  <c r="O30" i="65"/>
  <c r="F29" i="65"/>
  <c r="C32" i="65"/>
  <c r="K27" i="65"/>
  <c r="L27" i="65" s="1"/>
  <c r="M27" i="65"/>
  <c r="O35" i="62"/>
  <c r="F34" i="62"/>
  <c r="J33" i="62"/>
  <c r="M33" i="62" s="1"/>
  <c r="G33" i="62"/>
  <c r="K32" i="62"/>
  <c r="K25" i="59"/>
  <c r="L25" i="59" s="1"/>
  <c r="M25" i="59" s="1"/>
  <c r="H25" i="59"/>
  <c r="I25" i="59" s="1"/>
  <c r="P27" i="59"/>
  <c r="G26" i="59"/>
  <c r="K25" i="58"/>
  <c r="L25" i="58" s="1"/>
  <c r="M25" i="58" s="1"/>
  <c r="H25" i="58"/>
  <c r="I25" i="58" s="1"/>
  <c r="O27" i="58"/>
  <c r="G26" i="58"/>
  <c r="O30" i="57"/>
  <c r="G29" i="57"/>
  <c r="H24" i="56"/>
  <c r="I24" i="56" s="1"/>
  <c r="K24" i="56"/>
  <c r="L24" i="56" s="1"/>
  <c r="P26" i="56"/>
  <c r="G25" i="56"/>
  <c r="J25" i="53"/>
  <c r="G25" i="53"/>
  <c r="H25" i="53" s="1"/>
  <c r="G24" i="53"/>
  <c r="H24" i="53" s="1"/>
  <c r="J24" i="53"/>
  <c r="K24" i="53" s="1"/>
  <c r="L24" i="53" s="1"/>
  <c r="N26" i="53"/>
  <c r="F26" i="53" s="1"/>
  <c r="J24" i="51"/>
  <c r="K24" i="51" s="1"/>
  <c r="L24" i="51" s="1"/>
  <c r="G24" i="51"/>
  <c r="H24" i="51" s="1"/>
  <c r="N26" i="51"/>
  <c r="F25" i="51"/>
  <c r="K30" i="41"/>
  <c r="L30" i="41" s="1"/>
  <c r="M30" i="41"/>
  <c r="B39" i="41"/>
  <c r="S38" i="41"/>
  <c r="P38" i="41" s="1"/>
  <c r="G31" i="41"/>
  <c r="H31" i="41" s="1"/>
  <c r="J31" i="41"/>
  <c r="C34" i="41"/>
  <c r="O33" i="41"/>
  <c r="F32" i="41"/>
  <c r="M22" i="39"/>
  <c r="K22" i="39"/>
  <c r="L22" i="39" s="1"/>
  <c r="J23" i="39"/>
  <c r="G23" i="39"/>
  <c r="H23" i="39" s="1"/>
  <c r="F24" i="39"/>
  <c r="O25" i="39"/>
  <c r="C27" i="39"/>
  <c r="C36" i="62" l="1"/>
  <c r="G2" i="62"/>
  <c r="M24" i="56"/>
  <c r="N24" i="59"/>
  <c r="L32" i="62"/>
  <c r="G8" i="62" s="1"/>
  <c r="S32" i="70"/>
  <c r="G10" i="70"/>
  <c r="G10" i="67"/>
  <c r="J33" i="66"/>
  <c r="H33" i="66"/>
  <c r="G3" i="66" s="1"/>
  <c r="P4" i="66" s="1"/>
  <c r="P6" i="66" s="1"/>
  <c r="G33" i="66"/>
  <c r="F34" i="66"/>
  <c r="O35" i="66"/>
  <c r="M32" i="66"/>
  <c r="K32" i="66"/>
  <c r="L32" i="66" s="1"/>
  <c r="G8" i="66" s="1"/>
  <c r="J29" i="65"/>
  <c r="G29" i="65"/>
  <c r="H29" i="65" s="1"/>
  <c r="C33" i="65"/>
  <c r="O31" i="65"/>
  <c r="F30" i="65"/>
  <c r="K28" i="65"/>
  <c r="L28" i="65" s="1"/>
  <c r="M28" i="65"/>
  <c r="J34" i="62"/>
  <c r="M34" i="62" s="1"/>
  <c r="G34" i="62"/>
  <c r="K33" i="62"/>
  <c r="S33" i="70" s="1"/>
  <c r="O36" i="62"/>
  <c r="F35" i="62"/>
  <c r="H26" i="59"/>
  <c r="I26" i="59" s="1"/>
  <c r="K26" i="59"/>
  <c r="L26" i="59" s="1"/>
  <c r="M26" i="59" s="1"/>
  <c r="P28" i="59"/>
  <c r="G27" i="59"/>
  <c r="H26" i="58"/>
  <c r="I26" i="58" s="1"/>
  <c r="K26" i="58"/>
  <c r="L26" i="58" s="1"/>
  <c r="M26" i="58" s="1"/>
  <c r="O28" i="58"/>
  <c r="G27" i="58"/>
  <c r="O31" i="57"/>
  <c r="G30" i="57"/>
  <c r="K25" i="53"/>
  <c r="L25" i="53" s="1"/>
  <c r="P27" i="56"/>
  <c r="G26" i="56"/>
  <c r="K25" i="56"/>
  <c r="L25" i="56" s="1"/>
  <c r="H25" i="56"/>
  <c r="I25" i="56" s="1"/>
  <c r="J26" i="53"/>
  <c r="K26" i="53" s="1"/>
  <c r="L26" i="53" s="1"/>
  <c r="G26" i="53"/>
  <c r="H26" i="53" s="1"/>
  <c r="N27" i="53"/>
  <c r="F27" i="53" s="1"/>
  <c r="J25" i="51"/>
  <c r="K25" i="51" s="1"/>
  <c r="L25" i="51" s="1"/>
  <c r="G25" i="51"/>
  <c r="H25" i="51" s="1"/>
  <c r="F26" i="51"/>
  <c r="N27" i="51"/>
  <c r="C35" i="41"/>
  <c r="B40" i="41"/>
  <c r="S39" i="41"/>
  <c r="P39" i="41" s="1"/>
  <c r="G32" i="41"/>
  <c r="H32" i="41" s="1"/>
  <c r="J32" i="41"/>
  <c r="K31" i="41"/>
  <c r="L31" i="41" s="1"/>
  <c r="M31" i="41"/>
  <c r="O34" i="41"/>
  <c r="F33" i="41"/>
  <c r="M23" i="39"/>
  <c r="K23" i="39"/>
  <c r="L23" i="39" s="1"/>
  <c r="J24" i="39"/>
  <c r="G24" i="39"/>
  <c r="H24" i="39" s="1"/>
  <c r="O26" i="39"/>
  <c r="F25" i="39"/>
  <c r="C28" i="39"/>
  <c r="M25" i="56" l="1"/>
  <c r="N25" i="59"/>
  <c r="N8" i="62"/>
  <c r="N10" i="62" s="1"/>
  <c r="G2" i="66"/>
  <c r="O36" i="66"/>
  <c r="F36" i="66" s="1"/>
  <c r="F35" i="66"/>
  <c r="K33" i="66"/>
  <c r="L33" i="66" s="1"/>
  <c r="M33" i="66"/>
  <c r="J34" i="66"/>
  <c r="G34" i="66"/>
  <c r="O32" i="65"/>
  <c r="F31" i="65"/>
  <c r="K29" i="65"/>
  <c r="L29" i="65" s="1"/>
  <c r="M29" i="65"/>
  <c r="G3" i="65" s="1"/>
  <c r="C34" i="65"/>
  <c r="J30" i="65"/>
  <c r="G30" i="65"/>
  <c r="H30" i="65" s="1"/>
  <c r="L33" i="62"/>
  <c r="J35" i="62"/>
  <c r="M35" i="62" s="1"/>
  <c r="G35" i="62"/>
  <c r="F36" i="62"/>
  <c r="K34" i="62"/>
  <c r="G4" i="62"/>
  <c r="K27" i="59"/>
  <c r="L27" i="59" s="1"/>
  <c r="M27" i="59" s="1"/>
  <c r="H27" i="59"/>
  <c r="I27" i="59" s="1"/>
  <c r="P29" i="59"/>
  <c r="G28" i="59"/>
  <c r="K27" i="58"/>
  <c r="L27" i="58" s="1"/>
  <c r="M27" i="58" s="1"/>
  <c r="H27" i="58"/>
  <c r="I27" i="58" s="1"/>
  <c r="O29" i="58"/>
  <c r="G28" i="58"/>
  <c r="O32" i="57"/>
  <c r="G31" i="57"/>
  <c r="H26" i="56"/>
  <c r="I26" i="56" s="1"/>
  <c r="K26" i="56"/>
  <c r="L26" i="56" s="1"/>
  <c r="P28" i="56"/>
  <c r="G27" i="56"/>
  <c r="G27" i="53"/>
  <c r="H27" i="53" s="1"/>
  <c r="J27" i="53"/>
  <c r="K27" i="53" s="1"/>
  <c r="L27" i="53" s="1"/>
  <c r="N28" i="53"/>
  <c r="F28" i="53" s="1"/>
  <c r="N28" i="51"/>
  <c r="F27" i="51"/>
  <c r="G26" i="51"/>
  <c r="H26" i="51" s="1"/>
  <c r="J26" i="51"/>
  <c r="K26" i="51" s="1"/>
  <c r="L26" i="51" s="1"/>
  <c r="B41" i="41"/>
  <c r="S40" i="41"/>
  <c r="P40" i="41" s="1"/>
  <c r="G33" i="41"/>
  <c r="H33" i="41" s="1"/>
  <c r="J33" i="41"/>
  <c r="K32" i="41"/>
  <c r="L32" i="41" s="1"/>
  <c r="M32" i="41"/>
  <c r="O35" i="41"/>
  <c r="F34" i="41"/>
  <c r="C36" i="41"/>
  <c r="M24" i="39"/>
  <c r="K24" i="39"/>
  <c r="L24" i="39" s="1"/>
  <c r="O27" i="39"/>
  <c r="F26" i="39"/>
  <c r="G25" i="39"/>
  <c r="H25" i="39" s="1"/>
  <c r="J25" i="39"/>
  <c r="C29" i="39"/>
  <c r="L34" i="62" l="1"/>
  <c r="S34" i="70"/>
  <c r="M26" i="56"/>
  <c r="N26" i="59"/>
  <c r="J35" i="66"/>
  <c r="G35" i="66"/>
  <c r="K34" i="66"/>
  <c r="L34" i="66" s="1"/>
  <c r="M34" i="66"/>
  <c r="G4" i="66" s="1"/>
  <c r="J36" i="66"/>
  <c r="G36" i="66"/>
  <c r="C35" i="65"/>
  <c r="K30" i="65"/>
  <c r="L30" i="65" s="1"/>
  <c r="M30" i="65"/>
  <c r="G31" i="65"/>
  <c r="H31" i="65" s="1"/>
  <c r="J31" i="65"/>
  <c r="O33" i="65"/>
  <c r="F32" i="65"/>
  <c r="J36" i="62"/>
  <c r="M36" i="62" s="1"/>
  <c r="G36" i="62"/>
  <c r="K35" i="62"/>
  <c r="H28" i="59"/>
  <c r="I28" i="59" s="1"/>
  <c r="K28" i="59"/>
  <c r="L28" i="59" s="1"/>
  <c r="M28" i="59" s="1"/>
  <c r="P30" i="59"/>
  <c r="G29" i="59"/>
  <c r="H28" i="58"/>
  <c r="I28" i="58" s="1"/>
  <c r="K28" i="58"/>
  <c r="L28" i="58" s="1"/>
  <c r="M28" i="58" s="1"/>
  <c r="O30" i="58"/>
  <c r="G29" i="58"/>
  <c r="O33" i="57"/>
  <c r="G32" i="57"/>
  <c r="H27" i="56"/>
  <c r="I27" i="56" s="1"/>
  <c r="K27" i="56"/>
  <c r="L27" i="56" s="1"/>
  <c r="P29" i="56"/>
  <c r="G28" i="56"/>
  <c r="G28" i="53"/>
  <c r="H28" i="53" s="1"/>
  <c r="J28" i="53"/>
  <c r="K28" i="53" s="1"/>
  <c r="L28" i="53" s="1"/>
  <c r="N29" i="53"/>
  <c r="F29" i="53" s="1"/>
  <c r="G27" i="51"/>
  <c r="H27" i="51" s="1"/>
  <c r="J27" i="51"/>
  <c r="K27" i="51" s="1"/>
  <c r="L27" i="51" s="1"/>
  <c r="N29" i="51"/>
  <c r="F28" i="51"/>
  <c r="O36" i="41"/>
  <c r="F35" i="41"/>
  <c r="C37" i="41"/>
  <c r="K33" i="41"/>
  <c r="L33" i="41" s="1"/>
  <c r="G8" i="41" s="1"/>
  <c r="M33" i="41"/>
  <c r="G4" i="41" s="1"/>
  <c r="G34" i="41"/>
  <c r="H34" i="41" s="1"/>
  <c r="J34" i="41"/>
  <c r="B42" i="41"/>
  <c r="S42" i="41" s="1"/>
  <c r="P42" i="41" s="1"/>
  <c r="S41" i="41"/>
  <c r="P41" i="41" s="1"/>
  <c r="M25" i="39"/>
  <c r="K25" i="39"/>
  <c r="L25" i="39" s="1"/>
  <c r="G26" i="39"/>
  <c r="H26" i="39" s="1"/>
  <c r="J26" i="39"/>
  <c r="C30" i="39"/>
  <c r="O28" i="39"/>
  <c r="F27" i="39"/>
  <c r="L35" i="62" l="1"/>
  <c r="S35" i="70"/>
  <c r="M27" i="56"/>
  <c r="N27" i="59"/>
  <c r="K36" i="66"/>
  <c r="L36" i="66" s="1"/>
  <c r="M36" i="66"/>
  <c r="G6" i="66"/>
  <c r="K35" i="66"/>
  <c r="L35" i="66" s="1"/>
  <c r="M35" i="66"/>
  <c r="C36" i="65"/>
  <c r="G32" i="65"/>
  <c r="H32" i="65" s="1"/>
  <c r="J32" i="65"/>
  <c r="O34" i="65"/>
  <c r="F33" i="65"/>
  <c r="K31" i="65"/>
  <c r="L31" i="65" s="1"/>
  <c r="M31" i="65"/>
  <c r="K36" i="62"/>
  <c r="K29" i="59"/>
  <c r="L29" i="59" s="1"/>
  <c r="M29" i="59" s="1"/>
  <c r="H29" i="59"/>
  <c r="I29" i="59" s="1"/>
  <c r="P31" i="59"/>
  <c r="G30" i="59"/>
  <c r="K29" i="58"/>
  <c r="L29" i="58" s="1"/>
  <c r="M29" i="58" s="1"/>
  <c r="H29" i="58"/>
  <c r="I29" i="58" s="1"/>
  <c r="O31" i="58"/>
  <c r="G30" i="58"/>
  <c r="O34" i="57"/>
  <c r="G33" i="57"/>
  <c r="K28" i="56"/>
  <c r="L28" i="56" s="1"/>
  <c r="H28" i="56"/>
  <c r="I28" i="56" s="1"/>
  <c r="P30" i="56"/>
  <c r="G29" i="56"/>
  <c r="J29" i="53"/>
  <c r="K29" i="53" s="1"/>
  <c r="L29" i="53" s="1"/>
  <c r="G29" i="53"/>
  <c r="H29" i="53" s="1"/>
  <c r="N30" i="53"/>
  <c r="F30" i="53" s="1"/>
  <c r="G28" i="51"/>
  <c r="H28" i="51" s="1"/>
  <c r="J28" i="51"/>
  <c r="K28" i="51" s="1"/>
  <c r="L28" i="51" s="1"/>
  <c r="N30" i="51"/>
  <c r="F29" i="51"/>
  <c r="K34" i="41"/>
  <c r="L34" i="41" s="1"/>
  <c r="M34" i="41"/>
  <c r="C38" i="41"/>
  <c r="G35" i="41"/>
  <c r="H35" i="41" s="1"/>
  <c r="J35" i="41"/>
  <c r="O37" i="41"/>
  <c r="F36" i="41"/>
  <c r="H37" i="41" s="1"/>
  <c r="M26" i="39"/>
  <c r="K26" i="39"/>
  <c r="L26" i="39" s="1"/>
  <c r="C31" i="39"/>
  <c r="J27" i="39"/>
  <c r="G27" i="39"/>
  <c r="H27" i="39" s="1"/>
  <c r="F28" i="39"/>
  <c r="O29" i="39"/>
  <c r="Y18" i="38"/>
  <c r="Y20" i="38" s="1"/>
  <c r="AH4" i="38"/>
  <c r="AH5" i="38" s="1"/>
  <c r="AH6" i="38" s="1"/>
  <c r="AH7" i="38" s="1"/>
  <c r="AH8" i="38" s="1"/>
  <c r="AH9" i="38" s="1"/>
  <c r="AH10" i="38" s="1"/>
  <c r="AH11" i="38" s="1"/>
  <c r="AH12" i="38" s="1"/>
  <c r="AH13" i="38" s="1"/>
  <c r="AH14" i="38" s="1"/>
  <c r="AH15" i="38" s="1"/>
  <c r="AH16" i="38" s="1"/>
  <c r="AH17" i="38" s="1"/>
  <c r="AH18" i="38" s="1"/>
  <c r="AH19" i="38" s="1"/>
  <c r="AH20" i="38" s="1"/>
  <c r="AH21" i="38" s="1"/>
  <c r="AH22" i="38" s="1"/>
  <c r="AH23" i="38" s="1"/>
  <c r="AH24" i="38" s="1"/>
  <c r="AH25" i="38" s="1"/>
  <c r="AH26" i="38" s="1"/>
  <c r="AH27" i="38" s="1"/>
  <c r="AH28" i="38" s="1"/>
  <c r="AH29" i="38" s="1"/>
  <c r="AA4" i="38"/>
  <c r="AA5" i="38" s="1"/>
  <c r="AA6" i="38" s="1"/>
  <c r="AA7" i="38" s="1"/>
  <c r="AA8" i="38" s="1"/>
  <c r="AA9" i="38" s="1"/>
  <c r="AA10" i="38" s="1"/>
  <c r="AA11" i="38" s="1"/>
  <c r="AA12" i="38" s="1"/>
  <c r="AA13" i="38" s="1"/>
  <c r="AA14" i="38" s="1"/>
  <c r="AA15" i="38" s="1"/>
  <c r="AA16" i="38" s="1"/>
  <c r="AA17" i="38" s="1"/>
  <c r="AA18" i="38" s="1"/>
  <c r="AA19" i="38" s="1"/>
  <c r="AA20" i="38" s="1"/>
  <c r="AA21" i="38" s="1"/>
  <c r="AA22" i="38" s="1"/>
  <c r="AA23" i="38" s="1"/>
  <c r="AA24" i="38" s="1"/>
  <c r="AA25" i="38" s="1"/>
  <c r="AA26" i="38" s="1"/>
  <c r="AA27" i="38" s="1"/>
  <c r="AA28" i="38" s="1"/>
  <c r="AA29" i="38" s="1"/>
  <c r="Q14" i="38"/>
  <c r="T4" i="38"/>
  <c r="T5" i="38" s="1"/>
  <c r="T6" i="38" s="1"/>
  <c r="T7" i="38" s="1"/>
  <c r="T8" i="38" s="1"/>
  <c r="T9" i="38" s="1"/>
  <c r="T10" i="38" s="1"/>
  <c r="T11" i="38" s="1"/>
  <c r="T12" i="38" s="1"/>
  <c r="T13" i="38" s="1"/>
  <c r="T14" i="38" s="1"/>
  <c r="T15" i="38" s="1"/>
  <c r="T16" i="38" s="1"/>
  <c r="T17" i="38" s="1"/>
  <c r="T18" i="38" s="1"/>
  <c r="T19" i="38" s="1"/>
  <c r="T20" i="38" s="1"/>
  <c r="T21" i="38" s="1"/>
  <c r="T22" i="38" s="1"/>
  <c r="T23" i="38" s="1"/>
  <c r="T24" i="38" s="1"/>
  <c r="T25" i="38" s="1"/>
  <c r="T26" i="38" s="1"/>
  <c r="T27" i="38" s="1"/>
  <c r="T28" i="38" s="1"/>
  <c r="T29" i="38" s="1"/>
  <c r="L4" i="38"/>
  <c r="L5" i="38" s="1"/>
  <c r="L6" i="38" s="1"/>
  <c r="L7" i="38" s="1"/>
  <c r="L8" i="38" s="1"/>
  <c r="L9" i="38" s="1"/>
  <c r="L10" i="38" s="1"/>
  <c r="L11" i="38" s="1"/>
  <c r="L12" i="38" s="1"/>
  <c r="L13" i="38" s="1"/>
  <c r="L14" i="38" s="1"/>
  <c r="L15" i="38" s="1"/>
  <c r="L16" i="38" s="1"/>
  <c r="L17" i="38" s="1"/>
  <c r="L18" i="38" s="1"/>
  <c r="L19" i="38" s="1"/>
  <c r="L20" i="38" s="1"/>
  <c r="L21" i="38" s="1"/>
  <c r="L22" i="38" s="1"/>
  <c r="L23" i="38" s="1"/>
  <c r="L24" i="38" s="1"/>
  <c r="L25" i="38" s="1"/>
  <c r="L26" i="38" s="1"/>
  <c r="L27" i="38" s="1"/>
  <c r="L28" i="38" s="1"/>
  <c r="L29" i="38" s="1"/>
  <c r="B13" i="31"/>
  <c r="B14" i="31" s="1"/>
  <c r="B15" i="31" s="1"/>
  <c r="B16" i="31" s="1"/>
  <c r="B17" i="31" s="1"/>
  <c r="B18" i="31" s="1"/>
  <c r="B19" i="31" s="1"/>
  <c r="B20" i="31" s="1"/>
  <c r="B21" i="31" s="1"/>
  <c r="B22" i="31" s="1"/>
  <c r="B23" i="31" s="1"/>
  <c r="B24" i="31" s="1"/>
  <c r="B25" i="31" s="1"/>
  <c r="B26" i="31" s="1"/>
  <c r="B27" i="31" s="1"/>
  <c r="B28" i="31" s="1"/>
  <c r="B29" i="31" s="1"/>
  <c r="B30" i="31" s="1"/>
  <c r="B31" i="31" s="1"/>
  <c r="B32" i="31" s="1"/>
  <c r="B33" i="31" s="1"/>
  <c r="B34" i="31" s="1"/>
  <c r="B35" i="31" s="1"/>
  <c r="B36" i="31" s="1"/>
  <c r="B37" i="31" s="1"/>
  <c r="B38" i="31" s="1"/>
  <c r="R12" i="31"/>
  <c r="C12" i="31"/>
  <c r="B4" i="31"/>
  <c r="R9" i="31" s="1"/>
  <c r="B3" i="31"/>
  <c r="Q9" i="31" s="1"/>
  <c r="P28" i="31" s="1"/>
  <c r="B1" i="31"/>
  <c r="B3" i="30"/>
  <c r="B6" i="30"/>
  <c r="B14" i="30"/>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C13" i="30"/>
  <c r="B5" i="30"/>
  <c r="B4" i="30"/>
  <c r="Q10" i="30" s="1"/>
  <c r="B2" i="30"/>
  <c r="M28" i="56" l="1"/>
  <c r="N28" i="59"/>
  <c r="L36" i="62"/>
  <c r="G9" i="62" s="1"/>
  <c r="S36" i="70"/>
  <c r="G10" i="66"/>
  <c r="G9" i="66"/>
  <c r="G5" i="66"/>
  <c r="C37" i="65"/>
  <c r="K32" i="65"/>
  <c r="L32" i="65" s="1"/>
  <c r="M32" i="65"/>
  <c r="G33" i="65"/>
  <c r="H33" i="65" s="1"/>
  <c r="J33" i="65"/>
  <c r="O35" i="65"/>
  <c r="F34" i="65"/>
  <c r="G6" i="62"/>
  <c r="H30" i="59"/>
  <c r="I30" i="59" s="1"/>
  <c r="K30" i="59"/>
  <c r="L30" i="59" s="1"/>
  <c r="M30" i="59" s="1"/>
  <c r="P32" i="59"/>
  <c r="G31" i="59"/>
  <c r="H30" i="58"/>
  <c r="I30" i="58" s="1"/>
  <c r="K30" i="58"/>
  <c r="L30" i="58" s="1"/>
  <c r="M30" i="58" s="1"/>
  <c r="O32" i="58"/>
  <c r="G31" i="58"/>
  <c r="O35" i="57"/>
  <c r="G34" i="57"/>
  <c r="H29" i="56"/>
  <c r="I29" i="56" s="1"/>
  <c r="K29" i="56"/>
  <c r="L29" i="56" s="1"/>
  <c r="P31" i="56"/>
  <c r="G30" i="56"/>
  <c r="G30" i="53"/>
  <c r="H30" i="53" s="1"/>
  <c r="J30" i="53"/>
  <c r="K30" i="53" s="1"/>
  <c r="L30" i="53" s="1"/>
  <c r="N31" i="53"/>
  <c r="F31" i="53" s="1"/>
  <c r="J29" i="51"/>
  <c r="K29" i="51" s="1"/>
  <c r="L29" i="51" s="1"/>
  <c r="G29" i="51"/>
  <c r="H29" i="51" s="1"/>
  <c r="N31" i="51"/>
  <c r="F30" i="51"/>
  <c r="J36" i="41"/>
  <c r="G36" i="41"/>
  <c r="H36" i="41" s="1"/>
  <c r="G3" i="41" s="1"/>
  <c r="G2" i="41" s="1"/>
  <c r="O38" i="41"/>
  <c r="F37" i="41"/>
  <c r="C39" i="41"/>
  <c r="K35" i="41"/>
  <c r="L35" i="41" s="1"/>
  <c r="M35" i="41"/>
  <c r="M27" i="39"/>
  <c r="K27" i="39"/>
  <c r="L27" i="39" s="1"/>
  <c r="O30" i="39"/>
  <c r="F29" i="39"/>
  <c r="J28" i="39"/>
  <c r="G28" i="39"/>
  <c r="H28" i="39" s="1"/>
  <c r="C32" i="39"/>
  <c r="R32" i="30"/>
  <c r="R13" i="30"/>
  <c r="R21" i="30"/>
  <c r="R39" i="30"/>
  <c r="R31" i="30"/>
  <c r="R28" i="30"/>
  <c r="R24" i="30"/>
  <c r="R20" i="30"/>
  <c r="R16" i="30"/>
  <c r="R38" i="30"/>
  <c r="R34" i="30"/>
  <c r="R30" i="30"/>
  <c r="R25" i="30"/>
  <c r="R17" i="30"/>
  <c r="R35" i="30"/>
  <c r="R27" i="30"/>
  <c r="R23" i="30"/>
  <c r="R19" i="30"/>
  <c r="R15" i="30"/>
  <c r="R37" i="30"/>
  <c r="R33" i="30"/>
  <c r="R29" i="30"/>
  <c r="R26" i="30"/>
  <c r="R22" i="30"/>
  <c r="R18" i="30"/>
  <c r="R14" i="30"/>
  <c r="R36" i="30"/>
  <c r="P20" i="31"/>
  <c r="P24" i="31"/>
  <c r="C13" i="31"/>
  <c r="P27" i="31"/>
  <c r="P23" i="31"/>
  <c r="P19" i="31"/>
  <c r="P15" i="31"/>
  <c r="P12" i="31"/>
  <c r="P38" i="31"/>
  <c r="P37" i="31"/>
  <c r="P36" i="31"/>
  <c r="P35" i="31"/>
  <c r="P34" i="31"/>
  <c r="P33" i="31"/>
  <c r="P32" i="31"/>
  <c r="P31" i="31"/>
  <c r="P30" i="31"/>
  <c r="P26" i="31"/>
  <c r="P22" i="31"/>
  <c r="P18" i="31"/>
  <c r="P14" i="31"/>
  <c r="P29" i="31"/>
  <c r="P25" i="31"/>
  <c r="P21" i="31"/>
  <c r="P17" i="31"/>
  <c r="P13" i="31"/>
  <c r="O12" i="31"/>
  <c r="F12" i="31" s="1"/>
  <c r="P16" i="31"/>
  <c r="R10" i="30"/>
  <c r="C14" i="30"/>
  <c r="M29" i="56" l="1"/>
  <c r="N29" i="59"/>
  <c r="K33" i="65"/>
  <c r="L33" i="65" s="1"/>
  <c r="M33" i="65"/>
  <c r="O36" i="65"/>
  <c r="F35" i="65"/>
  <c r="C38" i="65"/>
  <c r="G34" i="65"/>
  <c r="H34" i="65" s="1"/>
  <c r="J34" i="65"/>
  <c r="G10" i="62"/>
  <c r="G5" i="62"/>
  <c r="K31" i="59"/>
  <c r="L31" i="59" s="1"/>
  <c r="M31" i="59" s="1"/>
  <c r="H31" i="59"/>
  <c r="I31" i="59" s="1"/>
  <c r="P33" i="59"/>
  <c r="G32" i="59"/>
  <c r="K31" i="58"/>
  <c r="L31" i="58" s="1"/>
  <c r="M31" i="58" s="1"/>
  <c r="H31" i="58"/>
  <c r="I31" i="58" s="1"/>
  <c r="O33" i="58"/>
  <c r="G32" i="58"/>
  <c r="O36" i="57"/>
  <c r="G35" i="57"/>
  <c r="P32" i="56"/>
  <c r="G31" i="56"/>
  <c r="K30" i="56"/>
  <c r="L30" i="56" s="1"/>
  <c r="H30" i="56"/>
  <c r="I30" i="56" s="1"/>
  <c r="G31" i="53"/>
  <c r="H31" i="53" s="1"/>
  <c r="J31" i="53"/>
  <c r="K31" i="53" s="1"/>
  <c r="L31" i="53" s="1"/>
  <c r="N32" i="53"/>
  <c r="F32" i="53" s="1"/>
  <c r="G30" i="51"/>
  <c r="H30" i="51" s="1"/>
  <c r="J30" i="51"/>
  <c r="K30" i="51" s="1"/>
  <c r="L30" i="51" s="1"/>
  <c r="N32" i="51"/>
  <c r="F31" i="51"/>
  <c r="O39" i="41"/>
  <c r="F38" i="41"/>
  <c r="J37" i="41"/>
  <c r="G37" i="41"/>
  <c r="C40" i="41"/>
  <c r="K36" i="41"/>
  <c r="L36" i="41" s="1"/>
  <c r="M36" i="41"/>
  <c r="M28" i="39"/>
  <c r="K28" i="39"/>
  <c r="L28" i="39" s="1"/>
  <c r="P14" i="30"/>
  <c r="C33" i="39"/>
  <c r="G29" i="39"/>
  <c r="H29" i="39" s="1"/>
  <c r="J29" i="39"/>
  <c r="O31" i="39"/>
  <c r="F30" i="39"/>
  <c r="C14" i="31"/>
  <c r="G12" i="31"/>
  <c r="H12" i="31" s="1"/>
  <c r="J12" i="31"/>
  <c r="O13" i="31"/>
  <c r="P36" i="30"/>
  <c r="P35" i="30"/>
  <c r="P25" i="30"/>
  <c r="P30" i="30"/>
  <c r="P22" i="30"/>
  <c r="P26" i="30"/>
  <c r="P37" i="30"/>
  <c r="P23" i="30"/>
  <c r="P21" i="30"/>
  <c r="P27" i="30"/>
  <c r="P31" i="30"/>
  <c r="P39" i="30"/>
  <c r="P17" i="30"/>
  <c r="P32" i="30"/>
  <c r="P24" i="30"/>
  <c r="P18" i="30"/>
  <c r="P33" i="30"/>
  <c r="P19" i="30"/>
  <c r="P38" i="30"/>
  <c r="P34" i="30"/>
  <c r="P28" i="30"/>
  <c r="P16" i="30"/>
  <c r="P15" i="30"/>
  <c r="P20" i="30"/>
  <c r="P29" i="30"/>
  <c r="P13" i="30"/>
  <c r="O13" i="30" s="1"/>
  <c r="C15" i="30"/>
  <c r="M30" i="56" l="1"/>
  <c r="N30" i="59"/>
  <c r="G35" i="65"/>
  <c r="H35" i="65" s="1"/>
  <c r="J35" i="65"/>
  <c r="O37" i="65"/>
  <c r="F36" i="65"/>
  <c r="K34" i="65"/>
  <c r="L34" i="65" s="1"/>
  <c r="M34" i="65"/>
  <c r="K32" i="59"/>
  <c r="L32" i="59" s="1"/>
  <c r="M32" i="59" s="1"/>
  <c r="H32" i="59"/>
  <c r="I32" i="59" s="1"/>
  <c r="P34" i="59"/>
  <c r="G33" i="59"/>
  <c r="H32" i="58"/>
  <c r="I32" i="58" s="1"/>
  <c r="K32" i="58"/>
  <c r="L32" i="58" s="1"/>
  <c r="M32" i="58" s="1"/>
  <c r="O34" i="58"/>
  <c r="G33" i="58"/>
  <c r="O37" i="57"/>
  <c r="G37" i="57" s="1"/>
  <c r="G36" i="57"/>
  <c r="K31" i="56"/>
  <c r="L31" i="56" s="1"/>
  <c r="H31" i="56"/>
  <c r="I31" i="56" s="1"/>
  <c r="P33" i="56"/>
  <c r="G32" i="56"/>
  <c r="G32" i="53"/>
  <c r="H32" i="53" s="1"/>
  <c r="J32" i="53"/>
  <c r="K32" i="53" s="1"/>
  <c r="L32" i="53" s="1"/>
  <c r="N33" i="53"/>
  <c r="F33" i="53" s="1"/>
  <c r="J31" i="51"/>
  <c r="K31" i="51" s="1"/>
  <c r="L31" i="51" s="1"/>
  <c r="G31" i="51"/>
  <c r="H31" i="51" s="1"/>
  <c r="N33" i="51"/>
  <c r="F32" i="51"/>
  <c r="J38" i="41"/>
  <c r="G38" i="41"/>
  <c r="O40" i="41"/>
  <c r="F39" i="41"/>
  <c r="C41" i="41"/>
  <c r="K37" i="41"/>
  <c r="L37" i="41" s="1"/>
  <c r="M37" i="41"/>
  <c r="M29" i="39"/>
  <c r="K29" i="39"/>
  <c r="L29" i="39" s="1"/>
  <c r="M12" i="31"/>
  <c r="K12" i="31"/>
  <c r="L12" i="31" s="1"/>
  <c r="G30" i="39"/>
  <c r="H30" i="39" s="1"/>
  <c r="J30" i="39"/>
  <c r="O32" i="39"/>
  <c r="F31" i="39"/>
  <c r="C34" i="39"/>
  <c r="O14" i="31"/>
  <c r="F13" i="31"/>
  <c r="C15" i="31"/>
  <c r="O14" i="30"/>
  <c r="O15" i="30" s="1"/>
  <c r="O16" i="30" s="1"/>
  <c r="F13" i="30"/>
  <c r="G13" i="30" s="1"/>
  <c r="H13" i="30" s="1"/>
  <c r="C16" i="30"/>
  <c r="M31" i="56" l="1"/>
  <c r="N31" i="59"/>
  <c r="J36" i="65"/>
  <c r="G36" i="65"/>
  <c r="H36" i="65" s="1"/>
  <c r="O38" i="65"/>
  <c r="F38" i="65" s="1"/>
  <c r="H39" i="65" s="1"/>
  <c r="F37" i="65"/>
  <c r="K35" i="65"/>
  <c r="L35" i="65" s="1"/>
  <c r="M35" i="65"/>
  <c r="H33" i="59"/>
  <c r="I33" i="59" s="1"/>
  <c r="I34" i="59"/>
  <c r="K33" i="59"/>
  <c r="L33" i="59" s="1"/>
  <c r="M33" i="59" s="1"/>
  <c r="H3" i="59" s="1"/>
  <c r="P35" i="59"/>
  <c r="G35" i="59" s="1"/>
  <c r="G34" i="59"/>
  <c r="H33" i="58"/>
  <c r="I33" i="58" s="1"/>
  <c r="I34" i="58"/>
  <c r="H2" i="58" s="1"/>
  <c r="H1" i="58" s="1"/>
  <c r="K33" i="58"/>
  <c r="L33" i="58" s="1"/>
  <c r="M33" i="58" s="1"/>
  <c r="H3" i="58" s="1"/>
  <c r="O35" i="58"/>
  <c r="G35" i="58" s="1"/>
  <c r="G34" i="58"/>
  <c r="H32" i="56"/>
  <c r="K32" i="56"/>
  <c r="L32" i="56" s="1"/>
  <c r="P34" i="56"/>
  <c r="G33" i="56"/>
  <c r="I34" i="56" s="1"/>
  <c r="J33" i="53"/>
  <c r="K33" i="53" s="1"/>
  <c r="L33" i="53" s="1"/>
  <c r="G33" i="53"/>
  <c r="H33" i="53" s="1"/>
  <c r="N34" i="53"/>
  <c r="F34" i="53" s="1"/>
  <c r="G32" i="51"/>
  <c r="H32" i="51" s="1"/>
  <c r="J32" i="51"/>
  <c r="K32" i="51" s="1"/>
  <c r="L32" i="51" s="1"/>
  <c r="N34" i="51"/>
  <c r="F33" i="51"/>
  <c r="C42" i="41"/>
  <c r="K38" i="41"/>
  <c r="L38" i="41" s="1"/>
  <c r="M38" i="41"/>
  <c r="G39" i="41"/>
  <c r="J39" i="41"/>
  <c r="O41" i="41"/>
  <c r="F40" i="41"/>
  <c r="M30" i="39"/>
  <c r="K30" i="39"/>
  <c r="L30" i="39" s="1"/>
  <c r="C35" i="39"/>
  <c r="O33" i="39"/>
  <c r="F32" i="39"/>
  <c r="G31" i="39"/>
  <c r="H31" i="39" s="1"/>
  <c r="J31" i="39"/>
  <c r="J13" i="31"/>
  <c r="G13" i="31"/>
  <c r="H13" i="31" s="1"/>
  <c r="O15" i="31"/>
  <c r="F14" i="31"/>
  <c r="C16" i="31"/>
  <c r="F14" i="30"/>
  <c r="J14" i="30" s="1"/>
  <c r="F15" i="30"/>
  <c r="J13" i="30"/>
  <c r="K13" i="30" s="1"/>
  <c r="L13" i="30" s="1"/>
  <c r="O17" i="30"/>
  <c r="F16" i="30"/>
  <c r="C17" i="30"/>
  <c r="M32" i="56" l="1"/>
  <c r="N32" i="59"/>
  <c r="H2" i="59"/>
  <c r="K36" i="65"/>
  <c r="L36" i="65" s="1"/>
  <c r="M36" i="65"/>
  <c r="G37" i="65"/>
  <c r="H37" i="65" s="1"/>
  <c r="J37" i="65"/>
  <c r="G38" i="65"/>
  <c r="H38" i="65" s="1"/>
  <c r="J38" i="65"/>
  <c r="K35" i="59"/>
  <c r="H35" i="59"/>
  <c r="H1" i="59"/>
  <c r="K34" i="59"/>
  <c r="L34" i="59" s="1"/>
  <c r="M34" i="59" s="1"/>
  <c r="H34" i="59"/>
  <c r="K35" i="58"/>
  <c r="H35" i="58"/>
  <c r="K34" i="58"/>
  <c r="L34" i="58" s="1"/>
  <c r="M34" i="58" s="1"/>
  <c r="H34" i="58"/>
  <c r="I32" i="56"/>
  <c r="P35" i="56"/>
  <c r="G35" i="56" s="1"/>
  <c r="G34" i="56"/>
  <c r="K33" i="56"/>
  <c r="L33" i="56" s="1"/>
  <c r="H33" i="56"/>
  <c r="I33" i="56" s="1"/>
  <c r="G34" i="53"/>
  <c r="H34" i="53" s="1"/>
  <c r="J34" i="53"/>
  <c r="K34" i="53" s="1"/>
  <c r="L34" i="53" s="1"/>
  <c r="N35" i="53"/>
  <c r="F35" i="53" s="1"/>
  <c r="H36" i="53" s="1"/>
  <c r="J33" i="51"/>
  <c r="K33" i="51" s="1"/>
  <c r="L33" i="51" s="1"/>
  <c r="G33" i="51"/>
  <c r="H33" i="51" s="1"/>
  <c r="N35" i="51"/>
  <c r="F35" i="51" s="1"/>
  <c r="H36" i="51" s="1"/>
  <c r="F34" i="51"/>
  <c r="K39" i="41"/>
  <c r="L39" i="41" s="1"/>
  <c r="M39" i="41"/>
  <c r="J40" i="41"/>
  <c r="G40" i="41"/>
  <c r="O42" i="41"/>
  <c r="F42" i="41" s="1"/>
  <c r="F41" i="41"/>
  <c r="M14" i="30"/>
  <c r="K14" i="30"/>
  <c r="L14" i="30" s="1"/>
  <c r="M31" i="39"/>
  <c r="K31" i="39"/>
  <c r="L31" i="39" s="1"/>
  <c r="M13" i="31"/>
  <c r="K13" i="31"/>
  <c r="L13" i="31" s="1"/>
  <c r="C36" i="39"/>
  <c r="G32" i="39"/>
  <c r="H32" i="39" s="1"/>
  <c r="J32" i="39"/>
  <c r="O34" i="39"/>
  <c r="F33" i="39"/>
  <c r="O16" i="31"/>
  <c r="F15" i="31"/>
  <c r="J14" i="31"/>
  <c r="G14" i="31"/>
  <c r="H14" i="31" s="1"/>
  <c r="C17" i="31"/>
  <c r="M13" i="30"/>
  <c r="G15" i="30"/>
  <c r="H15" i="30" s="1"/>
  <c r="G14" i="30"/>
  <c r="H14" i="30" s="1"/>
  <c r="J15" i="30"/>
  <c r="O18" i="30"/>
  <c r="F17" i="30"/>
  <c r="G16" i="30"/>
  <c r="H16" i="30" s="1"/>
  <c r="J16" i="30"/>
  <c r="C18" i="30"/>
  <c r="M33" i="56" l="1"/>
  <c r="H3" i="56" s="1"/>
  <c r="N33" i="59"/>
  <c r="G2" i="65"/>
  <c r="G1" i="65" s="1"/>
  <c r="K38" i="65"/>
  <c r="L38" i="65" s="1"/>
  <c r="G6" i="65" s="1"/>
  <c r="M38" i="65"/>
  <c r="K37" i="65"/>
  <c r="L37" i="65" s="1"/>
  <c r="M37" i="65"/>
  <c r="L35" i="59"/>
  <c r="L35" i="58"/>
  <c r="M35" i="58" s="1"/>
  <c r="H4" i="58" s="1"/>
  <c r="H2" i="56"/>
  <c r="M1" i="56" s="1"/>
  <c r="M3" i="56" s="1"/>
  <c r="H34" i="56"/>
  <c r="K34" i="56"/>
  <c r="L34" i="56" s="1"/>
  <c r="H35" i="56"/>
  <c r="K35" i="56"/>
  <c r="G35" i="53"/>
  <c r="H35" i="53" s="1"/>
  <c r="J35" i="53"/>
  <c r="K35" i="53" s="1"/>
  <c r="L35" i="53" s="1"/>
  <c r="G3" i="53" s="1"/>
  <c r="G34" i="51"/>
  <c r="H34" i="51" s="1"/>
  <c r="J34" i="51"/>
  <c r="K34" i="51" s="1"/>
  <c r="L34" i="51" s="1"/>
  <c r="J35" i="51"/>
  <c r="G35" i="51"/>
  <c r="H35" i="51" s="1"/>
  <c r="G42" i="41"/>
  <c r="J42" i="41"/>
  <c r="K40" i="41"/>
  <c r="L40" i="41" s="1"/>
  <c r="M40" i="41"/>
  <c r="J41" i="41"/>
  <c r="G41" i="41"/>
  <c r="M15" i="30"/>
  <c r="K15" i="30"/>
  <c r="L15" i="30" s="1"/>
  <c r="M32" i="39"/>
  <c r="K32" i="39"/>
  <c r="L32" i="39" s="1"/>
  <c r="M14" i="31"/>
  <c r="K14" i="31"/>
  <c r="L14" i="31" s="1"/>
  <c r="M16" i="30"/>
  <c r="K16" i="30"/>
  <c r="L16" i="30" s="1"/>
  <c r="C37" i="39"/>
  <c r="O35" i="39"/>
  <c r="F34" i="39"/>
  <c r="G33" i="39"/>
  <c r="H33" i="39" s="1"/>
  <c r="J33" i="39"/>
  <c r="C18" i="31"/>
  <c r="G15" i="31"/>
  <c r="H15" i="31" s="1"/>
  <c r="J15" i="31"/>
  <c r="O17" i="31"/>
  <c r="F16" i="31"/>
  <c r="J17" i="30"/>
  <c r="K17" i="30" s="1"/>
  <c r="L17" i="30" s="1"/>
  <c r="G17" i="30"/>
  <c r="H17" i="30" s="1"/>
  <c r="C19" i="30"/>
  <c r="O19" i="30"/>
  <c r="F18" i="30"/>
  <c r="M34" i="56" l="1"/>
  <c r="N34" i="59"/>
  <c r="M35" i="59"/>
  <c r="H4" i="59" s="1"/>
  <c r="S34" i="59"/>
  <c r="G6" i="41"/>
  <c r="G4" i="65"/>
  <c r="G8" i="65"/>
  <c r="G7" i="65"/>
  <c r="G2" i="53"/>
  <c r="G2" i="51"/>
  <c r="G1" i="51" s="1"/>
  <c r="K35" i="51"/>
  <c r="L35" i="51" s="1"/>
  <c r="G3" i="51" s="1"/>
  <c r="H1" i="56"/>
  <c r="L35" i="56"/>
  <c r="K42" i="41"/>
  <c r="L42" i="41" s="1"/>
  <c r="M42" i="41"/>
  <c r="G5" i="41" s="1"/>
  <c r="K41" i="41"/>
  <c r="L41" i="41" s="1"/>
  <c r="M41" i="41"/>
  <c r="M33" i="39"/>
  <c r="K33" i="39"/>
  <c r="L33" i="39" s="1"/>
  <c r="M15" i="31"/>
  <c r="K15" i="31"/>
  <c r="L15" i="31" s="1"/>
  <c r="G34" i="39"/>
  <c r="H34" i="39" s="1"/>
  <c r="J34" i="39"/>
  <c r="O36" i="39"/>
  <c r="F35" i="39"/>
  <c r="M17" i="30"/>
  <c r="G16" i="31"/>
  <c r="H16" i="31" s="1"/>
  <c r="J16" i="31"/>
  <c r="O18" i="31"/>
  <c r="F17" i="31"/>
  <c r="C19" i="31"/>
  <c r="J18" i="30"/>
  <c r="K18" i="30" s="1"/>
  <c r="L18" i="30" s="1"/>
  <c r="G18" i="30"/>
  <c r="H18" i="30" s="1"/>
  <c r="O20" i="30"/>
  <c r="F19" i="30"/>
  <c r="C20" i="30"/>
  <c r="M35" i="56" l="1"/>
  <c r="H4" i="56" s="1"/>
  <c r="N35" i="59"/>
  <c r="O37" i="59" s="1"/>
  <c r="G1" i="53"/>
  <c r="K1" i="53"/>
  <c r="K3" i="53" s="1"/>
  <c r="G10" i="41"/>
  <c r="G9" i="41"/>
  <c r="M34" i="39"/>
  <c r="K34" i="39"/>
  <c r="L34" i="39" s="1"/>
  <c r="M16" i="31"/>
  <c r="K16" i="31"/>
  <c r="L16" i="31" s="1"/>
  <c r="G35" i="39"/>
  <c r="H35" i="39" s="1"/>
  <c r="J35" i="39"/>
  <c r="O37" i="39"/>
  <c r="F37" i="39" s="1"/>
  <c r="H38" i="39" s="1"/>
  <c r="F36" i="39"/>
  <c r="J17" i="31"/>
  <c r="G17" i="31"/>
  <c r="H17" i="31" s="1"/>
  <c r="C20" i="31"/>
  <c r="O19" i="31"/>
  <c r="F18" i="31"/>
  <c r="M18" i="30"/>
  <c r="C21" i="30"/>
  <c r="G19" i="30"/>
  <c r="H19" i="30" s="1"/>
  <c r="J19" i="30"/>
  <c r="O21" i="30"/>
  <c r="F20" i="30"/>
  <c r="M35" i="39" l="1"/>
  <c r="K35" i="39"/>
  <c r="L35" i="39" s="1"/>
  <c r="M17" i="31"/>
  <c r="K17" i="31"/>
  <c r="L17" i="31" s="1"/>
  <c r="M19" i="30"/>
  <c r="K19" i="30"/>
  <c r="L19" i="30" s="1"/>
  <c r="G37" i="39"/>
  <c r="H37" i="39" s="1"/>
  <c r="J37" i="39"/>
  <c r="G36" i="39"/>
  <c r="H36" i="39" s="1"/>
  <c r="J36" i="39"/>
  <c r="J18" i="31"/>
  <c r="G18" i="31"/>
  <c r="H18" i="31" s="1"/>
  <c r="C21" i="31"/>
  <c r="O20" i="31"/>
  <c r="F19" i="31"/>
  <c r="G20" i="30"/>
  <c r="H20" i="30" s="1"/>
  <c r="J20" i="30"/>
  <c r="K20" i="30" s="1"/>
  <c r="L20" i="30" s="1"/>
  <c r="O22" i="30"/>
  <c r="F21" i="30"/>
  <c r="C22" i="30"/>
  <c r="G2" i="39" l="1"/>
  <c r="G1" i="39" s="1"/>
  <c r="M37" i="39"/>
  <c r="K37" i="39"/>
  <c r="L37" i="39" s="1"/>
  <c r="M36" i="39"/>
  <c r="K36" i="39"/>
  <c r="L36" i="39" s="1"/>
  <c r="M18" i="31"/>
  <c r="K18" i="31"/>
  <c r="L18" i="31" s="1"/>
  <c r="C22" i="31"/>
  <c r="G19" i="31"/>
  <c r="H19" i="31" s="1"/>
  <c r="J19" i="31"/>
  <c r="O21" i="31"/>
  <c r="F20" i="31"/>
  <c r="M20" i="30"/>
  <c r="O23" i="30"/>
  <c r="F22" i="30"/>
  <c r="J21" i="30"/>
  <c r="G21" i="30"/>
  <c r="H21" i="30" s="1"/>
  <c r="C23" i="30"/>
  <c r="G3" i="39" l="1"/>
  <c r="G6" i="39"/>
  <c r="G4" i="39"/>
  <c r="G8" i="39"/>
  <c r="G7" i="39"/>
  <c r="M19" i="31"/>
  <c r="K19" i="31"/>
  <c r="L19" i="31" s="1"/>
  <c r="M21" i="30"/>
  <c r="K21" i="30"/>
  <c r="L21" i="30" s="1"/>
  <c r="G20" i="31"/>
  <c r="H20" i="31" s="1"/>
  <c r="J20" i="31"/>
  <c r="O22" i="31"/>
  <c r="F21" i="31"/>
  <c r="C23" i="31"/>
  <c r="J22" i="30"/>
  <c r="K22" i="30" s="1"/>
  <c r="L22" i="30" s="1"/>
  <c r="G22" i="30"/>
  <c r="H22" i="30" s="1"/>
  <c r="C24" i="30"/>
  <c r="O24" i="30"/>
  <c r="F23" i="30"/>
  <c r="M20" i="31" l="1"/>
  <c r="K20" i="31"/>
  <c r="L20" i="31" s="1"/>
  <c r="J21" i="31"/>
  <c r="G21" i="31"/>
  <c r="H21" i="31" s="1"/>
  <c r="O23" i="31"/>
  <c r="F22" i="31"/>
  <c r="C24" i="31"/>
  <c r="M22" i="30"/>
  <c r="C25" i="30"/>
  <c r="G23" i="30"/>
  <c r="H23" i="30" s="1"/>
  <c r="J23" i="30"/>
  <c r="O25" i="30"/>
  <c r="F24" i="30"/>
  <c r="M21" i="31" l="1"/>
  <c r="K21" i="31"/>
  <c r="L21" i="31" s="1"/>
  <c r="M23" i="30"/>
  <c r="K23" i="30"/>
  <c r="L23" i="30" s="1"/>
  <c r="J22" i="31"/>
  <c r="G22" i="31"/>
  <c r="H22" i="31" s="1"/>
  <c r="O24" i="31"/>
  <c r="F23" i="31"/>
  <c r="C25" i="31"/>
  <c r="G24" i="30"/>
  <c r="H24" i="30" s="1"/>
  <c r="J24" i="30"/>
  <c r="O26" i="30"/>
  <c r="F25" i="30"/>
  <c r="C26" i="30"/>
  <c r="M22" i="31" l="1"/>
  <c r="K22" i="31"/>
  <c r="L22" i="31" s="1"/>
  <c r="M24" i="30"/>
  <c r="K24" i="30"/>
  <c r="L24" i="30" s="1"/>
  <c r="G23" i="31"/>
  <c r="H23" i="31" s="1"/>
  <c r="J23" i="31"/>
  <c r="O25" i="31"/>
  <c r="F24" i="31"/>
  <c r="C26" i="31"/>
  <c r="F26" i="30"/>
  <c r="O27" i="30"/>
  <c r="G25" i="30"/>
  <c r="H25" i="30" s="1"/>
  <c r="J25" i="30"/>
  <c r="C27" i="30"/>
  <c r="M23" i="31" l="1"/>
  <c r="K23" i="31"/>
  <c r="L23" i="31" s="1"/>
  <c r="M25" i="30"/>
  <c r="K25" i="30"/>
  <c r="L25" i="30" s="1"/>
  <c r="G24" i="31"/>
  <c r="H24" i="31" s="1"/>
  <c r="J24" i="31"/>
  <c r="O26" i="31"/>
  <c r="F25" i="31"/>
  <c r="C27" i="31"/>
  <c r="O28" i="30"/>
  <c r="F27" i="30"/>
  <c r="C28" i="30"/>
  <c r="J26" i="30"/>
  <c r="G26" i="30"/>
  <c r="H26" i="30" s="1"/>
  <c r="M24" i="31" l="1"/>
  <c r="K24" i="31"/>
  <c r="L24" i="31" s="1"/>
  <c r="M26" i="30"/>
  <c r="K26" i="30"/>
  <c r="L26" i="30" s="1"/>
  <c r="O27" i="31"/>
  <c r="F26" i="31"/>
  <c r="J25" i="31"/>
  <c r="G25" i="31"/>
  <c r="H25" i="31" s="1"/>
  <c r="C28" i="31"/>
  <c r="C29" i="30"/>
  <c r="J27" i="30"/>
  <c r="G27" i="30"/>
  <c r="H27" i="30" s="1"/>
  <c r="O29" i="30"/>
  <c r="F28" i="30"/>
  <c r="M25" i="31" l="1"/>
  <c r="K25" i="31"/>
  <c r="L25" i="31" s="1"/>
  <c r="M27" i="30"/>
  <c r="K27" i="30"/>
  <c r="L27" i="30" s="1"/>
  <c r="J26" i="31"/>
  <c r="G26" i="31"/>
  <c r="H26" i="31" s="1"/>
  <c r="C29" i="31"/>
  <c r="O28" i="31"/>
  <c r="F27" i="31"/>
  <c r="G28" i="30"/>
  <c r="H28" i="30" s="1"/>
  <c r="J28" i="30"/>
  <c r="O30" i="30"/>
  <c r="F29" i="30"/>
  <c r="C30" i="30"/>
  <c r="M26" i="31" l="1"/>
  <c r="K26" i="31"/>
  <c r="L26" i="31" s="1"/>
  <c r="M28" i="30"/>
  <c r="K28" i="30"/>
  <c r="L28" i="30" s="1"/>
  <c r="C30" i="31"/>
  <c r="G27" i="31"/>
  <c r="H27" i="31" s="1"/>
  <c r="J27" i="31"/>
  <c r="O29" i="31"/>
  <c r="F28" i="31"/>
  <c r="O31" i="30"/>
  <c r="F30" i="30"/>
  <c r="G29" i="30"/>
  <c r="H29" i="30" s="1"/>
  <c r="J29" i="30"/>
  <c r="C31" i="30"/>
  <c r="M27" i="31" l="1"/>
  <c r="K27" i="31"/>
  <c r="L27" i="31" s="1"/>
  <c r="M29" i="30"/>
  <c r="K29" i="30"/>
  <c r="L29" i="30" s="1"/>
  <c r="O30" i="31"/>
  <c r="F29" i="31"/>
  <c r="C31" i="31"/>
  <c r="G28" i="31"/>
  <c r="H28" i="31" s="1"/>
  <c r="J28" i="31"/>
  <c r="C32" i="30"/>
  <c r="J30" i="30"/>
  <c r="G30" i="30"/>
  <c r="H30" i="30" s="1"/>
  <c r="O32" i="30"/>
  <c r="F31" i="30"/>
  <c r="M28" i="31" l="1"/>
  <c r="K28" i="31"/>
  <c r="L28" i="31" s="1"/>
  <c r="M30" i="30"/>
  <c r="G4" i="30" s="1"/>
  <c r="K30" i="30"/>
  <c r="L30" i="30" s="1"/>
  <c r="C32" i="31"/>
  <c r="H30" i="31"/>
  <c r="J29" i="31"/>
  <c r="G29" i="31"/>
  <c r="H29" i="31" s="1"/>
  <c r="O31" i="31"/>
  <c r="F30" i="31"/>
  <c r="J31" i="30"/>
  <c r="G31" i="30"/>
  <c r="H31" i="30" s="1"/>
  <c r="O33" i="30"/>
  <c r="F32" i="30"/>
  <c r="C33" i="30"/>
  <c r="M29" i="31" l="1"/>
  <c r="G3" i="31" s="1"/>
  <c r="K29" i="31"/>
  <c r="L29" i="31" s="1"/>
  <c r="G6" i="31" s="1"/>
  <c r="M31" i="30"/>
  <c r="K31" i="30"/>
  <c r="L31" i="30" s="1"/>
  <c r="G2" i="31"/>
  <c r="G1" i="31" s="1"/>
  <c r="O32" i="31"/>
  <c r="F31" i="31"/>
  <c r="C33" i="31"/>
  <c r="J30" i="31"/>
  <c r="G30" i="31"/>
  <c r="J32" i="30"/>
  <c r="G32" i="30"/>
  <c r="H32" i="30" s="1"/>
  <c r="O34" i="30"/>
  <c r="F33" i="30"/>
  <c r="C34" i="30"/>
  <c r="M30" i="31" l="1"/>
  <c r="K30" i="31"/>
  <c r="L30" i="31" s="1"/>
  <c r="M32" i="30"/>
  <c r="K32" i="30"/>
  <c r="L32" i="30" s="1"/>
  <c r="C34" i="31"/>
  <c r="J31" i="31"/>
  <c r="G31" i="31"/>
  <c r="O33" i="31"/>
  <c r="F32" i="31"/>
  <c r="O35" i="30"/>
  <c r="F34" i="30"/>
  <c r="J33" i="30"/>
  <c r="G33" i="30"/>
  <c r="H33" i="30" s="1"/>
  <c r="C35" i="30"/>
  <c r="M31" i="31" l="1"/>
  <c r="K31" i="31"/>
  <c r="L31" i="31" s="1"/>
  <c r="M33" i="30"/>
  <c r="K33" i="30"/>
  <c r="L33" i="30" s="1"/>
  <c r="C35" i="31"/>
  <c r="J32" i="31"/>
  <c r="G32" i="31"/>
  <c r="O34" i="31"/>
  <c r="F33" i="31"/>
  <c r="J34" i="30"/>
  <c r="G34" i="30"/>
  <c r="H34" i="30" s="1"/>
  <c r="C36" i="30"/>
  <c r="O36" i="30"/>
  <c r="F35" i="30"/>
  <c r="M32" i="31" l="1"/>
  <c r="K32" i="31"/>
  <c r="L32" i="31" s="1"/>
  <c r="M34" i="30"/>
  <c r="K34" i="30"/>
  <c r="L34" i="30" s="1"/>
  <c r="O35" i="31"/>
  <c r="F34" i="31"/>
  <c r="J33" i="31"/>
  <c r="G33" i="31"/>
  <c r="C36" i="31"/>
  <c r="J35" i="30"/>
  <c r="G35" i="30"/>
  <c r="H35" i="30" s="1"/>
  <c r="C37" i="30"/>
  <c r="O37" i="30"/>
  <c r="F36" i="30"/>
  <c r="M33" i="31" l="1"/>
  <c r="K33" i="31"/>
  <c r="L33" i="31" s="1"/>
  <c r="M35" i="30"/>
  <c r="K35" i="30"/>
  <c r="L35" i="30" s="1"/>
  <c r="J34" i="31"/>
  <c r="G34" i="31"/>
  <c r="C37" i="31"/>
  <c r="O36" i="31"/>
  <c r="F35" i="31"/>
  <c r="C38" i="30"/>
  <c r="J36" i="30"/>
  <c r="G36" i="30"/>
  <c r="H36" i="30" s="1"/>
  <c r="O38" i="30"/>
  <c r="F37" i="30"/>
  <c r="M34" i="31" l="1"/>
  <c r="K34" i="31"/>
  <c r="L34" i="31" s="1"/>
  <c r="M36" i="30"/>
  <c r="K36" i="30"/>
  <c r="L36" i="30" s="1"/>
  <c r="C38" i="31"/>
  <c r="J35" i="31"/>
  <c r="G35" i="31"/>
  <c r="O37" i="31"/>
  <c r="F36" i="31"/>
  <c r="C39" i="30"/>
  <c r="J37" i="30"/>
  <c r="G37" i="30"/>
  <c r="H37" i="30" s="1"/>
  <c r="O39" i="30"/>
  <c r="F39" i="30" s="1"/>
  <c r="H40" i="30" s="1"/>
  <c r="F38" i="30"/>
  <c r="M35" i="31" l="1"/>
  <c r="K35" i="31"/>
  <c r="L35" i="31" s="1"/>
  <c r="M37" i="30"/>
  <c r="K37" i="30"/>
  <c r="L37" i="30" s="1"/>
  <c r="O38" i="31"/>
  <c r="F38" i="31" s="1"/>
  <c r="F37" i="31"/>
  <c r="J36" i="31"/>
  <c r="G36" i="31"/>
  <c r="J38" i="30"/>
  <c r="G38" i="30"/>
  <c r="H38" i="30" s="1"/>
  <c r="G3" i="30" s="1"/>
  <c r="G2" i="30" s="1"/>
  <c r="J39" i="30"/>
  <c r="G39" i="30"/>
  <c r="H39" i="30" s="1"/>
  <c r="M36" i="31" l="1"/>
  <c r="K36" i="31"/>
  <c r="L36" i="31" s="1"/>
  <c r="M38" i="30"/>
  <c r="K38" i="30"/>
  <c r="L38" i="30" s="1"/>
  <c r="G6" i="30"/>
  <c r="K39" i="30"/>
  <c r="L39" i="30" s="1"/>
  <c r="J37" i="31"/>
  <c r="G37" i="31"/>
  <c r="J38" i="31"/>
  <c r="G38" i="31"/>
  <c r="M39" i="30"/>
  <c r="G8" i="30" l="1"/>
  <c r="G9" i="30"/>
  <c r="G10" i="30"/>
  <c r="M38" i="31"/>
  <c r="K38" i="31"/>
  <c r="L38" i="31" s="1"/>
  <c r="M37" i="31"/>
  <c r="K37" i="31"/>
  <c r="L37" i="31" s="1"/>
  <c r="G5" i="30"/>
  <c r="G4" i="31" l="1"/>
  <c r="G8" i="31"/>
  <c r="G7" i="31"/>
  <c r="B7" i="23"/>
  <c r="B8" i="18"/>
  <c r="F8" i="18" s="1"/>
  <c r="J8" i="18" s="1"/>
  <c r="K8" i="18" s="1"/>
  <c r="L8" i="18" s="1"/>
  <c r="B8" i="23" l="1"/>
  <c r="F8" i="23" s="1"/>
  <c r="F7" i="23"/>
  <c r="G8" i="18"/>
  <c r="H8" i="18" s="1"/>
  <c r="B9" i="18"/>
  <c r="F9" i="18" s="1"/>
  <c r="J9" i="18" s="1"/>
  <c r="K9" i="18" s="1"/>
  <c r="L9" i="18" s="1"/>
  <c r="B9" i="23"/>
  <c r="F9" i="23" s="1"/>
  <c r="G9" i="18" l="1"/>
  <c r="H9" i="18" s="1"/>
  <c r="B10" i="18"/>
  <c r="F10" i="18" s="1"/>
  <c r="J10" i="18" s="1"/>
  <c r="K10" i="18" s="1"/>
  <c r="L10" i="18" s="1"/>
  <c r="J8" i="23"/>
  <c r="G8" i="23"/>
  <c r="H8" i="23" s="1"/>
  <c r="G7" i="23"/>
  <c r="H7" i="23" s="1"/>
  <c r="J7" i="23"/>
  <c r="K7" i="23" s="1"/>
  <c r="L7" i="23" s="1"/>
  <c r="B10" i="23"/>
  <c r="F10" i="23" s="1"/>
  <c r="K8" i="23" l="1"/>
  <c r="L8" i="23" s="1"/>
  <c r="B11" i="18"/>
  <c r="F11" i="18" s="1"/>
  <c r="J11" i="18" s="1"/>
  <c r="K11" i="18" s="1"/>
  <c r="L11" i="18" s="1"/>
  <c r="B11" i="23"/>
  <c r="F11" i="23" s="1"/>
  <c r="J9" i="23"/>
  <c r="K9" i="23" s="1"/>
  <c r="L9" i="23" s="1"/>
  <c r="G9" i="23"/>
  <c r="H9" i="23" s="1"/>
  <c r="G10" i="18"/>
  <c r="H10" i="18" s="1"/>
  <c r="B12" i="18" l="1"/>
  <c r="F12" i="18" s="1"/>
  <c r="J12" i="18" s="1"/>
  <c r="K12" i="18" s="1"/>
  <c r="L12" i="18" s="1"/>
  <c r="G10" i="23"/>
  <c r="H10" i="23" s="1"/>
  <c r="J10" i="23"/>
  <c r="K10" i="23" s="1"/>
  <c r="L10" i="23" s="1"/>
  <c r="B12" i="23"/>
  <c r="F12" i="23" s="1"/>
  <c r="G11" i="18"/>
  <c r="H11" i="18" s="1"/>
  <c r="B13" i="18" l="1"/>
  <c r="F13" i="18" s="1"/>
  <c r="J13" i="18" s="1"/>
  <c r="K13" i="18" s="1"/>
  <c r="G11" i="23"/>
  <c r="H11" i="23" s="1"/>
  <c r="J11" i="23"/>
  <c r="K11" i="23" s="1"/>
  <c r="L11" i="23" s="1"/>
  <c r="B13" i="23"/>
  <c r="F13" i="23" s="1"/>
  <c r="G12" i="18"/>
  <c r="H12" i="18" s="1"/>
  <c r="L13" i="18" l="1"/>
  <c r="B14" i="18"/>
  <c r="F14" i="18" s="1"/>
  <c r="J14" i="18" s="1"/>
  <c r="K14" i="18" s="1"/>
  <c r="L14" i="18" s="1"/>
  <c r="B14" i="23"/>
  <c r="F14" i="23" s="1"/>
  <c r="J12" i="23"/>
  <c r="K12" i="23" s="1"/>
  <c r="L12" i="23" s="1"/>
  <c r="G12" i="23"/>
  <c r="H12" i="23" s="1"/>
  <c r="G13" i="18"/>
  <c r="H13" i="18" s="1"/>
  <c r="B15" i="18" l="1"/>
  <c r="F15" i="18" s="1"/>
  <c r="J13" i="23"/>
  <c r="K13" i="23" s="1"/>
  <c r="L13" i="23" s="1"/>
  <c r="G13" i="23"/>
  <c r="H13" i="23" s="1"/>
  <c r="B15" i="23"/>
  <c r="F15" i="23" s="1"/>
  <c r="G14" i="18"/>
  <c r="H14" i="18" s="1"/>
  <c r="B16" i="18" l="1"/>
  <c r="F16" i="18" s="1"/>
  <c r="G14" i="23"/>
  <c r="H14" i="23" s="1"/>
  <c r="J14" i="23"/>
  <c r="K14" i="23" s="1"/>
  <c r="L14" i="23" s="1"/>
  <c r="B16" i="23"/>
  <c r="F16" i="23" s="1"/>
  <c r="G15" i="18"/>
  <c r="H15" i="18" s="1"/>
  <c r="J15" i="18"/>
  <c r="K15" i="18" s="1"/>
  <c r="L15" i="18" s="1"/>
  <c r="B17" i="18" l="1"/>
  <c r="F17" i="18" s="1"/>
  <c r="G15" i="23"/>
  <c r="H15" i="23" s="1"/>
  <c r="J15" i="23"/>
  <c r="K15" i="23" s="1"/>
  <c r="L15" i="23" s="1"/>
  <c r="B17" i="23"/>
  <c r="F17" i="23" s="1"/>
  <c r="G16" i="18"/>
  <c r="H16" i="18" s="1"/>
  <c r="J16" i="18"/>
  <c r="K16" i="18" s="1"/>
  <c r="L16" i="18" s="1"/>
  <c r="B18" i="18"/>
  <c r="F18" i="18" s="1"/>
  <c r="J16" i="23" l="1"/>
  <c r="K16" i="23" s="1"/>
  <c r="L16" i="23" s="1"/>
  <c r="G16" i="23"/>
  <c r="H16" i="23" s="1"/>
  <c r="B18" i="23"/>
  <c r="F18" i="23" s="1"/>
  <c r="G17" i="18"/>
  <c r="H17" i="18" s="1"/>
  <c r="J17" i="18"/>
  <c r="K17" i="18" s="1"/>
  <c r="L17" i="18" s="1"/>
  <c r="B19" i="18"/>
  <c r="F19" i="18" s="1"/>
  <c r="B19" i="23" l="1"/>
  <c r="F19" i="23" s="1"/>
  <c r="J17" i="23"/>
  <c r="K17" i="23" s="1"/>
  <c r="L17" i="23" s="1"/>
  <c r="G17" i="23"/>
  <c r="H17" i="23" s="1"/>
  <c r="J18" i="18"/>
  <c r="K18" i="18" s="1"/>
  <c r="L18" i="18" s="1"/>
  <c r="G18" i="18"/>
  <c r="H18" i="18" s="1"/>
  <c r="B20" i="18"/>
  <c r="F20" i="18" s="1"/>
  <c r="G18" i="23" l="1"/>
  <c r="H18" i="23" s="1"/>
  <c r="J18" i="23"/>
  <c r="K18" i="23" s="1"/>
  <c r="L18" i="23" s="1"/>
  <c r="B20" i="23"/>
  <c r="F20" i="23" s="1"/>
  <c r="G19" i="18"/>
  <c r="H19" i="18" s="1"/>
  <c r="J19" i="18"/>
  <c r="K19" i="18" s="1"/>
  <c r="L19" i="18" s="1"/>
  <c r="B21" i="18"/>
  <c r="F21" i="18" s="1"/>
  <c r="B21" i="23" l="1"/>
  <c r="F21" i="23" s="1"/>
  <c r="G19" i="23"/>
  <c r="H19" i="23" s="1"/>
  <c r="J19" i="23"/>
  <c r="K19" i="23" s="1"/>
  <c r="L19" i="23" s="1"/>
  <c r="G20" i="18"/>
  <c r="H20" i="18" s="1"/>
  <c r="J20" i="18"/>
  <c r="K20" i="18" s="1"/>
  <c r="L20" i="18" s="1"/>
  <c r="B22" i="18"/>
  <c r="F22" i="18" s="1"/>
  <c r="G20" i="23" l="1"/>
  <c r="H20" i="23" s="1"/>
  <c r="J20" i="23"/>
  <c r="K20" i="23" s="1"/>
  <c r="L20" i="23" s="1"/>
  <c r="B22" i="23"/>
  <c r="F22" i="23" s="1"/>
  <c r="J21" i="18"/>
  <c r="K21" i="18" s="1"/>
  <c r="L21" i="18" s="1"/>
  <c r="G21" i="18"/>
  <c r="H21" i="18" s="1"/>
  <c r="B23" i="18"/>
  <c r="F23" i="18" s="1"/>
  <c r="J21" i="23" l="1"/>
  <c r="K21" i="23" s="1"/>
  <c r="L21" i="23" s="1"/>
  <c r="G21" i="23"/>
  <c r="H21" i="23" s="1"/>
  <c r="B23" i="23"/>
  <c r="F23" i="23" s="1"/>
  <c r="J22" i="18"/>
  <c r="K22" i="18" s="1"/>
  <c r="L22" i="18" s="1"/>
  <c r="G22" i="18"/>
  <c r="H22" i="18" s="1"/>
  <c r="B24" i="18"/>
  <c r="F24" i="18" s="1"/>
  <c r="J22" i="23" l="1"/>
  <c r="K22" i="23" s="1"/>
  <c r="L22" i="23" s="1"/>
  <c r="G22" i="23"/>
  <c r="H22" i="23" s="1"/>
  <c r="B24" i="23"/>
  <c r="F24" i="23" s="1"/>
  <c r="G23" i="18"/>
  <c r="H23" i="18" s="1"/>
  <c r="J23" i="18"/>
  <c r="K23" i="18" s="1"/>
  <c r="L23" i="18" s="1"/>
  <c r="B25" i="18"/>
  <c r="F25" i="18" s="1"/>
  <c r="G23" i="23" l="1"/>
  <c r="H23" i="23" s="1"/>
  <c r="J23" i="23"/>
  <c r="K23" i="23" s="1"/>
  <c r="L23" i="23" s="1"/>
  <c r="B25" i="23"/>
  <c r="F25" i="23" s="1"/>
  <c r="J24" i="18"/>
  <c r="K24" i="18" s="1"/>
  <c r="L24" i="18" s="1"/>
  <c r="G24" i="18"/>
  <c r="H24" i="18" s="1"/>
  <c r="B26" i="18"/>
  <c r="F26" i="18" s="1"/>
  <c r="G24" i="23" l="1"/>
  <c r="H24" i="23" s="1"/>
  <c r="J24" i="23"/>
  <c r="K24" i="23" s="1"/>
  <c r="L24" i="23" s="1"/>
  <c r="B26" i="23"/>
  <c r="F26" i="23" s="1"/>
  <c r="J25" i="18"/>
  <c r="K25" i="18" s="1"/>
  <c r="L25" i="18" s="1"/>
  <c r="G25" i="18"/>
  <c r="H25" i="18" s="1"/>
  <c r="B27" i="18"/>
  <c r="F27" i="18" s="1"/>
  <c r="B27" i="23" l="1"/>
  <c r="F27" i="23" s="1"/>
  <c r="J25" i="23"/>
  <c r="K25" i="23" s="1"/>
  <c r="L25" i="23" s="1"/>
  <c r="G25" i="23"/>
  <c r="H25" i="23" s="1"/>
  <c r="J26" i="18"/>
  <c r="K26" i="18" s="1"/>
  <c r="L26" i="18" s="1"/>
  <c r="G26" i="18"/>
  <c r="H26" i="18" s="1"/>
  <c r="B28" i="18"/>
  <c r="F28" i="18" s="1"/>
  <c r="J26" i="23" l="1"/>
  <c r="K26" i="23" s="1"/>
  <c r="L26" i="23" s="1"/>
  <c r="G26" i="23"/>
  <c r="H26" i="23" s="1"/>
  <c r="B28" i="23"/>
  <c r="F28" i="23" s="1"/>
  <c r="G27" i="18"/>
  <c r="H27" i="18" s="1"/>
  <c r="J27" i="18"/>
  <c r="K27" i="18" s="1"/>
  <c r="L27" i="18" s="1"/>
  <c r="B29" i="18"/>
  <c r="F29" i="18" s="1"/>
  <c r="G27" i="23" l="1"/>
  <c r="H27" i="23" s="1"/>
  <c r="J27" i="23"/>
  <c r="K27" i="23" s="1"/>
  <c r="L27" i="23" s="1"/>
  <c r="B29" i="23"/>
  <c r="F29" i="23" s="1"/>
  <c r="J28" i="18"/>
  <c r="K28" i="18" s="1"/>
  <c r="L28" i="18" s="1"/>
  <c r="G28" i="18"/>
  <c r="H28" i="18" s="1"/>
  <c r="B30" i="18"/>
  <c r="F30" i="18" s="1"/>
  <c r="G28" i="23" l="1"/>
  <c r="H28" i="23" s="1"/>
  <c r="J28" i="23"/>
  <c r="K28" i="23" s="1"/>
  <c r="L28" i="23" s="1"/>
  <c r="B30" i="23"/>
  <c r="F30" i="23" s="1"/>
  <c r="J29" i="18"/>
  <c r="K29" i="18" s="1"/>
  <c r="L29" i="18" s="1"/>
  <c r="G29" i="18"/>
  <c r="H29" i="18" s="1"/>
  <c r="B31" i="18"/>
  <c r="F31" i="18" s="1"/>
  <c r="J29" i="23" l="1"/>
  <c r="K29" i="23" s="1"/>
  <c r="L29" i="23" s="1"/>
  <c r="G29" i="23"/>
  <c r="H29" i="23" s="1"/>
  <c r="B31" i="23"/>
  <c r="F31" i="23" s="1"/>
  <c r="J30" i="18"/>
  <c r="K30" i="18" s="1"/>
  <c r="L30" i="18" s="1"/>
  <c r="G30" i="18"/>
  <c r="H30" i="18" s="1"/>
  <c r="B32" i="18"/>
  <c r="F32" i="18" s="1"/>
  <c r="B32" i="23" l="1"/>
  <c r="J30" i="23"/>
  <c r="K30" i="23" s="1"/>
  <c r="L30" i="23" s="1"/>
  <c r="G30" i="23"/>
  <c r="H30" i="23" s="1"/>
  <c r="G31" i="18"/>
  <c r="H31" i="18" s="1"/>
  <c r="J31" i="18"/>
  <c r="K31" i="18" s="1"/>
  <c r="L31" i="18" s="1"/>
  <c r="B33" i="18"/>
  <c r="F33" i="18" s="1"/>
  <c r="H34" i="18" s="1"/>
  <c r="F32" i="23" l="1"/>
  <c r="H33" i="23" s="1"/>
  <c r="G31" i="23"/>
  <c r="H31" i="23" s="1"/>
  <c r="J31" i="23"/>
  <c r="K31" i="23" s="1"/>
  <c r="L31" i="23" s="1"/>
  <c r="G33" i="18"/>
  <c r="H33" i="18" s="1"/>
  <c r="J33" i="18"/>
  <c r="G32" i="18"/>
  <c r="H32" i="18" s="1"/>
  <c r="G2" i="18" s="1"/>
  <c r="G1" i="18" s="1"/>
  <c r="J32" i="18"/>
  <c r="K32" i="18" s="1"/>
  <c r="L32" i="18" s="1"/>
  <c r="K33" i="18" l="1"/>
  <c r="L33" i="18" s="1"/>
  <c r="G3" i="18" s="1"/>
  <c r="J32" i="23"/>
  <c r="K32" i="23" s="1"/>
  <c r="L32" i="23" s="1"/>
  <c r="G3" i="23" s="1"/>
  <c r="G32" i="23"/>
  <c r="H32" i="23" s="1"/>
  <c r="G2" i="23" s="1"/>
  <c r="G1" i="23" s="1"/>
  <c r="K13" i="57"/>
  <c r="H12" i="57" l="1"/>
  <c r="I12" i="57" s="1"/>
  <c r="K12" i="57"/>
  <c r="L12" i="57" s="1"/>
  <c r="M12" i="57" s="1"/>
  <c r="H14" i="57"/>
  <c r="I14" i="57" s="1"/>
  <c r="K14" i="57"/>
  <c r="L14" i="57" s="1"/>
  <c r="M14" i="57" s="1"/>
  <c r="H13" i="57"/>
  <c r="I13" i="57" s="1"/>
  <c r="L13" i="57" l="1"/>
  <c r="M13" i="57" s="1"/>
  <c r="K15" i="57"/>
  <c r="L15" i="57" s="1"/>
  <c r="M15" i="57" s="1"/>
  <c r="H15" i="57"/>
  <c r="I15" i="57" s="1"/>
  <c r="K16" i="57" l="1"/>
  <c r="L16" i="57" s="1"/>
  <c r="M16" i="57" s="1"/>
  <c r="H16" i="57"/>
  <c r="I16" i="57" s="1"/>
  <c r="K17" i="57" l="1"/>
  <c r="L17" i="57" s="1"/>
  <c r="M17" i="57" s="1"/>
  <c r="H17" i="57"/>
  <c r="I17" i="57" s="1"/>
  <c r="K18" i="57" l="1"/>
  <c r="L18" i="57" s="1"/>
  <c r="M18" i="57" s="1"/>
  <c r="H18" i="57"/>
  <c r="I18" i="57" s="1"/>
  <c r="K19" i="57" l="1"/>
  <c r="L19" i="57" s="1"/>
  <c r="M19" i="57" s="1"/>
  <c r="H19" i="57"/>
  <c r="I19" i="57" s="1"/>
  <c r="K20" i="57" l="1"/>
  <c r="L20" i="57" s="1"/>
  <c r="M20" i="57" s="1"/>
  <c r="H20" i="57"/>
  <c r="I20" i="57" s="1"/>
  <c r="K21" i="57" l="1"/>
  <c r="L21" i="57" s="1"/>
  <c r="M21" i="57" s="1"/>
  <c r="H21" i="57"/>
  <c r="I21" i="57" s="1"/>
  <c r="H22" i="57" l="1"/>
  <c r="I22" i="57" s="1"/>
  <c r="K22" i="57"/>
  <c r="L22" i="57" s="1"/>
  <c r="M22" i="57" s="1"/>
  <c r="H23" i="57" l="1"/>
  <c r="I23" i="57" s="1"/>
  <c r="K23" i="57"/>
  <c r="L23" i="57" s="1"/>
  <c r="M23" i="57" s="1"/>
  <c r="K24" i="57" l="1"/>
  <c r="L24" i="57" s="1"/>
  <c r="M24" i="57" s="1"/>
  <c r="H24" i="57"/>
  <c r="I24" i="57" s="1"/>
  <c r="H25" i="57" l="1"/>
  <c r="I25" i="57" s="1"/>
  <c r="K25" i="57"/>
  <c r="L25" i="57" s="1"/>
  <c r="M25" i="57" s="1"/>
  <c r="K26" i="57" l="1"/>
  <c r="L26" i="57" s="1"/>
  <c r="M26" i="57" s="1"/>
  <c r="H26" i="57"/>
  <c r="I26" i="57" s="1"/>
  <c r="K27" i="57" l="1"/>
  <c r="L27" i="57" s="1"/>
  <c r="M27" i="57" s="1"/>
  <c r="H27" i="57"/>
  <c r="I27" i="57" s="1"/>
  <c r="H28" i="57" l="1"/>
  <c r="I28" i="57" s="1"/>
  <c r="K28" i="57"/>
  <c r="L28" i="57" s="1"/>
  <c r="M28" i="57" s="1"/>
  <c r="H29" i="57" l="1"/>
  <c r="I29" i="57" s="1"/>
  <c r="K29" i="57"/>
  <c r="L29" i="57" s="1"/>
  <c r="M29" i="57" s="1"/>
  <c r="K30" i="57" l="1"/>
  <c r="L30" i="57" s="1"/>
  <c r="M30" i="57" s="1"/>
  <c r="H30" i="57"/>
  <c r="I30" i="57" s="1"/>
  <c r="H31" i="57" l="1"/>
  <c r="I31" i="57" s="1"/>
  <c r="K31" i="57"/>
  <c r="L31" i="57" s="1"/>
  <c r="M31" i="57" s="1"/>
  <c r="K32" i="57" l="1"/>
  <c r="L32" i="57" s="1"/>
  <c r="M32" i="57" s="1"/>
  <c r="H32" i="57"/>
  <c r="I32" i="57" s="1"/>
  <c r="K33" i="57" l="1"/>
  <c r="L33" i="57" s="1"/>
  <c r="M33" i="57" s="1"/>
  <c r="H33" i="57"/>
  <c r="I33" i="57" s="1"/>
  <c r="H34" i="57" l="1"/>
  <c r="I34" i="57" s="1"/>
  <c r="K34" i="57"/>
  <c r="L34" i="57" s="1"/>
  <c r="M34" i="57" s="1"/>
  <c r="H35" i="57" l="1"/>
  <c r="I35" i="57" s="1"/>
  <c r="K35" i="57"/>
  <c r="L35" i="57" s="1"/>
  <c r="M35" i="57" s="1"/>
  <c r="H3" i="57" s="1"/>
  <c r="I36" i="57"/>
  <c r="H2" i="57" l="1"/>
  <c r="L1" i="57" s="1"/>
  <c r="K37" i="57"/>
  <c r="H37" i="57"/>
  <c r="H36" i="57"/>
  <c r="K36" i="57"/>
  <c r="L36" i="57" s="1"/>
  <c r="M36" i="57" s="1"/>
  <c r="H1" i="57" l="1"/>
  <c r="L3" i="57"/>
  <c r="L37" i="57"/>
  <c r="M37" i="57" s="1"/>
  <c r="H4" i="57" s="1"/>
</calcChain>
</file>

<file path=xl/sharedStrings.xml><?xml version="1.0" encoding="utf-8"?>
<sst xmlns="http://schemas.openxmlformats.org/spreadsheetml/2006/main" count="950" uniqueCount="199">
  <si>
    <t>airplay</t>
  </si>
  <si>
    <t>week</t>
  </si>
  <si>
    <t>sales</t>
  </si>
  <si>
    <t>Christmas</t>
  </si>
  <si>
    <t>Incremental sales?</t>
  </si>
  <si>
    <t>Airplay is unique new listeners?</t>
  </si>
  <si>
    <t>Why no airplay? What is airplay?</t>
  </si>
  <si>
    <t>New years</t>
  </si>
  <si>
    <t>DINK was alternative/industrial rockband formed in 1992</t>
  </si>
  <si>
    <t>comments</t>
  </si>
  <si>
    <t>Tour in Europe when?</t>
  </si>
  <si>
    <t>OD when?</t>
  </si>
  <si>
    <t>Info on Sparklehorse</t>
  </si>
  <si>
    <t>First album released in August, 1995 (Vivadixiesubmarinetransmissionplot)</t>
  </si>
  <si>
    <t>In 1996, while supporting Radiohead on the first Sparklehorse tour, Linkous overdosed on alcohol, Valium and antidepressants and possibly other substances in his London hotel room.[12] Rendered unconscious by the combination of drugs, he collapsed with his legs pinned beneath him, and remained in that position for almost fourteen hours.[13] He was treated at St Mary's Hospital, London.[6] Subsequent surgeries saved both legs but left him wheelchair-bound for six months;[13] his legs never fully regained their original strength.[3]</t>
  </si>
  <si>
    <t>Sparklehorse’s debut, 1995’s Vivadixie submarinetransmissionpilot, even produced the radio hit “Someday I Will Treat You Good,” and was hailed by Rolling Stone as one of the best albums of the year.</t>
  </si>
  <si>
    <t>While touring Europe with Radiohead shortly after Vivadixie’s release, Linkous overdosed on an ill-advised combo of anti-depressants, Valium, booze and heroin in a London hotel room. As a result, he spent weeks in hospital, was declared clinically dead for two minutes and almost had his legs amputated in the process. Sadly, the incident not only halted the band’s growing momentum but also served as a heavy indication of things to come.</t>
  </si>
  <si>
    <t>https://web.archive.org/web/20061031050602/http://www.harpmagazine.com/articles/detail.cfm?article_id=4606</t>
  </si>
  <si>
    <t>European tour opening for Radiohead in London</t>
  </si>
  <si>
    <r>
      <t>Linkous' career took off in earnest in 1996 when Sparklehorse opened for </t>
    </r>
    <r>
      <rPr>
        <b/>
        <sz val="11"/>
        <color rgb="FF000000"/>
        <rFont val="Arial"/>
        <family val="2"/>
      </rPr>
      <t>Radiohead </t>
    </r>
    <r>
      <rPr>
        <sz val="11"/>
        <color rgb="FF000000"/>
        <rFont val="Arial"/>
        <family val="2"/>
      </rPr>
      <t>on their </t>
    </r>
    <r>
      <rPr>
        <i/>
        <sz val="11"/>
        <color rgb="FF000000"/>
        <rFont val="Arial"/>
        <family val="2"/>
      </rPr>
      <t>OK Computer</t>
    </r>
    <r>
      <rPr>
        <sz val="11"/>
        <color rgb="FF000000"/>
        <rFont val="Arial"/>
        <family val="2"/>
      </rPr>
      <t> European tour</t>
    </r>
  </si>
  <si>
    <t>https://www.hollywoodreporter.com/news/remembering-sparklehorses-mark-linkous-65396</t>
  </si>
  <si>
    <r>
      <rPr>
        <b/>
        <sz val="10"/>
        <rFont val="Arial"/>
        <family val="2"/>
      </rPr>
      <t xml:space="preserve">Nov 5: </t>
    </r>
    <r>
      <rPr>
        <sz val="10"/>
        <rFont val="Arial"/>
        <family val="2"/>
      </rPr>
      <t xml:space="preserve">Rock City, Nottingham, England, </t>
    </r>
    <r>
      <rPr>
        <b/>
        <sz val="10"/>
        <rFont val="Arial"/>
        <family val="2"/>
      </rPr>
      <t>Nov 6:</t>
    </r>
    <r>
      <rPr>
        <sz val="10"/>
        <rFont val="Arial"/>
        <family val="2"/>
      </rPr>
      <t xml:space="preserve"> Cambridge Corn Exchange, Cambridge, England, </t>
    </r>
    <r>
      <rPr>
        <b/>
        <sz val="10"/>
        <rFont val="Arial"/>
        <family val="2"/>
      </rPr>
      <t xml:space="preserve">Nov 7: </t>
    </r>
    <r>
      <rPr>
        <sz val="10"/>
        <rFont val="Arial"/>
        <family val="2"/>
      </rPr>
      <t>Southampton Guildhall, Southampton, England</t>
    </r>
  </si>
  <si>
    <r>
      <rPr>
        <b/>
        <sz val="10"/>
        <rFont val="Arial"/>
        <family val="2"/>
      </rPr>
      <t>Oct 31:</t>
    </r>
    <r>
      <rPr>
        <sz val="10"/>
        <rFont val="Arial"/>
        <family val="2"/>
      </rPr>
      <t xml:space="preserve"> Barrowland, Glasgow, Scotland,</t>
    </r>
    <r>
      <rPr>
        <b/>
        <sz val="10"/>
        <rFont val="Arial"/>
        <family val="2"/>
      </rPr>
      <t xml:space="preserve"> Nov 1:</t>
    </r>
    <r>
      <rPr>
        <sz val="10"/>
        <rFont val="Arial"/>
        <family val="2"/>
      </rPr>
      <t xml:space="preserve"> Town and Country Club, Leeds, England, </t>
    </r>
    <r>
      <rPr>
        <b/>
        <sz val="10"/>
        <rFont val="Arial"/>
        <family val="2"/>
      </rPr>
      <t xml:space="preserve">Nov 2: </t>
    </r>
    <r>
      <rPr>
        <sz val="10"/>
        <rFont val="Arial"/>
        <family val="2"/>
      </rPr>
      <t xml:space="preserve">Manchester Academy 1, University of Manchester, Manchester, England, </t>
    </r>
    <r>
      <rPr>
        <b/>
        <sz val="10"/>
        <rFont val="Arial"/>
        <family val="2"/>
      </rPr>
      <t>Nov 4:</t>
    </r>
    <r>
      <rPr>
        <sz val="10"/>
        <rFont val="Arial"/>
        <family val="2"/>
      </rPr>
      <t xml:space="preserve"> Brixton Academy, London, England</t>
    </r>
  </si>
  <si>
    <r>
      <rPr>
        <b/>
        <sz val="10"/>
        <rFont val="Arial"/>
        <family val="2"/>
      </rPr>
      <t>Nov 29:</t>
    </r>
    <r>
      <rPr>
        <sz val="10"/>
        <rFont val="Arial"/>
        <family val="2"/>
      </rPr>
      <t xml:space="preserve"> Cat's Cradle, Carrboro, NC, USA</t>
    </r>
  </si>
  <si>
    <r>
      <t xml:space="preserve">Jan 13: </t>
    </r>
    <r>
      <rPr>
        <sz val="10"/>
        <rFont val="Arial"/>
        <family val="2"/>
      </rPr>
      <t>Black Cat, Washington DC, USA</t>
    </r>
  </si>
  <si>
    <t xml:space="preserve">Christmas
</t>
  </si>
  <si>
    <t>https://www.setlist.fm/search?page=31&amp;query=sparklehorse</t>
  </si>
  <si>
    <t>Tour Dates</t>
  </si>
  <si>
    <t>Nov 28: Great American Music Hall, SF, CA, USA</t>
  </si>
  <si>
    <r>
      <rPr>
        <b/>
        <sz val="10"/>
        <rFont val="Arial"/>
        <family val="2"/>
      </rPr>
      <t xml:space="preserve">Nov 28: </t>
    </r>
    <r>
      <rPr>
        <sz val="10"/>
        <rFont val="Arial"/>
        <family val="2"/>
      </rPr>
      <t>Great American Music Hall, SF, CA, USA</t>
    </r>
  </si>
  <si>
    <r>
      <rPr>
        <b/>
        <sz val="10"/>
        <rFont val="Arial"/>
        <family val="2"/>
      </rPr>
      <t xml:space="preserve">May 6: </t>
    </r>
    <r>
      <rPr>
        <sz val="10"/>
        <rFont val="Arial"/>
        <family val="2"/>
      </rPr>
      <t>Roseland Theater, Portland, OR, USA</t>
    </r>
  </si>
  <si>
    <r>
      <rPr>
        <b/>
        <sz val="10"/>
        <rFont val="Arial"/>
        <family val="2"/>
      </rPr>
      <t>May 9:</t>
    </r>
    <r>
      <rPr>
        <sz val="10"/>
        <rFont val="Arial"/>
        <family val="2"/>
      </rPr>
      <t xml:space="preserve"> Saltair, Magna, UT, USA</t>
    </r>
  </si>
  <si>
    <r>
      <rPr>
        <b/>
        <sz val="10"/>
        <rFont val="Arial"/>
        <family val="2"/>
      </rPr>
      <t>May 17:</t>
    </r>
    <r>
      <rPr>
        <sz val="10"/>
        <rFont val="Arial"/>
        <family val="2"/>
      </rPr>
      <t xml:space="preserve"> The Masquerade, Tampa, FL, USA, </t>
    </r>
    <r>
      <rPr>
        <b/>
        <sz val="10"/>
        <rFont val="Arial"/>
        <family val="2"/>
      </rPr>
      <t xml:space="preserve">May 18: </t>
    </r>
    <r>
      <rPr>
        <sz val="10"/>
        <rFont val="Arial"/>
        <family val="2"/>
      </rPr>
      <t xml:space="preserve">The Masquerade, Atlanta, GA, USA, </t>
    </r>
    <r>
      <rPr>
        <b/>
        <sz val="10"/>
        <rFont val="Arial"/>
        <family val="2"/>
      </rPr>
      <t>May 19:</t>
    </r>
    <r>
      <rPr>
        <sz val="10"/>
        <rFont val="Arial"/>
        <family val="2"/>
      </rPr>
      <t xml:space="preserve"> WUST Music Hall, Washington DC, USA</t>
    </r>
  </si>
  <si>
    <r>
      <rPr>
        <b/>
        <sz val="10"/>
        <rFont val="Arial"/>
        <family val="2"/>
      </rPr>
      <t xml:space="preserve">Jan 19: </t>
    </r>
    <r>
      <rPr>
        <sz val="10"/>
        <rFont val="Arial"/>
        <family val="2"/>
      </rPr>
      <t>Astoria Theatre, London, England -- Probably when Linkous OD:d</t>
    </r>
  </si>
  <si>
    <t>Major newspaper in England during the 1990s</t>
  </si>
  <si>
    <t>The Sun, Daily Mirror, Daily Mail, Daily Express, The Daily Telegraph</t>
  </si>
  <si>
    <r>
      <t xml:space="preserve">Jan 23: </t>
    </r>
    <r>
      <rPr>
        <sz val="10"/>
        <rFont val="Arial"/>
        <family val="2"/>
      </rPr>
      <t>Linkous overdose</t>
    </r>
  </si>
  <si>
    <r>
      <t xml:space="preserve">Gilbey, Ryan. "Life begins after hitting rock bottom; Sparklehorseman Mark Linkous died last year. But it didn't stop his band from making a classic album. By Ryan Gilbey." </t>
    </r>
    <r>
      <rPr>
        <i/>
        <sz val="10"/>
        <color rgb="FF333333"/>
        <rFont val="Trebuchet MS"/>
        <family val="2"/>
      </rPr>
      <t>Independent</t>
    </r>
    <r>
      <rPr>
        <sz val="10"/>
        <color rgb="FF333333"/>
        <rFont val="Trebuchet MS"/>
        <family val="2"/>
      </rPr>
      <t xml:space="preserve"> [London, England], 6 Sept. 1996, p. 8. </t>
    </r>
    <r>
      <rPr>
        <i/>
        <sz val="10"/>
        <color rgb="FF333333"/>
        <rFont val="Trebuchet MS"/>
        <family val="2"/>
      </rPr>
      <t>General OneFile</t>
    </r>
    <r>
      <rPr>
        <sz val="10"/>
        <color rgb="FF333333"/>
        <rFont val="Trebuchet MS"/>
        <family val="2"/>
      </rPr>
      <t>, http://proxy.library.upenn.edu:2084/apps/doc/A67087057/ITOF?u=upenn_main&amp;sid=ITOF&amp;xid=2ddd7c9f. Accessed 2 Apr. 2018.</t>
    </r>
  </si>
  <si>
    <r>
      <rPr>
        <b/>
        <sz val="10"/>
        <rFont val="Arial"/>
        <family val="2"/>
      </rPr>
      <t>Citation:</t>
    </r>
    <r>
      <rPr>
        <sz val="10"/>
        <rFont val="Arial"/>
        <family val="2"/>
      </rPr>
      <t xml:space="preserve"> Gilbey, Ryan. "Life begins after hitting rock bottom; Sparklehorseman Mark Linkous died last year. But it didn't stop his band from making a classic album. By Ryan Gilbey." Independent [London, England], 6 Sept. 1996, p. 8. General OneFile, http://proxy.library.upenn.edu:2084/apps/doc/A67087057/ITOF?u=upenn_main&amp;sid=ITOF&amp;xid=2ddd7c9f. Accessed 2 Apr. 2018.
</t>
    </r>
  </si>
  <si>
    <t>Combined Industrial, Hip Hop, Hard Rock, Electronic Dance</t>
  </si>
  <si>
    <t>Tour with Pop Will Eat Itself and Compulsion (Nov 17 - Dec 17)</t>
  </si>
  <si>
    <r>
      <t xml:space="preserve">Dink released one self-titled album, also mostly self-produced, in 1994 on Capitol Records. </t>
    </r>
    <r>
      <rPr>
        <b/>
        <sz val="10"/>
        <rFont val="Arial"/>
        <family val="2"/>
      </rPr>
      <t>The album featured one song</t>
    </r>
    <r>
      <rPr>
        <sz val="10"/>
        <rFont val="Arial"/>
        <family val="2"/>
      </rPr>
      <t xml:space="preserve"> produced by Skinny Puppy's Dave "Rave" Ogilvie. The song </t>
    </r>
    <r>
      <rPr>
        <b/>
        <sz val="10"/>
        <rFont val="Arial"/>
        <family val="2"/>
      </rPr>
      <t>"Green Mind" was a hit</t>
    </r>
    <r>
      <rPr>
        <sz val="10"/>
        <rFont val="Arial"/>
        <family val="2"/>
      </rPr>
      <t>, featuring some play on MTV and in the films Fear and Double Dragon, and reached #1 on the alternative dance charts. Dink's "Green Mind" peaked on the Billboard Alternative Songs chart at 35 in October 1995. It was in the top 100 for 6 weeks.</t>
    </r>
  </si>
  <si>
    <r>
      <rPr>
        <b/>
        <sz val="10"/>
        <rFont val="Arial"/>
        <family val="2"/>
      </rPr>
      <t xml:space="preserve">Source: </t>
    </r>
    <r>
      <rPr>
        <sz val="10"/>
        <rFont val="Arial"/>
        <family val="2"/>
      </rPr>
      <t>https://en.wikipedia.org/wiki/Dink_(band)#cite_note-2</t>
    </r>
  </si>
  <si>
    <r>
      <t xml:space="preserve">The band's </t>
    </r>
    <r>
      <rPr>
        <b/>
        <sz val="10"/>
        <rFont val="Arial"/>
        <family val="2"/>
      </rPr>
      <t>next two singles</t>
    </r>
    <r>
      <rPr>
        <sz val="10"/>
        <rFont val="Arial"/>
        <family val="2"/>
      </rPr>
      <t xml:space="preserve">, "Angels" (which was featured in the film Bad Boys during the Club Hell scene) and "Get On It" also topped the alternative dance charts, </t>
    </r>
    <r>
      <rPr>
        <b/>
        <sz val="10"/>
        <rFont val="Arial"/>
        <family val="2"/>
      </rPr>
      <t>repeating the chart success of "Green Mind."</t>
    </r>
  </si>
  <si>
    <t>From an interview with Dink:</t>
  </si>
  <si>
    <t>We had a song called "Green Mind" and it got played on a local Cleveland station called the END (WENZ) which is an alternative station and it got really good response and out of that, majors started calling us. We talked to Island first and then we talked to some other majors and then Capitol came.</t>
  </si>
  <si>
    <t>http://www.radcyberzine.com/text/interviews/dink.html</t>
  </si>
  <si>
    <r>
      <rPr>
        <b/>
        <sz val="10"/>
        <rFont val="Arial"/>
        <family val="2"/>
      </rPr>
      <t xml:space="preserve">Jan 7: </t>
    </r>
    <r>
      <rPr>
        <sz val="10"/>
        <rFont val="Arial"/>
        <family val="2"/>
      </rPr>
      <t>Peak Date for "Green Mind"</t>
    </r>
  </si>
  <si>
    <t>https://www.billboard.com/music/dink/chart-history/alternative-songs/song/32947</t>
  </si>
  <si>
    <t>Nov 15: Capitol Records releases Dink's debut album Dink</t>
  </si>
  <si>
    <t>https://www.discogs.com/Dink-Dink/release/161173</t>
  </si>
  <si>
    <r>
      <rPr>
        <b/>
        <sz val="10"/>
        <rFont val="Arial"/>
        <family val="2"/>
      </rPr>
      <t>Aug 25:</t>
    </r>
    <r>
      <rPr>
        <sz val="10"/>
        <rFont val="Arial"/>
        <family val="2"/>
      </rPr>
      <t xml:space="preserve"> Debut album release ("Vivadixiesubmarinetransmissionplot")</t>
    </r>
  </si>
  <si>
    <r>
      <rPr>
        <b/>
        <sz val="10"/>
        <rFont val="Arial"/>
        <family val="2"/>
      </rPr>
      <t xml:space="preserve">Genre: </t>
    </r>
    <r>
      <rPr>
        <sz val="10"/>
        <rFont val="Arial"/>
        <family val="2"/>
      </rPr>
      <t>Lo-Fi Indie, Indie Rock</t>
    </r>
  </si>
  <si>
    <t>https://rateyourmusic.com/release/album/sparklehorse/vivadixiesubmarinetransmissionplot/</t>
  </si>
  <si>
    <r>
      <rPr>
        <b/>
        <sz val="10"/>
        <rFont val="Arial"/>
        <family val="2"/>
      </rPr>
      <t>Source:</t>
    </r>
    <r>
      <rPr>
        <sz val="10"/>
        <rFont val="Arial"/>
        <family val="2"/>
      </rPr>
      <t xml:space="preserve"> https://rateyourmusic.com/release/album/sparklehorse/vivadixiesubmarinetransmissionplot/</t>
    </r>
  </si>
  <si>
    <r>
      <rPr>
        <b/>
        <sz val="10"/>
        <rFont val="Arial"/>
        <family val="2"/>
      </rPr>
      <t>Nov 15:</t>
    </r>
    <r>
      <rPr>
        <sz val="10"/>
        <rFont val="Arial"/>
        <family val="2"/>
      </rPr>
      <t xml:space="preserve"> Capitol Records releases Dink's debut album Dink</t>
    </r>
  </si>
  <si>
    <t>General Project 2 Info:</t>
  </si>
  <si>
    <t>It's because we don't know the overall population size.  So, like in Session 3, we use a truncated model to make statements only about the observed customers.  This is why we need to rescale the probabilities to sum to 1.</t>
  </si>
  <si>
    <t>Why Scaled P in 9-11 Trials?</t>
  </si>
  <si>
    <t>Assume that all purchases are adoptions (fair considering they are album purchases)</t>
  </si>
  <si>
    <t>Sales are US only, thinks Fader</t>
  </si>
  <si>
    <r>
      <rPr>
        <b/>
        <sz val="10"/>
        <rFont val="Arial"/>
        <family val="2"/>
      </rPr>
      <t xml:space="preserve">Airplay: </t>
    </r>
    <r>
      <rPr>
        <sz val="10"/>
        <rFont val="Arial"/>
        <family val="2"/>
      </rPr>
      <t>The number of times that any song from that album played, weighted by the reach of the radio station that played it.</t>
    </r>
  </si>
  <si>
    <t>WG Model with multiple segments? Yes, look at VOD deck Session 9</t>
  </si>
  <si>
    <t>We may use lagged covariates if we have a good story for them</t>
  </si>
  <si>
    <t>Exponential decay</t>
  </si>
  <si>
    <t>Assume that album sales are reported for all types of music formats</t>
  </si>
  <si>
    <t>The sales data are from the debut albums alone</t>
  </si>
  <si>
    <t>It's always desirable to use a holdout, especially for a duration model</t>
  </si>
  <si>
    <t>There's a great danger of overfitting with a shorter calibration period.</t>
  </si>
  <si>
    <t>Session 8 for the exponential model</t>
  </si>
  <si>
    <t>Use N=100,000 for BIC</t>
  </si>
  <si>
    <t>Did you include the survivor term in your likelihood? Forgetting this is usually the source of this issue.</t>
  </si>
  <si>
    <t>I've fit a model to the project 2 data which certainly is stable as far as Solver is concerned, and tends to come up over and over again, but the scale of the numerical results is off with the sample size of 100,000 - e.g., the probabilities are too high across the board and so the result is just shifted quite far up. I've used all of the solver tips posted, and I'm a bit confused on what the root of this could be; I've tinkered with my r and alpha quite a bit to see if they would impact this, but Solver rejects more reasonable starting points at least from the perspective of the MdAPE.</t>
  </si>
  <si>
    <t>As soon as I add covariates to my model it blows up. Covariate numbers are too big and calculating eβ∗xi is not possible unless β=0. Thoughts?</t>
  </si>
  <si>
    <t>Rescale or transform them…</t>
  </si>
  <si>
    <t>Fader guesses that the dates are the first day of week ("but I could easily be wrong")</t>
  </si>
  <si>
    <t>Holdout</t>
  </si>
  <si>
    <t>Beta_9/11</t>
  </si>
  <si>
    <r>
      <t>There are 3 dimensions to the covariate specification: how big the initial drop is (determined by </t>
    </r>
    <r>
      <rPr>
        <sz val="12"/>
        <color rgb="FF333333"/>
        <rFont val="MathJax_Math-italic"/>
      </rPr>
      <t>β</t>
    </r>
    <r>
      <rPr>
        <sz val="8"/>
        <color rgb="FF333333"/>
        <rFont val="MathJax_Main"/>
      </rPr>
      <t>9/11</t>
    </r>
    <r>
      <rPr>
        <sz val="10"/>
        <color rgb="FF333333"/>
        <rFont val="Arial"/>
        <family val="2"/>
      </rPr>
      <t>), what the new asymptote is as a proportion of the initial drop (determined by </t>
    </r>
    <r>
      <rPr>
        <sz val="12"/>
        <color rgb="FF333333"/>
        <rFont val="MathJax_Math-italic"/>
      </rPr>
      <t>γ</t>
    </r>
    <r>
      <rPr>
        <sz val="10"/>
        <color rgb="FF333333"/>
        <rFont val="Arial"/>
        <family val="2"/>
      </rPr>
      <t>), and how fast this new asymptote is reached (determined by </t>
    </r>
    <r>
      <rPr>
        <sz val="12"/>
        <color rgb="FF333333"/>
        <rFont val="MathJax_Math-italic"/>
      </rPr>
      <t>δ</t>
    </r>
    <r>
      <rPr>
        <sz val="10"/>
        <color rgb="FF333333"/>
        <rFont val="Arial"/>
        <family val="2"/>
      </rPr>
      <t>). If we removed </t>
    </r>
    <r>
      <rPr>
        <sz val="12"/>
        <color rgb="FF333333"/>
        <rFont val="MathJax_Math-italic"/>
      </rPr>
      <t>β</t>
    </r>
    <r>
      <rPr>
        <sz val="8"/>
        <color rgb="FF333333"/>
        <rFont val="MathJax_Main"/>
      </rPr>
      <t>9/11</t>
    </r>
    <r>
      <rPr>
        <sz val="10"/>
        <color rgb="FF333333"/>
        <rFont val="Arial"/>
        <family val="2"/>
      </rPr>
      <t> then we would be fixing the scale of the initial drop to be -1 (so decreasing the hazard to proportion </t>
    </r>
    <r>
      <rPr>
        <sz val="12"/>
        <color rgb="FF333333"/>
        <rFont val="MathJax_Main"/>
      </rPr>
      <t>exp(−1)</t>
    </r>
    <r>
      <rPr>
        <sz val="10"/>
        <color rgb="FF333333"/>
        <rFont val="Arial"/>
        <family val="2"/>
      </rPr>
      <t> of the baseline), which doesn't make a lot of sense to fix a priori.</t>
    </r>
  </si>
  <si>
    <t>Segmented Weibull count model with covariates</t>
  </si>
  <si>
    <t>See Session 9 FAQ</t>
  </si>
  <si>
    <t>Because we don't have that granular data on exactly when the person did the action of interest, we instead use the difference between the weekly CDF's to get the aggregate probability of buying in each specific week. The model itself is continuous and people can do the action of interest at any time, but the data we have is in discrete buckets so we need to take that into account when estimating the parameters for the model. </t>
  </si>
  <si>
    <t>I highly recommend watching the Session 5 video for more details </t>
  </si>
  <si>
    <t>Log Likelihood on point vs cumulative probability</t>
  </si>
  <si>
    <t>Conditional expectation does not make sense for Project 2</t>
  </si>
  <si>
    <t xml:space="preserve">When you say comparing the beta parameters, do you mean comparing the magnitudes? If so, as we discussed in class, magnitude has no effect on *significance*. 
To determine significance, you would need to “turn the parameter off” (i.e., run the model without the parameter or tell Solver to ignore it), and then run a LRT. This will tell you if the covariate is significant for each model — if it’s  significant for both bands, there’s not much sense in comparing the p-values across the bands to say one is more significant than the other. 
If the scales are the same for both of the models, and the covariate is significant for both, you can compare the magnitude, but keep in mind this isn’t a comparison of significance.
</t>
  </si>
  <si>
    <t>Significance of beta parameters</t>
  </si>
  <si>
    <t>Focus on visual fit and MAPE/MdAPE (as well as potentially holdout validation).</t>
  </si>
  <si>
    <t>3-segment model</t>
  </si>
  <si>
    <t>"KB LC cov" may be helpful to look at for modelling Weibull</t>
  </si>
  <si>
    <t>What are some guidelines for choosing lambda and c parameters for the multi segment Weibell models? </t>
  </si>
  <si>
    <t>Have you tried using multistart as described in @387? That should hopefullyhelp</t>
  </si>
  <si>
    <t>Info on Weibull/ Exponential, etc.</t>
  </si>
  <si>
    <r>
      <rPr>
        <b/>
        <sz val="10"/>
        <color rgb="FF333333"/>
        <rFont val="Arial"/>
        <family val="2"/>
      </rPr>
      <t>The Weibull-Gamma distribution</t>
    </r>
    <r>
      <rPr>
        <sz val="10"/>
        <color rgb="FF333333"/>
        <rFont val="Arial"/>
        <family val="2"/>
      </rPr>
      <t xml:space="preserve"> is a generalization of the Weibull distribution, allowing for a Gamma distribution of </t>
    </r>
    <r>
      <rPr>
        <sz val="12"/>
        <color rgb="FF333333"/>
        <rFont val="MathJax_Math-italic"/>
      </rPr>
      <t>λ</t>
    </r>
    <r>
      <rPr>
        <sz val="10"/>
        <color rgb="FF333333"/>
        <rFont val="Arial"/>
        <family val="2"/>
      </rPr>
      <t>. When </t>
    </r>
    <r>
      <rPr>
        <sz val="12"/>
        <color rgb="FF333333"/>
        <rFont val="MathJax_Math-italic"/>
      </rPr>
      <t>r</t>
    </r>
    <r>
      <rPr>
        <sz val="10"/>
        <color rgb="FF333333"/>
        <rFont val="Arial"/>
        <family val="2"/>
      </rPr>
      <t> is large, there is low heterogeneity in the distribution of </t>
    </r>
    <r>
      <rPr>
        <sz val="12"/>
        <color rgb="FF333333"/>
        <rFont val="MathJax_Math-italic"/>
      </rPr>
      <t>λ</t>
    </r>
    <r>
      <rPr>
        <sz val="10"/>
        <color rgb="FF333333"/>
        <rFont val="Arial"/>
        <family val="2"/>
      </rPr>
      <t>. When </t>
    </r>
    <r>
      <rPr>
        <sz val="12"/>
        <color rgb="FF333333"/>
        <rFont val="MathJax_Math-italic"/>
      </rPr>
      <t>r</t>
    </r>
    <r>
      <rPr>
        <sz val="10"/>
        <color rgb="FF333333"/>
        <rFont val="Arial"/>
        <family val="2"/>
      </rPr>
      <t> is small, there is high heterogeneity. </t>
    </r>
    <r>
      <rPr>
        <sz val="12"/>
        <color rgb="FF333333"/>
        <rFont val="MathJax_Math-italic"/>
      </rPr>
      <t>α</t>
    </r>
    <r>
      <rPr>
        <sz val="10"/>
        <color rgb="FF333333"/>
        <rFont val="Arial"/>
        <family val="2"/>
      </rPr>
      <t> has no practical significance, like the NBD case.</t>
    </r>
  </si>
  <si>
    <r>
      <rPr>
        <b/>
        <sz val="10"/>
        <color rgb="FF333333"/>
        <rFont val="Arial"/>
        <family val="2"/>
      </rPr>
      <t>The Weibull distribution</t>
    </r>
    <r>
      <rPr>
        <sz val="10"/>
        <color rgb="FF333333"/>
        <rFont val="Arial"/>
        <family val="2"/>
      </rPr>
      <t xml:space="preserve"> is a generalization of the exponential distribution, allowing for increasing and decreasing hazard rates. When </t>
    </r>
    <r>
      <rPr>
        <sz val="12"/>
        <color rgb="FF333333"/>
        <rFont val="MathJax_Math-italic"/>
      </rPr>
      <t>c</t>
    </r>
    <r>
      <rPr>
        <sz val="12"/>
        <color rgb="FF333333"/>
        <rFont val="MathJax_Main"/>
      </rPr>
      <t>&gt;1</t>
    </r>
    <r>
      <rPr>
        <sz val="10"/>
        <color rgb="FF333333"/>
        <rFont val="Arial"/>
        <family val="2"/>
      </rPr>
      <t>, positive duration dependence. When </t>
    </r>
    <r>
      <rPr>
        <sz val="12"/>
        <color rgb="FF333333"/>
        <rFont val="MathJax_Math-italic"/>
      </rPr>
      <t>c</t>
    </r>
    <r>
      <rPr>
        <sz val="12"/>
        <color rgb="FF333333"/>
        <rFont val="MathJax_Main"/>
      </rPr>
      <t>&lt;1</t>
    </r>
    <r>
      <rPr>
        <sz val="10"/>
        <color rgb="FF333333"/>
        <rFont val="Arial"/>
        <family val="2"/>
      </rPr>
      <t>, negative duration dependence. When </t>
    </r>
    <r>
      <rPr>
        <sz val="12"/>
        <color rgb="FF333333"/>
        <rFont val="MathJax_Math-italic"/>
      </rPr>
      <t>c</t>
    </r>
    <r>
      <rPr>
        <sz val="12"/>
        <color rgb="FF333333"/>
        <rFont val="MathJax_Main"/>
      </rPr>
      <t>=1</t>
    </r>
    <r>
      <rPr>
        <sz val="10"/>
        <color rgb="FF333333"/>
        <rFont val="Arial"/>
        <family val="2"/>
      </rPr>
      <t>, it becomes the exponential distribution.</t>
    </r>
  </si>
  <si>
    <r>
      <t>(</t>
    </r>
    <r>
      <rPr>
        <b/>
        <sz val="10"/>
        <color rgb="FF333333"/>
        <rFont val="Arial"/>
        <family val="2"/>
      </rPr>
      <t>The Exponential-Gamma distribution</t>
    </r>
    <r>
      <rPr>
        <sz val="10"/>
        <color rgb="FF333333"/>
        <rFont val="Arial"/>
        <family val="2"/>
      </rPr>
      <t xml:space="preserve"> is a generalization of the exponential distribution, allowing for a Gamma distribution of </t>
    </r>
    <r>
      <rPr>
        <sz val="12"/>
        <color rgb="FF333333"/>
        <rFont val="MathJax_Math-italic"/>
      </rPr>
      <t>λ</t>
    </r>
    <r>
      <rPr>
        <sz val="10"/>
        <color rgb="FF333333"/>
        <rFont val="Arial"/>
        <family val="2"/>
      </rPr>
      <t>. When </t>
    </r>
    <r>
      <rPr>
        <sz val="12"/>
        <color rgb="FF333333"/>
        <rFont val="MathJax_Math-italic"/>
      </rPr>
      <t>c</t>
    </r>
    <r>
      <rPr>
        <sz val="12"/>
        <color rgb="FF333333"/>
        <rFont val="MathJax_Main"/>
      </rPr>
      <t>=1</t>
    </r>
    <r>
      <rPr>
        <sz val="10"/>
        <color rgb="FF333333"/>
        <rFont val="Arial"/>
        <family val="2"/>
      </rPr>
      <t> for the Weibull-Gamma distribution, the Weibull-Gama distribution becomes the Exponential-Gamma distribution.)</t>
    </r>
  </si>
  <si>
    <t>r</t>
  </si>
  <si>
    <t>alpha</t>
  </si>
  <si>
    <t>c</t>
  </si>
  <si>
    <t>LL=</t>
  </si>
  <si>
    <t>Week</t>
  </si>
  <si>
    <t>Incr_Sales</t>
  </si>
  <si>
    <t>Airplay</t>
  </si>
  <si>
    <t>P(T&lt;= t)</t>
  </si>
  <si>
    <t>P(Buy Week t)</t>
  </si>
  <si>
    <t>N=</t>
  </si>
  <si>
    <t>E[T(t)]</t>
  </si>
  <si>
    <t>BIC</t>
  </si>
  <si>
    <t>B(t)</t>
  </si>
  <si>
    <t>exp(BX)</t>
  </si>
  <si>
    <t>Covariates</t>
  </si>
  <si>
    <t>Comments</t>
  </si>
  <si>
    <t>Xmas</t>
  </si>
  <si>
    <t>OD</t>
  </si>
  <si>
    <t>Perform</t>
  </si>
  <si>
    <t>B_Airplay</t>
  </si>
  <si>
    <t>ln(Airplay)</t>
  </si>
  <si>
    <t>lambda</t>
  </si>
  <si>
    <t>LL</t>
  </si>
  <si>
    <t>LRT</t>
  </si>
  <si>
    <t>lambda1</t>
  </si>
  <si>
    <t>c1</t>
  </si>
  <si>
    <t>lambda2</t>
  </si>
  <si>
    <t>c2</t>
  </si>
  <si>
    <t>pi1</t>
  </si>
  <si>
    <t>B_Perform</t>
  </si>
  <si>
    <t>B_Xmas</t>
  </si>
  <si>
    <t>Im trying to figure out why the Weibull estimates overshoot so much</t>
  </si>
  <si>
    <t>Cum_Sales</t>
  </si>
  <si>
    <t>MAPE</t>
  </si>
  <si>
    <t>IS MAPE</t>
  </si>
  <si>
    <r>
      <rPr>
        <b/>
        <sz val="10"/>
        <rFont val="Arial"/>
        <family val="2"/>
      </rPr>
      <t>Aug 25:</t>
    </r>
    <r>
      <rPr>
        <sz val="10"/>
        <rFont val="Arial"/>
        <family val="2"/>
      </rPr>
      <t xml:space="preserve"> Debut album release ("Vivadixiesubmarinetransmissionplot") was way earlier</t>
    </r>
  </si>
  <si>
    <t>Capacity of 750 people</t>
  </si>
  <si>
    <t>9000 sq. ft. (fit max 1,000 ppl)</t>
  </si>
  <si>
    <t>B_Release</t>
  </si>
  <si>
    <t>Release covariate that does the opposite of what 9-11 does?</t>
  </si>
  <si>
    <t>Can I make the covariates more flexible?</t>
  </si>
  <si>
    <t>Is it because I'm modelling it wrong? Should I be using some type of h(t) baseline?</t>
  </si>
  <si>
    <t>Straight Weibull</t>
  </si>
  <si>
    <t>OOS MAPE</t>
  </si>
  <si>
    <t>Weibull + Airplay</t>
  </si>
  <si>
    <t>Top 100 for how many days?</t>
  </si>
  <si>
    <t>Tour/Release</t>
  </si>
  <si>
    <t>delta</t>
  </si>
  <si>
    <t>R^2 =</t>
  </si>
  <si>
    <t>MdAPE</t>
  </si>
  <si>
    <t>6 weeks</t>
  </si>
  <si>
    <t>h(t)/h0(t)</t>
  </si>
  <si>
    <t>B_BB-</t>
  </si>
  <si>
    <t>a</t>
  </si>
  <si>
    <t>b</t>
  </si>
  <si>
    <t>https://www.ohio.com/akron/entertainment/pop-music/documentary-answers-what-happened-to-kent-band-dink</t>
  </si>
  <si>
    <t>Rank</t>
  </si>
  <si>
    <t>https://books.google.com/books?id=sgsEAAAAMBAJ&amp;pg=PA89&amp;lpg=PA89&amp;dq=dink+billboard+1995&amp;source=bl&amp;ots=F8MQEbn2tJ&amp;sig=Kt5z5oa5upJsDgJEwEVtXhJiXec&amp;hl=en&amp;sa=X&amp;ved=0ahUKEwiel6Su3J7aAhVokeAKHcxJBmkQ6AEIUTAH#v=onepage&amp;q=dink%20billboard%201995&amp;f=false</t>
  </si>
  <si>
    <t>https://books.google.com/books?id=tQsEAAAAMBAJ&amp;pg=PA63&amp;lpg=PA63&amp;dq=dink+billboard+1995&amp;source=bl&amp;ots=kQOuQkGA7D&amp;sig=dV-zKwCNsJde0gFjSCBcMHiswBc&amp;hl=en&amp;sa=X&amp;ved=0ahUKEwiel6Su3J7aAhVokeAKHcxJBmkQ6AEITTAF#v=onepage&amp;q=dink%20billboard%201995&amp;f=false</t>
  </si>
  <si>
    <t>https://books.google.com/books?id=yAsEAAAAMBAJ&amp;pg=PT86&amp;lpg=PT86&amp;dq=dink+billboard+1995&amp;source=bl&amp;ots=STDomG-qBu&amp;sig=eaH_uxVxFvkET4qUtSJ8ytsW9bI&amp;hl=en&amp;sa=X&amp;ved=0ahUKEwiel6Su3J7aAhVokeAKHcxJBmkQ6AEITzAG#v=onepage&amp;q=dink%20billboard%201995&amp;f=false</t>
  </si>
  <si>
    <t>https://books.google.com/books?id=uAsEAAAAMBAJ&amp;pg=PA73&amp;lpg=PA73&amp;dq=dink+billboard+1995&amp;source=bl&amp;ots=NEEMDJJswL&amp;sig=VFAY87TAyrEm-NwZocXl8Mply7I&amp;hl=en&amp;sa=X&amp;ved=0ahUKEwiel6Su3J7aAhVokeAKHcxJBmkQ6AEIVTAJ#v=onepage&amp;q=dink%20billboard%201995&amp;f=false</t>
  </si>
  <si>
    <t>https://books.google.com/books?id=sAsEAAAAMBAJ&amp;pg=PA117&amp;lpg=PA117&amp;dq=dink+billboard+1995&amp;source=bl&amp;ots=uFS7Chbrms&amp;sig=I7-CMkd9qf5liPJ3S2gkBb6SSps&amp;hl=en&amp;sa=X&amp;ved=0ahUKEwiel6Su3J7aAhVokeAKHcxJBmkQ6AEIUzAI#v=onepage&amp;q=dink%20billboard%201995&amp;f=false</t>
  </si>
  <si>
    <t>-</t>
  </si>
  <si>
    <t>https://books.google.com/books?id=wgsEAAAAMBAJ&amp;pg=PA109&amp;dq=modern+rock+billboard+1995+February+18&amp;hl=en&amp;sa=X&amp;ved=0ahUKEwj4-o6a4J7aAhVLVd8KHSHnAzYQ6AEIKDAA#v=onepage&amp;q=modern%20rock%20billboard%201995%20February%2018&amp;f=false</t>
  </si>
  <si>
    <t>BB Dec Presence</t>
  </si>
  <si>
    <t>Weibull + Airplay + Release/Tour + BB Presence</t>
  </si>
  <si>
    <t>Weibull + Airplay + Release/Tour</t>
  </si>
  <si>
    <t>B_BB</t>
  </si>
  <si>
    <t>df</t>
  </si>
  <si>
    <t>p-value</t>
  </si>
  <si>
    <t>Exponential</t>
  </si>
  <si>
    <t>Actual</t>
  </si>
  <si>
    <t>Incr_E[]</t>
  </si>
  <si>
    <t>cum</t>
  </si>
  <si>
    <t>incr</t>
  </si>
  <si>
    <t>Incr</t>
  </si>
  <si>
    <t>Cum</t>
  </si>
  <si>
    <t>Incr E[]</t>
  </si>
  <si>
    <t>E+cov(AP+R)</t>
  </si>
  <si>
    <t>W+cov(AP+R)</t>
  </si>
  <si>
    <t>MAPE (Incr)</t>
  </si>
  <si>
    <t>lag(airplay)</t>
  </si>
  <si>
    <t>lag2(Airplay)</t>
  </si>
  <si>
    <t>B_Airplay1</t>
  </si>
  <si>
    <t>B_Airplay2</t>
  </si>
  <si>
    <t>seg1</t>
  </si>
  <si>
    <t>seg2</t>
  </si>
  <si>
    <t>B1(t)</t>
  </si>
  <si>
    <t>exp(B1X)</t>
  </si>
  <si>
    <t>B2(t)</t>
  </si>
  <si>
    <t>exp(B2X)</t>
  </si>
  <si>
    <t>LR</t>
  </si>
  <si>
    <t>Delta</t>
  </si>
  <si>
    <t>lag1(airplay)</t>
  </si>
  <si>
    <t>lag2(airplay)</t>
  </si>
  <si>
    <t>lag3(airplay)</t>
  </si>
  <si>
    <t>lag4(airplay)</t>
  </si>
  <si>
    <t>lag5(airplay)</t>
  </si>
  <si>
    <t>lag6(airplay)</t>
  </si>
  <si>
    <t>LR=</t>
  </si>
  <si>
    <t>DF=</t>
  </si>
  <si>
    <t>P-value</t>
  </si>
  <si>
    <t>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</si>
</sst>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0.0"/>
    <numFmt numFmtId="165" formatCode="_(* #,##0_);_(* \(#,##0\);_(* &quot;-&quot;??_);_(@_)"/>
    <numFmt numFmtId="166" formatCode="0.0E+00"/>
    <numFmt numFmtId="167" formatCode="_(* #,##0.000_);_(* \(#,##0.000\);_(* &quot;-&quot;??_);_(@_)"/>
    <numFmt numFmtId="168" formatCode="0.0%"/>
    <numFmt numFmtId="169" formatCode="0.00000"/>
    <numFmt numFmtId="170" formatCode="0.000"/>
    <numFmt numFmtId="171" formatCode="_(* #,##0.0000_);_(* \(#,##0.0000\);_(* &quot;-&quot;??_);_(@_)"/>
    <numFmt numFmtId="172" formatCode="0E+00"/>
    <numFmt numFmtId="173" formatCode="0.0000"/>
    <numFmt numFmtId="174" formatCode="0.000%"/>
    <numFmt numFmtId="175" formatCode="0.0000%"/>
  </numFmts>
  <fonts count="21">
    <font>
      <sz val="10"/>
      <name val="Arial"/>
    </font>
    <font>
      <sz val="8"/>
      <name val="Arial"/>
      <family val="2"/>
    </font>
    <font>
      <sz val="10"/>
      <name val="Arial"/>
      <family val="2"/>
    </font>
    <font>
      <sz val="10"/>
      <name val="Arial"/>
      <family val="2"/>
    </font>
    <font>
      <b/>
      <sz val="10"/>
      <name val="Arial"/>
      <family val="2"/>
    </font>
    <font>
      <u/>
      <sz val="10"/>
      <color theme="10"/>
      <name val="Arial"/>
      <family val="2"/>
    </font>
    <font>
      <sz val="11"/>
      <color rgb="FF000000"/>
      <name val="Arial"/>
      <family val="2"/>
    </font>
    <font>
      <b/>
      <sz val="11"/>
      <color rgb="FF000000"/>
      <name val="Arial"/>
      <family val="2"/>
    </font>
    <font>
      <i/>
      <sz val="11"/>
      <color rgb="FF000000"/>
      <name val="Arial"/>
      <family val="2"/>
    </font>
    <font>
      <sz val="10"/>
      <color rgb="FF333333"/>
      <name val="Trebuchet MS"/>
      <family val="2"/>
    </font>
    <font>
      <i/>
      <sz val="10"/>
      <color rgb="FF333333"/>
      <name val="Trebuchet MS"/>
      <family val="2"/>
    </font>
    <font>
      <sz val="10"/>
      <color rgb="FF333333"/>
      <name val="Arial"/>
      <family val="2"/>
    </font>
    <font>
      <b/>
      <sz val="10"/>
      <color rgb="FF333333"/>
      <name val="Arial"/>
      <family val="2"/>
    </font>
    <font>
      <b/>
      <sz val="12"/>
      <name val="Arial"/>
      <family val="2"/>
    </font>
    <font>
      <sz val="12"/>
      <color rgb="FF333333"/>
      <name val="MathJax_Math-italic"/>
    </font>
    <font>
      <sz val="8"/>
      <color rgb="FF333333"/>
      <name val="MathJax_Main"/>
    </font>
    <font>
      <sz val="12"/>
      <color rgb="FF333333"/>
      <name val="MathJax_Main"/>
    </font>
    <font>
      <b/>
      <u/>
      <sz val="10"/>
      <name val="Arial"/>
      <family val="2"/>
    </font>
    <font>
      <sz val="10"/>
      <color rgb="FFFF0000"/>
      <name val="Arial"/>
      <family val="2"/>
    </font>
    <font>
      <i/>
      <sz val="10"/>
      <name val="Arial"/>
      <family val="2"/>
    </font>
    <font>
      <b/>
      <sz val="10"/>
      <color rgb="FFFF0000"/>
      <name val="Arial"/>
      <family val="2"/>
    </font>
  </fonts>
  <fills count="10">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6"/>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1"/>
        <bgColor indexed="64"/>
      </patternFill>
    </fill>
  </fills>
  <borders count="1">
    <border>
      <left/>
      <right/>
      <top/>
      <bottom/>
      <diagonal/>
    </border>
  </borders>
  <cellStyleXfs count="5">
    <xf numFmtId="0" fontId="0" fillId="0" borderId="0"/>
    <xf numFmtId="0" fontId="2" fillId="0" borderId="0"/>
    <xf numFmtId="43" fontId="3" fillId="0" borderId="0" applyFont="0" applyFill="0" applyBorder="0" applyAlignment="0" applyProtection="0"/>
    <xf numFmtId="9" fontId="3" fillId="0" borderId="0" applyFont="0" applyFill="0" applyBorder="0" applyAlignment="0" applyProtection="0"/>
    <xf numFmtId="0" fontId="5" fillId="0" borderId="0" applyNumberFormat="0" applyFill="0" applyBorder="0" applyAlignment="0" applyProtection="0"/>
  </cellStyleXfs>
  <cellXfs count="197">
    <xf numFmtId="0" fontId="0" fillId="0" borderId="0" xfId="0"/>
    <xf numFmtId="14" fontId="0" fillId="0" borderId="0" xfId="0" applyNumberFormat="1"/>
    <xf numFmtId="0" fontId="2" fillId="0" borderId="0" xfId="1"/>
    <xf numFmtId="0" fontId="2" fillId="0" borderId="0" xfId="1" applyAlignment="1">
      <alignment horizontal="center"/>
    </xf>
    <xf numFmtId="14" fontId="2" fillId="0" borderId="0" xfId="1" applyNumberFormat="1"/>
    <xf numFmtId="0" fontId="2" fillId="0" borderId="0" xfId="1" applyProtection="1">
      <protection locked="0"/>
    </xf>
    <xf numFmtId="0" fontId="2" fillId="0" borderId="0" xfId="0" applyFont="1"/>
    <xf numFmtId="0" fontId="4" fillId="0" borderId="0" xfId="1" applyFont="1"/>
    <xf numFmtId="0" fontId="4" fillId="0" borderId="0" xfId="1" applyFont="1" applyAlignment="1"/>
    <xf numFmtId="0" fontId="5" fillId="0" borderId="0" xfId="4"/>
    <xf numFmtId="0" fontId="6" fillId="0" borderId="0" xfId="0" applyFont="1"/>
    <xf numFmtId="0" fontId="4" fillId="0" borderId="0" xfId="1" applyFont="1" applyAlignment="1">
      <alignment vertical="center" wrapText="1"/>
    </xf>
    <xf numFmtId="0" fontId="4" fillId="0" borderId="0" xfId="1" applyFont="1" applyAlignment="1">
      <alignment vertical="center"/>
    </xf>
    <xf numFmtId="0" fontId="2" fillId="0" borderId="0" xfId="1" applyFont="1" applyAlignment="1">
      <alignment vertical="center"/>
    </xf>
    <xf numFmtId="0" fontId="2" fillId="0" borderId="0" xfId="1" applyAlignment="1">
      <alignment horizontal="left"/>
    </xf>
    <xf numFmtId="1" fontId="0" fillId="0" borderId="0" xfId="0" applyNumberFormat="1"/>
    <xf numFmtId="0" fontId="4" fillId="0" borderId="0" xfId="0" applyFont="1"/>
    <xf numFmtId="1" fontId="2" fillId="0" borderId="0" xfId="1" applyNumberFormat="1"/>
    <xf numFmtId="0" fontId="9" fillId="0" borderId="0" xfId="0" applyFont="1"/>
    <xf numFmtId="0" fontId="2" fillId="0" borderId="0" xfId="1" applyAlignment="1"/>
    <xf numFmtId="0" fontId="2" fillId="0" borderId="0" xfId="1" applyFont="1"/>
    <xf numFmtId="0" fontId="11" fillId="0" borderId="0" xfId="0" applyFont="1"/>
    <xf numFmtId="0" fontId="13" fillId="0" borderId="0" xfId="0" applyFont="1"/>
    <xf numFmtId="0" fontId="11" fillId="0" borderId="0" xfId="0" applyFont="1" applyAlignment="1">
      <alignment vertical="center"/>
    </xf>
    <xf numFmtId="0" fontId="2" fillId="0" borderId="0" xfId="0" applyFont="1" applyAlignment="1"/>
    <xf numFmtId="0" fontId="12" fillId="0" borderId="0" xfId="0" applyFont="1"/>
    <xf numFmtId="0" fontId="17" fillId="0" borderId="0" xfId="0" applyFont="1"/>
    <xf numFmtId="2" fontId="2" fillId="0" borderId="0" xfId="1" applyNumberFormat="1"/>
    <xf numFmtId="165" fontId="2" fillId="0" borderId="0" xfId="2" applyNumberFormat="1" applyFont="1"/>
    <xf numFmtId="9" fontId="2" fillId="0" borderId="0" xfId="3" applyFont="1"/>
    <xf numFmtId="0" fontId="4" fillId="0" borderId="0" xfId="1" applyFont="1" applyAlignment="1">
      <alignment horizontal="center"/>
    </xf>
    <xf numFmtId="9" fontId="2" fillId="0" borderId="0" xfId="3" applyFont="1" applyAlignment="1">
      <alignment horizontal="center"/>
    </xf>
    <xf numFmtId="0" fontId="4" fillId="0" borderId="0" xfId="1" applyFont="1" applyAlignment="1">
      <alignment horizontal="left"/>
    </xf>
    <xf numFmtId="1" fontId="2" fillId="0" borderId="0" xfId="1" applyNumberFormat="1" applyAlignment="1">
      <alignment horizontal="center"/>
    </xf>
    <xf numFmtId="14" fontId="2" fillId="0" borderId="0" xfId="1" applyNumberFormat="1" applyAlignment="1">
      <alignment horizontal="left"/>
    </xf>
    <xf numFmtId="165" fontId="2" fillId="0" borderId="0" xfId="1" applyNumberFormat="1"/>
    <xf numFmtId="43" fontId="2" fillId="0" borderId="0" xfId="2" applyNumberFormat="1" applyFont="1"/>
    <xf numFmtId="0" fontId="4" fillId="0" borderId="0" xfId="1" applyFont="1" applyAlignment="1">
      <alignment horizontal="center"/>
    </xf>
    <xf numFmtId="0" fontId="2" fillId="0" borderId="0" xfId="1" applyNumberFormat="1" applyAlignment="1">
      <alignment horizontal="center"/>
    </xf>
    <xf numFmtId="0" fontId="2" fillId="0" borderId="0" xfId="1" applyNumberFormat="1" applyAlignment="1">
      <alignment horizontal="right"/>
    </xf>
    <xf numFmtId="0" fontId="2" fillId="2" borderId="0" xfId="1" applyFill="1"/>
    <xf numFmtId="0" fontId="2" fillId="2" borderId="0" xfId="1" applyNumberFormat="1" applyFill="1" applyAlignment="1">
      <alignment horizontal="center"/>
    </xf>
    <xf numFmtId="0" fontId="2" fillId="2" borderId="0" xfId="1" applyFill="1" applyAlignment="1">
      <alignment horizontal="center"/>
    </xf>
    <xf numFmtId="0" fontId="5" fillId="0" borderId="0" xfId="4" applyAlignment="1">
      <alignment horizontal="left"/>
    </xf>
    <xf numFmtId="0" fontId="4" fillId="3" borderId="0" xfId="1" applyFont="1" applyFill="1"/>
    <xf numFmtId="0" fontId="4" fillId="4" borderId="0" xfId="1" applyFont="1" applyFill="1"/>
    <xf numFmtId="0" fontId="2" fillId="3" borderId="0" xfId="1" applyFill="1"/>
    <xf numFmtId="165" fontId="2" fillId="3" borderId="0" xfId="1" applyNumberFormat="1" applyFill="1"/>
    <xf numFmtId="14" fontId="2" fillId="3" borderId="0" xfId="1" applyNumberFormat="1" applyFill="1" applyAlignment="1">
      <alignment horizontal="left"/>
    </xf>
    <xf numFmtId="1" fontId="2" fillId="3" borderId="0" xfId="1" applyNumberFormat="1" applyFill="1" applyAlignment="1">
      <alignment horizontal="center"/>
    </xf>
    <xf numFmtId="0" fontId="2" fillId="3" borderId="0" xfId="1" applyFill="1" applyAlignment="1">
      <alignment horizontal="center"/>
    </xf>
    <xf numFmtId="9" fontId="2" fillId="3" borderId="0" xfId="3" applyFont="1" applyFill="1" applyAlignment="1">
      <alignment horizontal="center"/>
    </xf>
    <xf numFmtId="1" fontId="2" fillId="3" borderId="0" xfId="1" applyNumberFormat="1" applyFill="1"/>
    <xf numFmtId="166" fontId="2" fillId="0" borderId="0" xfId="1" applyNumberFormat="1"/>
    <xf numFmtId="0" fontId="2" fillId="0" borderId="0" xfId="1" applyFill="1"/>
    <xf numFmtId="0" fontId="4" fillId="0" borderId="0" xfId="1" applyFont="1" applyFill="1"/>
    <xf numFmtId="165" fontId="2" fillId="0" borderId="0" xfId="1" applyNumberFormat="1" applyFill="1"/>
    <xf numFmtId="0" fontId="2" fillId="0" borderId="0" xfId="1" applyFont="1" applyFill="1"/>
    <xf numFmtId="0" fontId="6" fillId="0" borderId="0" xfId="0" applyFont="1" applyFill="1"/>
    <xf numFmtId="0" fontId="2" fillId="0" borderId="0" xfId="1" applyFill="1" applyAlignment="1">
      <alignment horizontal="left"/>
    </xf>
    <xf numFmtId="0" fontId="9" fillId="0" borderId="0" xfId="0" applyFont="1" applyFill="1"/>
    <xf numFmtId="0" fontId="4" fillId="4" borderId="0" xfId="1" applyFont="1" applyFill="1" applyAlignment="1">
      <alignment horizontal="center"/>
    </xf>
    <xf numFmtId="0" fontId="4" fillId="0" borderId="0" xfId="1" applyFont="1" applyFill="1" applyAlignment="1">
      <alignment horizontal="center"/>
    </xf>
    <xf numFmtId="2" fontId="2" fillId="0" borderId="0" xfId="1" applyNumberFormat="1" applyFill="1"/>
    <xf numFmtId="0" fontId="2" fillId="0" borderId="0" xfId="1" applyFill="1" applyAlignment="1">
      <alignment horizontal="center"/>
    </xf>
    <xf numFmtId="164" fontId="2" fillId="2" borderId="0" xfId="1" applyNumberFormat="1" applyFill="1" applyAlignment="1">
      <alignment horizontal="center"/>
    </xf>
    <xf numFmtId="165" fontId="4" fillId="0" borderId="0" xfId="2" applyNumberFormat="1" applyFont="1"/>
    <xf numFmtId="43" fontId="2" fillId="0" borderId="0" xfId="1" applyNumberFormat="1"/>
    <xf numFmtId="0" fontId="18" fillId="0" borderId="0" xfId="1" applyFont="1"/>
    <xf numFmtId="14" fontId="18" fillId="0" borderId="0" xfId="1" applyNumberFormat="1" applyFont="1"/>
    <xf numFmtId="9" fontId="2" fillId="2" borderId="0" xfId="3" applyFont="1" applyFill="1"/>
    <xf numFmtId="9" fontId="2" fillId="3" borderId="0" xfId="3" applyFont="1" applyFill="1"/>
    <xf numFmtId="0" fontId="2" fillId="0" borderId="0" xfId="1" applyNumberFormat="1" applyFill="1" applyAlignment="1">
      <alignment horizontal="center"/>
    </xf>
    <xf numFmtId="43" fontId="2" fillId="3" borderId="0" xfId="1" applyNumberFormat="1" applyFill="1"/>
    <xf numFmtId="167" fontId="2" fillId="0" borderId="0" xfId="1" applyNumberFormat="1"/>
    <xf numFmtId="0" fontId="19" fillId="0" borderId="0" xfId="1" applyFont="1"/>
    <xf numFmtId="2" fontId="19" fillId="0" borderId="0" xfId="1" applyNumberFormat="1" applyFont="1"/>
    <xf numFmtId="168" fontId="2" fillId="0" borderId="0" xfId="1" applyNumberFormat="1"/>
    <xf numFmtId="9" fontId="2" fillId="0" borderId="0" xfId="3" applyFont="1" applyFill="1"/>
    <xf numFmtId="0" fontId="0" fillId="3" borderId="0" xfId="0" applyFill="1"/>
    <xf numFmtId="14" fontId="0" fillId="3" borderId="0" xfId="0" applyNumberFormat="1" applyFill="1"/>
    <xf numFmtId="9" fontId="6" fillId="0" borderId="0" xfId="3" applyFont="1"/>
    <xf numFmtId="9" fontId="9" fillId="0" borderId="0" xfId="3" applyFont="1"/>
    <xf numFmtId="9" fontId="2" fillId="0" borderId="0" xfId="3" applyFont="1" applyAlignment="1">
      <alignment horizontal="right"/>
    </xf>
    <xf numFmtId="168" fontId="2" fillId="0" borderId="0" xfId="3" applyNumberFormat="1" applyFont="1"/>
    <xf numFmtId="168" fontId="6" fillId="0" borderId="0" xfId="3" applyNumberFormat="1" applyFont="1"/>
    <xf numFmtId="168" fontId="9" fillId="0" borderId="0" xfId="3" applyNumberFormat="1" applyFont="1"/>
    <xf numFmtId="0" fontId="20" fillId="0" borderId="0" xfId="0" applyFont="1"/>
    <xf numFmtId="0" fontId="4" fillId="0" borderId="0" xfId="1" applyFont="1" applyAlignment="1">
      <alignment horizontal="center"/>
    </xf>
    <xf numFmtId="169" fontId="2" fillId="0" borderId="0" xfId="1" applyNumberFormat="1"/>
    <xf numFmtId="170" fontId="2" fillId="0" borderId="0" xfId="1" applyNumberFormat="1"/>
    <xf numFmtId="15" fontId="0" fillId="0" borderId="0" xfId="0" applyNumberFormat="1"/>
    <xf numFmtId="0" fontId="2" fillId="0" borderId="0" xfId="0" applyFont="1" applyAlignment="1">
      <alignment horizontal="right"/>
    </xf>
    <xf numFmtId="0" fontId="2" fillId="0" borderId="0" xfId="1" applyAlignment="1">
      <alignment horizontal="right"/>
    </xf>
    <xf numFmtId="2" fontId="2" fillId="0" borderId="0" xfId="1" applyNumberFormat="1" applyFont="1"/>
    <xf numFmtId="168" fontId="2" fillId="2" borderId="0" xfId="3" applyNumberFormat="1" applyFont="1" applyFill="1"/>
    <xf numFmtId="168" fontId="2" fillId="0" borderId="0" xfId="3" applyNumberFormat="1" applyFont="1" applyFill="1"/>
    <xf numFmtId="168" fontId="2" fillId="3" borderId="0" xfId="3" applyNumberFormat="1" applyFont="1" applyFill="1"/>
    <xf numFmtId="168" fontId="2" fillId="0" borderId="0" xfId="3" applyNumberFormat="1" applyFont="1" applyAlignment="1">
      <alignment horizontal="right"/>
    </xf>
    <xf numFmtId="165" fontId="2" fillId="0" borderId="0" xfId="2" applyNumberFormat="1" applyFont="1" applyAlignment="1">
      <alignment horizontal="right"/>
    </xf>
    <xf numFmtId="165" fontId="2" fillId="3" borderId="0" xfId="2" applyNumberFormat="1" applyFont="1" applyFill="1"/>
    <xf numFmtId="165" fontId="9" fillId="0" borderId="0" xfId="2" applyNumberFormat="1" applyFont="1"/>
    <xf numFmtId="2" fontId="0" fillId="0" borderId="0" xfId="0" applyNumberFormat="1"/>
    <xf numFmtId="171" fontId="2" fillId="0" borderId="0" xfId="2" applyNumberFormat="1" applyFont="1"/>
    <xf numFmtId="165" fontId="2" fillId="0" borderId="0" xfId="2" applyNumberFormat="1" applyFont="1" applyAlignment="1"/>
    <xf numFmtId="165" fontId="2" fillId="0" borderId="0" xfId="2" applyNumberFormat="1" applyFont="1" applyAlignment="1">
      <alignment horizontal="center"/>
    </xf>
    <xf numFmtId="167" fontId="2" fillId="0" borderId="0" xfId="2" applyNumberFormat="1" applyFont="1" applyAlignment="1">
      <alignment horizontal="center"/>
    </xf>
    <xf numFmtId="0" fontId="0" fillId="0" borderId="0" xfId="0" applyFill="1"/>
    <xf numFmtId="165" fontId="0" fillId="0" borderId="0" xfId="2" applyNumberFormat="1" applyFont="1"/>
    <xf numFmtId="9" fontId="0" fillId="0" borderId="0" xfId="3" applyFont="1"/>
    <xf numFmtId="168" fontId="0" fillId="0" borderId="0" xfId="3" applyNumberFormat="1" applyFont="1"/>
    <xf numFmtId="9" fontId="0" fillId="3" borderId="0" xfId="3" applyFont="1" applyFill="1"/>
    <xf numFmtId="165" fontId="2" fillId="0" borderId="0" xfId="2" applyNumberFormat="1" applyFont="1" applyAlignment="1">
      <alignment horizontal="left"/>
    </xf>
    <xf numFmtId="165" fontId="0" fillId="3" borderId="0" xfId="2" applyNumberFormat="1" applyFont="1" applyFill="1"/>
    <xf numFmtId="0" fontId="4" fillId="5" borderId="0" xfId="1" applyFont="1" applyFill="1"/>
    <xf numFmtId="0" fontId="2" fillId="5" borderId="0" xfId="1" applyFill="1"/>
    <xf numFmtId="168" fontId="2" fillId="5" borderId="0" xfId="1" applyNumberFormat="1" applyFill="1"/>
    <xf numFmtId="168" fontId="2" fillId="0" borderId="0" xfId="3" applyNumberFormat="1" applyFont="1" applyAlignment="1">
      <alignment horizontal="center"/>
    </xf>
    <xf numFmtId="170" fontId="2" fillId="0" borderId="0" xfId="1" applyNumberFormat="1" applyAlignment="1">
      <alignment horizontal="center"/>
    </xf>
    <xf numFmtId="0" fontId="4" fillId="0" borderId="0" xfId="1" applyFont="1" applyAlignment="1">
      <alignment horizontal="center"/>
    </xf>
    <xf numFmtId="9" fontId="2" fillId="7" borderId="0" xfId="3" applyFont="1" applyFill="1"/>
    <xf numFmtId="2" fontId="2" fillId="0" borderId="0" xfId="0" applyNumberFormat="1" applyFont="1"/>
    <xf numFmtId="165" fontId="2" fillId="0" borderId="0" xfId="2" applyNumberFormat="1" applyFont="1" applyFill="1"/>
    <xf numFmtId="165" fontId="0" fillId="0" borderId="0" xfId="0" applyNumberFormat="1"/>
    <xf numFmtId="169" fontId="2" fillId="0" borderId="0" xfId="1" applyNumberFormat="1" applyAlignment="1">
      <alignment horizontal="center"/>
    </xf>
    <xf numFmtId="168" fontId="2" fillId="0" borderId="0" xfId="3" applyNumberFormat="1" applyFont="1" applyFill="1" applyAlignment="1">
      <alignment horizontal="center"/>
    </xf>
    <xf numFmtId="168" fontId="2" fillId="8" borderId="0" xfId="3" applyNumberFormat="1" applyFont="1" applyFill="1" applyAlignment="1">
      <alignment horizontal="center"/>
    </xf>
    <xf numFmtId="0" fontId="2" fillId="9" borderId="0" xfId="1" applyFill="1"/>
    <xf numFmtId="2" fontId="2" fillId="9" borderId="0" xfId="1" applyNumberFormat="1" applyFill="1"/>
    <xf numFmtId="0" fontId="19" fillId="9" borderId="0" xfId="1" applyFont="1" applyFill="1"/>
    <xf numFmtId="2" fontId="19" fillId="9" borderId="0" xfId="1" applyNumberFormat="1" applyFont="1" applyFill="1"/>
    <xf numFmtId="1" fontId="2" fillId="6" borderId="0" xfId="1" applyNumberFormat="1" applyFill="1" applyAlignment="1">
      <alignment horizontal="center"/>
    </xf>
    <xf numFmtId="0" fontId="2" fillId="6" borderId="0" xfId="1" applyFill="1"/>
    <xf numFmtId="9" fontId="2" fillId="6" borderId="0" xfId="3" applyFont="1" applyFill="1" applyAlignment="1">
      <alignment horizontal="center"/>
    </xf>
    <xf numFmtId="1" fontId="2" fillId="6" borderId="0" xfId="1" applyNumberFormat="1" applyFill="1"/>
    <xf numFmtId="165" fontId="2" fillId="6" borderId="0" xfId="1" applyNumberFormat="1" applyFill="1"/>
    <xf numFmtId="169" fontId="2" fillId="0" borderId="0" xfId="1" applyNumberFormat="1" applyFill="1" applyAlignment="1">
      <alignment horizontal="center"/>
    </xf>
    <xf numFmtId="14" fontId="2" fillId="0" borderId="0" xfId="1" applyNumberFormat="1" applyFill="1" applyAlignment="1">
      <alignment horizontal="left"/>
    </xf>
    <xf numFmtId="1" fontId="2" fillId="0" borderId="0" xfId="1" applyNumberFormat="1" applyFill="1" applyAlignment="1">
      <alignment horizontal="center"/>
    </xf>
    <xf numFmtId="9" fontId="2" fillId="0" borderId="0" xfId="3" applyFont="1" applyFill="1" applyAlignment="1">
      <alignment horizontal="center"/>
    </xf>
    <xf numFmtId="1" fontId="2" fillId="0" borderId="0" xfId="1" applyNumberFormat="1" applyFill="1"/>
    <xf numFmtId="43" fontId="2" fillId="0" borderId="0" xfId="1" applyNumberFormat="1" applyFill="1"/>
    <xf numFmtId="1" fontId="2" fillId="2" borderId="0" xfId="1" applyNumberFormat="1" applyFill="1" applyAlignment="1">
      <alignment horizontal="center"/>
    </xf>
    <xf numFmtId="0" fontId="4" fillId="0" borderId="0" xfId="1" applyFont="1" applyFill="1" applyAlignment="1">
      <alignment horizontal="center"/>
    </xf>
    <xf numFmtId="164" fontId="2" fillId="0" borderId="0" xfId="1" applyNumberFormat="1" applyFill="1" applyAlignment="1">
      <alignment horizontal="center"/>
    </xf>
    <xf numFmtId="165" fontId="2" fillId="0" borderId="0" xfId="3" applyNumberFormat="1" applyFont="1" applyFill="1"/>
    <xf numFmtId="9" fontId="2" fillId="0" borderId="0" xfId="1" applyNumberFormat="1"/>
    <xf numFmtId="10" fontId="2" fillId="0" borderId="0" xfId="1" applyNumberFormat="1" applyFill="1"/>
    <xf numFmtId="0" fontId="4" fillId="0" borderId="0" xfId="1" applyFont="1" applyFill="1" applyAlignment="1">
      <alignment horizontal="left"/>
    </xf>
    <xf numFmtId="0" fontId="18" fillId="0" borderId="0" xfId="1" applyFont="1" applyFill="1"/>
    <xf numFmtId="0" fontId="4" fillId="0" borderId="0" xfId="1" applyFont="1" applyFill="1" applyAlignment="1"/>
    <xf numFmtId="0" fontId="4" fillId="0" borderId="0" xfId="1" applyFont="1" applyFill="1" applyAlignment="1">
      <alignment vertical="center"/>
    </xf>
    <xf numFmtId="0" fontId="2" fillId="0" borderId="0" xfId="1" applyFont="1" applyFill="1" applyAlignment="1">
      <alignment vertical="center"/>
    </xf>
    <xf numFmtId="0" fontId="2" fillId="0" borderId="0" xfId="1" applyFill="1" applyAlignment="1"/>
    <xf numFmtId="0" fontId="2" fillId="0" borderId="0" xfId="1" applyFill="1" applyProtection="1">
      <protection locked="0"/>
    </xf>
    <xf numFmtId="14" fontId="2" fillId="0" borderId="0" xfId="1" applyNumberFormat="1" applyFill="1"/>
    <xf numFmtId="14" fontId="18" fillId="0" borderId="0" xfId="1" applyNumberFormat="1" applyFont="1" applyFill="1"/>
    <xf numFmtId="0" fontId="5" fillId="0" borderId="0" xfId="4" applyFill="1"/>
    <xf numFmtId="9" fontId="2" fillId="0" borderId="0" xfId="1" applyNumberFormat="1" applyFill="1"/>
    <xf numFmtId="169" fontId="2" fillId="0" borderId="0" xfId="1" applyNumberFormat="1" applyFont="1" applyFill="1"/>
    <xf numFmtId="169" fontId="2" fillId="0" borderId="0" xfId="1" applyNumberFormat="1" applyFill="1"/>
    <xf numFmtId="172" fontId="2" fillId="0" borderId="0" xfId="1" applyNumberFormat="1"/>
    <xf numFmtId="172" fontId="2" fillId="0" borderId="0" xfId="1" applyNumberFormat="1" applyFill="1"/>
    <xf numFmtId="43" fontId="2" fillId="0" borderId="0" xfId="2" applyNumberFormat="1" applyFont="1" applyFill="1"/>
    <xf numFmtId="174" fontId="2" fillId="0" borderId="0" xfId="3" applyNumberFormat="1" applyFont="1" applyFill="1" applyAlignment="1">
      <alignment horizontal="center"/>
    </xf>
    <xf numFmtId="14" fontId="0" fillId="2" borderId="0" xfId="0" applyNumberFormat="1" applyFill="1"/>
    <xf numFmtId="0" fontId="0" fillId="2" borderId="0" xfId="0" applyFill="1"/>
    <xf numFmtId="1" fontId="2" fillId="2" borderId="0" xfId="1" applyNumberFormat="1" applyFill="1"/>
    <xf numFmtId="9" fontId="2" fillId="2" borderId="0" xfId="3" applyFont="1" applyFill="1" applyAlignment="1">
      <alignment horizontal="center"/>
    </xf>
    <xf numFmtId="165" fontId="2" fillId="2" borderId="0" xfId="1" applyNumberFormat="1" applyFill="1"/>
    <xf numFmtId="43" fontId="2" fillId="2" borderId="0" xfId="1" applyNumberFormat="1" applyFill="1"/>
    <xf numFmtId="14" fontId="0" fillId="0" borderId="0" xfId="0" applyNumberFormat="1" applyFill="1"/>
    <xf numFmtId="167" fontId="2" fillId="0" borderId="0" xfId="1" applyNumberFormat="1" applyFill="1"/>
    <xf numFmtId="1" fontId="0" fillId="0" borderId="0" xfId="0" applyNumberFormat="1" applyFill="1"/>
    <xf numFmtId="9" fontId="4" fillId="0" borderId="0" xfId="1" applyNumberFormat="1" applyFont="1" applyAlignment="1">
      <alignment horizontal="center"/>
    </xf>
    <xf numFmtId="15" fontId="0" fillId="2" borderId="0" xfId="0" applyNumberFormat="1" applyFill="1"/>
    <xf numFmtId="14" fontId="0" fillId="6" borderId="0" xfId="0" applyNumberFormat="1" applyFill="1"/>
    <xf numFmtId="0" fontId="0" fillId="6" borderId="0" xfId="0" applyFill="1"/>
    <xf numFmtId="9" fontId="2" fillId="6" borderId="0" xfId="3" applyFont="1" applyFill="1"/>
    <xf numFmtId="167" fontId="2" fillId="6" borderId="0" xfId="1" applyNumberFormat="1" applyFill="1"/>
    <xf numFmtId="43" fontId="2" fillId="6" borderId="0" xfId="1" applyNumberFormat="1" applyFill="1"/>
    <xf numFmtId="15" fontId="0" fillId="0" borderId="0" xfId="0" applyNumberFormat="1" applyFill="1"/>
    <xf numFmtId="0" fontId="2" fillId="0" borderId="0" xfId="0" applyFont="1" applyFill="1" applyAlignment="1">
      <alignment horizontal="right"/>
    </xf>
    <xf numFmtId="0" fontId="2" fillId="0" borderId="0" xfId="1" applyFont="1" applyAlignment="1">
      <alignment horizontal="center"/>
    </xf>
    <xf numFmtId="173" fontId="2" fillId="0" borderId="0" xfId="1" applyNumberFormat="1"/>
    <xf numFmtId="1" fontId="2" fillId="0" borderId="0" xfId="3" applyNumberFormat="1" applyFont="1" applyFill="1"/>
    <xf numFmtId="169" fontId="19" fillId="0" borderId="0" xfId="1" applyNumberFormat="1" applyFont="1"/>
    <xf numFmtId="11" fontId="0" fillId="0" borderId="0" xfId="0" applyNumberFormat="1"/>
    <xf numFmtId="165" fontId="0" fillId="0" borderId="0" xfId="0" applyNumberFormat="1" applyAlignment="1">
      <alignment horizontal="center"/>
    </xf>
    <xf numFmtId="9" fontId="2" fillId="0" borderId="0" xfId="1" applyNumberFormat="1" applyFont="1" applyAlignment="1">
      <alignment horizontal="center"/>
    </xf>
    <xf numFmtId="175" fontId="2" fillId="0" borderId="0" xfId="3" applyNumberFormat="1" applyFont="1" applyFill="1" applyAlignment="1">
      <alignment horizontal="center"/>
    </xf>
    <xf numFmtId="0" fontId="4" fillId="0" borderId="0" xfId="0" applyFont="1" applyAlignment="1">
      <alignment horizontal="center" wrapText="1"/>
    </xf>
    <xf numFmtId="0" fontId="4" fillId="0" borderId="0" xfId="1" applyFont="1" applyAlignment="1">
      <alignment horizontal="center"/>
    </xf>
    <xf numFmtId="0" fontId="4" fillId="0" borderId="0" xfId="1" applyFont="1" applyFill="1" applyAlignment="1">
      <alignment horizontal="center"/>
    </xf>
    <xf numFmtId="0" fontId="4" fillId="3" borderId="0" xfId="0" applyFont="1" applyFill="1" applyAlignment="1">
      <alignment horizontal="center"/>
    </xf>
    <xf numFmtId="0" fontId="4" fillId="3" borderId="0" xfId="1" applyFont="1" applyFill="1" applyAlignment="1">
      <alignment horizontal="center"/>
    </xf>
    <xf numFmtId="0" fontId="2" fillId="0" borderId="0" xfId="0" applyFont="1" applyAlignment="1">
      <alignment horizontal="center" wrapText="1"/>
    </xf>
  </cellXfs>
  <cellStyles count="5">
    <cellStyle name="Comma" xfId="2" builtinId="3"/>
    <cellStyle name="Hyperlink" xfId="4" builtinId="8"/>
    <cellStyle name="Normal" xfId="0" builtinId="0"/>
    <cellStyle name="Normal 2" xfId="1" xr:uid="{00000000-0005-0000-0000-000001000000}"/>
    <cellStyle name="Percent" xfId="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01.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102.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103.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10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0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07.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108.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109.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11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1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3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4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4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5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68.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8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3.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85.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86.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7.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89.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90.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91.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9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9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95.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96.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97.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9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9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weekly sales and airplay</a:t>
            </a:r>
          </a:p>
        </c:rich>
      </c:tx>
      <c:overlay val="0"/>
      <c:spPr>
        <a:noFill/>
        <a:ln w="25400">
          <a:noFill/>
        </a:ln>
      </c:spPr>
    </c:title>
    <c:autoTitleDeleted val="0"/>
    <c:plotArea>
      <c:layout/>
      <c:lineChart>
        <c:grouping val="standard"/>
        <c:varyColors val="0"/>
        <c:ser>
          <c:idx val="0"/>
          <c:order val="0"/>
          <c:tx>
            <c:strRef>
              <c:f>'Sparklehorse (SH)'!$B$1</c:f>
              <c:strCache>
                <c:ptCount val="1"/>
                <c:pt idx="0">
                  <c:v>sales</c:v>
                </c:pt>
              </c:strCache>
            </c:strRef>
          </c:tx>
          <c:spPr>
            <a:ln w="25400">
              <a:solidFill>
                <a:srgbClr val="000080"/>
              </a:solidFill>
              <a:prstDash val="solid"/>
            </a:ln>
          </c:spPr>
          <c:marker>
            <c:symbol val="none"/>
          </c:marker>
          <c:cat>
            <c:numRef>
              <c:f>'Sparklehorse (SH)'!$A$2:$A$47</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'Sparklehorse (SH)'!$B$2:$B$47</c:f>
              <c:numCache>
                <c:formatCode>General</c:formatCode>
                <c:ptCount val="46"/>
                <c:pt idx="0">
                  <c:v>74</c:v>
                </c:pt>
                <c:pt idx="1">
                  <c:v>68</c:v>
                </c:pt>
                <c:pt idx="2">
                  <c:v>85</c:v>
                </c:pt>
                <c:pt idx="3">
                  <c:v>86</c:v>
                </c:pt>
                <c:pt idx="4">
                  <c:v>96</c:v>
                </c:pt>
                <c:pt idx="5">
                  <c:v>107</c:v>
                </c:pt>
                <c:pt idx="6">
                  <c:v>85</c:v>
                </c:pt>
                <c:pt idx="7">
                  <c:v>74</c:v>
                </c:pt>
                <c:pt idx="8">
                  <c:v>87</c:v>
                </c:pt>
                <c:pt idx="9">
                  <c:v>74</c:v>
                </c:pt>
                <c:pt idx="10">
                  <c:v>88</c:v>
                </c:pt>
                <c:pt idx="11">
                  <c:v>101</c:v>
                </c:pt>
                <c:pt idx="12">
                  <c:v>176</c:v>
                </c:pt>
                <c:pt idx="13">
                  <c:v>144</c:v>
                </c:pt>
                <c:pt idx="14">
                  <c:v>178</c:v>
                </c:pt>
                <c:pt idx="15">
                  <c:v>141</c:v>
                </c:pt>
                <c:pt idx="16">
                  <c:v>151</c:v>
                </c:pt>
                <c:pt idx="17">
                  <c:v>102</c:v>
                </c:pt>
                <c:pt idx="18">
                  <c:v>132</c:v>
                </c:pt>
                <c:pt idx="19">
                  <c:v>188</c:v>
                </c:pt>
                <c:pt idx="20">
                  <c:v>121</c:v>
                </c:pt>
                <c:pt idx="21">
                  <c:v>139</c:v>
                </c:pt>
                <c:pt idx="22">
                  <c:v>166</c:v>
                </c:pt>
                <c:pt idx="23">
                  <c:v>170</c:v>
                </c:pt>
                <c:pt idx="24">
                  <c:v>316</c:v>
                </c:pt>
                <c:pt idx="25">
                  <c:v>427</c:v>
                </c:pt>
                <c:pt idx="26">
                  <c:v>584</c:v>
                </c:pt>
                <c:pt idx="39">
                  <c:v>0</c:v>
                </c:pt>
                <c:pt idx="42">
                  <c:v>0</c:v>
                </c:pt>
              </c:numCache>
            </c:numRef>
          </c:val>
          <c:smooth val="0"/>
          <c:extLst>
            <c:ext xmlns:c16="http://schemas.microsoft.com/office/drawing/2014/chart" uri="{C3380CC4-5D6E-409C-BE32-E72D297353CC}">
              <c16:uniqueId val="{00000000-EF83-46E8-B32F-AD03B848DD7C}"/>
            </c:ext>
          </c:extLst>
        </c:ser>
        <c:ser>
          <c:idx val="1"/>
          <c:order val="1"/>
          <c:tx>
            <c:strRef>
              <c:f>'Sparklehorse (SH)'!$C$1</c:f>
              <c:strCache>
                <c:ptCount val="1"/>
                <c:pt idx="0">
                  <c:v>airplay</c:v>
                </c:pt>
              </c:strCache>
            </c:strRef>
          </c:tx>
          <c:spPr>
            <a:ln w="25400">
              <a:solidFill>
                <a:srgbClr val="FF00FF"/>
              </a:solidFill>
              <a:prstDash val="solid"/>
            </a:ln>
          </c:spPr>
          <c:marker>
            <c:symbol val="none"/>
          </c:marker>
          <c:cat>
            <c:numRef>
              <c:f>'Sparklehorse (SH)'!$A$2:$A$47</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'Sparklehorse (SH)'!$C$2:$C$47</c:f>
              <c:numCache>
                <c:formatCode>General</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formatCode="0">
                  <c:v>20.080000000000002</c:v>
                </c:pt>
                <c:pt idx="19" formatCode="0">
                  <c:v>18.669999999999998</c:v>
                </c:pt>
                <c:pt idx="20" formatCode="0">
                  <c:v>83.27000000000001</c:v>
                </c:pt>
                <c:pt idx="21" formatCode="0">
                  <c:v>184.69</c:v>
                </c:pt>
                <c:pt idx="22" formatCode="0">
                  <c:v>424.75</c:v>
                </c:pt>
                <c:pt idx="23" formatCode="0">
                  <c:v>518.51</c:v>
                </c:pt>
                <c:pt idx="24" formatCode="0">
                  <c:v>673.75</c:v>
                </c:pt>
                <c:pt idx="25" formatCode="0">
                  <c:v>670.4</c:v>
                </c:pt>
                <c:pt idx="26" formatCode="0">
                  <c:v>657.45</c:v>
                </c:pt>
                <c:pt idx="30">
                  <c:v>0</c:v>
                </c:pt>
                <c:pt idx="31">
                  <c:v>0</c:v>
                </c:pt>
                <c:pt idx="32">
                  <c:v>0</c:v>
                </c:pt>
                <c:pt idx="34">
                  <c:v>0</c:v>
                </c:pt>
                <c:pt idx="35">
                  <c:v>0</c:v>
                </c:pt>
                <c:pt idx="36">
                  <c:v>0</c:v>
                </c:pt>
                <c:pt idx="37">
                  <c:v>0</c:v>
                </c:pt>
                <c:pt idx="38">
                  <c:v>0</c:v>
                </c:pt>
                <c:pt idx="39">
                  <c:v>0</c:v>
                </c:pt>
                <c:pt idx="41">
                  <c:v>0</c:v>
                </c:pt>
                <c:pt idx="42">
                  <c:v>0</c:v>
                </c:pt>
                <c:pt idx="44">
                  <c:v>0</c:v>
                </c:pt>
                <c:pt idx="45">
                  <c:v>0</c:v>
                </c:pt>
              </c:numCache>
            </c:numRef>
          </c:val>
          <c:smooth val="0"/>
          <c:extLst>
            <c:ext xmlns:c16="http://schemas.microsoft.com/office/drawing/2014/chart" uri="{C3380CC4-5D6E-409C-BE32-E72D297353CC}">
              <c16:uniqueId val="{00000001-EF83-46E8-B32F-AD03B848DD7C}"/>
            </c:ext>
          </c:extLst>
        </c:ser>
        <c:dLbls>
          <c:showLegendKey val="0"/>
          <c:showVal val="0"/>
          <c:showCatName val="0"/>
          <c:showSerName val="0"/>
          <c:showPercent val="0"/>
          <c:showBubbleSize val="0"/>
        </c:dLbls>
        <c:smooth val="0"/>
        <c:axId val="175171840"/>
        <c:axId val="175174016"/>
      </c:lineChart>
      <c:catAx>
        <c:axId val="17517184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174016"/>
        <c:crosses val="autoZero"/>
        <c:auto val="0"/>
        <c:lblAlgn val="ctr"/>
        <c:lblOffset val="100"/>
        <c:tickLblSkip val="132"/>
        <c:tickMarkSkip val="1"/>
        <c:noMultiLvlLbl val="0"/>
      </c:catAx>
      <c:valAx>
        <c:axId val="17517401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sales/airplay</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17184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model fit and validated forecast</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'Dink (D)'!$A$2:$A$45</c:f>
              <c:numCache>
                <c:formatCode>m/d/yyyy</c:formatCode>
                <c:ptCount val="44"/>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5FBB-4908-B578-1E000EEC520A}"/>
            </c:ext>
          </c:extLst>
        </c:ser>
        <c:ser>
          <c:idx val="1"/>
          <c:order val="1"/>
          <c:spPr>
            <a:ln w="25400">
              <a:solidFill>
                <a:srgbClr val="FF00FF"/>
              </a:solidFill>
              <a:prstDash val="solid"/>
            </a:ln>
          </c:spPr>
          <c:marker>
            <c:symbol val="none"/>
          </c:marker>
          <c:cat>
            <c:numRef>
              <c:f>'Dink (D)'!$A$2:$A$45</c:f>
              <c:numCache>
                <c:formatCode>m/d/yyyy</c:formatCode>
                <c:ptCount val="44"/>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7344.335729028825</c:v>
                </c:pt>
                <c:pt idx="1">
                  <c:v>14436.551199097725</c:v>
                </c:pt>
                <c:pt idx="2">
                  <c:v>21285.301328408012</c:v>
                </c:pt>
                <c:pt idx="3">
                  <c:v>27898.943924530697</c:v>
                </c:pt>
                <c:pt idx="4">
                  <c:v>34285.549883777916</c:v>
                </c:pt>
                <c:pt idx="5">
                  <c:v>40452.913040445157</c:v>
                </c:pt>
                <c:pt idx="6">
                  <c:v>46408.559677943333</c:v>
                </c:pt>
                <c:pt idx="7">
                  <c:v>52159.757713427702</c:v>
                </c:pt>
                <c:pt idx="8">
                  <c:v>57713.525567131976</c:v>
                </c:pt>
                <c:pt idx="9">
                  <c:v>63076.64072723117</c:v>
                </c:pt>
                <c:pt idx="10">
                  <c:v>68255.648020685359</c:v>
                </c:pt>
                <c:pt idx="11">
                  <c:v>73256.86760015742</c:v>
                </c:pt>
                <c:pt idx="12">
                  <c:v>78086.402656751801</c:v>
                </c:pt>
                <c:pt idx="13">
                  <c:v>82750.146867985968</c:v>
                </c:pt>
                <c:pt idx="14">
                  <c:v>87253.791590084365</c:v>
                </c:pt>
                <c:pt idx="15">
                  <c:v>91602.832803371042</c:v>
                </c:pt>
                <c:pt idx="16">
                  <c:v>95802.577819237515</c:v>
                </c:pt>
                <c:pt idx="17">
                  <c:v>99858.151756870066</c:v>
                </c:pt>
                <c:pt idx="18">
                  <c:v>103774.50379764057</c:v>
                </c:pt>
                <c:pt idx="19">
                  <c:v>107556.41322479326</c:v>
                </c:pt>
                <c:pt idx="20">
                  <c:v>111208.4952557979</c:v>
                </c:pt>
                <c:pt idx="21">
                  <c:v>114735.20667448692</c:v>
                </c:pt>
                <c:pt idx="22">
                  <c:v>118140.85126984945</c:v>
                </c:pt>
                <c:pt idx="23">
                  <c:v>121429.58508811954</c:v>
                </c:pt>
                <c:pt idx="24">
                  <c:v>124605.42150456809</c:v>
                </c:pt>
                <c:pt idx="25">
                  <c:v>127672.23612118732</c:v>
                </c:pt>
                <c:pt idx="26">
                  <c:v>130633.77149624519</c:v>
                </c:pt>
                <c:pt idx="27">
                  <c:v>133493.641711481</c:v>
                </c:pt>
                <c:pt idx="28">
                  <c:v>136255.33678251592</c:v>
                </c:pt>
                <c:pt idx="29">
                  <c:v>138922.22691786065</c:v>
                </c:pt>
                <c:pt idx="30">
                  <c:v>141497.56663171755</c:v>
                </c:pt>
                <c:pt idx="31">
                  <c:v>143984.49871559627</c:v>
                </c:pt>
                <c:pt idx="32">
                  <c:v>146386.05807358978</c:v>
                </c:pt>
                <c:pt idx="33">
                  <c:v>148705.17542599089</c:v>
                </c:pt>
                <c:pt idx="34">
                  <c:v>150944.68088576914</c:v>
                </c:pt>
                <c:pt idx="35">
                  <c:v>153128.47144011562</c:v>
                </c:pt>
                <c:pt idx="36">
                  <c:v>155236.56203205764</c:v>
                </c:pt>
                <c:pt idx="37">
                  <c:v>157271.57676137282</c:v>
                </c:pt>
                <c:pt idx="38">
                  <c:v>159236.04876478645</c:v>
                </c:pt>
                <c:pt idx="39">
                  <c:v>161114.04480952566</c:v>
                </c:pt>
                <c:pt idx="40">
                  <c:v>162927.57200825959</c:v>
                </c:pt>
                <c:pt idx="41">
                  <c:v>164678.8434817864</c:v>
                </c:pt>
                <c:pt idx="42">
                  <c:v>166369.99637771747</c:v>
                </c:pt>
                <c:pt idx="43">
                  <c:v>168003.09447852554</c:v>
                </c:pt>
                <c:pt idx="44">
                  <c:v>169580.13072006224</c:v>
                </c:pt>
                <c:pt idx="45">
                  <c:v>171103.02962361835</c:v>
                </c:pt>
                <c:pt idx="46">
                  <c:v>172573.64964449525</c:v>
                </c:pt>
                <c:pt idx="47">
                  <c:v>173993.78543995344</c:v>
                </c:pt>
                <c:pt idx="48">
                  <c:v>175365.17005930538</c:v>
                </c:pt>
                <c:pt idx="49">
                  <c:v>176689.47705882601</c:v>
                </c:pt>
                <c:pt idx="50">
                  <c:v>177968.32254406132</c:v>
                </c:pt>
                <c:pt idx="51">
                  <c:v>179203.26714202741</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5FBB-4908-B578-1E000EEC520A}"/>
            </c:ext>
          </c:extLst>
        </c:ser>
        <c:ser>
          <c:idx val="2"/>
          <c:order val="2"/>
          <c:spPr>
            <a:ln w="25400">
              <a:solidFill>
                <a:srgbClr val="008000"/>
              </a:solidFill>
              <a:prstDash val="solid"/>
            </a:ln>
          </c:spPr>
          <c:marker>
            <c:symbol val="none"/>
          </c:marker>
          <c:cat>
            <c:numRef>
              <c:f>'Dink (D)'!$A$2:$A$45</c:f>
              <c:numCache>
                <c:formatCode>m/d/yyyy</c:formatCode>
                <c:ptCount val="44"/>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8499.3219409211779</c:v>
                </c:pt>
                <c:pt idx="1">
                  <c:v>16404.804123137495</c:v>
                </c:pt>
                <c:pt idx="2">
                  <c:v>23792.754684577423</c:v>
                </c:pt>
                <c:pt idx="3">
                  <c:v>30725.730351800816</c:v>
                </c:pt>
                <c:pt idx="4">
                  <c:v>37255.646350869756</c:v>
                </c:pt>
                <c:pt idx="5">
                  <c:v>43426.055223524942</c:v>
                </c:pt>
                <c:pt idx="6">
                  <c:v>49273.847370987503</c:v>
                </c:pt>
                <c:pt idx="7">
                  <c:v>54830.540786694248</c:v>
                </c:pt>
                <c:pt idx="8">
                  <c:v>60123.273491882399</c:v>
                </c:pt>
                <c:pt idx="9">
                  <c:v>65175.577222763903</c:v>
                </c:pt>
                <c:pt idx="10">
                  <c:v>70007.987739005519</c:v>
                </c:pt>
                <c:pt idx="11">
                  <c:v>74638.53144247079</c:v>
                </c:pt>
                <c:pt idx="12">
                  <c:v>79083.117190512858</c:v>
                </c:pt>
                <c:pt idx="13">
                  <c:v>83355.854617961581</c:v>
                </c:pt>
                <c:pt idx="14">
                  <c:v>87469.314896583499</c:v>
                </c:pt>
                <c:pt idx="15">
                  <c:v>91434.745975696569</c:v>
                </c:pt>
                <c:pt idx="16">
                  <c:v>95262.251508608126</c:v>
                </c:pt>
                <c:pt idx="17">
                  <c:v>98960.940570115621</c:v>
                </c:pt>
                <c:pt idx="18">
                  <c:v>102539.05370062744</c:v>
                </c:pt>
                <c:pt idx="19">
                  <c:v>106004.06962679887</c:v>
                </c:pt>
                <c:pt idx="20">
                  <c:v>109362.7961043987</c:v>
                </c:pt>
                <c:pt idx="21">
                  <c:v>112621.44763344251</c:v>
                </c:pt>
                <c:pt idx="22">
                  <c:v>115785.71225590339</c:v>
                </c:pt>
                <c:pt idx="23">
                  <c:v>118860.80922427788</c:v>
                </c:pt>
                <c:pt idx="24">
                  <c:v>121851.53899685852</c:v>
                </c:pt>
                <c:pt idx="25">
                  <c:v>124762.32675190546</c:v>
                </c:pt>
                <c:pt idx="26">
                  <c:v>127597.26040240616</c:v>
                </c:pt>
                <c:pt idx="27">
                  <c:v>130360.12392403407</c:v>
                </c:pt>
                <c:pt idx="28">
                  <c:v>133054.42667229407</c:v>
                </c:pt>
                <c:pt idx="29">
                  <c:v>135683.42925384446</c:v>
                </c:pt>
                <c:pt idx="30">
                  <c:v>138250.16642633482</c:v>
                </c:pt>
                <c:pt idx="31">
                  <c:v>140757.46742667383</c:v>
                </c:pt>
                <c:pt idx="32">
                  <c:v>143207.97406628681</c:v>
                </c:pt>
                <c:pt idx="33">
                  <c:v>145604.15688106132</c:v>
                </c:pt>
                <c:pt idx="34">
                  <c:v>147948.3295813876</c:v>
                </c:pt>
                <c:pt idx="35">
                  <c:v>154519.3973396708</c:v>
                </c:pt>
                <c:pt idx="36">
                  <c:v>160712.39594842569</c:v>
                </c:pt>
                <c:pt idx="37">
                  <c:v>166567.77713775184</c:v>
                </c:pt>
                <c:pt idx="38">
                  <c:v>172119.86247883536</c:v>
                </c:pt>
                <c:pt idx="39">
                  <c:v>173955.8060925912</c:v>
                </c:pt>
                <c:pt idx="40">
                  <c:v>175760.75892452724</c:v>
                </c:pt>
                <c:pt idx="41">
                  <c:v>177535.73104752653</c:v>
                </c:pt>
                <c:pt idx="42">
                  <c:v>179281.68424125924</c:v>
                </c:pt>
                <c:pt idx="43">
                  <c:v>180999.53501339117</c:v>
                </c:pt>
                <c:pt idx="44">
                  <c:v>182690.15738858763</c:v>
                </c:pt>
                <c:pt idx="45">
                  <c:v>184354.38548637839</c:v>
                </c:pt>
                <c:pt idx="46">
                  <c:v>185993.01590675808</c:v>
                </c:pt>
                <c:pt idx="47">
                  <c:v>187606.80994045688</c:v>
                </c:pt>
                <c:pt idx="48">
                  <c:v>189196.49561910034</c:v>
                </c:pt>
                <c:pt idx="49">
                  <c:v>190762.76961896522</c:v>
                </c:pt>
                <c:pt idx="50">
                  <c:v>192306.29903068152</c:v>
                </c:pt>
                <c:pt idx="51">
                  <c:v>193827.72300604312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5FBB-4908-B578-1E000EEC520A}"/>
            </c:ext>
          </c:extLst>
        </c:ser>
        <c:dLbls>
          <c:showLegendKey val="0"/>
          <c:showVal val="0"/>
          <c:showCatName val="0"/>
          <c:showSerName val="0"/>
          <c:showPercent val="0"/>
          <c:showBubbleSize val="0"/>
        </c:dLbls>
        <c:marker val="1"/>
        <c:smooth val="0"/>
        <c:axId val="174749952"/>
        <c:axId val="174752128"/>
      </c:lineChart>
      <c:catAx>
        <c:axId val="174749952"/>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752128"/>
        <c:crosses val="autoZero"/>
        <c:auto val="0"/>
        <c:lblAlgn val="ctr"/>
        <c:lblOffset val="100"/>
        <c:tickLblSkip val="153"/>
        <c:tickMarkSkip val="1"/>
        <c:noMultiLvlLbl val="0"/>
      </c:catAx>
      <c:valAx>
        <c:axId val="174752128"/>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749952"/>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weekly sales and airplay</a:t>
            </a:r>
          </a:p>
        </c:rich>
      </c:tx>
      <c:overlay val="0"/>
      <c:spPr>
        <a:noFill/>
        <a:ln w="25400">
          <a:noFill/>
        </a:ln>
      </c:spPr>
    </c:title>
    <c:autoTitleDeleted val="0"/>
    <c:plotArea>
      <c:layout/>
      <c:lineChart>
        <c:grouping val="standard"/>
        <c:varyColors val="0"/>
        <c:ser>
          <c:idx val="0"/>
          <c:order val="0"/>
          <c:tx>
            <c:strRef>
              <c:f>'W+cov (Lag6 AP+BB)'!$D$15</c:f>
              <c:strCache>
                <c:ptCount val="1"/>
                <c:pt idx="0">
                  <c:v>Incr_Sales</c:v>
                </c:pt>
              </c:strCache>
            </c:strRef>
          </c:tx>
          <c:spPr>
            <a:ln w="25400">
              <a:solidFill>
                <a:srgbClr val="000080"/>
              </a:solidFill>
              <a:prstDash val="solid"/>
            </a:ln>
          </c:spPr>
          <c:marker>
            <c:symbol val="none"/>
          </c:marker>
          <c:cat>
            <c:numRef>
              <c:f>'W+cov (Lag6 AP+BB)'!$A$17:$A$62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'W+cov (Lag6 AP+BB)'!$D$37:$D$62</c:f>
              <c:numCache>
                <c:formatCode>General</c:formatCode>
                <c:ptCount val="26"/>
              </c:numCache>
            </c:numRef>
          </c:val>
          <c:smooth val="0"/>
          <c:extLst>
            <c:ext xmlns:c16="http://schemas.microsoft.com/office/drawing/2014/chart" uri="{C3380CC4-5D6E-409C-BE32-E72D297353CC}">
              <c16:uniqueId val="{00000000-CE4A-4579-BB1C-2D6E487630A6}"/>
            </c:ext>
          </c:extLst>
        </c:ser>
        <c:ser>
          <c:idx val="1"/>
          <c:order val="1"/>
          <c:tx>
            <c:strRef>
              <c:f>'W+cov (1)'!#REF!</c:f>
              <c:strCache>
                <c:ptCount val="1"/>
                <c:pt idx="0">
                  <c:v>#REF!</c:v>
                </c:pt>
              </c:strCache>
            </c:strRef>
          </c:tx>
          <c:spPr>
            <a:ln w="25400">
              <a:solidFill>
                <a:srgbClr val="FF00FF"/>
              </a:solidFill>
              <a:prstDash val="solid"/>
            </a:ln>
          </c:spPr>
          <c:marker>
            <c:symbol val="none"/>
          </c:marker>
          <c:cat>
            <c:numRef>
              <c:f>'W+cov (Lag6 AP+BB)'!$A$17:$A$62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W!#REF!</c:f>
              <c:numCache>
                <c:formatCode>General</c:formatCode>
                <c:ptCount val="1"/>
                <c:pt idx="0">
                  <c:v>1</c:v>
                </c:pt>
              </c:numCache>
            </c:numRef>
          </c:val>
          <c:smooth val="0"/>
          <c:extLst>
            <c:ext xmlns:c16="http://schemas.microsoft.com/office/drawing/2014/chart" uri="{C3380CC4-5D6E-409C-BE32-E72D297353CC}">
              <c16:uniqueId val="{00000001-CE4A-4579-BB1C-2D6E487630A6}"/>
            </c:ext>
          </c:extLst>
        </c:ser>
        <c:dLbls>
          <c:showLegendKey val="0"/>
          <c:showVal val="0"/>
          <c:showCatName val="0"/>
          <c:showSerName val="0"/>
          <c:showPercent val="0"/>
          <c:showBubbleSize val="0"/>
        </c:dLbls>
        <c:smooth val="0"/>
        <c:axId val="175171840"/>
        <c:axId val="175174016"/>
      </c:lineChart>
      <c:catAx>
        <c:axId val="17517184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174016"/>
        <c:crosses val="autoZero"/>
        <c:auto val="0"/>
        <c:lblAlgn val="ctr"/>
        <c:lblOffset val="100"/>
        <c:tickLblSkip val="132"/>
        <c:tickMarkSkip val="1"/>
        <c:noMultiLvlLbl val="0"/>
      </c:catAx>
      <c:valAx>
        <c:axId val="17517401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sales/airplay</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17184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genuine forecasts</a:t>
            </a:r>
          </a:p>
        </c:rich>
      </c:tx>
      <c:overlay val="0"/>
      <c:spPr>
        <a:noFill/>
        <a:ln w="25400">
          <a:noFill/>
        </a:ln>
      </c:spPr>
    </c:title>
    <c:autoTitleDeleted val="0"/>
    <c:plotArea>
      <c:layout/>
      <c:lineChart>
        <c:grouping val="standard"/>
        <c:varyColors val="0"/>
        <c:ser>
          <c:idx val="0"/>
          <c:order val="0"/>
          <c:spPr>
            <a:ln w="25400">
              <a:solidFill>
                <a:srgbClr val="FF00FF"/>
              </a:solidFill>
              <a:prstDash val="solid"/>
            </a:ln>
          </c:spPr>
          <c:marker>
            <c:symbol val="none"/>
          </c:marker>
          <c:cat>
            <c:numRef>
              <c:f>'W+cov (Lag6 AP+BB)'!$A$17:$A$62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65"/>
                <c:pt idx="0">
                  <c:v>5224.4217589694226</c:v>
                </c:pt>
                <c:pt idx="1">
                  <c:v>10420.095805764095</c:v>
                </c:pt>
                <c:pt idx="2">
                  <c:v>15587.180326494108</c:v>
                </c:pt>
                <c:pt idx="3">
                  <c:v>20725.832636840245</c:v>
                </c:pt>
                <c:pt idx="4">
                  <c:v>25836.209186844131</c:v>
                </c:pt>
                <c:pt idx="5">
                  <c:v>30918.465565670696</c:v>
                </c:pt>
                <c:pt idx="6">
                  <c:v>35972.756506346028</c:v>
                </c:pt>
                <c:pt idx="7">
                  <c:v>40999.235890467557</c:v>
                </c:pt>
                <c:pt idx="8">
                  <c:v>45998.05675288973</c:v>
                </c:pt>
                <c:pt idx="9">
                  <c:v>50969.371286382971</c:v>
                </c:pt>
                <c:pt idx="10">
                  <c:v>55913.330846267076</c:v>
                </c:pt>
                <c:pt idx="11">
                  <c:v>60830.085955019866</c:v>
                </c:pt>
                <c:pt idx="12">
                  <c:v>65719.786306859693</c:v>
                </c:pt>
                <c:pt idx="13">
                  <c:v>70582.580772302666</c:v>
                </c:pt>
                <c:pt idx="14">
                  <c:v>75418.617402695774</c:v>
                </c:pt>
                <c:pt idx="15">
                  <c:v>80228.043434723877</c:v>
                </c:pt>
                <c:pt idx="16">
                  <c:v>85011.005294892748</c:v>
                </c:pt>
                <c:pt idx="17">
                  <c:v>89767.648603987065</c:v>
                </c:pt>
                <c:pt idx="18">
                  <c:v>94498.118181503552</c:v>
                </c:pt>
                <c:pt idx="19">
                  <c:v>99202.558050060892</c:v>
                </c:pt>
                <c:pt idx="20">
                  <c:v>103881.11143978406</c:v>
                </c:pt>
                <c:pt idx="21">
                  <c:v>108533.920792665</c:v>
                </c:pt>
                <c:pt idx="22">
                  <c:v>113161.12776689969</c:v>
                </c:pt>
                <c:pt idx="23">
                  <c:v>117762.87324120097</c:v>
                </c:pt>
                <c:pt idx="24">
                  <c:v>122339.29731908746</c:v>
                </c:pt>
                <c:pt idx="25">
                  <c:v>126890.53933314937</c:v>
                </c:pt>
                <c:pt idx="26">
                  <c:v>131416.73784929057</c:v>
                </c:pt>
                <c:pt idx="27">
                  <c:v>135918.03067094708</c:v>
                </c:pt>
                <c:pt idx="28">
                  <c:v>140394.55484328285</c:v>
                </c:pt>
                <c:pt idx="29">
                  <c:v>144846.44665736225</c:v>
                </c:pt>
                <c:pt idx="30">
                  <c:v>149273.84165429918</c:v>
                </c:pt>
                <c:pt idx="31">
                  <c:v>153676.87462938423</c:v>
                </c:pt>
                <c:pt idx="32">
                  <c:v>158055.67963618806</c:v>
                </c:pt>
                <c:pt idx="33">
                  <c:v>162410.38999064319</c:v>
                </c:pt>
                <c:pt idx="34">
                  <c:v>166741.13827510292</c:v>
                </c:pt>
                <c:pt idx="35">
                  <c:v>171048.05634237741</c:v>
                </c:pt>
                <c:pt idx="36">
                  <c:v>175331.2753197487</c:v>
                </c:pt>
                <c:pt idx="37">
                  <c:v>179590.92561296254</c:v>
                </c:pt>
                <c:pt idx="38">
                  <c:v>183827.13691019849</c:v>
                </c:pt>
                <c:pt idx="39">
                  <c:v>188040.03818601923</c:v>
                </c:pt>
                <c:pt idx="40">
                  <c:v>192229.75770529616</c:v>
                </c:pt>
                <c:pt idx="41">
                  <c:v>196396.42302711552</c:v>
                </c:pt>
                <c:pt idx="42">
                  <c:v>200540.16100866138</c:v>
                </c:pt>
                <c:pt idx="43">
                  <c:v>204661.09780907811</c:v>
                </c:pt>
                <c:pt idx="44">
                  <c:v>208759.35889331135</c:v>
                </c:pt>
                <c:pt idx="45">
                  <c:v>212835.0690359282</c:v>
                </c:pt>
                <c:pt idx="46">
                  <c:v>216888.35232491541</c:v>
                </c:pt>
                <c:pt idx="47">
                  <c:v>220919.33216545792</c:v>
                </c:pt>
                <c:pt idx="48">
                  <c:v>224928.13128369578</c:v>
                </c:pt>
                <c:pt idx="49">
                  <c:v>228914.87173046058</c:v>
                </c:pt>
                <c:pt idx="50">
                  <c:v>232879.67488499157</c:v>
                </c:pt>
                <c:pt idx="51">
                  <c:v>236822.66145863105</c:v>
                </c:pt>
                <c:pt idx="52">
                  <c:v>240743.95149849943</c:v>
                </c:pt>
                <c:pt idx="53">
                  <c:v>244643.6643911502</c:v>
                </c:pt>
                <c:pt idx="54">
                  <c:v>248521.91886620491</c:v>
                </c:pt>
                <c:pt idx="55">
                  <c:v>252378.83299996777</c:v>
                </c:pt>
                <c:pt idx="56">
                  <c:v>256214.52421902039</c:v>
                </c:pt>
                <c:pt idx="57">
                  <c:v>260029.10930379757</c:v>
                </c:pt>
                <c:pt idx="58">
                  <c:v>263822.70439214213</c:v>
                </c:pt>
                <c:pt idx="59">
                  <c:v>267595.42498284113</c:v>
                </c:pt>
                <c:pt idx="60">
                  <c:v>271347.38593914203</c:v>
                </c:pt>
                <c:pt idx="61">
                  <c:v>275078.7014922502</c:v>
                </c:pt>
                <c:pt idx="62">
                  <c:v>278789.48524480656</c:v>
                </c:pt>
                <c:pt idx="63">
                  <c:v>282479.85017434612</c:v>
                </c:pt>
                <c:pt idx="64">
                  <c:v>286149.90863673808</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0-4395-45A4-AF7A-F3BDA68B966A}"/>
            </c:ext>
          </c:extLst>
        </c:ser>
        <c:ser>
          <c:idx val="1"/>
          <c:order val="1"/>
          <c:spPr>
            <a:ln w="25400">
              <a:solidFill>
                <a:srgbClr val="008000"/>
              </a:solidFill>
              <a:prstDash val="solid"/>
            </a:ln>
          </c:spPr>
          <c:marker>
            <c:symbol val="none"/>
          </c:marker>
          <c:cat>
            <c:numRef>
              <c:f>'W+cov (Lag6 AP+BB)'!$A$17:$A$62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65"/>
                <c:pt idx="0">
                  <c:v>5337.8599834530414</c:v>
                </c:pt>
                <c:pt idx="1">
                  <c:v>10635.213722550718</c:v>
                </c:pt>
                <c:pt idx="2">
                  <c:v>15892.601184708477</c:v>
                </c:pt>
                <c:pt idx="3">
                  <c:v>21110.55207449153</c:v>
                </c:pt>
                <c:pt idx="4">
                  <c:v>26289.58608625942</c:v>
                </c:pt>
                <c:pt idx="5">
                  <c:v>31430.213149191033</c:v>
                </c:pt>
                <c:pt idx="6">
                  <c:v>36532.933664959797</c:v>
                </c:pt>
                <c:pt idx="7">
                  <c:v>41598.238738319917</c:v>
                </c:pt>
                <c:pt idx="8">
                  <c:v>46626.610400853031</c:v>
                </c:pt>
                <c:pt idx="9">
                  <c:v>51618.521828118544</c:v>
                </c:pt>
                <c:pt idx="10">
                  <c:v>56574.437550431008</c:v>
                </c:pt>
                <c:pt idx="11">
                  <c:v>61494.813657491432</c:v>
                </c:pt>
                <c:pt idx="12">
                  <c:v>66380.097997082339</c:v>
                </c:pt>
                <c:pt idx="13">
                  <c:v>71230.730368030068</c:v>
                </c:pt>
                <c:pt idx="14">
                  <c:v>76047.142707627907</c:v>
                </c:pt>
                <c:pt idx="15">
                  <c:v>80829.759273713717</c:v>
                </c:pt>
                <c:pt idx="16">
                  <c:v>85578.996821573106</c:v>
                </c:pt>
                <c:pt idx="17">
                  <c:v>90295.264775854594</c:v>
                </c:pt>
                <c:pt idx="18">
                  <c:v>94978.965397647946</c:v>
                </c:pt>
                <c:pt idx="19">
                  <c:v>99630.493946900606</c:v>
                </c:pt>
                <c:pt idx="20">
                  <c:v>104250.23884031737</c:v>
                </c:pt>
                <c:pt idx="21">
                  <c:v>108838.58180489393</c:v>
                </c:pt>
                <c:pt idx="22">
                  <c:v>113395.89802722905</c:v>
                </c:pt>
                <c:pt idx="23">
                  <c:v>117922.55629874914</c:v>
                </c:pt>
                <c:pt idx="24">
                  <c:v>122418.91915698122</c:v>
                </c:pt>
                <c:pt idx="25">
                  <c:v>126885.34302299759</c:v>
                </c:pt>
                <c:pt idx="26">
                  <c:v>131322.17833515958</c:v>
                </c:pt>
                <c:pt idx="27">
                  <c:v>135729.76967927342</c:v>
                </c:pt>
                <c:pt idx="28">
                  <c:v>140108.45591527323</c:v>
                </c:pt>
                <c:pt idx="29">
                  <c:v>144458.57030054598</c:v>
                </c:pt>
                <c:pt idx="30">
                  <c:v>148780.44060999496</c:v>
                </c:pt>
                <c:pt idx="31">
                  <c:v>153074.38925294904</c:v>
                </c:pt>
                <c:pt idx="32">
                  <c:v>157340.73338701771</c:v>
                </c:pt>
                <c:pt idx="33">
                  <c:v>161579.78502897974</c:v>
                </c:pt>
                <c:pt idx="34">
                  <c:v>165791.85116280272</c:v>
                </c:pt>
                <c:pt idx="35">
                  <c:v>170644.09835148463</c:v>
                </c:pt>
                <c:pt idx="36">
                  <c:v>175460.90841741636</c:v>
                </c:pt>
                <c:pt idx="37">
                  <c:v>180242.73609641616</c:v>
                </c:pt>
                <c:pt idx="38">
                  <c:v>184990.02780267669</c:v>
                </c:pt>
                <c:pt idx="39">
                  <c:v>189055.42271100107</c:v>
                </c:pt>
                <c:pt idx="40">
                  <c:v>193095.75015619418</c:v>
                </c:pt>
                <c:pt idx="41">
                  <c:v>197111.28195723804</c:v>
                </c:pt>
                <c:pt idx="42">
                  <c:v>201102.28572613787</c:v>
                </c:pt>
                <c:pt idx="43">
                  <c:v>205069.02495234559</c:v>
                </c:pt>
                <c:pt idx="44">
                  <c:v>209011.75908510594</c:v>
                </c:pt>
                <c:pt idx="45">
                  <c:v>212930.74361378362</c:v>
                </c:pt>
                <c:pt idx="46">
                  <c:v>216826.23014623381</c:v>
                </c:pt>
                <c:pt idx="47">
                  <c:v>220698.46648526614</c:v>
                </c:pt>
                <c:pt idx="48">
                  <c:v>224547.6967032649</c:v>
                </c:pt>
                <c:pt idx="49">
                  <c:v>228374.16121501286</c:v>
                </c:pt>
                <c:pt idx="50">
                  <c:v>232178.09684876766</c:v>
                </c:pt>
                <c:pt idx="51">
                  <c:v>235959.73691564874</c:v>
                </c:pt>
                <c:pt idx="52">
                  <c:v>239719.31127737579</c:v>
                </c:pt>
                <c:pt idx="53">
                  <c:v>243457.0464124034</c:v>
                </c:pt>
                <c:pt idx="54">
                  <c:v>247173.16548050562</c:v>
                </c:pt>
                <c:pt idx="55">
                  <c:v>250867.88838584229</c:v>
                </c:pt>
                <c:pt idx="56">
                  <c:v>254541.43183855992</c:v>
                </c:pt>
                <c:pt idx="57">
                  <c:v>258194.00941495819</c:v>
                </c:pt>
                <c:pt idx="58">
                  <c:v>261825.83161626881</c:v>
                </c:pt>
                <c:pt idx="59">
                  <c:v>265437.10592608119</c:v>
                </c:pt>
                <c:pt idx="60">
                  <c:v>269028.03686644981</c:v>
                </c:pt>
                <c:pt idx="61">
                  <c:v>272598.82605272526</c:v>
                </c:pt>
                <c:pt idx="62">
                  <c:v>276149.67224713636</c:v>
                </c:pt>
                <c:pt idx="63">
                  <c:v>279680.77141116234</c:v>
                </c:pt>
                <c:pt idx="64">
                  <c:v>283192.31675672519</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1-4395-45A4-AF7A-F3BDA68B966A}"/>
            </c:ext>
          </c:extLst>
        </c:ser>
        <c:ser>
          <c:idx val="2"/>
          <c:order val="2"/>
          <c:spPr>
            <a:ln w="12700">
              <a:solidFill>
                <a:srgbClr val="000080"/>
              </a:solidFill>
              <a:prstDash val="solid"/>
            </a:ln>
          </c:spPr>
          <c:marker>
            <c:symbol val="diamond"/>
            <c:size val="5"/>
            <c:spPr>
              <a:solidFill>
                <a:srgbClr val="000080"/>
              </a:solidFill>
              <a:ln>
                <a:solidFill>
                  <a:srgbClr val="000080"/>
                </a:solidFill>
                <a:prstDash val="solid"/>
              </a:ln>
            </c:spPr>
          </c:marker>
          <c:cat>
            <c:numRef>
              <c:f>'W+cov (Lag6 AP+BB)'!$A$17:$A$62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2-4395-45A4-AF7A-F3BDA68B966A}"/>
            </c:ext>
          </c:extLst>
        </c:ser>
        <c:dLbls>
          <c:showLegendKey val="0"/>
          <c:showVal val="0"/>
          <c:showCatName val="0"/>
          <c:showSerName val="0"/>
          <c:showPercent val="0"/>
          <c:showBubbleSize val="0"/>
        </c:dLbls>
        <c:smooth val="0"/>
        <c:axId val="174883968"/>
        <c:axId val="174899200"/>
      </c:lineChart>
      <c:catAx>
        <c:axId val="17488396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899200"/>
        <c:crosses val="autoZero"/>
        <c:auto val="0"/>
        <c:lblAlgn val="ctr"/>
        <c:lblOffset val="100"/>
        <c:tickLblSkip val="192"/>
        <c:tickMarkSkip val="1"/>
        <c:noMultiLvlLbl val="0"/>
      </c:catAx>
      <c:valAx>
        <c:axId val="174899200"/>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883968"/>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userShapes r:id="rId1"/>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early projections</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'W+cov (Lag6 AP+BB)'!$A$17:$A$62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90CA-4AE1-82F3-264FCE1CF398}"/>
            </c:ext>
          </c:extLst>
        </c:ser>
        <c:ser>
          <c:idx val="1"/>
          <c:order val="1"/>
          <c:spPr>
            <a:ln w="25400">
              <a:solidFill>
                <a:srgbClr val="FF00FF"/>
              </a:solidFill>
              <a:prstDash val="solid"/>
            </a:ln>
          </c:spPr>
          <c:marker>
            <c:symbol val="none"/>
          </c:marker>
          <c:cat>
            <c:numRef>
              <c:f>'W+cov (Lag6 AP+BB)'!$A$17:$A$62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6205.5970060675982</c:v>
                </c:pt>
                <c:pt idx="1">
                  <c:v>12398.357534068038</c:v>
                </c:pt>
                <c:pt idx="2">
                  <c:v>18578.30813667105</c:v>
                </c:pt>
                <c:pt idx="3">
                  <c:v>24745.475311621969</c:v>
                </c:pt>
                <c:pt idx="4">
                  <c:v>30899.885501853631</c:v>
                </c:pt>
                <c:pt idx="5">
                  <c:v>37041.565095601967</c:v>
                </c:pt>
                <c:pt idx="6">
                  <c:v>43170.540426517247</c:v>
                </c:pt>
                <c:pt idx="7">
                  <c:v>49286.837773777959</c:v>
                </c:pt>
                <c:pt idx="8">
                  <c:v>55390.483362203093</c:v>
                </c:pt>
                <c:pt idx="9">
                  <c:v>61481.503362365023</c:v>
                </c:pt>
                <c:pt idx="10">
                  <c:v>67559.923890701422</c:v>
                </c:pt>
                <c:pt idx="11">
                  <c:v>73625.771009626857</c:v>
                </c:pt>
                <c:pt idx="12">
                  <c:v>79679.070727645681</c:v>
                </c:pt>
                <c:pt idx="13">
                  <c:v>85719.848999461945</c:v>
                </c:pt>
                <c:pt idx="14">
                  <c:v>91748.13172609231</c:v>
                </c:pt>
                <c:pt idx="15">
                  <c:v>97763.944754976299</c:v>
                </c:pt>
                <c:pt idx="16">
                  <c:v>103767.31388008619</c:v>
                </c:pt>
                <c:pt idx="17">
                  <c:v>109758.26484203999</c:v>
                </c:pt>
                <c:pt idx="18">
                  <c:v>115736.82332820923</c:v>
                </c:pt>
                <c:pt idx="19">
                  <c:v>121703.01497283098</c:v>
                </c:pt>
                <c:pt idx="20">
                  <c:v>127656.86535711707</c:v>
                </c:pt>
                <c:pt idx="21">
                  <c:v>133598.40000936363</c:v>
                </c:pt>
                <c:pt idx="22">
                  <c:v>139527.64440506004</c:v>
                </c:pt>
                <c:pt idx="23">
                  <c:v>145444.62396699988</c:v>
                </c:pt>
                <c:pt idx="24">
                  <c:v>151349.36406538801</c:v>
                </c:pt>
                <c:pt idx="25">
                  <c:v>157241.89001795073</c:v>
                </c:pt>
                <c:pt idx="26">
                  <c:v>163122.22709004386</c:v>
                </c:pt>
                <c:pt idx="27">
                  <c:v>168990.40049476034</c:v>
                </c:pt>
                <c:pt idx="28">
                  <c:v>174846.43539304013</c:v>
                </c:pt>
                <c:pt idx="29">
                  <c:v>180690.35689377555</c:v>
                </c:pt>
                <c:pt idx="30">
                  <c:v>186522.19005392145</c:v>
                </c:pt>
                <c:pt idx="31">
                  <c:v>192341.95987860113</c:v>
                </c:pt>
                <c:pt idx="32">
                  <c:v>198149.69132121396</c:v>
                </c:pt>
                <c:pt idx="33">
                  <c:v>203945.40928354289</c:v>
                </c:pt>
                <c:pt idx="34">
                  <c:v>209729.1386158604</c:v>
                </c:pt>
                <c:pt idx="35">
                  <c:v>215500.90411703481</c:v>
                </c:pt>
                <c:pt idx="36">
                  <c:v>221260.73053463778</c:v>
                </c:pt>
                <c:pt idx="37">
                  <c:v>227008.64256505028</c:v>
                </c:pt>
                <c:pt idx="38">
                  <c:v>232744.6648535667</c:v>
                </c:pt>
                <c:pt idx="39">
                  <c:v>238468.82199450338</c:v>
                </c:pt>
                <c:pt idx="40">
                  <c:v>244181.1385313012</c:v>
                </c:pt>
                <c:pt idx="41">
                  <c:v>249881.63895663273</c:v>
                </c:pt>
                <c:pt idx="42">
                  <c:v>255570.34771250674</c:v>
                </c:pt>
                <c:pt idx="43">
                  <c:v>261247.28919037309</c:v>
                </c:pt>
                <c:pt idx="44">
                  <c:v>266912.48773122631</c:v>
                </c:pt>
                <c:pt idx="45">
                  <c:v>272565.96762571164</c:v>
                </c:pt>
                <c:pt idx="46">
                  <c:v>278207.75311422796</c:v>
                </c:pt>
                <c:pt idx="47">
                  <c:v>283837.86838703218</c:v>
                </c:pt>
                <c:pt idx="48">
                  <c:v>289456.33758434275</c:v>
                </c:pt>
                <c:pt idx="49">
                  <c:v>295063.18479644344</c:v>
                </c:pt>
                <c:pt idx="50">
                  <c:v>300658.43406378658</c:v>
                </c:pt>
                <c:pt idx="51">
                  <c:v>306242.10937709583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90CA-4AE1-82F3-264FCE1CF398}"/>
            </c:ext>
          </c:extLst>
        </c:ser>
        <c:ser>
          <c:idx val="2"/>
          <c:order val="2"/>
          <c:spPr>
            <a:ln w="25400">
              <a:solidFill>
                <a:srgbClr val="008000"/>
              </a:solidFill>
              <a:prstDash val="solid"/>
            </a:ln>
          </c:spPr>
          <c:marker>
            <c:symbol val="none"/>
          </c:marker>
          <c:cat>
            <c:numRef>
              <c:f>'W+cov (Lag6 AP+BB)'!$A$17:$A$62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6236.3185158423876</c:v>
                </c:pt>
                <c:pt idx="1">
                  <c:v>12456.105476353119</c:v>
                </c:pt>
                <c:pt idx="2">
                  <c:v>18659.414150744902</c:v>
                </c:pt>
                <c:pt idx="3">
                  <c:v>24846.297606183398</c:v>
                </c:pt>
                <c:pt idx="4">
                  <c:v>31016.80870865786</c:v>
                </c:pt>
                <c:pt idx="5">
                  <c:v>37171.000123869424</c:v>
                </c:pt>
                <c:pt idx="6">
                  <c:v>43308.924318095407</c:v>
                </c:pt>
                <c:pt idx="7">
                  <c:v>49430.63355905997</c:v>
                </c:pt>
                <c:pt idx="8">
                  <c:v>55536.179916802372</c:v>
                </c:pt>
                <c:pt idx="9">
                  <c:v>61625.615264532033</c:v>
                </c:pt>
                <c:pt idx="10">
                  <c:v>67698.991279486756</c:v>
                </c:pt>
                <c:pt idx="11">
                  <c:v>73756.359443787107</c:v>
                </c:pt>
                <c:pt idx="12">
                  <c:v>79797.771045275076</c:v>
                </c:pt>
                <c:pt idx="13">
                  <c:v>85823.277178370685</c:v>
                </c:pt>
                <c:pt idx="14">
                  <c:v>91832.928744896344</c:v>
                </c:pt>
                <c:pt idx="15">
                  <c:v>97826.776454923878</c:v>
                </c:pt>
                <c:pt idx="16">
                  <c:v>103804.87082759848</c:v>
                </c:pt>
                <c:pt idx="17">
                  <c:v>109767.26219197208</c:v>
                </c:pt>
                <c:pt idx="18">
                  <c:v>115714.00068781502</c:v>
                </c:pt>
                <c:pt idx="19">
                  <c:v>121645.13626644868</c:v>
                </c:pt>
                <c:pt idx="20">
                  <c:v>127560.71869154894</c:v>
                </c:pt>
                <c:pt idx="21">
                  <c:v>133460.79753996443</c:v>
                </c:pt>
                <c:pt idx="22">
                  <c:v>139345.42220251821</c:v>
                </c:pt>
                <c:pt idx="23">
                  <c:v>145214.64188481527</c:v>
                </c:pt>
                <c:pt idx="24">
                  <c:v>151068.50560803665</c:v>
                </c:pt>
                <c:pt idx="25">
                  <c:v>156907.06220974037</c:v>
                </c:pt>
                <c:pt idx="26">
                  <c:v>162730.36034464737</c:v>
                </c:pt>
                <c:pt idx="27">
                  <c:v>168538.44848542986</c:v>
                </c:pt>
                <c:pt idx="28">
                  <c:v>174331.37492349805</c:v>
                </c:pt>
                <c:pt idx="29">
                  <c:v>180109.18776977746</c:v>
                </c:pt>
                <c:pt idx="30">
                  <c:v>185871.93495548383</c:v>
                </c:pt>
                <c:pt idx="31">
                  <c:v>191619.66423289722</c:v>
                </c:pt>
                <c:pt idx="32">
                  <c:v>197352.42317613267</c:v>
                </c:pt>
                <c:pt idx="33">
                  <c:v>203070.25918189669</c:v>
                </c:pt>
                <c:pt idx="34">
                  <c:v>208773.21947025752</c:v>
                </c:pt>
                <c:pt idx="35">
                  <c:v>214461.35108539666</c:v>
                </c:pt>
                <c:pt idx="36">
                  <c:v>220134.70089636612</c:v>
                </c:pt>
                <c:pt idx="37">
                  <c:v>225793.31559783532</c:v>
                </c:pt>
                <c:pt idx="38">
                  <c:v>231437.24171083735</c:v>
                </c:pt>
                <c:pt idx="39">
                  <c:v>237066.52558351649</c:v>
                </c:pt>
                <c:pt idx="40">
                  <c:v>242681.21339185978</c:v>
                </c:pt>
                <c:pt idx="41">
                  <c:v>248281.35114044035</c:v>
                </c:pt>
                <c:pt idx="42">
                  <c:v>253866.98466314361</c:v>
                </c:pt>
                <c:pt idx="43">
                  <c:v>259438.15962389749</c:v>
                </c:pt>
                <c:pt idx="44">
                  <c:v>264994.92151739931</c:v>
                </c:pt>
                <c:pt idx="45">
                  <c:v>270537.31566983397</c:v>
                </c:pt>
                <c:pt idx="46">
                  <c:v>276065.38723959605</c:v>
                </c:pt>
                <c:pt idx="47">
                  <c:v>281579.18121799931</c:v>
                </c:pt>
                <c:pt idx="48">
                  <c:v>287078.74242999242</c:v>
                </c:pt>
                <c:pt idx="49">
                  <c:v>292564.11553486239</c:v>
                </c:pt>
                <c:pt idx="50">
                  <c:v>298035.34502694273</c:v>
                </c:pt>
                <c:pt idx="51">
                  <c:v>303492.47523631272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90CA-4AE1-82F3-264FCE1CF398}"/>
            </c:ext>
          </c:extLst>
        </c:ser>
        <c:dLbls>
          <c:showLegendKey val="0"/>
          <c:showVal val="0"/>
          <c:showCatName val="0"/>
          <c:showSerName val="0"/>
          <c:showPercent val="0"/>
          <c:showBubbleSize val="0"/>
        </c:dLbls>
        <c:marker val="1"/>
        <c:smooth val="0"/>
        <c:axId val="175012480"/>
        <c:axId val="175014656"/>
      </c:lineChart>
      <c:catAx>
        <c:axId val="17501248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14656"/>
        <c:crosses val="autoZero"/>
        <c:auto val="0"/>
        <c:lblAlgn val="ctr"/>
        <c:lblOffset val="100"/>
        <c:tickLblSkip val="153"/>
        <c:tickMarkSkip val="1"/>
        <c:noMultiLvlLbl val="0"/>
      </c:catAx>
      <c:valAx>
        <c:axId val="17501465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1248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model fit and validated forecast</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'W+cov (Lag6 AP+BB)'!$A$17:$A$62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7E78-4573-A002-D7FEA54C3615}"/>
            </c:ext>
          </c:extLst>
        </c:ser>
        <c:ser>
          <c:idx val="1"/>
          <c:order val="1"/>
          <c:spPr>
            <a:ln w="25400">
              <a:solidFill>
                <a:srgbClr val="FF00FF"/>
              </a:solidFill>
              <a:prstDash val="solid"/>
            </a:ln>
          </c:spPr>
          <c:marker>
            <c:symbol val="none"/>
          </c:marker>
          <c:cat>
            <c:numRef>
              <c:f>'W+cov (Lag6 AP+BB)'!$A$17:$A$62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7344.335729028825</c:v>
                </c:pt>
                <c:pt idx="1">
                  <c:v>14436.551199097725</c:v>
                </c:pt>
                <c:pt idx="2">
                  <c:v>21285.301328408012</c:v>
                </c:pt>
                <c:pt idx="3">
                  <c:v>27898.943924530697</c:v>
                </c:pt>
                <c:pt idx="4">
                  <c:v>34285.549883777916</c:v>
                </c:pt>
                <c:pt idx="5">
                  <c:v>40452.913040445157</c:v>
                </c:pt>
                <c:pt idx="6">
                  <c:v>46408.559677943333</c:v>
                </c:pt>
                <c:pt idx="7">
                  <c:v>52159.757713427702</c:v>
                </c:pt>
                <c:pt idx="8">
                  <c:v>57713.525567131976</c:v>
                </c:pt>
                <c:pt idx="9">
                  <c:v>63076.64072723117</c:v>
                </c:pt>
                <c:pt idx="10">
                  <c:v>68255.648020685359</c:v>
                </c:pt>
                <c:pt idx="11">
                  <c:v>73256.86760015742</c:v>
                </c:pt>
                <c:pt idx="12">
                  <c:v>78086.402656751801</c:v>
                </c:pt>
                <c:pt idx="13">
                  <c:v>82750.146867985968</c:v>
                </c:pt>
                <c:pt idx="14">
                  <c:v>87253.791590084365</c:v>
                </c:pt>
                <c:pt idx="15">
                  <c:v>91602.832803371042</c:v>
                </c:pt>
                <c:pt idx="16">
                  <c:v>95802.577819237515</c:v>
                </c:pt>
                <c:pt idx="17">
                  <c:v>99858.151756870066</c:v>
                </c:pt>
                <c:pt idx="18">
                  <c:v>103774.50379764057</c:v>
                </c:pt>
                <c:pt idx="19">
                  <c:v>107556.41322479326</c:v>
                </c:pt>
                <c:pt idx="20">
                  <c:v>111208.4952557979</c:v>
                </c:pt>
                <c:pt idx="21">
                  <c:v>114735.20667448692</c:v>
                </c:pt>
                <c:pt idx="22">
                  <c:v>118140.85126984945</c:v>
                </c:pt>
                <c:pt idx="23">
                  <c:v>121429.58508811954</c:v>
                </c:pt>
                <c:pt idx="24">
                  <c:v>124605.42150456809</c:v>
                </c:pt>
                <c:pt idx="25">
                  <c:v>127672.23612118732</c:v>
                </c:pt>
                <c:pt idx="26">
                  <c:v>130633.77149624519</c:v>
                </c:pt>
                <c:pt idx="27">
                  <c:v>133493.641711481</c:v>
                </c:pt>
                <c:pt idx="28">
                  <c:v>136255.33678251592</c:v>
                </c:pt>
                <c:pt idx="29">
                  <c:v>138922.22691786065</c:v>
                </c:pt>
                <c:pt idx="30">
                  <c:v>141497.56663171755</c:v>
                </c:pt>
                <c:pt idx="31">
                  <c:v>143984.49871559627</c:v>
                </c:pt>
                <c:pt idx="32">
                  <c:v>146386.05807358978</c:v>
                </c:pt>
                <c:pt idx="33">
                  <c:v>148705.17542599089</c:v>
                </c:pt>
                <c:pt idx="34">
                  <c:v>150944.68088576914</c:v>
                </c:pt>
                <c:pt idx="35">
                  <c:v>153128.47144011562</c:v>
                </c:pt>
                <c:pt idx="36">
                  <c:v>155236.56203205764</c:v>
                </c:pt>
                <c:pt idx="37">
                  <c:v>157271.57676137282</c:v>
                </c:pt>
                <c:pt idx="38">
                  <c:v>159236.04876478645</c:v>
                </c:pt>
                <c:pt idx="39">
                  <c:v>161114.04480952566</c:v>
                </c:pt>
                <c:pt idx="40">
                  <c:v>162927.57200825959</c:v>
                </c:pt>
                <c:pt idx="41">
                  <c:v>164678.8434817864</c:v>
                </c:pt>
                <c:pt idx="42">
                  <c:v>166369.99637771747</c:v>
                </c:pt>
                <c:pt idx="43">
                  <c:v>168003.09447852554</c:v>
                </c:pt>
                <c:pt idx="44">
                  <c:v>169580.13072006224</c:v>
                </c:pt>
                <c:pt idx="45">
                  <c:v>171103.02962361835</c:v>
                </c:pt>
                <c:pt idx="46">
                  <c:v>172573.64964449525</c:v>
                </c:pt>
                <c:pt idx="47">
                  <c:v>173993.78543995344</c:v>
                </c:pt>
                <c:pt idx="48">
                  <c:v>175365.17005930538</c:v>
                </c:pt>
                <c:pt idx="49">
                  <c:v>176689.47705882601</c:v>
                </c:pt>
                <c:pt idx="50">
                  <c:v>177968.32254406132</c:v>
                </c:pt>
                <c:pt idx="51">
                  <c:v>179203.26714202741</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7E78-4573-A002-D7FEA54C3615}"/>
            </c:ext>
          </c:extLst>
        </c:ser>
        <c:ser>
          <c:idx val="2"/>
          <c:order val="2"/>
          <c:spPr>
            <a:ln w="25400">
              <a:solidFill>
                <a:srgbClr val="008000"/>
              </a:solidFill>
              <a:prstDash val="solid"/>
            </a:ln>
          </c:spPr>
          <c:marker>
            <c:symbol val="none"/>
          </c:marker>
          <c:cat>
            <c:numRef>
              <c:f>'W+cov (Lag6 AP+BB)'!$A$17:$A$62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8499.3219409211779</c:v>
                </c:pt>
                <c:pt idx="1">
                  <c:v>16404.804123137495</c:v>
                </c:pt>
                <c:pt idx="2">
                  <c:v>23792.754684577423</c:v>
                </c:pt>
                <c:pt idx="3">
                  <c:v>30725.730351800816</c:v>
                </c:pt>
                <c:pt idx="4">
                  <c:v>37255.646350869756</c:v>
                </c:pt>
                <c:pt idx="5">
                  <c:v>43426.055223524942</c:v>
                </c:pt>
                <c:pt idx="6">
                  <c:v>49273.847370987503</c:v>
                </c:pt>
                <c:pt idx="7">
                  <c:v>54830.540786694248</c:v>
                </c:pt>
                <c:pt idx="8">
                  <c:v>60123.273491882399</c:v>
                </c:pt>
                <c:pt idx="9">
                  <c:v>65175.577222763903</c:v>
                </c:pt>
                <c:pt idx="10">
                  <c:v>70007.987739005519</c:v>
                </c:pt>
                <c:pt idx="11">
                  <c:v>74638.53144247079</c:v>
                </c:pt>
                <c:pt idx="12">
                  <c:v>79083.117190512858</c:v>
                </c:pt>
                <c:pt idx="13">
                  <c:v>83355.854617961581</c:v>
                </c:pt>
                <c:pt idx="14">
                  <c:v>87469.314896583499</c:v>
                </c:pt>
                <c:pt idx="15">
                  <c:v>91434.745975696569</c:v>
                </c:pt>
                <c:pt idx="16">
                  <c:v>95262.251508608126</c:v>
                </c:pt>
                <c:pt idx="17">
                  <c:v>98960.940570115621</c:v>
                </c:pt>
                <c:pt idx="18">
                  <c:v>102539.05370062744</c:v>
                </c:pt>
                <c:pt idx="19">
                  <c:v>106004.06962679887</c:v>
                </c:pt>
                <c:pt idx="20">
                  <c:v>109362.7961043987</c:v>
                </c:pt>
                <c:pt idx="21">
                  <c:v>112621.44763344251</c:v>
                </c:pt>
                <c:pt idx="22">
                  <c:v>115785.71225590339</c:v>
                </c:pt>
                <c:pt idx="23">
                  <c:v>118860.80922427788</c:v>
                </c:pt>
                <c:pt idx="24">
                  <c:v>121851.53899685852</c:v>
                </c:pt>
                <c:pt idx="25">
                  <c:v>124762.32675190546</c:v>
                </c:pt>
                <c:pt idx="26">
                  <c:v>127597.26040240616</c:v>
                </c:pt>
                <c:pt idx="27">
                  <c:v>130360.12392403407</c:v>
                </c:pt>
                <c:pt idx="28">
                  <c:v>133054.42667229407</c:v>
                </c:pt>
                <c:pt idx="29">
                  <c:v>135683.42925384446</c:v>
                </c:pt>
                <c:pt idx="30">
                  <c:v>138250.16642633482</c:v>
                </c:pt>
                <c:pt idx="31">
                  <c:v>140757.46742667383</c:v>
                </c:pt>
                <c:pt idx="32">
                  <c:v>143207.97406628681</c:v>
                </c:pt>
                <c:pt idx="33">
                  <c:v>145604.15688106132</c:v>
                </c:pt>
                <c:pt idx="34">
                  <c:v>147948.3295813876</c:v>
                </c:pt>
                <c:pt idx="35">
                  <c:v>154519.3973396708</c:v>
                </c:pt>
                <c:pt idx="36">
                  <c:v>160712.39594842569</c:v>
                </c:pt>
                <c:pt idx="37">
                  <c:v>166567.77713775184</c:v>
                </c:pt>
                <c:pt idx="38">
                  <c:v>172119.86247883536</c:v>
                </c:pt>
                <c:pt idx="39">
                  <c:v>173955.8060925912</c:v>
                </c:pt>
                <c:pt idx="40">
                  <c:v>175760.75892452724</c:v>
                </c:pt>
                <c:pt idx="41">
                  <c:v>177535.73104752653</c:v>
                </c:pt>
                <c:pt idx="42">
                  <c:v>179281.68424125924</c:v>
                </c:pt>
                <c:pt idx="43">
                  <c:v>180999.53501339117</c:v>
                </c:pt>
                <c:pt idx="44">
                  <c:v>182690.15738858763</c:v>
                </c:pt>
                <c:pt idx="45">
                  <c:v>184354.38548637839</c:v>
                </c:pt>
                <c:pt idx="46">
                  <c:v>185993.01590675808</c:v>
                </c:pt>
                <c:pt idx="47">
                  <c:v>187606.80994045688</c:v>
                </c:pt>
                <c:pt idx="48">
                  <c:v>189196.49561910034</c:v>
                </c:pt>
                <c:pt idx="49">
                  <c:v>190762.76961896522</c:v>
                </c:pt>
                <c:pt idx="50">
                  <c:v>192306.29903068152</c:v>
                </c:pt>
                <c:pt idx="51">
                  <c:v>193827.72300604312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7E78-4573-A002-D7FEA54C3615}"/>
            </c:ext>
          </c:extLst>
        </c:ser>
        <c:dLbls>
          <c:showLegendKey val="0"/>
          <c:showVal val="0"/>
          <c:showCatName val="0"/>
          <c:showSerName val="0"/>
          <c:showPercent val="0"/>
          <c:showBubbleSize val="0"/>
        </c:dLbls>
        <c:marker val="1"/>
        <c:smooth val="0"/>
        <c:axId val="175063424"/>
        <c:axId val="175065344"/>
      </c:lineChart>
      <c:catAx>
        <c:axId val="17506342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65344"/>
        <c:crosses val="autoZero"/>
        <c:auto val="0"/>
        <c:lblAlgn val="ctr"/>
        <c:lblOffset val="100"/>
        <c:tickLblSkip val="153"/>
        <c:tickMarkSkip val="1"/>
        <c:noMultiLvlLbl val="0"/>
      </c:catAx>
      <c:valAx>
        <c:axId val="175065344"/>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63424"/>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h(t)/h0(t)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'W+cov (Lag6 AP+BB)'!$B$17:$B$38</c:f>
              <c:numCache>
                <c:formatCode>0</c:formatCode>
                <c:ptCount val="22"/>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numCache>
            </c:numRef>
          </c:cat>
          <c:val>
            <c:numRef>
              <c:f>'W+cov (Lag6 AP+BB)'!$P$17:$P$38</c:f>
              <c:numCache>
                <c:formatCode>_(* #,##0.000_);_(* \(#,##0.000\);_(* "-"??_);_(@_)</c:formatCode>
                <c:ptCount val="22"/>
                <c:pt idx="0">
                  <c:v>0.50042918054352525</c:v>
                </c:pt>
                <c:pt idx="1">
                  <c:v>0.75941469431753716</c:v>
                </c:pt>
                <c:pt idx="2">
                  <c:v>0.83831899739898308</c:v>
                </c:pt>
                <c:pt idx="3">
                  <c:v>0.93663314895529715</c:v>
                </c:pt>
                <c:pt idx="4">
                  <c:v>1.1597215296512922</c:v>
                </c:pt>
                <c:pt idx="5">
                  <c:v>1.4245276384801975</c:v>
                </c:pt>
                <c:pt idx="6">
                  <c:v>1.4596065401728562</c:v>
                </c:pt>
                <c:pt idx="7">
                  <c:v>1.6934499595778809</c:v>
                </c:pt>
                <c:pt idx="8">
                  <c:v>1.998953556391144</c:v>
                </c:pt>
                <c:pt idx="9">
                  <c:v>1.9625626503865388</c:v>
                </c:pt>
                <c:pt idx="10">
                  <c:v>1.5626622760793676</c:v>
                </c:pt>
                <c:pt idx="11">
                  <c:v>1.5073573227866739</c:v>
                </c:pt>
                <c:pt idx="12">
                  <c:v>1.5347982718956137</c:v>
                </c:pt>
                <c:pt idx="13">
                  <c:v>1.2998398053559781</c:v>
                </c:pt>
                <c:pt idx="14">
                  <c:v>1.1423468320544616</c:v>
                </c:pt>
                <c:pt idx="15">
                  <c:v>1.0972438998795369</c:v>
                </c:pt>
                <c:pt idx="16">
                  <c:v>1.0783702266120825</c:v>
                </c:pt>
                <c:pt idx="17">
                  <c:v>1.1349282168560877</c:v>
                </c:pt>
                <c:pt idx="18">
                  <c:v>1.117870370317392</c:v>
                </c:pt>
                <c:pt idx="19">
                  <c:v>1.0793988211631356</c:v>
                </c:pt>
              </c:numCache>
            </c:numRef>
          </c:val>
          <c:smooth val="0"/>
          <c:extLst>
            <c:ext xmlns:c16="http://schemas.microsoft.com/office/drawing/2014/chart" uri="{C3380CC4-5D6E-409C-BE32-E72D297353CC}">
              <c16:uniqueId val="{00000000-4B4A-49B0-9B14-991C5DA7A62A}"/>
            </c:ext>
          </c:extLst>
        </c:ser>
        <c:dLbls>
          <c:showLegendKey val="0"/>
          <c:showVal val="0"/>
          <c:showCatName val="0"/>
          <c:showSerName val="0"/>
          <c:showPercent val="0"/>
          <c:showBubbleSize val="0"/>
        </c:dLbls>
        <c:marker val="1"/>
        <c:smooth val="0"/>
        <c:axId val="798823680"/>
        <c:axId val="798821056"/>
      </c:lineChart>
      <c:catAx>
        <c:axId val="79882368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21056"/>
        <c:crosses val="autoZero"/>
        <c:auto val="1"/>
        <c:lblAlgn val="ctr"/>
        <c:lblOffset val="100"/>
        <c:noMultiLvlLbl val="0"/>
      </c:catAx>
      <c:valAx>
        <c:axId val="7988210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2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Actual</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'W+cov (Lag6 AP+BB)'!$D$16:$D$36</c:f>
              <c:numCache>
                <c:formatCode>General</c:formatCode>
                <c:ptCount val="21"/>
                <c:pt idx="0">
                  <c:v>2976</c:v>
                </c:pt>
                <c:pt idx="1">
                  <c:v>2529</c:v>
                </c:pt>
                <c:pt idx="2">
                  <c:v>2421</c:v>
                </c:pt>
                <c:pt idx="3">
                  <c:v>2385</c:v>
                </c:pt>
                <c:pt idx="4">
                  <c:v>2630</c:v>
                </c:pt>
                <c:pt idx="5">
                  <c:v>2794</c:v>
                </c:pt>
                <c:pt idx="6">
                  <c:v>2700</c:v>
                </c:pt>
                <c:pt idx="7">
                  <c:v>3170</c:v>
                </c:pt>
                <c:pt idx="8">
                  <c:v>2567</c:v>
                </c:pt>
                <c:pt idx="9">
                  <c:v>3409</c:v>
                </c:pt>
                <c:pt idx="10">
                  <c:v>3070</c:v>
                </c:pt>
                <c:pt idx="11">
                  <c:v>3182</c:v>
                </c:pt>
                <c:pt idx="12">
                  <c:v>2706</c:v>
                </c:pt>
                <c:pt idx="13">
                  <c:v>1890</c:v>
                </c:pt>
                <c:pt idx="14">
                  <c:v>1623</c:v>
                </c:pt>
                <c:pt idx="15">
                  <c:v>1587</c:v>
                </c:pt>
                <c:pt idx="16">
                  <c:v>1507</c:v>
                </c:pt>
                <c:pt idx="17">
                  <c:v>1300</c:v>
                </c:pt>
                <c:pt idx="18">
                  <c:v>1127</c:v>
                </c:pt>
                <c:pt idx="19">
                  <c:v>997</c:v>
                </c:pt>
                <c:pt idx="20">
                  <c:v>834</c:v>
                </c:pt>
              </c:numCache>
            </c:numRef>
          </c:val>
          <c:smooth val="0"/>
          <c:extLst>
            <c:ext xmlns:c16="http://schemas.microsoft.com/office/drawing/2014/chart" uri="{C3380CC4-5D6E-409C-BE32-E72D297353CC}">
              <c16:uniqueId val="{00000000-A9FF-4ECA-B2E6-F993B12480FE}"/>
            </c:ext>
          </c:extLst>
        </c:ser>
        <c:ser>
          <c:idx val="1"/>
          <c:order val="1"/>
          <c:tx>
            <c:v>W+Cov(LagAP + BB)</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'W+cov (Lag6 AP+BB)'!$K$16:$K$36</c:f>
              <c:numCache>
                <c:formatCode>_(* #,##0_);_(* \(#,##0\);_(* "-"??_);_(@_)</c:formatCode>
                <c:ptCount val="21"/>
                <c:pt idx="0">
                  <c:v>3114.1783950144995</c:v>
                </c:pt>
                <c:pt idx="1">
                  <c:v>2154.2654827218507</c:v>
                </c:pt>
                <c:pt idx="2">
                  <c:v>2662.6768098656939</c:v>
                </c:pt>
                <c:pt idx="3">
                  <c:v>2544.1206986592479</c:v>
                </c:pt>
                <c:pt idx="4">
                  <c:v>2534.7278929996555</c:v>
                </c:pt>
                <c:pt idx="5">
                  <c:v>2840.8838986746614</c:v>
                </c:pt>
                <c:pt idx="6">
                  <c:v>3179.8980424437614</c:v>
                </c:pt>
                <c:pt idx="7">
                  <c:v>2986.9824149207598</c:v>
                </c:pt>
                <c:pt idx="8">
                  <c:v>3191.4770429466444</c:v>
                </c:pt>
                <c:pt idx="9">
                  <c:v>3468.7200969925834</c:v>
                </c:pt>
                <c:pt idx="10">
                  <c:v>3142.4447075542594</c:v>
                </c:pt>
                <c:pt idx="11">
                  <c:v>2330.7041680536677</c:v>
                </c:pt>
                <c:pt idx="12">
                  <c:v>2112.7941228274503</c:v>
                </c:pt>
                <c:pt idx="13">
                  <c:v>2028.5915326095637</c:v>
                </c:pt>
                <c:pt idx="14">
                  <c:v>1627.8760495491006</c:v>
                </c:pt>
                <c:pt idx="15">
                  <c:v>1364.1529919297318</c:v>
                </c:pt>
                <c:pt idx="16">
                  <c:v>1254.4055211139275</c:v>
                </c:pt>
                <c:pt idx="17">
                  <c:v>1183.008625772527</c:v>
                </c:pt>
                <c:pt idx="18">
                  <c:v>1196.1441745066768</c:v>
                </c:pt>
                <c:pt idx="19">
                  <c:v>1133.0210070932226</c:v>
                </c:pt>
                <c:pt idx="20">
                  <c:v>1053.9747988324743</c:v>
                </c:pt>
              </c:numCache>
            </c:numRef>
          </c:val>
          <c:smooth val="0"/>
          <c:extLst>
            <c:ext xmlns:c16="http://schemas.microsoft.com/office/drawing/2014/chart" uri="{C3380CC4-5D6E-409C-BE32-E72D297353CC}">
              <c16:uniqueId val="{00000001-A9FF-4ECA-B2E6-F993B12480FE}"/>
            </c:ext>
          </c:extLst>
        </c:ser>
        <c:ser>
          <c:idx val="2"/>
          <c:order val="2"/>
          <c:tx>
            <c:v>W+Cov(LagAP)</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'W+cov (Lag6 AP)'!$K$16:$K$36</c:f>
              <c:numCache>
                <c:formatCode>_(* #,##0_);_(* \(#,##0\);_(* "-"??_);_(@_)</c:formatCode>
                <c:ptCount val="21"/>
                <c:pt idx="0">
                  <c:v>2531.6768201602781</c:v>
                </c:pt>
                <c:pt idx="1">
                  <c:v>2512.1574156237393</c:v>
                </c:pt>
                <c:pt idx="2">
                  <c:v>3094.9610633878792</c:v>
                </c:pt>
                <c:pt idx="3">
                  <c:v>2860.0419100777608</c:v>
                </c:pt>
                <c:pt idx="4">
                  <c:v>2737.0710074126164</c:v>
                </c:pt>
                <c:pt idx="5">
                  <c:v>2946.3146623730845</c:v>
                </c:pt>
                <c:pt idx="6">
                  <c:v>3186.585296282261</c:v>
                </c:pt>
                <c:pt idx="7">
                  <c:v>2925.9296091568212</c:v>
                </c:pt>
                <c:pt idx="8">
                  <c:v>3064.865315806961</c:v>
                </c:pt>
                <c:pt idx="9">
                  <c:v>3283.4803226473705</c:v>
                </c:pt>
                <c:pt idx="10">
                  <c:v>2961.6866538776485</c:v>
                </c:pt>
                <c:pt idx="11">
                  <c:v>2207.600702540014</c:v>
                </c:pt>
                <c:pt idx="12">
                  <c:v>2006.1103950505349</c:v>
                </c:pt>
                <c:pt idx="13">
                  <c:v>1932.8853746155946</c:v>
                </c:pt>
                <c:pt idx="14">
                  <c:v>1567.392750813895</c:v>
                </c:pt>
                <c:pt idx="15">
                  <c:v>1327.6808686951626</c:v>
                </c:pt>
                <c:pt idx="16">
                  <c:v>1232.4115445585558</c:v>
                </c:pt>
                <c:pt idx="17">
                  <c:v>1173.5587452950349</c:v>
                </c:pt>
                <c:pt idx="18">
                  <c:v>1196.6526431026796</c:v>
                </c:pt>
                <c:pt idx="19">
                  <c:v>1145.7361812886811</c:v>
                </c:pt>
                <c:pt idx="20">
                  <c:v>1078.1718142272948</c:v>
                </c:pt>
              </c:numCache>
            </c:numRef>
          </c:val>
          <c:smooth val="0"/>
          <c:extLst>
            <c:ext xmlns:c16="http://schemas.microsoft.com/office/drawing/2014/chart" uri="{C3380CC4-5D6E-409C-BE32-E72D297353CC}">
              <c16:uniqueId val="{00000002-A9FF-4ECA-B2E6-F993B12480FE}"/>
            </c:ext>
          </c:extLst>
        </c:ser>
        <c:dLbls>
          <c:showLegendKey val="0"/>
          <c:showVal val="0"/>
          <c:showCatName val="0"/>
          <c:showSerName val="0"/>
          <c:showPercent val="0"/>
          <c:showBubbleSize val="0"/>
        </c:dLbls>
        <c:marker val="1"/>
        <c:smooth val="0"/>
        <c:axId val="968114920"/>
        <c:axId val="968117872"/>
      </c:lineChart>
      <c:catAx>
        <c:axId val="9681149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117872"/>
        <c:crosses val="autoZero"/>
        <c:auto val="1"/>
        <c:lblAlgn val="ctr"/>
        <c:lblOffset val="100"/>
        <c:noMultiLvlLbl val="0"/>
      </c:catAx>
      <c:valAx>
        <c:axId val="9681178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114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weekly sales and airplay</a:t>
            </a:r>
          </a:p>
        </c:rich>
      </c:tx>
      <c:overlay val="0"/>
      <c:spPr>
        <a:noFill/>
        <a:ln w="25400">
          <a:noFill/>
        </a:ln>
      </c:spPr>
    </c:title>
    <c:autoTitleDeleted val="0"/>
    <c:plotArea>
      <c:layout/>
      <c:lineChart>
        <c:grouping val="standard"/>
        <c:varyColors val="0"/>
        <c:ser>
          <c:idx val="0"/>
          <c:order val="0"/>
          <c:tx>
            <c:strRef>
              <c:f>delta1!$D$15</c:f>
              <c:strCache>
                <c:ptCount val="1"/>
                <c:pt idx="0">
                  <c:v>Incr_Sales</c:v>
                </c:pt>
              </c:strCache>
            </c:strRef>
          </c:tx>
          <c:spPr>
            <a:ln w="25400">
              <a:solidFill>
                <a:srgbClr val="000080"/>
              </a:solidFill>
              <a:prstDash val="solid"/>
            </a:ln>
          </c:spPr>
          <c:marker>
            <c:symbol val="none"/>
          </c:marker>
          <c:cat>
            <c:numRef>
              <c:f>delta1!$A$17:$A$62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delta1!$D$37:$D$62</c:f>
              <c:numCache>
                <c:formatCode>General</c:formatCode>
                <c:ptCount val="26"/>
              </c:numCache>
            </c:numRef>
          </c:val>
          <c:smooth val="0"/>
          <c:extLst>
            <c:ext xmlns:c16="http://schemas.microsoft.com/office/drawing/2014/chart" uri="{C3380CC4-5D6E-409C-BE32-E72D297353CC}">
              <c16:uniqueId val="{00000000-CE72-49E0-8127-A283FB65984C}"/>
            </c:ext>
          </c:extLst>
        </c:ser>
        <c:ser>
          <c:idx val="1"/>
          <c:order val="1"/>
          <c:tx>
            <c:strRef>
              <c:f>'W+cov (1)'!#REF!</c:f>
              <c:strCache>
                <c:ptCount val="1"/>
                <c:pt idx="0">
                  <c:v>#REF!</c:v>
                </c:pt>
              </c:strCache>
            </c:strRef>
          </c:tx>
          <c:spPr>
            <a:ln w="25400">
              <a:solidFill>
                <a:srgbClr val="FF00FF"/>
              </a:solidFill>
              <a:prstDash val="solid"/>
            </a:ln>
          </c:spPr>
          <c:marker>
            <c:symbol val="none"/>
          </c:marker>
          <c:cat>
            <c:numRef>
              <c:f>delta1!$A$17:$A$62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W!#REF!</c:f>
              <c:numCache>
                <c:formatCode>General</c:formatCode>
                <c:ptCount val="1"/>
                <c:pt idx="0">
                  <c:v>1</c:v>
                </c:pt>
              </c:numCache>
            </c:numRef>
          </c:val>
          <c:smooth val="0"/>
          <c:extLst>
            <c:ext xmlns:c16="http://schemas.microsoft.com/office/drawing/2014/chart" uri="{C3380CC4-5D6E-409C-BE32-E72D297353CC}">
              <c16:uniqueId val="{00000001-CE72-49E0-8127-A283FB65984C}"/>
            </c:ext>
          </c:extLst>
        </c:ser>
        <c:dLbls>
          <c:showLegendKey val="0"/>
          <c:showVal val="0"/>
          <c:showCatName val="0"/>
          <c:showSerName val="0"/>
          <c:showPercent val="0"/>
          <c:showBubbleSize val="0"/>
        </c:dLbls>
        <c:smooth val="0"/>
        <c:axId val="175171840"/>
        <c:axId val="175174016"/>
      </c:lineChart>
      <c:catAx>
        <c:axId val="17517184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174016"/>
        <c:crosses val="autoZero"/>
        <c:auto val="0"/>
        <c:lblAlgn val="ctr"/>
        <c:lblOffset val="100"/>
        <c:tickLblSkip val="132"/>
        <c:tickMarkSkip val="1"/>
        <c:noMultiLvlLbl val="0"/>
      </c:catAx>
      <c:valAx>
        <c:axId val="17517401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sales/airplay</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17184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genuine forecasts</a:t>
            </a:r>
          </a:p>
        </c:rich>
      </c:tx>
      <c:overlay val="0"/>
      <c:spPr>
        <a:noFill/>
        <a:ln w="25400">
          <a:noFill/>
        </a:ln>
      </c:spPr>
    </c:title>
    <c:autoTitleDeleted val="0"/>
    <c:plotArea>
      <c:layout/>
      <c:lineChart>
        <c:grouping val="standard"/>
        <c:varyColors val="0"/>
        <c:ser>
          <c:idx val="0"/>
          <c:order val="0"/>
          <c:spPr>
            <a:ln w="25400">
              <a:solidFill>
                <a:srgbClr val="FF00FF"/>
              </a:solidFill>
              <a:prstDash val="solid"/>
            </a:ln>
          </c:spPr>
          <c:marker>
            <c:symbol val="none"/>
          </c:marker>
          <c:cat>
            <c:numRef>
              <c:f>delta1!$A$17:$A$62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65"/>
                <c:pt idx="0">
                  <c:v>5224.4217589694226</c:v>
                </c:pt>
                <c:pt idx="1">
                  <c:v>10420.095805764095</c:v>
                </c:pt>
                <c:pt idx="2">
                  <c:v>15587.180326494108</c:v>
                </c:pt>
                <c:pt idx="3">
                  <c:v>20725.832636840245</c:v>
                </c:pt>
                <c:pt idx="4">
                  <c:v>25836.209186844131</c:v>
                </c:pt>
                <c:pt idx="5">
                  <c:v>30918.465565670696</c:v>
                </c:pt>
                <c:pt idx="6">
                  <c:v>35972.756506346028</c:v>
                </c:pt>
                <c:pt idx="7">
                  <c:v>40999.235890467557</c:v>
                </c:pt>
                <c:pt idx="8">
                  <c:v>45998.05675288973</c:v>
                </c:pt>
                <c:pt idx="9">
                  <c:v>50969.371286382971</c:v>
                </c:pt>
                <c:pt idx="10">
                  <c:v>55913.330846267076</c:v>
                </c:pt>
                <c:pt idx="11">
                  <c:v>60830.085955019866</c:v>
                </c:pt>
                <c:pt idx="12">
                  <c:v>65719.786306859693</c:v>
                </c:pt>
                <c:pt idx="13">
                  <c:v>70582.580772302666</c:v>
                </c:pt>
                <c:pt idx="14">
                  <c:v>75418.617402695774</c:v>
                </c:pt>
                <c:pt idx="15">
                  <c:v>80228.043434723877</c:v>
                </c:pt>
                <c:pt idx="16">
                  <c:v>85011.005294892748</c:v>
                </c:pt>
                <c:pt idx="17">
                  <c:v>89767.648603987065</c:v>
                </c:pt>
                <c:pt idx="18">
                  <c:v>94498.118181503552</c:v>
                </c:pt>
                <c:pt idx="19">
                  <c:v>99202.558050060892</c:v>
                </c:pt>
                <c:pt idx="20">
                  <c:v>103881.11143978406</c:v>
                </c:pt>
                <c:pt idx="21">
                  <c:v>108533.920792665</c:v>
                </c:pt>
                <c:pt idx="22">
                  <c:v>113161.12776689969</c:v>
                </c:pt>
                <c:pt idx="23">
                  <c:v>117762.87324120097</c:v>
                </c:pt>
                <c:pt idx="24">
                  <c:v>122339.29731908746</c:v>
                </c:pt>
                <c:pt idx="25">
                  <c:v>126890.53933314937</c:v>
                </c:pt>
                <c:pt idx="26">
                  <c:v>131416.73784929057</c:v>
                </c:pt>
                <c:pt idx="27">
                  <c:v>135918.03067094708</c:v>
                </c:pt>
                <c:pt idx="28">
                  <c:v>140394.55484328285</c:v>
                </c:pt>
                <c:pt idx="29">
                  <c:v>144846.44665736225</c:v>
                </c:pt>
                <c:pt idx="30">
                  <c:v>149273.84165429918</c:v>
                </c:pt>
                <c:pt idx="31">
                  <c:v>153676.87462938423</c:v>
                </c:pt>
                <c:pt idx="32">
                  <c:v>158055.67963618806</c:v>
                </c:pt>
                <c:pt idx="33">
                  <c:v>162410.38999064319</c:v>
                </c:pt>
                <c:pt idx="34">
                  <c:v>166741.13827510292</c:v>
                </c:pt>
                <c:pt idx="35">
                  <c:v>171048.05634237741</c:v>
                </c:pt>
                <c:pt idx="36">
                  <c:v>175331.2753197487</c:v>
                </c:pt>
                <c:pt idx="37">
                  <c:v>179590.92561296254</c:v>
                </c:pt>
                <c:pt idx="38">
                  <c:v>183827.13691019849</c:v>
                </c:pt>
                <c:pt idx="39">
                  <c:v>188040.03818601923</c:v>
                </c:pt>
                <c:pt idx="40">
                  <c:v>192229.75770529616</c:v>
                </c:pt>
                <c:pt idx="41">
                  <c:v>196396.42302711552</c:v>
                </c:pt>
                <c:pt idx="42">
                  <c:v>200540.16100866138</c:v>
                </c:pt>
                <c:pt idx="43">
                  <c:v>204661.09780907811</c:v>
                </c:pt>
                <c:pt idx="44">
                  <c:v>208759.35889331135</c:v>
                </c:pt>
                <c:pt idx="45">
                  <c:v>212835.0690359282</c:v>
                </c:pt>
                <c:pt idx="46">
                  <c:v>216888.35232491541</c:v>
                </c:pt>
                <c:pt idx="47">
                  <c:v>220919.33216545792</c:v>
                </c:pt>
                <c:pt idx="48">
                  <c:v>224928.13128369578</c:v>
                </c:pt>
                <c:pt idx="49">
                  <c:v>228914.87173046058</c:v>
                </c:pt>
                <c:pt idx="50">
                  <c:v>232879.67488499157</c:v>
                </c:pt>
                <c:pt idx="51">
                  <c:v>236822.66145863105</c:v>
                </c:pt>
                <c:pt idx="52">
                  <c:v>240743.95149849943</c:v>
                </c:pt>
                <c:pt idx="53">
                  <c:v>244643.6643911502</c:v>
                </c:pt>
                <c:pt idx="54">
                  <c:v>248521.91886620491</c:v>
                </c:pt>
                <c:pt idx="55">
                  <c:v>252378.83299996777</c:v>
                </c:pt>
                <c:pt idx="56">
                  <c:v>256214.52421902039</c:v>
                </c:pt>
                <c:pt idx="57">
                  <c:v>260029.10930379757</c:v>
                </c:pt>
                <c:pt idx="58">
                  <c:v>263822.70439214213</c:v>
                </c:pt>
                <c:pt idx="59">
                  <c:v>267595.42498284113</c:v>
                </c:pt>
                <c:pt idx="60">
                  <c:v>271347.38593914203</c:v>
                </c:pt>
                <c:pt idx="61">
                  <c:v>275078.7014922502</c:v>
                </c:pt>
                <c:pt idx="62">
                  <c:v>278789.48524480656</c:v>
                </c:pt>
                <c:pt idx="63">
                  <c:v>282479.85017434612</c:v>
                </c:pt>
                <c:pt idx="64">
                  <c:v>286149.90863673808</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0-580E-49E9-B0A3-BED35EE2B643}"/>
            </c:ext>
          </c:extLst>
        </c:ser>
        <c:ser>
          <c:idx val="1"/>
          <c:order val="1"/>
          <c:spPr>
            <a:ln w="25400">
              <a:solidFill>
                <a:srgbClr val="008000"/>
              </a:solidFill>
              <a:prstDash val="solid"/>
            </a:ln>
          </c:spPr>
          <c:marker>
            <c:symbol val="none"/>
          </c:marker>
          <c:cat>
            <c:numRef>
              <c:f>delta1!$A$17:$A$62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65"/>
                <c:pt idx="0">
                  <c:v>5337.8599834530414</c:v>
                </c:pt>
                <c:pt idx="1">
                  <c:v>10635.213722550718</c:v>
                </c:pt>
                <c:pt idx="2">
                  <c:v>15892.601184708477</c:v>
                </c:pt>
                <c:pt idx="3">
                  <c:v>21110.55207449153</c:v>
                </c:pt>
                <c:pt idx="4">
                  <c:v>26289.58608625942</c:v>
                </c:pt>
                <c:pt idx="5">
                  <c:v>31430.213149191033</c:v>
                </c:pt>
                <c:pt idx="6">
                  <c:v>36532.933664959797</c:v>
                </c:pt>
                <c:pt idx="7">
                  <c:v>41598.238738319917</c:v>
                </c:pt>
                <c:pt idx="8">
                  <c:v>46626.610400853031</c:v>
                </c:pt>
                <c:pt idx="9">
                  <c:v>51618.521828118544</c:v>
                </c:pt>
                <c:pt idx="10">
                  <c:v>56574.437550431008</c:v>
                </c:pt>
                <c:pt idx="11">
                  <c:v>61494.813657491432</c:v>
                </c:pt>
                <c:pt idx="12">
                  <c:v>66380.097997082339</c:v>
                </c:pt>
                <c:pt idx="13">
                  <c:v>71230.730368030068</c:v>
                </c:pt>
                <c:pt idx="14">
                  <c:v>76047.142707627907</c:v>
                </c:pt>
                <c:pt idx="15">
                  <c:v>80829.759273713717</c:v>
                </c:pt>
                <c:pt idx="16">
                  <c:v>85578.996821573106</c:v>
                </c:pt>
                <c:pt idx="17">
                  <c:v>90295.264775854594</c:v>
                </c:pt>
                <c:pt idx="18">
                  <c:v>94978.965397647946</c:v>
                </c:pt>
                <c:pt idx="19">
                  <c:v>99630.493946900606</c:v>
                </c:pt>
                <c:pt idx="20">
                  <c:v>104250.23884031737</c:v>
                </c:pt>
                <c:pt idx="21">
                  <c:v>108838.58180489393</c:v>
                </c:pt>
                <c:pt idx="22">
                  <c:v>113395.89802722905</c:v>
                </c:pt>
                <c:pt idx="23">
                  <c:v>117922.55629874914</c:v>
                </c:pt>
                <c:pt idx="24">
                  <c:v>122418.91915698122</c:v>
                </c:pt>
                <c:pt idx="25">
                  <c:v>126885.34302299759</c:v>
                </c:pt>
                <c:pt idx="26">
                  <c:v>131322.17833515958</c:v>
                </c:pt>
                <c:pt idx="27">
                  <c:v>135729.76967927342</c:v>
                </c:pt>
                <c:pt idx="28">
                  <c:v>140108.45591527323</c:v>
                </c:pt>
                <c:pt idx="29">
                  <c:v>144458.57030054598</c:v>
                </c:pt>
                <c:pt idx="30">
                  <c:v>148780.44060999496</c:v>
                </c:pt>
                <c:pt idx="31">
                  <c:v>153074.38925294904</c:v>
                </c:pt>
                <c:pt idx="32">
                  <c:v>157340.73338701771</c:v>
                </c:pt>
                <c:pt idx="33">
                  <c:v>161579.78502897974</c:v>
                </c:pt>
                <c:pt idx="34">
                  <c:v>165791.85116280272</c:v>
                </c:pt>
                <c:pt idx="35">
                  <c:v>170644.09835148463</c:v>
                </c:pt>
                <c:pt idx="36">
                  <c:v>175460.90841741636</c:v>
                </c:pt>
                <c:pt idx="37">
                  <c:v>180242.73609641616</c:v>
                </c:pt>
                <c:pt idx="38">
                  <c:v>184990.02780267669</c:v>
                </c:pt>
                <c:pt idx="39">
                  <c:v>189055.42271100107</c:v>
                </c:pt>
                <c:pt idx="40">
                  <c:v>193095.75015619418</c:v>
                </c:pt>
                <c:pt idx="41">
                  <c:v>197111.28195723804</c:v>
                </c:pt>
                <c:pt idx="42">
                  <c:v>201102.28572613787</c:v>
                </c:pt>
                <c:pt idx="43">
                  <c:v>205069.02495234559</c:v>
                </c:pt>
                <c:pt idx="44">
                  <c:v>209011.75908510594</c:v>
                </c:pt>
                <c:pt idx="45">
                  <c:v>212930.74361378362</c:v>
                </c:pt>
                <c:pt idx="46">
                  <c:v>216826.23014623381</c:v>
                </c:pt>
                <c:pt idx="47">
                  <c:v>220698.46648526614</c:v>
                </c:pt>
                <c:pt idx="48">
                  <c:v>224547.6967032649</c:v>
                </c:pt>
                <c:pt idx="49">
                  <c:v>228374.16121501286</c:v>
                </c:pt>
                <c:pt idx="50">
                  <c:v>232178.09684876766</c:v>
                </c:pt>
                <c:pt idx="51">
                  <c:v>235959.73691564874</c:v>
                </c:pt>
                <c:pt idx="52">
                  <c:v>239719.31127737579</c:v>
                </c:pt>
                <c:pt idx="53">
                  <c:v>243457.0464124034</c:v>
                </c:pt>
                <c:pt idx="54">
                  <c:v>247173.16548050562</c:v>
                </c:pt>
                <c:pt idx="55">
                  <c:v>250867.88838584229</c:v>
                </c:pt>
                <c:pt idx="56">
                  <c:v>254541.43183855992</c:v>
                </c:pt>
                <c:pt idx="57">
                  <c:v>258194.00941495819</c:v>
                </c:pt>
                <c:pt idx="58">
                  <c:v>261825.83161626881</c:v>
                </c:pt>
                <c:pt idx="59">
                  <c:v>265437.10592608119</c:v>
                </c:pt>
                <c:pt idx="60">
                  <c:v>269028.03686644981</c:v>
                </c:pt>
                <c:pt idx="61">
                  <c:v>272598.82605272526</c:v>
                </c:pt>
                <c:pt idx="62">
                  <c:v>276149.67224713636</c:v>
                </c:pt>
                <c:pt idx="63">
                  <c:v>279680.77141116234</c:v>
                </c:pt>
                <c:pt idx="64">
                  <c:v>283192.31675672519</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1-580E-49E9-B0A3-BED35EE2B643}"/>
            </c:ext>
          </c:extLst>
        </c:ser>
        <c:ser>
          <c:idx val="2"/>
          <c:order val="2"/>
          <c:spPr>
            <a:ln w="12700">
              <a:solidFill>
                <a:srgbClr val="000080"/>
              </a:solidFill>
              <a:prstDash val="solid"/>
            </a:ln>
          </c:spPr>
          <c:marker>
            <c:symbol val="diamond"/>
            <c:size val="5"/>
            <c:spPr>
              <a:solidFill>
                <a:srgbClr val="000080"/>
              </a:solidFill>
              <a:ln>
                <a:solidFill>
                  <a:srgbClr val="000080"/>
                </a:solidFill>
                <a:prstDash val="solid"/>
              </a:ln>
            </c:spPr>
          </c:marker>
          <c:cat>
            <c:numRef>
              <c:f>delta1!$A$17:$A$62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2-580E-49E9-B0A3-BED35EE2B643}"/>
            </c:ext>
          </c:extLst>
        </c:ser>
        <c:dLbls>
          <c:showLegendKey val="0"/>
          <c:showVal val="0"/>
          <c:showCatName val="0"/>
          <c:showSerName val="0"/>
          <c:showPercent val="0"/>
          <c:showBubbleSize val="0"/>
        </c:dLbls>
        <c:smooth val="0"/>
        <c:axId val="174883968"/>
        <c:axId val="174899200"/>
      </c:lineChart>
      <c:catAx>
        <c:axId val="17488396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899200"/>
        <c:crosses val="autoZero"/>
        <c:auto val="0"/>
        <c:lblAlgn val="ctr"/>
        <c:lblOffset val="100"/>
        <c:tickLblSkip val="192"/>
        <c:tickMarkSkip val="1"/>
        <c:noMultiLvlLbl val="0"/>
      </c:catAx>
      <c:valAx>
        <c:axId val="174899200"/>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883968"/>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userShapes r:id="rId1"/>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early projections</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delta1!$A$17:$A$62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C141-4554-B53B-D0777A52990D}"/>
            </c:ext>
          </c:extLst>
        </c:ser>
        <c:ser>
          <c:idx val="1"/>
          <c:order val="1"/>
          <c:spPr>
            <a:ln w="25400">
              <a:solidFill>
                <a:srgbClr val="FF00FF"/>
              </a:solidFill>
              <a:prstDash val="solid"/>
            </a:ln>
          </c:spPr>
          <c:marker>
            <c:symbol val="none"/>
          </c:marker>
          <c:cat>
            <c:numRef>
              <c:f>delta1!$A$17:$A$62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6205.5970060675982</c:v>
                </c:pt>
                <c:pt idx="1">
                  <c:v>12398.357534068038</c:v>
                </c:pt>
                <c:pt idx="2">
                  <c:v>18578.30813667105</c:v>
                </c:pt>
                <c:pt idx="3">
                  <c:v>24745.475311621969</c:v>
                </c:pt>
                <c:pt idx="4">
                  <c:v>30899.885501853631</c:v>
                </c:pt>
                <c:pt idx="5">
                  <c:v>37041.565095601967</c:v>
                </c:pt>
                <c:pt idx="6">
                  <c:v>43170.540426517247</c:v>
                </c:pt>
                <c:pt idx="7">
                  <c:v>49286.837773777959</c:v>
                </c:pt>
                <c:pt idx="8">
                  <c:v>55390.483362203093</c:v>
                </c:pt>
                <c:pt idx="9">
                  <c:v>61481.503362365023</c:v>
                </c:pt>
                <c:pt idx="10">
                  <c:v>67559.923890701422</c:v>
                </c:pt>
                <c:pt idx="11">
                  <c:v>73625.771009626857</c:v>
                </c:pt>
                <c:pt idx="12">
                  <c:v>79679.070727645681</c:v>
                </c:pt>
                <c:pt idx="13">
                  <c:v>85719.848999461945</c:v>
                </c:pt>
                <c:pt idx="14">
                  <c:v>91748.13172609231</c:v>
                </c:pt>
                <c:pt idx="15">
                  <c:v>97763.944754976299</c:v>
                </c:pt>
                <c:pt idx="16">
                  <c:v>103767.31388008619</c:v>
                </c:pt>
                <c:pt idx="17">
                  <c:v>109758.26484203999</c:v>
                </c:pt>
                <c:pt idx="18">
                  <c:v>115736.82332820923</c:v>
                </c:pt>
                <c:pt idx="19">
                  <c:v>121703.01497283098</c:v>
                </c:pt>
                <c:pt idx="20">
                  <c:v>127656.86535711707</c:v>
                </c:pt>
                <c:pt idx="21">
                  <c:v>133598.40000936363</c:v>
                </c:pt>
                <c:pt idx="22">
                  <c:v>139527.64440506004</c:v>
                </c:pt>
                <c:pt idx="23">
                  <c:v>145444.62396699988</c:v>
                </c:pt>
                <c:pt idx="24">
                  <c:v>151349.36406538801</c:v>
                </c:pt>
                <c:pt idx="25">
                  <c:v>157241.89001795073</c:v>
                </c:pt>
                <c:pt idx="26">
                  <c:v>163122.22709004386</c:v>
                </c:pt>
                <c:pt idx="27">
                  <c:v>168990.40049476034</c:v>
                </c:pt>
                <c:pt idx="28">
                  <c:v>174846.43539304013</c:v>
                </c:pt>
                <c:pt idx="29">
                  <c:v>180690.35689377555</c:v>
                </c:pt>
                <c:pt idx="30">
                  <c:v>186522.19005392145</c:v>
                </c:pt>
                <c:pt idx="31">
                  <c:v>192341.95987860113</c:v>
                </c:pt>
                <c:pt idx="32">
                  <c:v>198149.69132121396</c:v>
                </c:pt>
                <c:pt idx="33">
                  <c:v>203945.40928354289</c:v>
                </c:pt>
                <c:pt idx="34">
                  <c:v>209729.1386158604</c:v>
                </c:pt>
                <c:pt idx="35">
                  <c:v>215500.90411703481</c:v>
                </c:pt>
                <c:pt idx="36">
                  <c:v>221260.73053463778</c:v>
                </c:pt>
                <c:pt idx="37">
                  <c:v>227008.64256505028</c:v>
                </c:pt>
                <c:pt idx="38">
                  <c:v>232744.6648535667</c:v>
                </c:pt>
                <c:pt idx="39">
                  <c:v>238468.82199450338</c:v>
                </c:pt>
                <c:pt idx="40">
                  <c:v>244181.1385313012</c:v>
                </c:pt>
                <c:pt idx="41">
                  <c:v>249881.63895663273</c:v>
                </c:pt>
                <c:pt idx="42">
                  <c:v>255570.34771250674</c:v>
                </c:pt>
                <c:pt idx="43">
                  <c:v>261247.28919037309</c:v>
                </c:pt>
                <c:pt idx="44">
                  <c:v>266912.48773122631</c:v>
                </c:pt>
                <c:pt idx="45">
                  <c:v>272565.96762571164</c:v>
                </c:pt>
                <c:pt idx="46">
                  <c:v>278207.75311422796</c:v>
                </c:pt>
                <c:pt idx="47">
                  <c:v>283837.86838703218</c:v>
                </c:pt>
                <c:pt idx="48">
                  <c:v>289456.33758434275</c:v>
                </c:pt>
                <c:pt idx="49">
                  <c:v>295063.18479644344</c:v>
                </c:pt>
                <c:pt idx="50">
                  <c:v>300658.43406378658</c:v>
                </c:pt>
                <c:pt idx="51">
                  <c:v>306242.10937709583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C141-4554-B53B-D0777A52990D}"/>
            </c:ext>
          </c:extLst>
        </c:ser>
        <c:ser>
          <c:idx val="2"/>
          <c:order val="2"/>
          <c:spPr>
            <a:ln w="25400">
              <a:solidFill>
                <a:srgbClr val="008000"/>
              </a:solidFill>
              <a:prstDash val="solid"/>
            </a:ln>
          </c:spPr>
          <c:marker>
            <c:symbol val="none"/>
          </c:marker>
          <c:cat>
            <c:numRef>
              <c:f>delta1!$A$17:$A$62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6236.3185158423876</c:v>
                </c:pt>
                <c:pt idx="1">
                  <c:v>12456.105476353119</c:v>
                </c:pt>
                <c:pt idx="2">
                  <c:v>18659.414150744902</c:v>
                </c:pt>
                <c:pt idx="3">
                  <c:v>24846.297606183398</c:v>
                </c:pt>
                <c:pt idx="4">
                  <c:v>31016.80870865786</c:v>
                </c:pt>
                <c:pt idx="5">
                  <c:v>37171.000123869424</c:v>
                </c:pt>
                <c:pt idx="6">
                  <c:v>43308.924318095407</c:v>
                </c:pt>
                <c:pt idx="7">
                  <c:v>49430.63355905997</c:v>
                </c:pt>
                <c:pt idx="8">
                  <c:v>55536.179916802372</c:v>
                </c:pt>
                <c:pt idx="9">
                  <c:v>61625.615264532033</c:v>
                </c:pt>
                <c:pt idx="10">
                  <c:v>67698.991279486756</c:v>
                </c:pt>
                <c:pt idx="11">
                  <c:v>73756.359443787107</c:v>
                </c:pt>
                <c:pt idx="12">
                  <c:v>79797.771045275076</c:v>
                </c:pt>
                <c:pt idx="13">
                  <c:v>85823.277178370685</c:v>
                </c:pt>
                <c:pt idx="14">
                  <c:v>91832.928744896344</c:v>
                </c:pt>
                <c:pt idx="15">
                  <c:v>97826.776454923878</c:v>
                </c:pt>
                <c:pt idx="16">
                  <c:v>103804.87082759848</c:v>
                </c:pt>
                <c:pt idx="17">
                  <c:v>109767.26219197208</c:v>
                </c:pt>
                <c:pt idx="18">
                  <c:v>115714.00068781502</c:v>
                </c:pt>
                <c:pt idx="19">
                  <c:v>121645.13626644868</c:v>
                </c:pt>
                <c:pt idx="20">
                  <c:v>127560.71869154894</c:v>
                </c:pt>
                <c:pt idx="21">
                  <c:v>133460.79753996443</c:v>
                </c:pt>
                <c:pt idx="22">
                  <c:v>139345.42220251821</c:v>
                </c:pt>
                <c:pt idx="23">
                  <c:v>145214.64188481527</c:v>
                </c:pt>
                <c:pt idx="24">
                  <c:v>151068.50560803665</c:v>
                </c:pt>
                <c:pt idx="25">
                  <c:v>156907.06220974037</c:v>
                </c:pt>
                <c:pt idx="26">
                  <c:v>162730.36034464737</c:v>
                </c:pt>
                <c:pt idx="27">
                  <c:v>168538.44848542986</c:v>
                </c:pt>
                <c:pt idx="28">
                  <c:v>174331.37492349805</c:v>
                </c:pt>
                <c:pt idx="29">
                  <c:v>180109.18776977746</c:v>
                </c:pt>
                <c:pt idx="30">
                  <c:v>185871.93495548383</c:v>
                </c:pt>
                <c:pt idx="31">
                  <c:v>191619.66423289722</c:v>
                </c:pt>
                <c:pt idx="32">
                  <c:v>197352.42317613267</c:v>
                </c:pt>
                <c:pt idx="33">
                  <c:v>203070.25918189669</c:v>
                </c:pt>
                <c:pt idx="34">
                  <c:v>208773.21947025752</c:v>
                </c:pt>
                <c:pt idx="35">
                  <c:v>214461.35108539666</c:v>
                </c:pt>
                <c:pt idx="36">
                  <c:v>220134.70089636612</c:v>
                </c:pt>
                <c:pt idx="37">
                  <c:v>225793.31559783532</c:v>
                </c:pt>
                <c:pt idx="38">
                  <c:v>231437.24171083735</c:v>
                </c:pt>
                <c:pt idx="39">
                  <c:v>237066.52558351649</c:v>
                </c:pt>
                <c:pt idx="40">
                  <c:v>242681.21339185978</c:v>
                </c:pt>
                <c:pt idx="41">
                  <c:v>248281.35114044035</c:v>
                </c:pt>
                <c:pt idx="42">
                  <c:v>253866.98466314361</c:v>
                </c:pt>
                <c:pt idx="43">
                  <c:v>259438.15962389749</c:v>
                </c:pt>
                <c:pt idx="44">
                  <c:v>264994.92151739931</c:v>
                </c:pt>
                <c:pt idx="45">
                  <c:v>270537.31566983397</c:v>
                </c:pt>
                <c:pt idx="46">
                  <c:v>276065.38723959605</c:v>
                </c:pt>
                <c:pt idx="47">
                  <c:v>281579.18121799931</c:v>
                </c:pt>
                <c:pt idx="48">
                  <c:v>287078.74242999242</c:v>
                </c:pt>
                <c:pt idx="49">
                  <c:v>292564.11553486239</c:v>
                </c:pt>
                <c:pt idx="50">
                  <c:v>298035.34502694273</c:v>
                </c:pt>
                <c:pt idx="51">
                  <c:v>303492.47523631272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C141-4554-B53B-D0777A52990D}"/>
            </c:ext>
          </c:extLst>
        </c:ser>
        <c:dLbls>
          <c:showLegendKey val="0"/>
          <c:showVal val="0"/>
          <c:showCatName val="0"/>
          <c:showSerName val="0"/>
          <c:showPercent val="0"/>
          <c:showBubbleSize val="0"/>
        </c:dLbls>
        <c:marker val="1"/>
        <c:smooth val="0"/>
        <c:axId val="175012480"/>
        <c:axId val="175014656"/>
      </c:lineChart>
      <c:catAx>
        <c:axId val="17501248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14656"/>
        <c:crosses val="autoZero"/>
        <c:auto val="0"/>
        <c:lblAlgn val="ctr"/>
        <c:lblOffset val="100"/>
        <c:tickLblSkip val="153"/>
        <c:tickMarkSkip val="1"/>
        <c:noMultiLvlLbl val="0"/>
      </c:catAx>
      <c:valAx>
        <c:axId val="17501465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1248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model fit and validated forecast</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delta1!$A$17:$A$62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F783-4271-8154-2643813F4D82}"/>
            </c:ext>
          </c:extLst>
        </c:ser>
        <c:ser>
          <c:idx val="1"/>
          <c:order val="1"/>
          <c:spPr>
            <a:ln w="25400">
              <a:solidFill>
                <a:srgbClr val="FF00FF"/>
              </a:solidFill>
              <a:prstDash val="solid"/>
            </a:ln>
          </c:spPr>
          <c:marker>
            <c:symbol val="none"/>
          </c:marker>
          <c:cat>
            <c:numRef>
              <c:f>delta1!$A$17:$A$62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7344.335729028825</c:v>
                </c:pt>
                <c:pt idx="1">
                  <c:v>14436.551199097725</c:v>
                </c:pt>
                <c:pt idx="2">
                  <c:v>21285.301328408012</c:v>
                </c:pt>
                <c:pt idx="3">
                  <c:v>27898.943924530697</c:v>
                </c:pt>
                <c:pt idx="4">
                  <c:v>34285.549883777916</c:v>
                </c:pt>
                <c:pt idx="5">
                  <c:v>40452.913040445157</c:v>
                </c:pt>
                <c:pt idx="6">
                  <c:v>46408.559677943333</c:v>
                </c:pt>
                <c:pt idx="7">
                  <c:v>52159.757713427702</c:v>
                </c:pt>
                <c:pt idx="8">
                  <c:v>57713.525567131976</c:v>
                </c:pt>
                <c:pt idx="9">
                  <c:v>63076.64072723117</c:v>
                </c:pt>
                <c:pt idx="10">
                  <c:v>68255.648020685359</c:v>
                </c:pt>
                <c:pt idx="11">
                  <c:v>73256.86760015742</c:v>
                </c:pt>
                <c:pt idx="12">
                  <c:v>78086.402656751801</c:v>
                </c:pt>
                <c:pt idx="13">
                  <c:v>82750.146867985968</c:v>
                </c:pt>
                <c:pt idx="14">
                  <c:v>87253.791590084365</c:v>
                </c:pt>
                <c:pt idx="15">
                  <c:v>91602.832803371042</c:v>
                </c:pt>
                <c:pt idx="16">
                  <c:v>95802.577819237515</c:v>
                </c:pt>
                <c:pt idx="17">
                  <c:v>99858.151756870066</c:v>
                </c:pt>
                <c:pt idx="18">
                  <c:v>103774.50379764057</c:v>
                </c:pt>
                <c:pt idx="19">
                  <c:v>107556.41322479326</c:v>
                </c:pt>
                <c:pt idx="20">
                  <c:v>111208.4952557979</c:v>
                </c:pt>
                <c:pt idx="21">
                  <c:v>114735.20667448692</c:v>
                </c:pt>
                <c:pt idx="22">
                  <c:v>118140.85126984945</c:v>
                </c:pt>
                <c:pt idx="23">
                  <c:v>121429.58508811954</c:v>
                </c:pt>
                <c:pt idx="24">
                  <c:v>124605.42150456809</c:v>
                </c:pt>
                <c:pt idx="25">
                  <c:v>127672.23612118732</c:v>
                </c:pt>
                <c:pt idx="26">
                  <c:v>130633.77149624519</c:v>
                </c:pt>
                <c:pt idx="27">
                  <c:v>133493.641711481</c:v>
                </c:pt>
                <c:pt idx="28">
                  <c:v>136255.33678251592</c:v>
                </c:pt>
                <c:pt idx="29">
                  <c:v>138922.22691786065</c:v>
                </c:pt>
                <c:pt idx="30">
                  <c:v>141497.56663171755</c:v>
                </c:pt>
                <c:pt idx="31">
                  <c:v>143984.49871559627</c:v>
                </c:pt>
                <c:pt idx="32">
                  <c:v>146386.05807358978</c:v>
                </c:pt>
                <c:pt idx="33">
                  <c:v>148705.17542599089</c:v>
                </c:pt>
                <c:pt idx="34">
                  <c:v>150944.68088576914</c:v>
                </c:pt>
                <c:pt idx="35">
                  <c:v>153128.47144011562</c:v>
                </c:pt>
                <c:pt idx="36">
                  <c:v>155236.56203205764</c:v>
                </c:pt>
                <c:pt idx="37">
                  <c:v>157271.57676137282</c:v>
                </c:pt>
                <c:pt idx="38">
                  <c:v>159236.04876478645</c:v>
                </c:pt>
                <c:pt idx="39">
                  <c:v>161114.04480952566</c:v>
                </c:pt>
                <c:pt idx="40">
                  <c:v>162927.57200825959</c:v>
                </c:pt>
                <c:pt idx="41">
                  <c:v>164678.8434817864</c:v>
                </c:pt>
                <c:pt idx="42">
                  <c:v>166369.99637771747</c:v>
                </c:pt>
                <c:pt idx="43">
                  <c:v>168003.09447852554</c:v>
                </c:pt>
                <c:pt idx="44">
                  <c:v>169580.13072006224</c:v>
                </c:pt>
                <c:pt idx="45">
                  <c:v>171103.02962361835</c:v>
                </c:pt>
                <c:pt idx="46">
                  <c:v>172573.64964449525</c:v>
                </c:pt>
                <c:pt idx="47">
                  <c:v>173993.78543995344</c:v>
                </c:pt>
                <c:pt idx="48">
                  <c:v>175365.17005930538</c:v>
                </c:pt>
                <c:pt idx="49">
                  <c:v>176689.47705882601</c:v>
                </c:pt>
                <c:pt idx="50">
                  <c:v>177968.32254406132</c:v>
                </c:pt>
                <c:pt idx="51">
                  <c:v>179203.26714202741</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F783-4271-8154-2643813F4D82}"/>
            </c:ext>
          </c:extLst>
        </c:ser>
        <c:ser>
          <c:idx val="2"/>
          <c:order val="2"/>
          <c:spPr>
            <a:ln w="25400">
              <a:solidFill>
                <a:srgbClr val="008000"/>
              </a:solidFill>
              <a:prstDash val="solid"/>
            </a:ln>
          </c:spPr>
          <c:marker>
            <c:symbol val="none"/>
          </c:marker>
          <c:cat>
            <c:numRef>
              <c:f>delta1!$A$17:$A$62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8499.3219409211779</c:v>
                </c:pt>
                <c:pt idx="1">
                  <c:v>16404.804123137495</c:v>
                </c:pt>
                <c:pt idx="2">
                  <c:v>23792.754684577423</c:v>
                </c:pt>
                <c:pt idx="3">
                  <c:v>30725.730351800816</c:v>
                </c:pt>
                <c:pt idx="4">
                  <c:v>37255.646350869756</c:v>
                </c:pt>
                <c:pt idx="5">
                  <c:v>43426.055223524942</c:v>
                </c:pt>
                <c:pt idx="6">
                  <c:v>49273.847370987503</c:v>
                </c:pt>
                <c:pt idx="7">
                  <c:v>54830.540786694248</c:v>
                </c:pt>
                <c:pt idx="8">
                  <c:v>60123.273491882399</c:v>
                </c:pt>
                <c:pt idx="9">
                  <c:v>65175.577222763903</c:v>
                </c:pt>
                <c:pt idx="10">
                  <c:v>70007.987739005519</c:v>
                </c:pt>
                <c:pt idx="11">
                  <c:v>74638.53144247079</c:v>
                </c:pt>
                <c:pt idx="12">
                  <c:v>79083.117190512858</c:v>
                </c:pt>
                <c:pt idx="13">
                  <c:v>83355.854617961581</c:v>
                </c:pt>
                <c:pt idx="14">
                  <c:v>87469.314896583499</c:v>
                </c:pt>
                <c:pt idx="15">
                  <c:v>91434.745975696569</c:v>
                </c:pt>
                <c:pt idx="16">
                  <c:v>95262.251508608126</c:v>
                </c:pt>
                <c:pt idx="17">
                  <c:v>98960.940570115621</c:v>
                </c:pt>
                <c:pt idx="18">
                  <c:v>102539.05370062744</c:v>
                </c:pt>
                <c:pt idx="19">
                  <c:v>106004.06962679887</c:v>
                </c:pt>
                <c:pt idx="20">
                  <c:v>109362.7961043987</c:v>
                </c:pt>
                <c:pt idx="21">
                  <c:v>112621.44763344251</c:v>
                </c:pt>
                <c:pt idx="22">
                  <c:v>115785.71225590339</c:v>
                </c:pt>
                <c:pt idx="23">
                  <c:v>118860.80922427788</c:v>
                </c:pt>
                <c:pt idx="24">
                  <c:v>121851.53899685852</c:v>
                </c:pt>
                <c:pt idx="25">
                  <c:v>124762.32675190546</c:v>
                </c:pt>
                <c:pt idx="26">
                  <c:v>127597.26040240616</c:v>
                </c:pt>
                <c:pt idx="27">
                  <c:v>130360.12392403407</c:v>
                </c:pt>
                <c:pt idx="28">
                  <c:v>133054.42667229407</c:v>
                </c:pt>
                <c:pt idx="29">
                  <c:v>135683.42925384446</c:v>
                </c:pt>
                <c:pt idx="30">
                  <c:v>138250.16642633482</c:v>
                </c:pt>
                <c:pt idx="31">
                  <c:v>140757.46742667383</c:v>
                </c:pt>
                <c:pt idx="32">
                  <c:v>143207.97406628681</c:v>
                </c:pt>
                <c:pt idx="33">
                  <c:v>145604.15688106132</c:v>
                </c:pt>
                <c:pt idx="34">
                  <c:v>147948.3295813876</c:v>
                </c:pt>
                <c:pt idx="35">
                  <c:v>154519.3973396708</c:v>
                </c:pt>
                <c:pt idx="36">
                  <c:v>160712.39594842569</c:v>
                </c:pt>
                <c:pt idx="37">
                  <c:v>166567.77713775184</c:v>
                </c:pt>
                <c:pt idx="38">
                  <c:v>172119.86247883536</c:v>
                </c:pt>
                <c:pt idx="39">
                  <c:v>173955.8060925912</c:v>
                </c:pt>
                <c:pt idx="40">
                  <c:v>175760.75892452724</c:v>
                </c:pt>
                <c:pt idx="41">
                  <c:v>177535.73104752653</c:v>
                </c:pt>
                <c:pt idx="42">
                  <c:v>179281.68424125924</c:v>
                </c:pt>
                <c:pt idx="43">
                  <c:v>180999.53501339117</c:v>
                </c:pt>
                <c:pt idx="44">
                  <c:v>182690.15738858763</c:v>
                </c:pt>
                <c:pt idx="45">
                  <c:v>184354.38548637839</c:v>
                </c:pt>
                <c:pt idx="46">
                  <c:v>185993.01590675808</c:v>
                </c:pt>
                <c:pt idx="47">
                  <c:v>187606.80994045688</c:v>
                </c:pt>
                <c:pt idx="48">
                  <c:v>189196.49561910034</c:v>
                </c:pt>
                <c:pt idx="49">
                  <c:v>190762.76961896522</c:v>
                </c:pt>
                <c:pt idx="50">
                  <c:v>192306.29903068152</c:v>
                </c:pt>
                <c:pt idx="51">
                  <c:v>193827.72300604312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F783-4271-8154-2643813F4D82}"/>
            </c:ext>
          </c:extLst>
        </c:ser>
        <c:dLbls>
          <c:showLegendKey val="0"/>
          <c:showVal val="0"/>
          <c:showCatName val="0"/>
          <c:showSerName val="0"/>
          <c:showPercent val="0"/>
          <c:showBubbleSize val="0"/>
        </c:dLbls>
        <c:marker val="1"/>
        <c:smooth val="0"/>
        <c:axId val="175063424"/>
        <c:axId val="175065344"/>
      </c:lineChart>
      <c:catAx>
        <c:axId val="17506342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65344"/>
        <c:crosses val="autoZero"/>
        <c:auto val="0"/>
        <c:lblAlgn val="ctr"/>
        <c:lblOffset val="100"/>
        <c:tickLblSkip val="153"/>
        <c:tickMarkSkip val="1"/>
        <c:noMultiLvlLbl val="0"/>
      </c:catAx>
      <c:valAx>
        <c:axId val="175065344"/>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63424"/>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'Dink (D)'!$C$1</c:f>
              <c:strCache>
                <c:ptCount val="1"/>
                <c:pt idx="0">
                  <c:v>airplay</c:v>
                </c:pt>
              </c:strCache>
            </c:strRef>
          </c:tx>
          <c:cat>
            <c:numRef>
              <c:f>'Dink (D)'!$A$2:$A$53</c:f>
              <c:numCache>
                <c:formatCode>m/d/yyyy</c:formatCode>
                <c:ptCount val="52"/>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'Dink (D)'!$C$2:$C$53</c:f>
              <c:numCache>
                <c:formatCode>0</c:formatCode>
                <c:ptCount val="52"/>
                <c:pt idx="0">
                  <c:v>1550.2</c:v>
                </c:pt>
                <c:pt idx="1">
                  <c:v>1492.6</c:v>
                </c:pt>
                <c:pt idx="2">
                  <c:v>2254.6999999999998</c:v>
                </c:pt>
                <c:pt idx="3">
                  <c:v>2067.5</c:v>
                </c:pt>
                <c:pt idx="4">
                  <c:v>2003.2</c:v>
                </c:pt>
                <c:pt idx="5">
                  <c:v>2347.1999999999998</c:v>
                </c:pt>
                <c:pt idx="6">
                  <c:v>2723.3</c:v>
                </c:pt>
                <c:pt idx="7">
                  <c:v>2550.8000000000002</c:v>
                </c:pt>
                <c:pt idx="8">
                  <c:v>2828.8</c:v>
                </c:pt>
                <c:pt idx="9">
                  <c:v>3198</c:v>
                </c:pt>
                <c:pt idx="10">
                  <c:v>2988.9</c:v>
                </c:pt>
                <c:pt idx="11">
                  <c:v>2113.6</c:v>
                </c:pt>
                <c:pt idx="12">
                  <c:v>1890.6</c:v>
                </c:pt>
                <c:pt idx="13">
                  <c:v>1862.7</c:v>
                </c:pt>
                <c:pt idx="14">
                  <c:v>1242</c:v>
                </c:pt>
                <c:pt idx="15">
                  <c:v>755.1</c:v>
                </c:pt>
                <c:pt idx="16">
                  <c:v>571</c:v>
                </c:pt>
                <c:pt idx="17">
                  <c:v>470.8</c:v>
                </c:pt>
                <c:pt idx="18">
                  <c:v>603.20000000000005</c:v>
                </c:pt>
                <c:pt idx="19">
                  <c:v>523.1</c:v>
                </c:pt>
                <c:pt idx="20">
                  <c:v>382.4</c:v>
                </c:pt>
                <c:pt idx="21">
                  <c:v>290.7</c:v>
                </c:pt>
                <c:pt idx="22">
                  <c:v>322.7</c:v>
                </c:pt>
                <c:pt idx="23">
                  <c:v>284.10000000000002</c:v>
                </c:pt>
                <c:pt idx="24">
                  <c:v>336</c:v>
                </c:pt>
                <c:pt idx="25">
                  <c:v>308.39999999999998</c:v>
                </c:pt>
                <c:pt idx="26">
                  <c:v>133.19999999999999</c:v>
                </c:pt>
              </c:numCache>
            </c:numRef>
          </c:val>
          <c:smooth val="0"/>
          <c:extLst>
            <c:ext xmlns:c16="http://schemas.microsoft.com/office/drawing/2014/chart" uri="{C3380CC4-5D6E-409C-BE32-E72D297353CC}">
              <c16:uniqueId val="{00000000-46AA-4693-A0EE-B746817113EB}"/>
            </c:ext>
          </c:extLst>
        </c:ser>
        <c:ser>
          <c:idx val="1"/>
          <c:order val="1"/>
          <c:tx>
            <c:strRef>
              <c:f>'Dink (D)'!$B$1</c:f>
              <c:strCache>
                <c:ptCount val="1"/>
                <c:pt idx="0">
                  <c:v>sales</c:v>
                </c:pt>
              </c:strCache>
            </c:strRef>
          </c:tx>
          <c:cat>
            <c:numRef>
              <c:f>'Dink (D)'!$A$2:$A$53</c:f>
              <c:numCache>
                <c:formatCode>m/d/yyyy</c:formatCode>
                <c:ptCount val="52"/>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'Dink (D)'!$B$2:$B$53</c:f>
              <c:numCache>
                <c:formatCode>General</c:formatCode>
                <c:ptCount val="52"/>
                <c:pt idx="0">
                  <c:v>1375</c:v>
                </c:pt>
                <c:pt idx="1">
                  <c:v>1102</c:v>
                </c:pt>
                <c:pt idx="2">
                  <c:v>1152</c:v>
                </c:pt>
                <c:pt idx="3">
                  <c:v>1247</c:v>
                </c:pt>
                <c:pt idx="4">
                  <c:v>1639</c:v>
                </c:pt>
                <c:pt idx="5">
                  <c:v>2576</c:v>
                </c:pt>
                <c:pt idx="6">
                  <c:v>2976</c:v>
                </c:pt>
                <c:pt idx="7">
                  <c:v>2529</c:v>
                </c:pt>
                <c:pt idx="8">
                  <c:v>2421</c:v>
                </c:pt>
                <c:pt idx="9">
                  <c:v>2385</c:v>
                </c:pt>
                <c:pt idx="10">
                  <c:v>2630</c:v>
                </c:pt>
                <c:pt idx="11">
                  <c:v>2794</c:v>
                </c:pt>
                <c:pt idx="12">
                  <c:v>2700</c:v>
                </c:pt>
                <c:pt idx="13">
                  <c:v>3170</c:v>
                </c:pt>
                <c:pt idx="14">
                  <c:v>2567</c:v>
                </c:pt>
                <c:pt idx="15">
                  <c:v>3409</c:v>
                </c:pt>
                <c:pt idx="16">
                  <c:v>3070</c:v>
                </c:pt>
                <c:pt idx="17">
                  <c:v>3182</c:v>
                </c:pt>
                <c:pt idx="18">
                  <c:v>2706</c:v>
                </c:pt>
                <c:pt idx="19">
                  <c:v>1890</c:v>
                </c:pt>
                <c:pt idx="20">
                  <c:v>1623</c:v>
                </c:pt>
                <c:pt idx="21">
                  <c:v>1587</c:v>
                </c:pt>
                <c:pt idx="22">
                  <c:v>1507</c:v>
                </c:pt>
                <c:pt idx="23">
                  <c:v>1300</c:v>
                </c:pt>
                <c:pt idx="24">
                  <c:v>1127</c:v>
                </c:pt>
                <c:pt idx="25">
                  <c:v>997</c:v>
                </c:pt>
                <c:pt idx="26">
                  <c:v>834</c:v>
                </c:pt>
                <c:pt idx="28">
                  <c:v>0</c:v>
                </c:pt>
                <c:pt idx="29">
                  <c:v>0</c:v>
                </c:pt>
                <c:pt idx="31">
                  <c:v>0</c:v>
                </c:pt>
                <c:pt idx="32">
                  <c:v>0</c:v>
                </c:pt>
                <c:pt idx="34">
                  <c:v>0</c:v>
                </c:pt>
                <c:pt idx="35">
                  <c:v>0</c:v>
                </c:pt>
                <c:pt idx="36">
                  <c:v>0</c:v>
                </c:pt>
                <c:pt idx="38">
                  <c:v>0</c:v>
                </c:pt>
                <c:pt idx="39">
                  <c:v>0</c:v>
                </c:pt>
                <c:pt idx="40">
                  <c:v>0</c:v>
                </c:pt>
              </c:numCache>
            </c:numRef>
          </c:val>
          <c:smooth val="0"/>
          <c:extLst>
            <c:ext xmlns:c16="http://schemas.microsoft.com/office/drawing/2014/chart" uri="{C3380CC4-5D6E-409C-BE32-E72D297353CC}">
              <c16:uniqueId val="{00000001-46AA-4693-A0EE-B746817113EB}"/>
            </c:ext>
          </c:extLst>
        </c:ser>
        <c:dLbls>
          <c:showLegendKey val="0"/>
          <c:showVal val="0"/>
          <c:showCatName val="0"/>
          <c:showSerName val="0"/>
          <c:showPercent val="0"/>
          <c:showBubbleSize val="0"/>
        </c:dLbls>
        <c:marker val="1"/>
        <c:smooth val="0"/>
        <c:axId val="175118592"/>
        <c:axId val="175124480"/>
      </c:lineChart>
      <c:dateAx>
        <c:axId val="175118592"/>
        <c:scaling>
          <c:orientation val="minMax"/>
        </c:scaling>
        <c:delete val="0"/>
        <c:axPos val="b"/>
        <c:numFmt formatCode="m/d/yyyy" sourceLinked="0"/>
        <c:majorTickMark val="out"/>
        <c:minorTickMark val="none"/>
        <c:tickLblPos val="nextTo"/>
        <c:crossAx val="175124480"/>
        <c:crosses val="autoZero"/>
        <c:auto val="1"/>
        <c:lblOffset val="100"/>
        <c:baseTimeUnit val="days"/>
      </c:dateAx>
      <c:valAx>
        <c:axId val="175124480"/>
        <c:scaling>
          <c:orientation val="minMax"/>
        </c:scaling>
        <c:delete val="0"/>
        <c:axPos val="l"/>
        <c:majorGridlines/>
        <c:numFmt formatCode="0" sourceLinked="1"/>
        <c:majorTickMark val="out"/>
        <c:minorTickMark val="none"/>
        <c:tickLblPos val="nextTo"/>
        <c:crossAx val="1751185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Delta</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delta1!$A$16:$A$36</c:f>
              <c:numCache>
                <c:formatCode>m/d/yyyy</c:formatCode>
                <c:ptCount val="21"/>
                <c:pt idx="0">
                  <c:v>34700</c:v>
                </c:pt>
                <c:pt idx="1">
                  <c:v>34707</c:v>
                </c:pt>
                <c:pt idx="2">
                  <c:v>34714</c:v>
                </c:pt>
                <c:pt idx="3">
                  <c:v>34721</c:v>
                </c:pt>
                <c:pt idx="4">
                  <c:v>34728</c:v>
                </c:pt>
                <c:pt idx="5">
                  <c:v>34735</c:v>
                </c:pt>
                <c:pt idx="6">
                  <c:v>34742</c:v>
                </c:pt>
                <c:pt idx="7">
                  <c:v>34749</c:v>
                </c:pt>
                <c:pt idx="8">
                  <c:v>34756</c:v>
                </c:pt>
                <c:pt idx="9">
                  <c:v>34763</c:v>
                </c:pt>
                <c:pt idx="10">
                  <c:v>34770</c:v>
                </c:pt>
                <c:pt idx="11">
                  <c:v>34777</c:v>
                </c:pt>
                <c:pt idx="12">
                  <c:v>34784</c:v>
                </c:pt>
                <c:pt idx="13">
                  <c:v>34791</c:v>
                </c:pt>
                <c:pt idx="14">
                  <c:v>34798</c:v>
                </c:pt>
                <c:pt idx="15">
                  <c:v>34805</c:v>
                </c:pt>
                <c:pt idx="16">
                  <c:v>34812</c:v>
                </c:pt>
                <c:pt idx="17">
                  <c:v>34819</c:v>
                </c:pt>
                <c:pt idx="18">
                  <c:v>34826</c:v>
                </c:pt>
                <c:pt idx="19">
                  <c:v>34833</c:v>
                </c:pt>
                <c:pt idx="20">
                  <c:v>34840</c:v>
                </c:pt>
              </c:numCache>
            </c:numRef>
          </c:cat>
          <c:val>
            <c:numRef>
              <c:f>delta1!$S$16:$S$36</c:f>
              <c:numCache>
                <c:formatCode>_(* #,##0_);_(* \(#,##0\);_(* "-"??_);_(@_)</c:formatCode>
                <c:ptCount val="21"/>
                <c:pt idx="0">
                  <c:v>1504.3032243313601</c:v>
                </c:pt>
                <c:pt idx="1">
                  <c:v>514.14462430037202</c:v>
                </c:pt>
                <c:pt idx="2">
                  <c:v>1028.3749737324151</c:v>
                </c:pt>
                <c:pt idx="3">
                  <c:v>923.53093816116689</c:v>
                </c:pt>
                <c:pt idx="4">
                  <c:v>931.51699777276372</c:v>
                </c:pt>
                <c:pt idx="5">
                  <c:v>1257.1030767375751</c:v>
                </c:pt>
                <c:pt idx="6">
                  <c:v>1616.7953026183332</c:v>
                </c:pt>
                <c:pt idx="7">
                  <c:v>1445.3447489845476</c:v>
                </c:pt>
                <c:pt idx="8">
                  <c:v>1671.8013361889716</c:v>
                </c:pt>
                <c:pt idx="9">
                  <c:v>1971.3086315060955</c:v>
                </c:pt>
                <c:pt idx="10">
                  <c:v>1667.4629898200783</c:v>
                </c:pt>
                <c:pt idx="11">
                  <c:v>878.21812920712182</c:v>
                </c:pt>
                <c:pt idx="12">
                  <c:v>682.79521034309801</c:v>
                </c:pt>
                <c:pt idx="13">
                  <c:v>621.01429172070493</c:v>
                </c:pt>
                <c:pt idx="14">
                  <c:v>242.61083357507232</c:v>
                </c:pt>
                <c:pt idx="15">
                  <c:v>1.0553940039098961</c:v>
                </c:pt>
                <c:pt idx="16">
                  <c:v>-86.696470855957159</c:v>
                </c:pt>
                <c:pt idx="17">
                  <c:v>-136.29184646878639</c:v>
                </c:pt>
                <c:pt idx="18">
                  <c:v>-101.56659255655541</c:v>
                </c:pt>
                <c:pt idx="19">
                  <c:v>-143.32613464540918</c:v>
                </c:pt>
                <c:pt idx="20">
                  <c:v>-201.24626901981173</c:v>
                </c:pt>
              </c:numCache>
            </c:numRef>
          </c:val>
          <c:smooth val="0"/>
          <c:extLst>
            <c:ext xmlns:c16="http://schemas.microsoft.com/office/drawing/2014/chart" uri="{C3380CC4-5D6E-409C-BE32-E72D297353CC}">
              <c16:uniqueId val="{00000000-7BB5-420C-B1FC-C31F184AA907}"/>
            </c:ext>
          </c:extLst>
        </c:ser>
        <c:dLbls>
          <c:showLegendKey val="0"/>
          <c:showVal val="0"/>
          <c:showCatName val="0"/>
          <c:showSerName val="0"/>
          <c:showPercent val="0"/>
          <c:showBubbleSize val="0"/>
        </c:dLbls>
        <c:marker val="1"/>
        <c:smooth val="0"/>
        <c:axId val="798823680"/>
        <c:axId val="798821056"/>
      </c:lineChart>
      <c:dateAx>
        <c:axId val="79882368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21056"/>
        <c:crosses val="autoZero"/>
        <c:auto val="1"/>
        <c:lblOffset val="100"/>
        <c:baseTimeUnit val="days"/>
      </c:dateAx>
      <c:valAx>
        <c:axId val="7988210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2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Actual</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delta1!$D$16:$D$36</c:f>
              <c:numCache>
                <c:formatCode>General</c:formatCode>
                <c:ptCount val="21"/>
                <c:pt idx="0">
                  <c:v>2976</c:v>
                </c:pt>
                <c:pt idx="1">
                  <c:v>2529</c:v>
                </c:pt>
                <c:pt idx="2">
                  <c:v>2421</c:v>
                </c:pt>
                <c:pt idx="3">
                  <c:v>2385</c:v>
                </c:pt>
                <c:pt idx="4">
                  <c:v>2630</c:v>
                </c:pt>
                <c:pt idx="5">
                  <c:v>2794</c:v>
                </c:pt>
                <c:pt idx="6">
                  <c:v>2700</c:v>
                </c:pt>
                <c:pt idx="7">
                  <c:v>3170</c:v>
                </c:pt>
                <c:pt idx="8">
                  <c:v>2567</c:v>
                </c:pt>
                <c:pt idx="9">
                  <c:v>3409</c:v>
                </c:pt>
                <c:pt idx="10">
                  <c:v>3070</c:v>
                </c:pt>
                <c:pt idx="11">
                  <c:v>3182</c:v>
                </c:pt>
                <c:pt idx="12">
                  <c:v>2706</c:v>
                </c:pt>
                <c:pt idx="13">
                  <c:v>1890</c:v>
                </c:pt>
                <c:pt idx="14">
                  <c:v>1623</c:v>
                </c:pt>
                <c:pt idx="15">
                  <c:v>1587</c:v>
                </c:pt>
                <c:pt idx="16">
                  <c:v>1507</c:v>
                </c:pt>
                <c:pt idx="17">
                  <c:v>1300</c:v>
                </c:pt>
                <c:pt idx="18">
                  <c:v>1127</c:v>
                </c:pt>
                <c:pt idx="19">
                  <c:v>997</c:v>
                </c:pt>
                <c:pt idx="20">
                  <c:v>834</c:v>
                </c:pt>
              </c:numCache>
            </c:numRef>
          </c:val>
          <c:smooth val="0"/>
          <c:extLst>
            <c:ext xmlns:c16="http://schemas.microsoft.com/office/drawing/2014/chart" uri="{C3380CC4-5D6E-409C-BE32-E72D297353CC}">
              <c16:uniqueId val="{00000000-6145-4D70-A082-D17413F25703}"/>
            </c:ext>
          </c:extLst>
        </c:ser>
        <c:ser>
          <c:idx val="1"/>
          <c:order val="1"/>
          <c:tx>
            <c:v>Expected</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delta1!$K$16:$K$36</c:f>
              <c:numCache>
                <c:formatCode>_(* #,##0_);_(* \(#,##0\);_(* "-"??_);_(@_)</c:formatCode>
                <c:ptCount val="21"/>
                <c:pt idx="0">
                  <c:v>1609.8751706831395</c:v>
                </c:pt>
                <c:pt idx="1">
                  <c:v>1640.1208584214787</c:v>
                </c:pt>
                <c:pt idx="2">
                  <c:v>1634.3018361332788</c:v>
                </c:pt>
                <c:pt idx="3">
                  <c:v>1620.589760498081</c:v>
                </c:pt>
                <c:pt idx="4">
                  <c:v>1603.2108952268918</c:v>
                </c:pt>
                <c:pt idx="5">
                  <c:v>1583.7808219370863</c:v>
                </c:pt>
                <c:pt idx="6">
                  <c:v>1563.1027398254282</c:v>
                </c:pt>
                <c:pt idx="7">
                  <c:v>1541.6376659362122</c:v>
                </c:pt>
                <c:pt idx="8">
                  <c:v>1519.6757067576727</c:v>
                </c:pt>
                <c:pt idx="9">
                  <c:v>1497.4114654864879</c:v>
                </c:pt>
                <c:pt idx="10">
                  <c:v>1474.9817177341811</c:v>
                </c:pt>
                <c:pt idx="11">
                  <c:v>1452.4860388465459</c:v>
                </c:pt>
                <c:pt idx="12">
                  <c:v>1429.9989124843523</c:v>
                </c:pt>
                <c:pt idx="13">
                  <c:v>1407.5772408888588</c:v>
                </c:pt>
                <c:pt idx="14">
                  <c:v>1385.2652159740283</c:v>
                </c:pt>
                <c:pt idx="15">
                  <c:v>1363.0975979258219</c:v>
                </c:pt>
                <c:pt idx="16">
                  <c:v>1341.1019919698847</c:v>
                </c:pt>
                <c:pt idx="17">
                  <c:v>1319.3004722413134</c:v>
                </c:pt>
                <c:pt idx="18">
                  <c:v>1297.7107670632322</c:v>
                </c:pt>
                <c:pt idx="19">
                  <c:v>1276.3471417386318</c:v>
                </c:pt>
                <c:pt idx="20">
                  <c:v>1255.2210678522861</c:v>
                </c:pt>
              </c:numCache>
            </c:numRef>
          </c:val>
          <c:smooth val="0"/>
          <c:extLst>
            <c:ext xmlns:c16="http://schemas.microsoft.com/office/drawing/2014/chart" uri="{C3380CC4-5D6E-409C-BE32-E72D297353CC}">
              <c16:uniqueId val="{00000001-6145-4D70-A082-D17413F25703}"/>
            </c:ext>
          </c:extLst>
        </c:ser>
        <c:dLbls>
          <c:showLegendKey val="0"/>
          <c:showVal val="0"/>
          <c:showCatName val="0"/>
          <c:showSerName val="0"/>
          <c:showPercent val="0"/>
          <c:showBubbleSize val="0"/>
        </c:dLbls>
        <c:marker val="1"/>
        <c:smooth val="0"/>
        <c:axId val="968114920"/>
        <c:axId val="968117872"/>
      </c:lineChart>
      <c:catAx>
        <c:axId val="9681149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117872"/>
        <c:crosses val="autoZero"/>
        <c:auto val="1"/>
        <c:lblAlgn val="ctr"/>
        <c:lblOffset val="100"/>
        <c:noMultiLvlLbl val="0"/>
      </c:catAx>
      <c:valAx>
        <c:axId val="9681178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114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weekly sales and airplay</a:t>
            </a:r>
          </a:p>
        </c:rich>
      </c:tx>
      <c:overlay val="0"/>
      <c:spPr>
        <a:noFill/>
        <a:ln w="25400">
          <a:noFill/>
        </a:ln>
      </c:spPr>
    </c:title>
    <c:autoTitleDeleted val="0"/>
    <c:plotArea>
      <c:layout/>
      <c:lineChart>
        <c:grouping val="standard"/>
        <c:varyColors val="0"/>
        <c:ser>
          <c:idx val="0"/>
          <c:order val="0"/>
          <c:tx>
            <c:strRef>
              <c:f>'EG (All)'!$C$5</c:f>
              <c:strCache>
                <c:ptCount val="1"/>
                <c:pt idx="0">
                  <c:v>Incr_Sales</c:v>
                </c:pt>
              </c:strCache>
            </c:strRef>
          </c:tx>
          <c:spPr>
            <a:ln w="25400">
              <a:solidFill>
                <a:srgbClr val="000080"/>
              </a:solidFill>
              <a:prstDash val="solid"/>
            </a:ln>
          </c:spPr>
          <c:marker>
            <c:symbol val="none"/>
          </c:marker>
          <c:cat>
            <c:numRef>
              <c:f>'EG (All)'!$A$6:$A$51</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'EG (All)'!$C$6:$C$51</c:f>
              <c:numCache>
                <c:formatCode>General</c:formatCode>
                <c:ptCount val="46"/>
                <c:pt idx="0">
                  <c:v>74</c:v>
                </c:pt>
                <c:pt idx="1">
                  <c:v>68</c:v>
                </c:pt>
                <c:pt idx="2">
                  <c:v>85</c:v>
                </c:pt>
                <c:pt idx="3">
                  <c:v>86</c:v>
                </c:pt>
                <c:pt idx="4">
                  <c:v>96</c:v>
                </c:pt>
                <c:pt idx="5">
                  <c:v>107</c:v>
                </c:pt>
                <c:pt idx="6">
                  <c:v>85</c:v>
                </c:pt>
                <c:pt idx="7">
                  <c:v>74</c:v>
                </c:pt>
                <c:pt idx="8">
                  <c:v>87</c:v>
                </c:pt>
                <c:pt idx="9">
                  <c:v>74</c:v>
                </c:pt>
                <c:pt idx="10">
                  <c:v>88</c:v>
                </c:pt>
                <c:pt idx="11">
                  <c:v>101</c:v>
                </c:pt>
                <c:pt idx="12">
                  <c:v>176</c:v>
                </c:pt>
                <c:pt idx="13">
                  <c:v>144</c:v>
                </c:pt>
                <c:pt idx="14">
                  <c:v>178</c:v>
                </c:pt>
                <c:pt idx="15">
                  <c:v>141</c:v>
                </c:pt>
                <c:pt idx="16">
                  <c:v>151</c:v>
                </c:pt>
                <c:pt idx="17">
                  <c:v>102</c:v>
                </c:pt>
                <c:pt idx="18">
                  <c:v>132</c:v>
                </c:pt>
                <c:pt idx="19">
                  <c:v>188</c:v>
                </c:pt>
                <c:pt idx="20">
                  <c:v>121</c:v>
                </c:pt>
                <c:pt idx="21">
                  <c:v>139</c:v>
                </c:pt>
                <c:pt idx="22">
                  <c:v>166</c:v>
                </c:pt>
                <c:pt idx="23">
                  <c:v>170</c:v>
                </c:pt>
                <c:pt idx="24">
                  <c:v>316</c:v>
                </c:pt>
                <c:pt idx="25">
                  <c:v>427</c:v>
                </c:pt>
                <c:pt idx="26">
                  <c:v>584</c:v>
                </c:pt>
              </c:numCache>
            </c:numRef>
          </c:val>
          <c:smooth val="0"/>
          <c:extLst>
            <c:ext xmlns:c16="http://schemas.microsoft.com/office/drawing/2014/chart" uri="{C3380CC4-5D6E-409C-BE32-E72D297353CC}">
              <c16:uniqueId val="{00000000-4FE2-4D2C-9D8C-7DF6D011BBE4}"/>
            </c:ext>
          </c:extLst>
        </c:ser>
        <c:ser>
          <c:idx val="1"/>
          <c:order val="1"/>
          <c:tx>
            <c:strRef>
              <c:f>'EG (All)'!$D$5</c:f>
              <c:strCache>
                <c:ptCount val="1"/>
                <c:pt idx="0">
                  <c:v>Airplay</c:v>
                </c:pt>
              </c:strCache>
            </c:strRef>
          </c:tx>
          <c:spPr>
            <a:ln w="25400">
              <a:solidFill>
                <a:srgbClr val="FF00FF"/>
              </a:solidFill>
              <a:prstDash val="solid"/>
            </a:ln>
          </c:spPr>
          <c:marker>
            <c:symbol val="none"/>
          </c:marker>
          <c:cat>
            <c:numRef>
              <c:f>'EG (All)'!$A$6:$A$51</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'EG (All)'!$D$6:$D$51</c:f>
              <c:numCache>
                <c:formatCode>General</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formatCode="0">
                  <c:v>20.080000000000002</c:v>
                </c:pt>
                <c:pt idx="19" formatCode="0">
                  <c:v>18.669999999999998</c:v>
                </c:pt>
                <c:pt idx="20" formatCode="0">
                  <c:v>83.27000000000001</c:v>
                </c:pt>
                <c:pt idx="21" formatCode="0">
                  <c:v>184.69</c:v>
                </c:pt>
                <c:pt idx="22" formatCode="0">
                  <c:v>424.75</c:v>
                </c:pt>
                <c:pt idx="23" formatCode="0">
                  <c:v>518.51</c:v>
                </c:pt>
                <c:pt idx="24" formatCode="0">
                  <c:v>673.75</c:v>
                </c:pt>
                <c:pt idx="25" formatCode="0">
                  <c:v>670.4</c:v>
                </c:pt>
                <c:pt idx="26" formatCode="0">
                  <c:v>657.45</c:v>
                </c:pt>
              </c:numCache>
            </c:numRef>
          </c:val>
          <c:smooth val="0"/>
          <c:extLst>
            <c:ext xmlns:c16="http://schemas.microsoft.com/office/drawing/2014/chart" uri="{C3380CC4-5D6E-409C-BE32-E72D297353CC}">
              <c16:uniqueId val="{00000001-4FE2-4D2C-9D8C-7DF6D011BBE4}"/>
            </c:ext>
          </c:extLst>
        </c:ser>
        <c:dLbls>
          <c:showLegendKey val="0"/>
          <c:showVal val="0"/>
          <c:showCatName val="0"/>
          <c:showSerName val="0"/>
          <c:showPercent val="0"/>
          <c:showBubbleSize val="0"/>
        </c:dLbls>
        <c:smooth val="0"/>
        <c:axId val="175171840"/>
        <c:axId val="175174016"/>
      </c:lineChart>
      <c:catAx>
        <c:axId val="17517184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174016"/>
        <c:crosses val="autoZero"/>
        <c:auto val="0"/>
        <c:lblAlgn val="ctr"/>
        <c:lblOffset val="100"/>
        <c:tickLblSkip val="132"/>
        <c:tickMarkSkip val="1"/>
        <c:noMultiLvlLbl val="0"/>
      </c:catAx>
      <c:valAx>
        <c:axId val="17517401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sales/airplay</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17184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genuine forecasts</a:t>
            </a:r>
          </a:p>
        </c:rich>
      </c:tx>
      <c:overlay val="0"/>
      <c:spPr>
        <a:noFill/>
        <a:ln w="25400">
          <a:noFill/>
        </a:ln>
      </c:spPr>
    </c:title>
    <c:autoTitleDeleted val="0"/>
    <c:plotArea>
      <c:layout/>
      <c:lineChart>
        <c:grouping val="standard"/>
        <c:varyColors val="0"/>
        <c:ser>
          <c:idx val="0"/>
          <c:order val="0"/>
          <c:spPr>
            <a:ln w="25400">
              <a:solidFill>
                <a:srgbClr val="FF00FF"/>
              </a:solidFill>
              <a:prstDash val="solid"/>
            </a:ln>
          </c:spPr>
          <c:marker>
            <c:symbol val="none"/>
          </c:marker>
          <c:cat>
            <c:numRef>
              <c:f>'EG (All)'!$A$6:$A$51</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65"/>
                <c:pt idx="0">
                  <c:v>5224.4217589694226</c:v>
                </c:pt>
                <c:pt idx="1">
                  <c:v>10420.095805764095</c:v>
                </c:pt>
                <c:pt idx="2">
                  <c:v>15587.180326494108</c:v>
                </c:pt>
                <c:pt idx="3">
                  <c:v>20725.832636840245</c:v>
                </c:pt>
                <c:pt idx="4">
                  <c:v>25836.209186844131</c:v>
                </c:pt>
                <c:pt idx="5">
                  <c:v>30918.465565670696</c:v>
                </c:pt>
                <c:pt idx="6">
                  <c:v>35972.756506346028</c:v>
                </c:pt>
                <c:pt idx="7">
                  <c:v>40999.235890467557</c:v>
                </c:pt>
                <c:pt idx="8">
                  <c:v>45998.05675288973</c:v>
                </c:pt>
                <c:pt idx="9">
                  <c:v>50969.371286382971</c:v>
                </c:pt>
                <c:pt idx="10">
                  <c:v>55913.330846267076</c:v>
                </c:pt>
                <c:pt idx="11">
                  <c:v>60830.085955019866</c:v>
                </c:pt>
                <c:pt idx="12">
                  <c:v>65719.786306859693</c:v>
                </c:pt>
                <c:pt idx="13">
                  <c:v>70582.580772302666</c:v>
                </c:pt>
                <c:pt idx="14">
                  <c:v>75418.617402695774</c:v>
                </c:pt>
                <c:pt idx="15">
                  <c:v>80228.043434723877</c:v>
                </c:pt>
                <c:pt idx="16">
                  <c:v>85011.005294892748</c:v>
                </c:pt>
                <c:pt idx="17">
                  <c:v>89767.648603987065</c:v>
                </c:pt>
                <c:pt idx="18">
                  <c:v>94498.118181503552</c:v>
                </c:pt>
                <c:pt idx="19">
                  <c:v>99202.558050060892</c:v>
                </c:pt>
                <c:pt idx="20">
                  <c:v>103881.11143978406</c:v>
                </c:pt>
                <c:pt idx="21">
                  <c:v>108533.920792665</c:v>
                </c:pt>
                <c:pt idx="22">
                  <c:v>113161.12776689969</c:v>
                </c:pt>
                <c:pt idx="23">
                  <c:v>117762.87324120097</c:v>
                </c:pt>
                <c:pt idx="24">
                  <c:v>122339.29731908746</c:v>
                </c:pt>
                <c:pt idx="25">
                  <c:v>126890.53933314937</c:v>
                </c:pt>
                <c:pt idx="26">
                  <c:v>131416.73784929057</c:v>
                </c:pt>
                <c:pt idx="27">
                  <c:v>135918.03067094708</c:v>
                </c:pt>
                <c:pt idx="28">
                  <c:v>140394.55484328285</c:v>
                </c:pt>
                <c:pt idx="29">
                  <c:v>144846.44665736225</c:v>
                </c:pt>
                <c:pt idx="30">
                  <c:v>149273.84165429918</c:v>
                </c:pt>
                <c:pt idx="31">
                  <c:v>153676.87462938423</c:v>
                </c:pt>
                <c:pt idx="32">
                  <c:v>158055.67963618806</c:v>
                </c:pt>
                <c:pt idx="33">
                  <c:v>162410.38999064319</c:v>
                </c:pt>
                <c:pt idx="34">
                  <c:v>166741.13827510292</c:v>
                </c:pt>
                <c:pt idx="35">
                  <c:v>171048.05634237741</c:v>
                </c:pt>
                <c:pt idx="36">
                  <c:v>175331.2753197487</c:v>
                </c:pt>
                <c:pt idx="37">
                  <c:v>179590.92561296254</c:v>
                </c:pt>
                <c:pt idx="38">
                  <c:v>183827.13691019849</c:v>
                </c:pt>
                <c:pt idx="39">
                  <c:v>188040.03818601923</c:v>
                </c:pt>
                <c:pt idx="40">
                  <c:v>192229.75770529616</c:v>
                </c:pt>
                <c:pt idx="41">
                  <c:v>196396.42302711552</c:v>
                </c:pt>
                <c:pt idx="42">
                  <c:v>200540.16100866138</c:v>
                </c:pt>
                <c:pt idx="43">
                  <c:v>204661.09780907811</c:v>
                </c:pt>
                <c:pt idx="44">
                  <c:v>208759.35889331135</c:v>
                </c:pt>
                <c:pt idx="45">
                  <c:v>212835.0690359282</c:v>
                </c:pt>
                <c:pt idx="46">
                  <c:v>216888.35232491541</c:v>
                </c:pt>
                <c:pt idx="47">
                  <c:v>220919.33216545792</c:v>
                </c:pt>
                <c:pt idx="48">
                  <c:v>224928.13128369578</c:v>
                </c:pt>
                <c:pt idx="49">
                  <c:v>228914.87173046058</c:v>
                </c:pt>
                <c:pt idx="50">
                  <c:v>232879.67488499157</c:v>
                </c:pt>
                <c:pt idx="51">
                  <c:v>236822.66145863105</c:v>
                </c:pt>
                <c:pt idx="52">
                  <c:v>240743.95149849943</c:v>
                </c:pt>
                <c:pt idx="53">
                  <c:v>244643.6643911502</c:v>
                </c:pt>
                <c:pt idx="54">
                  <c:v>248521.91886620491</c:v>
                </c:pt>
                <c:pt idx="55">
                  <c:v>252378.83299996777</c:v>
                </c:pt>
                <c:pt idx="56">
                  <c:v>256214.52421902039</c:v>
                </c:pt>
                <c:pt idx="57">
                  <c:v>260029.10930379757</c:v>
                </c:pt>
                <c:pt idx="58">
                  <c:v>263822.70439214213</c:v>
                </c:pt>
                <c:pt idx="59">
                  <c:v>267595.42498284113</c:v>
                </c:pt>
                <c:pt idx="60">
                  <c:v>271347.38593914203</c:v>
                </c:pt>
                <c:pt idx="61">
                  <c:v>275078.7014922502</c:v>
                </c:pt>
                <c:pt idx="62">
                  <c:v>278789.48524480656</c:v>
                </c:pt>
                <c:pt idx="63">
                  <c:v>282479.85017434612</c:v>
                </c:pt>
                <c:pt idx="64">
                  <c:v>286149.90863673808</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0-6B46-41B1-87A8-066BA516D2DF}"/>
            </c:ext>
          </c:extLst>
        </c:ser>
        <c:ser>
          <c:idx val="1"/>
          <c:order val="1"/>
          <c:spPr>
            <a:ln w="25400">
              <a:solidFill>
                <a:srgbClr val="008000"/>
              </a:solidFill>
              <a:prstDash val="solid"/>
            </a:ln>
          </c:spPr>
          <c:marker>
            <c:symbol val="none"/>
          </c:marker>
          <c:cat>
            <c:numRef>
              <c:f>'EG (All)'!$A$6:$A$51</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65"/>
                <c:pt idx="0">
                  <c:v>5337.8599834530414</c:v>
                </c:pt>
                <c:pt idx="1">
                  <c:v>10635.213722550718</c:v>
                </c:pt>
                <c:pt idx="2">
                  <c:v>15892.601184708477</c:v>
                </c:pt>
                <c:pt idx="3">
                  <c:v>21110.55207449153</c:v>
                </c:pt>
                <c:pt idx="4">
                  <c:v>26289.58608625942</c:v>
                </c:pt>
                <c:pt idx="5">
                  <c:v>31430.213149191033</c:v>
                </c:pt>
                <c:pt idx="6">
                  <c:v>36532.933664959797</c:v>
                </c:pt>
                <c:pt idx="7">
                  <c:v>41598.238738319917</c:v>
                </c:pt>
                <c:pt idx="8">
                  <c:v>46626.610400853031</c:v>
                </c:pt>
                <c:pt idx="9">
                  <c:v>51618.521828118544</c:v>
                </c:pt>
                <c:pt idx="10">
                  <c:v>56574.437550431008</c:v>
                </c:pt>
                <c:pt idx="11">
                  <c:v>61494.813657491432</c:v>
                </c:pt>
                <c:pt idx="12">
                  <c:v>66380.097997082339</c:v>
                </c:pt>
                <c:pt idx="13">
                  <c:v>71230.730368030068</c:v>
                </c:pt>
                <c:pt idx="14">
                  <c:v>76047.142707627907</c:v>
                </c:pt>
                <c:pt idx="15">
                  <c:v>80829.759273713717</c:v>
                </c:pt>
                <c:pt idx="16">
                  <c:v>85578.996821573106</c:v>
                </c:pt>
                <c:pt idx="17">
                  <c:v>90295.264775854594</c:v>
                </c:pt>
                <c:pt idx="18">
                  <c:v>94978.965397647946</c:v>
                </c:pt>
                <c:pt idx="19">
                  <c:v>99630.493946900606</c:v>
                </c:pt>
                <c:pt idx="20">
                  <c:v>104250.23884031737</c:v>
                </c:pt>
                <c:pt idx="21">
                  <c:v>108838.58180489393</c:v>
                </c:pt>
                <c:pt idx="22">
                  <c:v>113395.89802722905</c:v>
                </c:pt>
                <c:pt idx="23">
                  <c:v>117922.55629874914</c:v>
                </c:pt>
                <c:pt idx="24">
                  <c:v>122418.91915698122</c:v>
                </c:pt>
                <c:pt idx="25">
                  <c:v>126885.34302299759</c:v>
                </c:pt>
                <c:pt idx="26">
                  <c:v>131322.17833515958</c:v>
                </c:pt>
                <c:pt idx="27">
                  <c:v>135729.76967927342</c:v>
                </c:pt>
                <c:pt idx="28">
                  <c:v>140108.45591527323</c:v>
                </c:pt>
                <c:pt idx="29">
                  <c:v>144458.57030054598</c:v>
                </c:pt>
                <c:pt idx="30">
                  <c:v>148780.44060999496</c:v>
                </c:pt>
                <c:pt idx="31">
                  <c:v>153074.38925294904</c:v>
                </c:pt>
                <c:pt idx="32">
                  <c:v>157340.73338701771</c:v>
                </c:pt>
                <c:pt idx="33">
                  <c:v>161579.78502897974</c:v>
                </c:pt>
                <c:pt idx="34">
                  <c:v>165791.85116280272</c:v>
                </c:pt>
                <c:pt idx="35">
                  <c:v>170644.09835148463</c:v>
                </c:pt>
                <c:pt idx="36">
                  <c:v>175460.90841741636</c:v>
                </c:pt>
                <c:pt idx="37">
                  <c:v>180242.73609641616</c:v>
                </c:pt>
                <c:pt idx="38">
                  <c:v>184990.02780267669</c:v>
                </c:pt>
                <c:pt idx="39">
                  <c:v>189055.42271100107</c:v>
                </c:pt>
                <c:pt idx="40">
                  <c:v>193095.75015619418</c:v>
                </c:pt>
                <c:pt idx="41">
                  <c:v>197111.28195723804</c:v>
                </c:pt>
                <c:pt idx="42">
                  <c:v>201102.28572613787</c:v>
                </c:pt>
                <c:pt idx="43">
                  <c:v>205069.02495234559</c:v>
                </c:pt>
                <c:pt idx="44">
                  <c:v>209011.75908510594</c:v>
                </c:pt>
                <c:pt idx="45">
                  <c:v>212930.74361378362</c:v>
                </c:pt>
                <c:pt idx="46">
                  <c:v>216826.23014623381</c:v>
                </c:pt>
                <c:pt idx="47">
                  <c:v>220698.46648526614</c:v>
                </c:pt>
                <c:pt idx="48">
                  <c:v>224547.6967032649</c:v>
                </c:pt>
                <c:pt idx="49">
                  <c:v>228374.16121501286</c:v>
                </c:pt>
                <c:pt idx="50">
                  <c:v>232178.09684876766</c:v>
                </c:pt>
                <c:pt idx="51">
                  <c:v>235959.73691564874</c:v>
                </c:pt>
                <c:pt idx="52">
                  <c:v>239719.31127737579</c:v>
                </c:pt>
                <c:pt idx="53">
                  <c:v>243457.0464124034</c:v>
                </c:pt>
                <c:pt idx="54">
                  <c:v>247173.16548050562</c:v>
                </c:pt>
                <c:pt idx="55">
                  <c:v>250867.88838584229</c:v>
                </c:pt>
                <c:pt idx="56">
                  <c:v>254541.43183855992</c:v>
                </c:pt>
                <c:pt idx="57">
                  <c:v>258194.00941495819</c:v>
                </c:pt>
                <c:pt idx="58">
                  <c:v>261825.83161626881</c:v>
                </c:pt>
                <c:pt idx="59">
                  <c:v>265437.10592608119</c:v>
                </c:pt>
                <c:pt idx="60">
                  <c:v>269028.03686644981</c:v>
                </c:pt>
                <c:pt idx="61">
                  <c:v>272598.82605272526</c:v>
                </c:pt>
                <c:pt idx="62">
                  <c:v>276149.67224713636</c:v>
                </c:pt>
                <c:pt idx="63">
                  <c:v>279680.77141116234</c:v>
                </c:pt>
                <c:pt idx="64">
                  <c:v>283192.31675672519</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1-6B46-41B1-87A8-066BA516D2DF}"/>
            </c:ext>
          </c:extLst>
        </c:ser>
        <c:ser>
          <c:idx val="2"/>
          <c:order val="2"/>
          <c:spPr>
            <a:ln w="12700">
              <a:solidFill>
                <a:srgbClr val="000080"/>
              </a:solidFill>
              <a:prstDash val="solid"/>
            </a:ln>
          </c:spPr>
          <c:marker>
            <c:symbol val="diamond"/>
            <c:size val="5"/>
            <c:spPr>
              <a:solidFill>
                <a:srgbClr val="000080"/>
              </a:solidFill>
              <a:ln>
                <a:solidFill>
                  <a:srgbClr val="000080"/>
                </a:solidFill>
                <a:prstDash val="solid"/>
              </a:ln>
            </c:spPr>
          </c:marker>
          <c:cat>
            <c:numRef>
              <c:f>'EG (All)'!$A$6:$A$51</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2-6B46-41B1-87A8-066BA516D2DF}"/>
            </c:ext>
          </c:extLst>
        </c:ser>
        <c:dLbls>
          <c:showLegendKey val="0"/>
          <c:showVal val="0"/>
          <c:showCatName val="0"/>
          <c:showSerName val="0"/>
          <c:showPercent val="0"/>
          <c:showBubbleSize val="0"/>
        </c:dLbls>
        <c:smooth val="0"/>
        <c:axId val="174883968"/>
        <c:axId val="174899200"/>
      </c:lineChart>
      <c:catAx>
        <c:axId val="17488396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899200"/>
        <c:crosses val="autoZero"/>
        <c:auto val="0"/>
        <c:lblAlgn val="ctr"/>
        <c:lblOffset val="100"/>
        <c:tickLblSkip val="192"/>
        <c:tickMarkSkip val="1"/>
        <c:noMultiLvlLbl val="0"/>
      </c:catAx>
      <c:valAx>
        <c:axId val="174899200"/>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883968"/>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early projections</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'EG (All)'!$A$6:$A$51</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72E3-4BD2-B3A1-9190319F5686}"/>
            </c:ext>
          </c:extLst>
        </c:ser>
        <c:ser>
          <c:idx val="1"/>
          <c:order val="1"/>
          <c:spPr>
            <a:ln w="25400">
              <a:solidFill>
                <a:srgbClr val="FF00FF"/>
              </a:solidFill>
              <a:prstDash val="solid"/>
            </a:ln>
          </c:spPr>
          <c:marker>
            <c:symbol val="none"/>
          </c:marker>
          <c:cat>
            <c:numRef>
              <c:f>'EG (All)'!$A$6:$A$51</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6205.5970060675982</c:v>
                </c:pt>
                <c:pt idx="1">
                  <c:v>12398.357534068038</c:v>
                </c:pt>
                <c:pt idx="2">
                  <c:v>18578.30813667105</c:v>
                </c:pt>
                <c:pt idx="3">
                  <c:v>24745.475311621969</c:v>
                </c:pt>
                <c:pt idx="4">
                  <c:v>30899.885501853631</c:v>
                </c:pt>
                <c:pt idx="5">
                  <c:v>37041.565095601967</c:v>
                </c:pt>
                <c:pt idx="6">
                  <c:v>43170.540426517247</c:v>
                </c:pt>
                <c:pt idx="7">
                  <c:v>49286.837773777959</c:v>
                </c:pt>
                <c:pt idx="8">
                  <c:v>55390.483362203093</c:v>
                </c:pt>
                <c:pt idx="9">
                  <c:v>61481.503362365023</c:v>
                </c:pt>
                <c:pt idx="10">
                  <c:v>67559.923890701422</c:v>
                </c:pt>
                <c:pt idx="11">
                  <c:v>73625.771009626857</c:v>
                </c:pt>
                <c:pt idx="12">
                  <c:v>79679.070727645681</c:v>
                </c:pt>
                <c:pt idx="13">
                  <c:v>85719.848999461945</c:v>
                </c:pt>
                <c:pt idx="14">
                  <c:v>91748.13172609231</c:v>
                </c:pt>
                <c:pt idx="15">
                  <c:v>97763.944754976299</c:v>
                </c:pt>
                <c:pt idx="16">
                  <c:v>103767.31388008619</c:v>
                </c:pt>
                <c:pt idx="17">
                  <c:v>109758.26484203999</c:v>
                </c:pt>
                <c:pt idx="18">
                  <c:v>115736.82332820923</c:v>
                </c:pt>
                <c:pt idx="19">
                  <c:v>121703.01497283098</c:v>
                </c:pt>
                <c:pt idx="20">
                  <c:v>127656.86535711707</c:v>
                </c:pt>
                <c:pt idx="21">
                  <c:v>133598.40000936363</c:v>
                </c:pt>
                <c:pt idx="22">
                  <c:v>139527.64440506004</c:v>
                </c:pt>
                <c:pt idx="23">
                  <c:v>145444.62396699988</c:v>
                </c:pt>
                <c:pt idx="24">
                  <c:v>151349.36406538801</c:v>
                </c:pt>
                <c:pt idx="25">
                  <c:v>157241.89001795073</c:v>
                </c:pt>
                <c:pt idx="26">
                  <c:v>163122.22709004386</c:v>
                </c:pt>
                <c:pt idx="27">
                  <c:v>168990.40049476034</c:v>
                </c:pt>
                <c:pt idx="28">
                  <c:v>174846.43539304013</c:v>
                </c:pt>
                <c:pt idx="29">
                  <c:v>180690.35689377555</c:v>
                </c:pt>
                <c:pt idx="30">
                  <c:v>186522.19005392145</c:v>
                </c:pt>
                <c:pt idx="31">
                  <c:v>192341.95987860113</c:v>
                </c:pt>
                <c:pt idx="32">
                  <c:v>198149.69132121396</c:v>
                </c:pt>
                <c:pt idx="33">
                  <c:v>203945.40928354289</c:v>
                </c:pt>
                <c:pt idx="34">
                  <c:v>209729.1386158604</c:v>
                </c:pt>
                <c:pt idx="35">
                  <c:v>215500.90411703481</c:v>
                </c:pt>
                <c:pt idx="36">
                  <c:v>221260.73053463778</c:v>
                </c:pt>
                <c:pt idx="37">
                  <c:v>227008.64256505028</c:v>
                </c:pt>
                <c:pt idx="38">
                  <c:v>232744.6648535667</c:v>
                </c:pt>
                <c:pt idx="39">
                  <c:v>238468.82199450338</c:v>
                </c:pt>
                <c:pt idx="40">
                  <c:v>244181.1385313012</c:v>
                </c:pt>
                <c:pt idx="41">
                  <c:v>249881.63895663273</c:v>
                </c:pt>
                <c:pt idx="42">
                  <c:v>255570.34771250674</c:v>
                </c:pt>
                <c:pt idx="43">
                  <c:v>261247.28919037309</c:v>
                </c:pt>
                <c:pt idx="44">
                  <c:v>266912.48773122631</c:v>
                </c:pt>
                <c:pt idx="45">
                  <c:v>272565.96762571164</c:v>
                </c:pt>
                <c:pt idx="46">
                  <c:v>278207.75311422796</c:v>
                </c:pt>
                <c:pt idx="47">
                  <c:v>283837.86838703218</c:v>
                </c:pt>
                <c:pt idx="48">
                  <c:v>289456.33758434275</c:v>
                </c:pt>
                <c:pt idx="49">
                  <c:v>295063.18479644344</c:v>
                </c:pt>
                <c:pt idx="50">
                  <c:v>300658.43406378658</c:v>
                </c:pt>
                <c:pt idx="51">
                  <c:v>306242.10937709583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72E3-4BD2-B3A1-9190319F5686}"/>
            </c:ext>
          </c:extLst>
        </c:ser>
        <c:ser>
          <c:idx val="2"/>
          <c:order val="2"/>
          <c:spPr>
            <a:ln w="25400">
              <a:solidFill>
                <a:srgbClr val="008000"/>
              </a:solidFill>
              <a:prstDash val="solid"/>
            </a:ln>
          </c:spPr>
          <c:marker>
            <c:symbol val="none"/>
          </c:marker>
          <c:cat>
            <c:numRef>
              <c:f>'EG (All)'!$A$6:$A$51</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6236.3185158423876</c:v>
                </c:pt>
                <c:pt idx="1">
                  <c:v>12456.105476353119</c:v>
                </c:pt>
                <c:pt idx="2">
                  <c:v>18659.414150744902</c:v>
                </c:pt>
                <c:pt idx="3">
                  <c:v>24846.297606183398</c:v>
                </c:pt>
                <c:pt idx="4">
                  <c:v>31016.80870865786</c:v>
                </c:pt>
                <c:pt idx="5">
                  <c:v>37171.000123869424</c:v>
                </c:pt>
                <c:pt idx="6">
                  <c:v>43308.924318095407</c:v>
                </c:pt>
                <c:pt idx="7">
                  <c:v>49430.63355905997</c:v>
                </c:pt>
                <c:pt idx="8">
                  <c:v>55536.179916802372</c:v>
                </c:pt>
                <c:pt idx="9">
                  <c:v>61625.615264532033</c:v>
                </c:pt>
                <c:pt idx="10">
                  <c:v>67698.991279486756</c:v>
                </c:pt>
                <c:pt idx="11">
                  <c:v>73756.359443787107</c:v>
                </c:pt>
                <c:pt idx="12">
                  <c:v>79797.771045275076</c:v>
                </c:pt>
                <c:pt idx="13">
                  <c:v>85823.277178370685</c:v>
                </c:pt>
                <c:pt idx="14">
                  <c:v>91832.928744896344</c:v>
                </c:pt>
                <c:pt idx="15">
                  <c:v>97826.776454923878</c:v>
                </c:pt>
                <c:pt idx="16">
                  <c:v>103804.87082759848</c:v>
                </c:pt>
                <c:pt idx="17">
                  <c:v>109767.26219197208</c:v>
                </c:pt>
                <c:pt idx="18">
                  <c:v>115714.00068781502</c:v>
                </c:pt>
                <c:pt idx="19">
                  <c:v>121645.13626644868</c:v>
                </c:pt>
                <c:pt idx="20">
                  <c:v>127560.71869154894</c:v>
                </c:pt>
                <c:pt idx="21">
                  <c:v>133460.79753996443</c:v>
                </c:pt>
                <c:pt idx="22">
                  <c:v>139345.42220251821</c:v>
                </c:pt>
                <c:pt idx="23">
                  <c:v>145214.64188481527</c:v>
                </c:pt>
                <c:pt idx="24">
                  <c:v>151068.50560803665</c:v>
                </c:pt>
                <c:pt idx="25">
                  <c:v>156907.06220974037</c:v>
                </c:pt>
                <c:pt idx="26">
                  <c:v>162730.36034464737</c:v>
                </c:pt>
                <c:pt idx="27">
                  <c:v>168538.44848542986</c:v>
                </c:pt>
                <c:pt idx="28">
                  <c:v>174331.37492349805</c:v>
                </c:pt>
                <c:pt idx="29">
                  <c:v>180109.18776977746</c:v>
                </c:pt>
                <c:pt idx="30">
                  <c:v>185871.93495548383</c:v>
                </c:pt>
                <c:pt idx="31">
                  <c:v>191619.66423289722</c:v>
                </c:pt>
                <c:pt idx="32">
                  <c:v>197352.42317613267</c:v>
                </c:pt>
                <c:pt idx="33">
                  <c:v>203070.25918189669</c:v>
                </c:pt>
                <c:pt idx="34">
                  <c:v>208773.21947025752</c:v>
                </c:pt>
                <c:pt idx="35">
                  <c:v>214461.35108539666</c:v>
                </c:pt>
                <c:pt idx="36">
                  <c:v>220134.70089636612</c:v>
                </c:pt>
                <c:pt idx="37">
                  <c:v>225793.31559783532</c:v>
                </c:pt>
                <c:pt idx="38">
                  <c:v>231437.24171083735</c:v>
                </c:pt>
                <c:pt idx="39">
                  <c:v>237066.52558351649</c:v>
                </c:pt>
                <c:pt idx="40">
                  <c:v>242681.21339185978</c:v>
                </c:pt>
                <c:pt idx="41">
                  <c:v>248281.35114044035</c:v>
                </c:pt>
                <c:pt idx="42">
                  <c:v>253866.98466314361</c:v>
                </c:pt>
                <c:pt idx="43">
                  <c:v>259438.15962389749</c:v>
                </c:pt>
                <c:pt idx="44">
                  <c:v>264994.92151739931</c:v>
                </c:pt>
                <c:pt idx="45">
                  <c:v>270537.31566983397</c:v>
                </c:pt>
                <c:pt idx="46">
                  <c:v>276065.38723959605</c:v>
                </c:pt>
                <c:pt idx="47">
                  <c:v>281579.18121799931</c:v>
                </c:pt>
                <c:pt idx="48">
                  <c:v>287078.74242999242</c:v>
                </c:pt>
                <c:pt idx="49">
                  <c:v>292564.11553486239</c:v>
                </c:pt>
                <c:pt idx="50">
                  <c:v>298035.34502694273</c:v>
                </c:pt>
                <c:pt idx="51">
                  <c:v>303492.47523631272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72E3-4BD2-B3A1-9190319F5686}"/>
            </c:ext>
          </c:extLst>
        </c:ser>
        <c:dLbls>
          <c:showLegendKey val="0"/>
          <c:showVal val="0"/>
          <c:showCatName val="0"/>
          <c:showSerName val="0"/>
          <c:showPercent val="0"/>
          <c:showBubbleSize val="0"/>
        </c:dLbls>
        <c:marker val="1"/>
        <c:smooth val="0"/>
        <c:axId val="175012480"/>
        <c:axId val="175014656"/>
      </c:lineChart>
      <c:catAx>
        <c:axId val="17501248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14656"/>
        <c:crosses val="autoZero"/>
        <c:auto val="0"/>
        <c:lblAlgn val="ctr"/>
        <c:lblOffset val="100"/>
        <c:tickLblSkip val="153"/>
        <c:tickMarkSkip val="1"/>
        <c:noMultiLvlLbl val="0"/>
      </c:catAx>
      <c:valAx>
        <c:axId val="17501465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1248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model fit and validated forecast</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'EG (All)'!$A$6:$A$51</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7408-4183-A972-27946522125E}"/>
            </c:ext>
          </c:extLst>
        </c:ser>
        <c:ser>
          <c:idx val="1"/>
          <c:order val="1"/>
          <c:spPr>
            <a:ln w="25400">
              <a:solidFill>
                <a:srgbClr val="FF00FF"/>
              </a:solidFill>
              <a:prstDash val="solid"/>
            </a:ln>
          </c:spPr>
          <c:marker>
            <c:symbol val="none"/>
          </c:marker>
          <c:cat>
            <c:numRef>
              <c:f>'EG (All)'!$A$6:$A$51</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7344.335729028825</c:v>
                </c:pt>
                <c:pt idx="1">
                  <c:v>14436.551199097725</c:v>
                </c:pt>
                <c:pt idx="2">
                  <c:v>21285.301328408012</c:v>
                </c:pt>
                <c:pt idx="3">
                  <c:v>27898.943924530697</c:v>
                </c:pt>
                <c:pt idx="4">
                  <c:v>34285.549883777916</c:v>
                </c:pt>
                <c:pt idx="5">
                  <c:v>40452.913040445157</c:v>
                </c:pt>
                <c:pt idx="6">
                  <c:v>46408.559677943333</c:v>
                </c:pt>
                <c:pt idx="7">
                  <c:v>52159.757713427702</c:v>
                </c:pt>
                <c:pt idx="8">
                  <c:v>57713.525567131976</c:v>
                </c:pt>
                <c:pt idx="9">
                  <c:v>63076.64072723117</c:v>
                </c:pt>
                <c:pt idx="10">
                  <c:v>68255.648020685359</c:v>
                </c:pt>
                <c:pt idx="11">
                  <c:v>73256.86760015742</c:v>
                </c:pt>
                <c:pt idx="12">
                  <c:v>78086.402656751801</c:v>
                </c:pt>
                <c:pt idx="13">
                  <c:v>82750.146867985968</c:v>
                </c:pt>
                <c:pt idx="14">
                  <c:v>87253.791590084365</c:v>
                </c:pt>
                <c:pt idx="15">
                  <c:v>91602.832803371042</c:v>
                </c:pt>
                <c:pt idx="16">
                  <c:v>95802.577819237515</c:v>
                </c:pt>
                <c:pt idx="17">
                  <c:v>99858.151756870066</c:v>
                </c:pt>
                <c:pt idx="18">
                  <c:v>103774.50379764057</c:v>
                </c:pt>
                <c:pt idx="19">
                  <c:v>107556.41322479326</c:v>
                </c:pt>
                <c:pt idx="20">
                  <c:v>111208.4952557979</c:v>
                </c:pt>
                <c:pt idx="21">
                  <c:v>114735.20667448692</c:v>
                </c:pt>
                <c:pt idx="22">
                  <c:v>118140.85126984945</c:v>
                </c:pt>
                <c:pt idx="23">
                  <c:v>121429.58508811954</c:v>
                </c:pt>
                <c:pt idx="24">
                  <c:v>124605.42150456809</c:v>
                </c:pt>
                <c:pt idx="25">
                  <c:v>127672.23612118732</c:v>
                </c:pt>
                <c:pt idx="26">
                  <c:v>130633.77149624519</c:v>
                </c:pt>
                <c:pt idx="27">
                  <c:v>133493.641711481</c:v>
                </c:pt>
                <c:pt idx="28">
                  <c:v>136255.33678251592</c:v>
                </c:pt>
                <c:pt idx="29">
                  <c:v>138922.22691786065</c:v>
                </c:pt>
                <c:pt idx="30">
                  <c:v>141497.56663171755</c:v>
                </c:pt>
                <c:pt idx="31">
                  <c:v>143984.49871559627</c:v>
                </c:pt>
                <c:pt idx="32">
                  <c:v>146386.05807358978</c:v>
                </c:pt>
                <c:pt idx="33">
                  <c:v>148705.17542599089</c:v>
                </c:pt>
                <c:pt idx="34">
                  <c:v>150944.68088576914</c:v>
                </c:pt>
                <c:pt idx="35">
                  <c:v>153128.47144011562</c:v>
                </c:pt>
                <c:pt idx="36">
                  <c:v>155236.56203205764</c:v>
                </c:pt>
                <c:pt idx="37">
                  <c:v>157271.57676137282</c:v>
                </c:pt>
                <c:pt idx="38">
                  <c:v>159236.04876478645</c:v>
                </c:pt>
                <c:pt idx="39">
                  <c:v>161114.04480952566</c:v>
                </c:pt>
                <c:pt idx="40">
                  <c:v>162927.57200825959</c:v>
                </c:pt>
                <c:pt idx="41">
                  <c:v>164678.8434817864</c:v>
                </c:pt>
                <c:pt idx="42">
                  <c:v>166369.99637771747</c:v>
                </c:pt>
                <c:pt idx="43">
                  <c:v>168003.09447852554</c:v>
                </c:pt>
                <c:pt idx="44">
                  <c:v>169580.13072006224</c:v>
                </c:pt>
                <c:pt idx="45">
                  <c:v>171103.02962361835</c:v>
                </c:pt>
                <c:pt idx="46">
                  <c:v>172573.64964449525</c:v>
                </c:pt>
                <c:pt idx="47">
                  <c:v>173993.78543995344</c:v>
                </c:pt>
                <c:pt idx="48">
                  <c:v>175365.17005930538</c:v>
                </c:pt>
                <c:pt idx="49">
                  <c:v>176689.47705882601</c:v>
                </c:pt>
                <c:pt idx="50">
                  <c:v>177968.32254406132</c:v>
                </c:pt>
                <c:pt idx="51">
                  <c:v>179203.26714202741</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7408-4183-A972-27946522125E}"/>
            </c:ext>
          </c:extLst>
        </c:ser>
        <c:ser>
          <c:idx val="2"/>
          <c:order val="2"/>
          <c:spPr>
            <a:ln w="25400">
              <a:solidFill>
                <a:srgbClr val="008000"/>
              </a:solidFill>
              <a:prstDash val="solid"/>
            </a:ln>
          </c:spPr>
          <c:marker>
            <c:symbol val="none"/>
          </c:marker>
          <c:cat>
            <c:numRef>
              <c:f>'EG (All)'!$A$6:$A$51</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8499.3219409211779</c:v>
                </c:pt>
                <c:pt idx="1">
                  <c:v>16404.804123137495</c:v>
                </c:pt>
                <c:pt idx="2">
                  <c:v>23792.754684577423</c:v>
                </c:pt>
                <c:pt idx="3">
                  <c:v>30725.730351800816</c:v>
                </c:pt>
                <c:pt idx="4">
                  <c:v>37255.646350869756</c:v>
                </c:pt>
                <c:pt idx="5">
                  <c:v>43426.055223524942</c:v>
                </c:pt>
                <c:pt idx="6">
                  <c:v>49273.847370987503</c:v>
                </c:pt>
                <c:pt idx="7">
                  <c:v>54830.540786694248</c:v>
                </c:pt>
                <c:pt idx="8">
                  <c:v>60123.273491882399</c:v>
                </c:pt>
                <c:pt idx="9">
                  <c:v>65175.577222763903</c:v>
                </c:pt>
                <c:pt idx="10">
                  <c:v>70007.987739005519</c:v>
                </c:pt>
                <c:pt idx="11">
                  <c:v>74638.53144247079</c:v>
                </c:pt>
                <c:pt idx="12">
                  <c:v>79083.117190512858</c:v>
                </c:pt>
                <c:pt idx="13">
                  <c:v>83355.854617961581</c:v>
                </c:pt>
                <c:pt idx="14">
                  <c:v>87469.314896583499</c:v>
                </c:pt>
                <c:pt idx="15">
                  <c:v>91434.745975696569</c:v>
                </c:pt>
                <c:pt idx="16">
                  <c:v>95262.251508608126</c:v>
                </c:pt>
                <c:pt idx="17">
                  <c:v>98960.940570115621</c:v>
                </c:pt>
                <c:pt idx="18">
                  <c:v>102539.05370062744</c:v>
                </c:pt>
                <c:pt idx="19">
                  <c:v>106004.06962679887</c:v>
                </c:pt>
                <c:pt idx="20">
                  <c:v>109362.7961043987</c:v>
                </c:pt>
                <c:pt idx="21">
                  <c:v>112621.44763344251</c:v>
                </c:pt>
                <c:pt idx="22">
                  <c:v>115785.71225590339</c:v>
                </c:pt>
                <c:pt idx="23">
                  <c:v>118860.80922427788</c:v>
                </c:pt>
                <c:pt idx="24">
                  <c:v>121851.53899685852</c:v>
                </c:pt>
                <c:pt idx="25">
                  <c:v>124762.32675190546</c:v>
                </c:pt>
                <c:pt idx="26">
                  <c:v>127597.26040240616</c:v>
                </c:pt>
                <c:pt idx="27">
                  <c:v>130360.12392403407</c:v>
                </c:pt>
                <c:pt idx="28">
                  <c:v>133054.42667229407</c:v>
                </c:pt>
                <c:pt idx="29">
                  <c:v>135683.42925384446</c:v>
                </c:pt>
                <c:pt idx="30">
                  <c:v>138250.16642633482</c:v>
                </c:pt>
                <c:pt idx="31">
                  <c:v>140757.46742667383</c:v>
                </c:pt>
                <c:pt idx="32">
                  <c:v>143207.97406628681</c:v>
                </c:pt>
                <c:pt idx="33">
                  <c:v>145604.15688106132</c:v>
                </c:pt>
                <c:pt idx="34">
                  <c:v>147948.3295813876</c:v>
                </c:pt>
                <c:pt idx="35">
                  <c:v>154519.3973396708</c:v>
                </c:pt>
                <c:pt idx="36">
                  <c:v>160712.39594842569</c:v>
                </c:pt>
                <c:pt idx="37">
                  <c:v>166567.77713775184</c:v>
                </c:pt>
                <c:pt idx="38">
                  <c:v>172119.86247883536</c:v>
                </c:pt>
                <c:pt idx="39">
                  <c:v>173955.8060925912</c:v>
                </c:pt>
                <c:pt idx="40">
                  <c:v>175760.75892452724</c:v>
                </c:pt>
                <c:pt idx="41">
                  <c:v>177535.73104752653</c:v>
                </c:pt>
                <c:pt idx="42">
                  <c:v>179281.68424125924</c:v>
                </c:pt>
                <c:pt idx="43">
                  <c:v>180999.53501339117</c:v>
                </c:pt>
                <c:pt idx="44">
                  <c:v>182690.15738858763</c:v>
                </c:pt>
                <c:pt idx="45">
                  <c:v>184354.38548637839</c:v>
                </c:pt>
                <c:pt idx="46">
                  <c:v>185993.01590675808</c:v>
                </c:pt>
                <c:pt idx="47">
                  <c:v>187606.80994045688</c:v>
                </c:pt>
                <c:pt idx="48">
                  <c:v>189196.49561910034</c:v>
                </c:pt>
                <c:pt idx="49">
                  <c:v>190762.76961896522</c:v>
                </c:pt>
                <c:pt idx="50">
                  <c:v>192306.29903068152</c:v>
                </c:pt>
                <c:pt idx="51">
                  <c:v>193827.72300604312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7408-4183-A972-27946522125E}"/>
            </c:ext>
          </c:extLst>
        </c:ser>
        <c:dLbls>
          <c:showLegendKey val="0"/>
          <c:showVal val="0"/>
          <c:showCatName val="0"/>
          <c:showSerName val="0"/>
          <c:showPercent val="0"/>
          <c:showBubbleSize val="0"/>
        </c:dLbls>
        <c:marker val="1"/>
        <c:smooth val="0"/>
        <c:axId val="175063424"/>
        <c:axId val="175065344"/>
      </c:lineChart>
      <c:catAx>
        <c:axId val="17506342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65344"/>
        <c:crosses val="autoZero"/>
        <c:auto val="0"/>
        <c:lblAlgn val="ctr"/>
        <c:lblOffset val="100"/>
        <c:tickLblSkip val="153"/>
        <c:tickMarkSkip val="1"/>
        <c:noMultiLvlLbl val="0"/>
      </c:catAx>
      <c:valAx>
        <c:axId val="175065344"/>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63424"/>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weekly sales and airplay</a:t>
            </a:r>
          </a:p>
        </c:rich>
      </c:tx>
      <c:overlay val="0"/>
      <c:spPr>
        <a:noFill/>
        <a:ln w="25400">
          <a:noFill/>
        </a:ln>
      </c:spPr>
    </c:title>
    <c:autoTitleDeleted val="0"/>
    <c:plotArea>
      <c:layout/>
      <c:lineChart>
        <c:grouping val="standard"/>
        <c:varyColors val="0"/>
        <c:ser>
          <c:idx val="0"/>
          <c:order val="0"/>
          <c:tx>
            <c:strRef>
              <c:f>'Exp (All)'!$D$8</c:f>
              <c:strCache>
                <c:ptCount val="1"/>
                <c:pt idx="0">
                  <c:v>Incr_Sales</c:v>
                </c:pt>
              </c:strCache>
            </c:strRef>
          </c:tx>
          <c:spPr>
            <a:ln w="25400">
              <a:solidFill>
                <a:srgbClr val="000080"/>
              </a:solidFill>
              <a:prstDash val="solid"/>
            </a:ln>
          </c:spPr>
          <c:marker>
            <c:symbol val="none"/>
          </c:marker>
          <c:cat>
            <c:numRef>
              <c:f>'Exp (All)'!$A$9:$A$54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'Exp (All)'!$D$9:$D$54</c:f>
              <c:numCache>
                <c:formatCode>General</c:formatCode>
                <c:ptCount val="46"/>
                <c:pt idx="0">
                  <c:v>74</c:v>
                </c:pt>
                <c:pt idx="1">
                  <c:v>68</c:v>
                </c:pt>
                <c:pt idx="2">
                  <c:v>85</c:v>
                </c:pt>
                <c:pt idx="3">
                  <c:v>86</c:v>
                </c:pt>
                <c:pt idx="4">
                  <c:v>96</c:v>
                </c:pt>
                <c:pt idx="5">
                  <c:v>107</c:v>
                </c:pt>
                <c:pt idx="6">
                  <c:v>85</c:v>
                </c:pt>
                <c:pt idx="7">
                  <c:v>74</c:v>
                </c:pt>
                <c:pt idx="8">
                  <c:v>87</c:v>
                </c:pt>
                <c:pt idx="9">
                  <c:v>74</c:v>
                </c:pt>
                <c:pt idx="10">
                  <c:v>88</c:v>
                </c:pt>
                <c:pt idx="11">
                  <c:v>101</c:v>
                </c:pt>
                <c:pt idx="12">
                  <c:v>176</c:v>
                </c:pt>
                <c:pt idx="13">
                  <c:v>144</c:v>
                </c:pt>
                <c:pt idx="14">
                  <c:v>178</c:v>
                </c:pt>
                <c:pt idx="15">
                  <c:v>141</c:v>
                </c:pt>
                <c:pt idx="16">
                  <c:v>151</c:v>
                </c:pt>
                <c:pt idx="17">
                  <c:v>102</c:v>
                </c:pt>
                <c:pt idx="18">
                  <c:v>132</c:v>
                </c:pt>
                <c:pt idx="19">
                  <c:v>188</c:v>
                </c:pt>
                <c:pt idx="20">
                  <c:v>121</c:v>
                </c:pt>
                <c:pt idx="21">
                  <c:v>139</c:v>
                </c:pt>
                <c:pt idx="22">
                  <c:v>166</c:v>
                </c:pt>
                <c:pt idx="23">
                  <c:v>170</c:v>
                </c:pt>
                <c:pt idx="24">
                  <c:v>316</c:v>
                </c:pt>
                <c:pt idx="25">
                  <c:v>427</c:v>
                </c:pt>
                <c:pt idx="26">
                  <c:v>584</c:v>
                </c:pt>
              </c:numCache>
            </c:numRef>
          </c:val>
          <c:smooth val="0"/>
          <c:extLst>
            <c:ext xmlns:c16="http://schemas.microsoft.com/office/drawing/2014/chart" uri="{C3380CC4-5D6E-409C-BE32-E72D297353CC}">
              <c16:uniqueId val="{00000000-0A20-404D-AE77-9E6BCA781C14}"/>
            </c:ext>
          </c:extLst>
        </c:ser>
        <c:ser>
          <c:idx val="1"/>
          <c:order val="1"/>
          <c:tx>
            <c:strRef>
              <c:f>'Exp (All)'!$P$8</c:f>
              <c:strCache>
                <c:ptCount val="1"/>
                <c:pt idx="0">
                  <c:v>ln(Airplay)</c:v>
                </c:pt>
              </c:strCache>
            </c:strRef>
          </c:tx>
          <c:spPr>
            <a:ln w="25400">
              <a:solidFill>
                <a:srgbClr val="FF00FF"/>
              </a:solidFill>
              <a:prstDash val="solid"/>
            </a:ln>
          </c:spPr>
          <c:marker>
            <c:symbol val="none"/>
          </c:marker>
          <c:cat>
            <c:numRef>
              <c:f>'Exp (All)'!$A$9:$A$54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W!#REF!</c:f>
              <c:numCache>
                <c:formatCode>General</c:formatCode>
                <c:ptCount val="1"/>
                <c:pt idx="0">
                  <c:v>1</c:v>
                </c:pt>
              </c:numCache>
            </c:numRef>
          </c:val>
          <c:smooth val="0"/>
          <c:extLst>
            <c:ext xmlns:c16="http://schemas.microsoft.com/office/drawing/2014/chart" uri="{C3380CC4-5D6E-409C-BE32-E72D297353CC}">
              <c16:uniqueId val="{00000001-0A20-404D-AE77-9E6BCA781C14}"/>
            </c:ext>
          </c:extLst>
        </c:ser>
        <c:dLbls>
          <c:showLegendKey val="0"/>
          <c:showVal val="0"/>
          <c:showCatName val="0"/>
          <c:showSerName val="0"/>
          <c:showPercent val="0"/>
          <c:showBubbleSize val="0"/>
        </c:dLbls>
        <c:smooth val="0"/>
        <c:axId val="175171840"/>
        <c:axId val="175174016"/>
      </c:lineChart>
      <c:catAx>
        <c:axId val="17517184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174016"/>
        <c:crosses val="autoZero"/>
        <c:auto val="0"/>
        <c:lblAlgn val="ctr"/>
        <c:lblOffset val="100"/>
        <c:tickLblSkip val="132"/>
        <c:tickMarkSkip val="1"/>
        <c:noMultiLvlLbl val="0"/>
      </c:catAx>
      <c:valAx>
        <c:axId val="17517401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sales/airplay</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17184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genuine forecasts</a:t>
            </a:r>
          </a:p>
        </c:rich>
      </c:tx>
      <c:overlay val="0"/>
      <c:spPr>
        <a:noFill/>
        <a:ln w="25400">
          <a:noFill/>
        </a:ln>
      </c:spPr>
    </c:title>
    <c:autoTitleDeleted val="0"/>
    <c:plotArea>
      <c:layout/>
      <c:lineChart>
        <c:grouping val="standard"/>
        <c:varyColors val="0"/>
        <c:ser>
          <c:idx val="0"/>
          <c:order val="0"/>
          <c:spPr>
            <a:ln w="25400">
              <a:solidFill>
                <a:srgbClr val="FF00FF"/>
              </a:solidFill>
              <a:prstDash val="solid"/>
            </a:ln>
          </c:spPr>
          <c:marker>
            <c:symbol val="none"/>
          </c:marker>
          <c:cat>
            <c:numRef>
              <c:f>'Exp (All)'!$A$9:$A$54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65"/>
                <c:pt idx="0">
                  <c:v>5224.4217589694226</c:v>
                </c:pt>
                <c:pt idx="1">
                  <c:v>10420.095805764095</c:v>
                </c:pt>
                <c:pt idx="2">
                  <c:v>15587.180326494108</c:v>
                </c:pt>
                <c:pt idx="3">
                  <c:v>20725.832636840245</c:v>
                </c:pt>
                <c:pt idx="4">
                  <c:v>25836.209186844131</c:v>
                </c:pt>
                <c:pt idx="5">
                  <c:v>30918.465565670696</c:v>
                </c:pt>
                <c:pt idx="6">
                  <c:v>35972.756506346028</c:v>
                </c:pt>
                <c:pt idx="7">
                  <c:v>40999.235890467557</c:v>
                </c:pt>
                <c:pt idx="8">
                  <c:v>45998.05675288973</c:v>
                </c:pt>
                <c:pt idx="9">
                  <c:v>50969.371286382971</c:v>
                </c:pt>
                <c:pt idx="10">
                  <c:v>55913.330846267076</c:v>
                </c:pt>
                <c:pt idx="11">
                  <c:v>60830.085955019866</c:v>
                </c:pt>
                <c:pt idx="12">
                  <c:v>65719.786306859693</c:v>
                </c:pt>
                <c:pt idx="13">
                  <c:v>70582.580772302666</c:v>
                </c:pt>
                <c:pt idx="14">
                  <c:v>75418.617402695774</c:v>
                </c:pt>
                <c:pt idx="15">
                  <c:v>80228.043434723877</c:v>
                </c:pt>
                <c:pt idx="16">
                  <c:v>85011.005294892748</c:v>
                </c:pt>
                <c:pt idx="17">
                  <c:v>89767.648603987065</c:v>
                </c:pt>
                <c:pt idx="18">
                  <c:v>94498.118181503552</c:v>
                </c:pt>
                <c:pt idx="19">
                  <c:v>99202.558050060892</c:v>
                </c:pt>
                <c:pt idx="20">
                  <c:v>103881.11143978406</c:v>
                </c:pt>
                <c:pt idx="21">
                  <c:v>108533.920792665</c:v>
                </c:pt>
                <c:pt idx="22">
                  <c:v>113161.12776689969</c:v>
                </c:pt>
                <c:pt idx="23">
                  <c:v>117762.87324120097</c:v>
                </c:pt>
                <c:pt idx="24">
                  <c:v>122339.29731908746</c:v>
                </c:pt>
                <c:pt idx="25">
                  <c:v>126890.53933314937</c:v>
                </c:pt>
                <c:pt idx="26">
                  <c:v>131416.73784929057</c:v>
                </c:pt>
                <c:pt idx="27">
                  <c:v>135918.03067094708</c:v>
                </c:pt>
                <c:pt idx="28">
                  <c:v>140394.55484328285</c:v>
                </c:pt>
                <c:pt idx="29">
                  <c:v>144846.44665736225</c:v>
                </c:pt>
                <c:pt idx="30">
                  <c:v>149273.84165429918</c:v>
                </c:pt>
                <c:pt idx="31">
                  <c:v>153676.87462938423</c:v>
                </c:pt>
                <c:pt idx="32">
                  <c:v>158055.67963618806</c:v>
                </c:pt>
                <c:pt idx="33">
                  <c:v>162410.38999064319</c:v>
                </c:pt>
                <c:pt idx="34">
                  <c:v>166741.13827510292</c:v>
                </c:pt>
                <c:pt idx="35">
                  <c:v>171048.05634237741</c:v>
                </c:pt>
                <c:pt idx="36">
                  <c:v>175331.2753197487</c:v>
                </c:pt>
                <c:pt idx="37">
                  <c:v>179590.92561296254</c:v>
                </c:pt>
                <c:pt idx="38">
                  <c:v>183827.13691019849</c:v>
                </c:pt>
                <c:pt idx="39">
                  <c:v>188040.03818601923</c:v>
                </c:pt>
                <c:pt idx="40">
                  <c:v>192229.75770529616</c:v>
                </c:pt>
                <c:pt idx="41">
                  <c:v>196396.42302711552</c:v>
                </c:pt>
                <c:pt idx="42">
                  <c:v>200540.16100866138</c:v>
                </c:pt>
                <c:pt idx="43">
                  <c:v>204661.09780907811</c:v>
                </c:pt>
                <c:pt idx="44">
                  <c:v>208759.35889331135</c:v>
                </c:pt>
                <c:pt idx="45">
                  <c:v>212835.0690359282</c:v>
                </c:pt>
                <c:pt idx="46">
                  <c:v>216888.35232491541</c:v>
                </c:pt>
                <c:pt idx="47">
                  <c:v>220919.33216545792</c:v>
                </c:pt>
                <c:pt idx="48">
                  <c:v>224928.13128369578</c:v>
                </c:pt>
                <c:pt idx="49">
                  <c:v>228914.87173046058</c:v>
                </c:pt>
                <c:pt idx="50">
                  <c:v>232879.67488499157</c:v>
                </c:pt>
                <c:pt idx="51">
                  <c:v>236822.66145863105</c:v>
                </c:pt>
                <c:pt idx="52">
                  <c:v>240743.95149849943</c:v>
                </c:pt>
                <c:pt idx="53">
                  <c:v>244643.6643911502</c:v>
                </c:pt>
                <c:pt idx="54">
                  <c:v>248521.91886620491</c:v>
                </c:pt>
                <c:pt idx="55">
                  <c:v>252378.83299996777</c:v>
                </c:pt>
                <c:pt idx="56">
                  <c:v>256214.52421902039</c:v>
                </c:pt>
                <c:pt idx="57">
                  <c:v>260029.10930379757</c:v>
                </c:pt>
                <c:pt idx="58">
                  <c:v>263822.70439214213</c:v>
                </c:pt>
                <c:pt idx="59">
                  <c:v>267595.42498284113</c:v>
                </c:pt>
                <c:pt idx="60">
                  <c:v>271347.38593914203</c:v>
                </c:pt>
                <c:pt idx="61">
                  <c:v>275078.7014922502</c:v>
                </c:pt>
                <c:pt idx="62">
                  <c:v>278789.48524480656</c:v>
                </c:pt>
                <c:pt idx="63">
                  <c:v>282479.85017434612</c:v>
                </c:pt>
                <c:pt idx="64">
                  <c:v>286149.90863673808</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0-15BE-41F9-BCB8-CC65383B704B}"/>
            </c:ext>
          </c:extLst>
        </c:ser>
        <c:ser>
          <c:idx val="1"/>
          <c:order val="1"/>
          <c:spPr>
            <a:ln w="25400">
              <a:solidFill>
                <a:srgbClr val="008000"/>
              </a:solidFill>
              <a:prstDash val="solid"/>
            </a:ln>
          </c:spPr>
          <c:marker>
            <c:symbol val="none"/>
          </c:marker>
          <c:cat>
            <c:numRef>
              <c:f>'Exp (All)'!$A$9:$A$54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65"/>
                <c:pt idx="0">
                  <c:v>5337.8599834530414</c:v>
                </c:pt>
                <c:pt idx="1">
                  <c:v>10635.213722550718</c:v>
                </c:pt>
                <c:pt idx="2">
                  <c:v>15892.601184708477</c:v>
                </c:pt>
                <c:pt idx="3">
                  <c:v>21110.55207449153</c:v>
                </c:pt>
                <c:pt idx="4">
                  <c:v>26289.58608625942</c:v>
                </c:pt>
                <c:pt idx="5">
                  <c:v>31430.213149191033</c:v>
                </c:pt>
                <c:pt idx="6">
                  <c:v>36532.933664959797</c:v>
                </c:pt>
                <c:pt idx="7">
                  <c:v>41598.238738319917</c:v>
                </c:pt>
                <c:pt idx="8">
                  <c:v>46626.610400853031</c:v>
                </c:pt>
                <c:pt idx="9">
                  <c:v>51618.521828118544</c:v>
                </c:pt>
                <c:pt idx="10">
                  <c:v>56574.437550431008</c:v>
                </c:pt>
                <c:pt idx="11">
                  <c:v>61494.813657491432</c:v>
                </c:pt>
                <c:pt idx="12">
                  <c:v>66380.097997082339</c:v>
                </c:pt>
                <c:pt idx="13">
                  <c:v>71230.730368030068</c:v>
                </c:pt>
                <c:pt idx="14">
                  <c:v>76047.142707627907</c:v>
                </c:pt>
                <c:pt idx="15">
                  <c:v>80829.759273713717</c:v>
                </c:pt>
                <c:pt idx="16">
                  <c:v>85578.996821573106</c:v>
                </c:pt>
                <c:pt idx="17">
                  <c:v>90295.264775854594</c:v>
                </c:pt>
                <c:pt idx="18">
                  <c:v>94978.965397647946</c:v>
                </c:pt>
                <c:pt idx="19">
                  <c:v>99630.493946900606</c:v>
                </c:pt>
                <c:pt idx="20">
                  <c:v>104250.23884031737</c:v>
                </c:pt>
                <c:pt idx="21">
                  <c:v>108838.58180489393</c:v>
                </c:pt>
                <c:pt idx="22">
                  <c:v>113395.89802722905</c:v>
                </c:pt>
                <c:pt idx="23">
                  <c:v>117922.55629874914</c:v>
                </c:pt>
                <c:pt idx="24">
                  <c:v>122418.91915698122</c:v>
                </c:pt>
                <c:pt idx="25">
                  <c:v>126885.34302299759</c:v>
                </c:pt>
                <c:pt idx="26">
                  <c:v>131322.17833515958</c:v>
                </c:pt>
                <c:pt idx="27">
                  <c:v>135729.76967927342</c:v>
                </c:pt>
                <c:pt idx="28">
                  <c:v>140108.45591527323</c:v>
                </c:pt>
                <c:pt idx="29">
                  <c:v>144458.57030054598</c:v>
                </c:pt>
                <c:pt idx="30">
                  <c:v>148780.44060999496</c:v>
                </c:pt>
                <c:pt idx="31">
                  <c:v>153074.38925294904</c:v>
                </c:pt>
                <c:pt idx="32">
                  <c:v>157340.73338701771</c:v>
                </c:pt>
                <c:pt idx="33">
                  <c:v>161579.78502897974</c:v>
                </c:pt>
                <c:pt idx="34">
                  <c:v>165791.85116280272</c:v>
                </c:pt>
                <c:pt idx="35">
                  <c:v>170644.09835148463</c:v>
                </c:pt>
                <c:pt idx="36">
                  <c:v>175460.90841741636</c:v>
                </c:pt>
                <c:pt idx="37">
                  <c:v>180242.73609641616</c:v>
                </c:pt>
                <c:pt idx="38">
                  <c:v>184990.02780267669</c:v>
                </c:pt>
                <c:pt idx="39">
                  <c:v>189055.42271100107</c:v>
                </c:pt>
                <c:pt idx="40">
                  <c:v>193095.75015619418</c:v>
                </c:pt>
                <c:pt idx="41">
                  <c:v>197111.28195723804</c:v>
                </c:pt>
                <c:pt idx="42">
                  <c:v>201102.28572613787</c:v>
                </c:pt>
                <c:pt idx="43">
                  <c:v>205069.02495234559</c:v>
                </c:pt>
                <c:pt idx="44">
                  <c:v>209011.75908510594</c:v>
                </c:pt>
                <c:pt idx="45">
                  <c:v>212930.74361378362</c:v>
                </c:pt>
                <c:pt idx="46">
                  <c:v>216826.23014623381</c:v>
                </c:pt>
                <c:pt idx="47">
                  <c:v>220698.46648526614</c:v>
                </c:pt>
                <c:pt idx="48">
                  <c:v>224547.6967032649</c:v>
                </c:pt>
                <c:pt idx="49">
                  <c:v>228374.16121501286</c:v>
                </c:pt>
                <c:pt idx="50">
                  <c:v>232178.09684876766</c:v>
                </c:pt>
                <c:pt idx="51">
                  <c:v>235959.73691564874</c:v>
                </c:pt>
                <c:pt idx="52">
                  <c:v>239719.31127737579</c:v>
                </c:pt>
                <c:pt idx="53">
                  <c:v>243457.0464124034</c:v>
                </c:pt>
                <c:pt idx="54">
                  <c:v>247173.16548050562</c:v>
                </c:pt>
                <c:pt idx="55">
                  <c:v>250867.88838584229</c:v>
                </c:pt>
                <c:pt idx="56">
                  <c:v>254541.43183855992</c:v>
                </c:pt>
                <c:pt idx="57">
                  <c:v>258194.00941495819</c:v>
                </c:pt>
                <c:pt idx="58">
                  <c:v>261825.83161626881</c:v>
                </c:pt>
                <c:pt idx="59">
                  <c:v>265437.10592608119</c:v>
                </c:pt>
                <c:pt idx="60">
                  <c:v>269028.03686644981</c:v>
                </c:pt>
                <c:pt idx="61">
                  <c:v>272598.82605272526</c:v>
                </c:pt>
                <c:pt idx="62">
                  <c:v>276149.67224713636</c:v>
                </c:pt>
                <c:pt idx="63">
                  <c:v>279680.77141116234</c:v>
                </c:pt>
                <c:pt idx="64">
                  <c:v>283192.31675672519</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1-15BE-41F9-BCB8-CC65383B704B}"/>
            </c:ext>
          </c:extLst>
        </c:ser>
        <c:ser>
          <c:idx val="2"/>
          <c:order val="2"/>
          <c:spPr>
            <a:ln w="12700">
              <a:solidFill>
                <a:srgbClr val="000080"/>
              </a:solidFill>
              <a:prstDash val="solid"/>
            </a:ln>
          </c:spPr>
          <c:marker>
            <c:symbol val="diamond"/>
            <c:size val="5"/>
            <c:spPr>
              <a:solidFill>
                <a:srgbClr val="000080"/>
              </a:solidFill>
              <a:ln>
                <a:solidFill>
                  <a:srgbClr val="000080"/>
                </a:solidFill>
                <a:prstDash val="solid"/>
              </a:ln>
            </c:spPr>
          </c:marker>
          <c:cat>
            <c:numRef>
              <c:f>'Exp (All)'!$A$9:$A$54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2-15BE-41F9-BCB8-CC65383B704B}"/>
            </c:ext>
          </c:extLst>
        </c:ser>
        <c:dLbls>
          <c:showLegendKey val="0"/>
          <c:showVal val="0"/>
          <c:showCatName val="0"/>
          <c:showSerName val="0"/>
          <c:showPercent val="0"/>
          <c:showBubbleSize val="0"/>
        </c:dLbls>
        <c:smooth val="0"/>
        <c:axId val="174883968"/>
        <c:axId val="174899200"/>
      </c:lineChart>
      <c:catAx>
        <c:axId val="17488396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899200"/>
        <c:crosses val="autoZero"/>
        <c:auto val="0"/>
        <c:lblAlgn val="ctr"/>
        <c:lblOffset val="100"/>
        <c:tickLblSkip val="192"/>
        <c:tickMarkSkip val="1"/>
        <c:noMultiLvlLbl val="0"/>
      </c:catAx>
      <c:valAx>
        <c:axId val="174899200"/>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883968"/>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early projections</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'Exp (All)'!$A$9:$A$54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49EF-45B4-9671-53BC79BCFA88}"/>
            </c:ext>
          </c:extLst>
        </c:ser>
        <c:ser>
          <c:idx val="1"/>
          <c:order val="1"/>
          <c:spPr>
            <a:ln w="25400">
              <a:solidFill>
                <a:srgbClr val="FF00FF"/>
              </a:solidFill>
              <a:prstDash val="solid"/>
            </a:ln>
          </c:spPr>
          <c:marker>
            <c:symbol val="none"/>
          </c:marker>
          <c:cat>
            <c:numRef>
              <c:f>'Exp (All)'!$A$9:$A$54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6205.5970060675982</c:v>
                </c:pt>
                <c:pt idx="1">
                  <c:v>12398.357534068038</c:v>
                </c:pt>
                <c:pt idx="2">
                  <c:v>18578.30813667105</c:v>
                </c:pt>
                <c:pt idx="3">
                  <c:v>24745.475311621969</c:v>
                </c:pt>
                <c:pt idx="4">
                  <c:v>30899.885501853631</c:v>
                </c:pt>
                <c:pt idx="5">
                  <c:v>37041.565095601967</c:v>
                </c:pt>
                <c:pt idx="6">
                  <c:v>43170.540426517247</c:v>
                </c:pt>
                <c:pt idx="7">
                  <c:v>49286.837773777959</c:v>
                </c:pt>
                <c:pt idx="8">
                  <c:v>55390.483362203093</c:v>
                </c:pt>
                <c:pt idx="9">
                  <c:v>61481.503362365023</c:v>
                </c:pt>
                <c:pt idx="10">
                  <c:v>67559.923890701422</c:v>
                </c:pt>
                <c:pt idx="11">
                  <c:v>73625.771009626857</c:v>
                </c:pt>
                <c:pt idx="12">
                  <c:v>79679.070727645681</c:v>
                </c:pt>
                <c:pt idx="13">
                  <c:v>85719.848999461945</c:v>
                </c:pt>
                <c:pt idx="14">
                  <c:v>91748.13172609231</c:v>
                </c:pt>
                <c:pt idx="15">
                  <c:v>97763.944754976299</c:v>
                </c:pt>
                <c:pt idx="16">
                  <c:v>103767.31388008619</c:v>
                </c:pt>
                <c:pt idx="17">
                  <c:v>109758.26484203999</c:v>
                </c:pt>
                <c:pt idx="18">
                  <c:v>115736.82332820923</c:v>
                </c:pt>
                <c:pt idx="19">
                  <c:v>121703.01497283098</c:v>
                </c:pt>
                <c:pt idx="20">
                  <c:v>127656.86535711707</c:v>
                </c:pt>
                <c:pt idx="21">
                  <c:v>133598.40000936363</c:v>
                </c:pt>
                <c:pt idx="22">
                  <c:v>139527.64440506004</c:v>
                </c:pt>
                <c:pt idx="23">
                  <c:v>145444.62396699988</c:v>
                </c:pt>
                <c:pt idx="24">
                  <c:v>151349.36406538801</c:v>
                </c:pt>
                <c:pt idx="25">
                  <c:v>157241.89001795073</c:v>
                </c:pt>
                <c:pt idx="26">
                  <c:v>163122.22709004386</c:v>
                </c:pt>
                <c:pt idx="27">
                  <c:v>168990.40049476034</c:v>
                </c:pt>
                <c:pt idx="28">
                  <c:v>174846.43539304013</c:v>
                </c:pt>
                <c:pt idx="29">
                  <c:v>180690.35689377555</c:v>
                </c:pt>
                <c:pt idx="30">
                  <c:v>186522.19005392145</c:v>
                </c:pt>
                <c:pt idx="31">
                  <c:v>192341.95987860113</c:v>
                </c:pt>
                <c:pt idx="32">
                  <c:v>198149.69132121396</c:v>
                </c:pt>
                <c:pt idx="33">
                  <c:v>203945.40928354289</c:v>
                </c:pt>
                <c:pt idx="34">
                  <c:v>209729.1386158604</c:v>
                </c:pt>
                <c:pt idx="35">
                  <c:v>215500.90411703481</c:v>
                </c:pt>
                <c:pt idx="36">
                  <c:v>221260.73053463778</c:v>
                </c:pt>
                <c:pt idx="37">
                  <c:v>227008.64256505028</c:v>
                </c:pt>
                <c:pt idx="38">
                  <c:v>232744.6648535667</c:v>
                </c:pt>
                <c:pt idx="39">
                  <c:v>238468.82199450338</c:v>
                </c:pt>
                <c:pt idx="40">
                  <c:v>244181.1385313012</c:v>
                </c:pt>
                <c:pt idx="41">
                  <c:v>249881.63895663273</c:v>
                </c:pt>
                <c:pt idx="42">
                  <c:v>255570.34771250674</c:v>
                </c:pt>
                <c:pt idx="43">
                  <c:v>261247.28919037309</c:v>
                </c:pt>
                <c:pt idx="44">
                  <c:v>266912.48773122631</c:v>
                </c:pt>
                <c:pt idx="45">
                  <c:v>272565.96762571164</c:v>
                </c:pt>
                <c:pt idx="46">
                  <c:v>278207.75311422796</c:v>
                </c:pt>
                <c:pt idx="47">
                  <c:v>283837.86838703218</c:v>
                </c:pt>
                <c:pt idx="48">
                  <c:v>289456.33758434275</c:v>
                </c:pt>
                <c:pt idx="49">
                  <c:v>295063.18479644344</c:v>
                </c:pt>
                <c:pt idx="50">
                  <c:v>300658.43406378658</c:v>
                </c:pt>
                <c:pt idx="51">
                  <c:v>306242.10937709583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49EF-45B4-9671-53BC79BCFA88}"/>
            </c:ext>
          </c:extLst>
        </c:ser>
        <c:ser>
          <c:idx val="2"/>
          <c:order val="2"/>
          <c:spPr>
            <a:ln w="25400">
              <a:solidFill>
                <a:srgbClr val="008000"/>
              </a:solidFill>
              <a:prstDash val="solid"/>
            </a:ln>
          </c:spPr>
          <c:marker>
            <c:symbol val="none"/>
          </c:marker>
          <c:cat>
            <c:numRef>
              <c:f>'Exp (All)'!$A$9:$A$54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6236.3185158423876</c:v>
                </c:pt>
                <c:pt idx="1">
                  <c:v>12456.105476353119</c:v>
                </c:pt>
                <c:pt idx="2">
                  <c:v>18659.414150744902</c:v>
                </c:pt>
                <c:pt idx="3">
                  <c:v>24846.297606183398</c:v>
                </c:pt>
                <c:pt idx="4">
                  <c:v>31016.80870865786</c:v>
                </c:pt>
                <c:pt idx="5">
                  <c:v>37171.000123869424</c:v>
                </c:pt>
                <c:pt idx="6">
                  <c:v>43308.924318095407</c:v>
                </c:pt>
                <c:pt idx="7">
                  <c:v>49430.63355905997</c:v>
                </c:pt>
                <c:pt idx="8">
                  <c:v>55536.179916802372</c:v>
                </c:pt>
                <c:pt idx="9">
                  <c:v>61625.615264532033</c:v>
                </c:pt>
                <c:pt idx="10">
                  <c:v>67698.991279486756</c:v>
                </c:pt>
                <c:pt idx="11">
                  <c:v>73756.359443787107</c:v>
                </c:pt>
                <c:pt idx="12">
                  <c:v>79797.771045275076</c:v>
                </c:pt>
                <c:pt idx="13">
                  <c:v>85823.277178370685</c:v>
                </c:pt>
                <c:pt idx="14">
                  <c:v>91832.928744896344</c:v>
                </c:pt>
                <c:pt idx="15">
                  <c:v>97826.776454923878</c:v>
                </c:pt>
                <c:pt idx="16">
                  <c:v>103804.87082759848</c:v>
                </c:pt>
                <c:pt idx="17">
                  <c:v>109767.26219197208</c:v>
                </c:pt>
                <c:pt idx="18">
                  <c:v>115714.00068781502</c:v>
                </c:pt>
                <c:pt idx="19">
                  <c:v>121645.13626644868</c:v>
                </c:pt>
                <c:pt idx="20">
                  <c:v>127560.71869154894</c:v>
                </c:pt>
                <c:pt idx="21">
                  <c:v>133460.79753996443</c:v>
                </c:pt>
                <c:pt idx="22">
                  <c:v>139345.42220251821</c:v>
                </c:pt>
                <c:pt idx="23">
                  <c:v>145214.64188481527</c:v>
                </c:pt>
                <c:pt idx="24">
                  <c:v>151068.50560803665</c:v>
                </c:pt>
                <c:pt idx="25">
                  <c:v>156907.06220974037</c:v>
                </c:pt>
                <c:pt idx="26">
                  <c:v>162730.36034464737</c:v>
                </c:pt>
                <c:pt idx="27">
                  <c:v>168538.44848542986</c:v>
                </c:pt>
                <c:pt idx="28">
                  <c:v>174331.37492349805</c:v>
                </c:pt>
                <c:pt idx="29">
                  <c:v>180109.18776977746</c:v>
                </c:pt>
                <c:pt idx="30">
                  <c:v>185871.93495548383</c:v>
                </c:pt>
                <c:pt idx="31">
                  <c:v>191619.66423289722</c:v>
                </c:pt>
                <c:pt idx="32">
                  <c:v>197352.42317613267</c:v>
                </c:pt>
                <c:pt idx="33">
                  <c:v>203070.25918189669</c:v>
                </c:pt>
                <c:pt idx="34">
                  <c:v>208773.21947025752</c:v>
                </c:pt>
                <c:pt idx="35">
                  <c:v>214461.35108539666</c:v>
                </c:pt>
                <c:pt idx="36">
                  <c:v>220134.70089636612</c:v>
                </c:pt>
                <c:pt idx="37">
                  <c:v>225793.31559783532</c:v>
                </c:pt>
                <c:pt idx="38">
                  <c:v>231437.24171083735</c:v>
                </c:pt>
                <c:pt idx="39">
                  <c:v>237066.52558351649</c:v>
                </c:pt>
                <c:pt idx="40">
                  <c:v>242681.21339185978</c:v>
                </c:pt>
                <c:pt idx="41">
                  <c:v>248281.35114044035</c:v>
                </c:pt>
                <c:pt idx="42">
                  <c:v>253866.98466314361</c:v>
                </c:pt>
                <c:pt idx="43">
                  <c:v>259438.15962389749</c:v>
                </c:pt>
                <c:pt idx="44">
                  <c:v>264994.92151739931</c:v>
                </c:pt>
                <c:pt idx="45">
                  <c:v>270537.31566983397</c:v>
                </c:pt>
                <c:pt idx="46">
                  <c:v>276065.38723959605</c:v>
                </c:pt>
                <c:pt idx="47">
                  <c:v>281579.18121799931</c:v>
                </c:pt>
                <c:pt idx="48">
                  <c:v>287078.74242999242</c:v>
                </c:pt>
                <c:pt idx="49">
                  <c:v>292564.11553486239</c:v>
                </c:pt>
                <c:pt idx="50">
                  <c:v>298035.34502694273</c:v>
                </c:pt>
                <c:pt idx="51">
                  <c:v>303492.47523631272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49EF-45B4-9671-53BC79BCFA88}"/>
            </c:ext>
          </c:extLst>
        </c:ser>
        <c:dLbls>
          <c:showLegendKey val="0"/>
          <c:showVal val="0"/>
          <c:showCatName val="0"/>
          <c:showSerName val="0"/>
          <c:showPercent val="0"/>
          <c:showBubbleSize val="0"/>
        </c:dLbls>
        <c:marker val="1"/>
        <c:smooth val="0"/>
        <c:axId val="175012480"/>
        <c:axId val="175014656"/>
      </c:lineChart>
      <c:catAx>
        <c:axId val="17501248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14656"/>
        <c:crosses val="autoZero"/>
        <c:auto val="0"/>
        <c:lblAlgn val="ctr"/>
        <c:lblOffset val="100"/>
        <c:tickLblSkip val="153"/>
        <c:tickMarkSkip val="1"/>
        <c:noMultiLvlLbl val="0"/>
      </c:catAx>
      <c:valAx>
        <c:axId val="17501465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1248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model fit and validated forecast</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'Exp (All)'!$A$9:$A$54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1C38-410A-BB21-227E036ACA14}"/>
            </c:ext>
          </c:extLst>
        </c:ser>
        <c:ser>
          <c:idx val="1"/>
          <c:order val="1"/>
          <c:spPr>
            <a:ln w="25400">
              <a:solidFill>
                <a:srgbClr val="FF00FF"/>
              </a:solidFill>
              <a:prstDash val="solid"/>
            </a:ln>
          </c:spPr>
          <c:marker>
            <c:symbol val="none"/>
          </c:marker>
          <c:cat>
            <c:numRef>
              <c:f>'Exp (All)'!$A$9:$A$54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7344.335729028825</c:v>
                </c:pt>
                <c:pt idx="1">
                  <c:v>14436.551199097725</c:v>
                </c:pt>
                <c:pt idx="2">
                  <c:v>21285.301328408012</c:v>
                </c:pt>
                <c:pt idx="3">
                  <c:v>27898.943924530697</c:v>
                </c:pt>
                <c:pt idx="4">
                  <c:v>34285.549883777916</c:v>
                </c:pt>
                <c:pt idx="5">
                  <c:v>40452.913040445157</c:v>
                </c:pt>
                <c:pt idx="6">
                  <c:v>46408.559677943333</c:v>
                </c:pt>
                <c:pt idx="7">
                  <c:v>52159.757713427702</c:v>
                </c:pt>
                <c:pt idx="8">
                  <c:v>57713.525567131976</c:v>
                </c:pt>
                <c:pt idx="9">
                  <c:v>63076.64072723117</c:v>
                </c:pt>
                <c:pt idx="10">
                  <c:v>68255.648020685359</c:v>
                </c:pt>
                <c:pt idx="11">
                  <c:v>73256.86760015742</c:v>
                </c:pt>
                <c:pt idx="12">
                  <c:v>78086.402656751801</c:v>
                </c:pt>
                <c:pt idx="13">
                  <c:v>82750.146867985968</c:v>
                </c:pt>
                <c:pt idx="14">
                  <c:v>87253.791590084365</c:v>
                </c:pt>
                <c:pt idx="15">
                  <c:v>91602.832803371042</c:v>
                </c:pt>
                <c:pt idx="16">
                  <c:v>95802.577819237515</c:v>
                </c:pt>
                <c:pt idx="17">
                  <c:v>99858.151756870066</c:v>
                </c:pt>
                <c:pt idx="18">
                  <c:v>103774.50379764057</c:v>
                </c:pt>
                <c:pt idx="19">
                  <c:v>107556.41322479326</c:v>
                </c:pt>
                <c:pt idx="20">
                  <c:v>111208.4952557979</c:v>
                </c:pt>
                <c:pt idx="21">
                  <c:v>114735.20667448692</c:v>
                </c:pt>
                <c:pt idx="22">
                  <c:v>118140.85126984945</c:v>
                </c:pt>
                <c:pt idx="23">
                  <c:v>121429.58508811954</c:v>
                </c:pt>
                <c:pt idx="24">
                  <c:v>124605.42150456809</c:v>
                </c:pt>
                <c:pt idx="25">
                  <c:v>127672.23612118732</c:v>
                </c:pt>
                <c:pt idx="26">
                  <c:v>130633.77149624519</c:v>
                </c:pt>
                <c:pt idx="27">
                  <c:v>133493.641711481</c:v>
                </c:pt>
                <c:pt idx="28">
                  <c:v>136255.33678251592</c:v>
                </c:pt>
                <c:pt idx="29">
                  <c:v>138922.22691786065</c:v>
                </c:pt>
                <c:pt idx="30">
                  <c:v>141497.56663171755</c:v>
                </c:pt>
                <c:pt idx="31">
                  <c:v>143984.49871559627</c:v>
                </c:pt>
                <c:pt idx="32">
                  <c:v>146386.05807358978</c:v>
                </c:pt>
                <c:pt idx="33">
                  <c:v>148705.17542599089</c:v>
                </c:pt>
                <c:pt idx="34">
                  <c:v>150944.68088576914</c:v>
                </c:pt>
                <c:pt idx="35">
                  <c:v>153128.47144011562</c:v>
                </c:pt>
                <c:pt idx="36">
                  <c:v>155236.56203205764</c:v>
                </c:pt>
                <c:pt idx="37">
                  <c:v>157271.57676137282</c:v>
                </c:pt>
                <c:pt idx="38">
                  <c:v>159236.04876478645</c:v>
                </c:pt>
                <c:pt idx="39">
                  <c:v>161114.04480952566</c:v>
                </c:pt>
                <c:pt idx="40">
                  <c:v>162927.57200825959</c:v>
                </c:pt>
                <c:pt idx="41">
                  <c:v>164678.8434817864</c:v>
                </c:pt>
                <c:pt idx="42">
                  <c:v>166369.99637771747</c:v>
                </c:pt>
                <c:pt idx="43">
                  <c:v>168003.09447852554</c:v>
                </c:pt>
                <c:pt idx="44">
                  <c:v>169580.13072006224</c:v>
                </c:pt>
                <c:pt idx="45">
                  <c:v>171103.02962361835</c:v>
                </c:pt>
                <c:pt idx="46">
                  <c:v>172573.64964449525</c:v>
                </c:pt>
                <c:pt idx="47">
                  <c:v>173993.78543995344</c:v>
                </c:pt>
                <c:pt idx="48">
                  <c:v>175365.17005930538</c:v>
                </c:pt>
                <c:pt idx="49">
                  <c:v>176689.47705882601</c:v>
                </c:pt>
                <c:pt idx="50">
                  <c:v>177968.32254406132</c:v>
                </c:pt>
                <c:pt idx="51">
                  <c:v>179203.26714202741</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1C38-410A-BB21-227E036ACA14}"/>
            </c:ext>
          </c:extLst>
        </c:ser>
        <c:ser>
          <c:idx val="2"/>
          <c:order val="2"/>
          <c:spPr>
            <a:ln w="25400">
              <a:solidFill>
                <a:srgbClr val="008000"/>
              </a:solidFill>
              <a:prstDash val="solid"/>
            </a:ln>
          </c:spPr>
          <c:marker>
            <c:symbol val="none"/>
          </c:marker>
          <c:cat>
            <c:numRef>
              <c:f>'Exp (All)'!$A$9:$A$54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8499.3219409211779</c:v>
                </c:pt>
                <c:pt idx="1">
                  <c:v>16404.804123137495</c:v>
                </c:pt>
                <c:pt idx="2">
                  <c:v>23792.754684577423</c:v>
                </c:pt>
                <c:pt idx="3">
                  <c:v>30725.730351800816</c:v>
                </c:pt>
                <c:pt idx="4">
                  <c:v>37255.646350869756</c:v>
                </c:pt>
                <c:pt idx="5">
                  <c:v>43426.055223524942</c:v>
                </c:pt>
                <c:pt idx="6">
                  <c:v>49273.847370987503</c:v>
                </c:pt>
                <c:pt idx="7">
                  <c:v>54830.540786694248</c:v>
                </c:pt>
                <c:pt idx="8">
                  <c:v>60123.273491882399</c:v>
                </c:pt>
                <c:pt idx="9">
                  <c:v>65175.577222763903</c:v>
                </c:pt>
                <c:pt idx="10">
                  <c:v>70007.987739005519</c:v>
                </c:pt>
                <c:pt idx="11">
                  <c:v>74638.53144247079</c:v>
                </c:pt>
                <c:pt idx="12">
                  <c:v>79083.117190512858</c:v>
                </c:pt>
                <c:pt idx="13">
                  <c:v>83355.854617961581</c:v>
                </c:pt>
                <c:pt idx="14">
                  <c:v>87469.314896583499</c:v>
                </c:pt>
                <c:pt idx="15">
                  <c:v>91434.745975696569</c:v>
                </c:pt>
                <c:pt idx="16">
                  <c:v>95262.251508608126</c:v>
                </c:pt>
                <c:pt idx="17">
                  <c:v>98960.940570115621</c:v>
                </c:pt>
                <c:pt idx="18">
                  <c:v>102539.05370062744</c:v>
                </c:pt>
                <c:pt idx="19">
                  <c:v>106004.06962679887</c:v>
                </c:pt>
                <c:pt idx="20">
                  <c:v>109362.7961043987</c:v>
                </c:pt>
                <c:pt idx="21">
                  <c:v>112621.44763344251</c:v>
                </c:pt>
                <c:pt idx="22">
                  <c:v>115785.71225590339</c:v>
                </c:pt>
                <c:pt idx="23">
                  <c:v>118860.80922427788</c:v>
                </c:pt>
                <c:pt idx="24">
                  <c:v>121851.53899685852</c:v>
                </c:pt>
                <c:pt idx="25">
                  <c:v>124762.32675190546</c:v>
                </c:pt>
                <c:pt idx="26">
                  <c:v>127597.26040240616</c:v>
                </c:pt>
                <c:pt idx="27">
                  <c:v>130360.12392403407</c:v>
                </c:pt>
                <c:pt idx="28">
                  <c:v>133054.42667229407</c:v>
                </c:pt>
                <c:pt idx="29">
                  <c:v>135683.42925384446</c:v>
                </c:pt>
                <c:pt idx="30">
                  <c:v>138250.16642633482</c:v>
                </c:pt>
                <c:pt idx="31">
                  <c:v>140757.46742667383</c:v>
                </c:pt>
                <c:pt idx="32">
                  <c:v>143207.97406628681</c:v>
                </c:pt>
                <c:pt idx="33">
                  <c:v>145604.15688106132</c:v>
                </c:pt>
                <c:pt idx="34">
                  <c:v>147948.3295813876</c:v>
                </c:pt>
                <c:pt idx="35">
                  <c:v>154519.3973396708</c:v>
                </c:pt>
                <c:pt idx="36">
                  <c:v>160712.39594842569</c:v>
                </c:pt>
                <c:pt idx="37">
                  <c:v>166567.77713775184</c:v>
                </c:pt>
                <c:pt idx="38">
                  <c:v>172119.86247883536</c:v>
                </c:pt>
                <c:pt idx="39">
                  <c:v>173955.8060925912</c:v>
                </c:pt>
                <c:pt idx="40">
                  <c:v>175760.75892452724</c:v>
                </c:pt>
                <c:pt idx="41">
                  <c:v>177535.73104752653</c:v>
                </c:pt>
                <c:pt idx="42">
                  <c:v>179281.68424125924</c:v>
                </c:pt>
                <c:pt idx="43">
                  <c:v>180999.53501339117</c:v>
                </c:pt>
                <c:pt idx="44">
                  <c:v>182690.15738858763</c:v>
                </c:pt>
                <c:pt idx="45">
                  <c:v>184354.38548637839</c:v>
                </c:pt>
                <c:pt idx="46">
                  <c:v>185993.01590675808</c:v>
                </c:pt>
                <c:pt idx="47">
                  <c:v>187606.80994045688</c:v>
                </c:pt>
                <c:pt idx="48">
                  <c:v>189196.49561910034</c:v>
                </c:pt>
                <c:pt idx="49">
                  <c:v>190762.76961896522</c:v>
                </c:pt>
                <c:pt idx="50">
                  <c:v>192306.29903068152</c:v>
                </c:pt>
                <c:pt idx="51">
                  <c:v>193827.72300604312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1C38-410A-BB21-227E036ACA14}"/>
            </c:ext>
          </c:extLst>
        </c:ser>
        <c:dLbls>
          <c:showLegendKey val="0"/>
          <c:showVal val="0"/>
          <c:showCatName val="0"/>
          <c:showSerName val="0"/>
          <c:showPercent val="0"/>
          <c:showBubbleSize val="0"/>
        </c:dLbls>
        <c:marker val="1"/>
        <c:smooth val="0"/>
        <c:axId val="175063424"/>
        <c:axId val="175065344"/>
      </c:lineChart>
      <c:catAx>
        <c:axId val="17506342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65344"/>
        <c:crosses val="autoZero"/>
        <c:auto val="0"/>
        <c:lblAlgn val="ctr"/>
        <c:lblOffset val="100"/>
        <c:tickLblSkip val="153"/>
        <c:tickMarkSkip val="1"/>
        <c:noMultiLvlLbl val="0"/>
      </c:catAx>
      <c:valAx>
        <c:axId val="175065344"/>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63424"/>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genuine forecasts</a:t>
            </a:r>
          </a:p>
        </c:rich>
      </c:tx>
      <c:overlay val="0"/>
      <c:spPr>
        <a:noFill/>
        <a:ln w="25400">
          <a:noFill/>
        </a:ln>
      </c:spPr>
    </c:title>
    <c:autoTitleDeleted val="0"/>
    <c:plotArea>
      <c:layout/>
      <c:lineChart>
        <c:grouping val="standard"/>
        <c:varyColors val="0"/>
        <c:ser>
          <c:idx val="0"/>
          <c:order val="0"/>
          <c:spPr>
            <a:ln w="25400">
              <a:solidFill>
                <a:srgbClr val="FF00FF"/>
              </a:solidFill>
              <a:prstDash val="solid"/>
            </a:ln>
          </c:spPr>
          <c:marker>
            <c:symbol val="none"/>
          </c:marker>
          <c:cat>
            <c:numRef>
              <c:f>'Sparklehorse (SH)'!$A$2:$A$47</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65"/>
                <c:pt idx="0">
                  <c:v>5224.4217589694226</c:v>
                </c:pt>
                <c:pt idx="1">
                  <c:v>10420.095805764095</c:v>
                </c:pt>
                <c:pt idx="2">
                  <c:v>15587.180326494108</c:v>
                </c:pt>
                <c:pt idx="3">
                  <c:v>20725.832636840245</c:v>
                </c:pt>
                <c:pt idx="4">
                  <c:v>25836.209186844131</c:v>
                </c:pt>
                <c:pt idx="5">
                  <c:v>30918.465565670696</c:v>
                </c:pt>
                <c:pt idx="6">
                  <c:v>35972.756506346028</c:v>
                </c:pt>
                <c:pt idx="7">
                  <c:v>40999.235890467557</c:v>
                </c:pt>
                <c:pt idx="8">
                  <c:v>45998.05675288973</c:v>
                </c:pt>
                <c:pt idx="9">
                  <c:v>50969.371286382971</c:v>
                </c:pt>
                <c:pt idx="10">
                  <c:v>55913.330846267076</c:v>
                </c:pt>
                <c:pt idx="11">
                  <c:v>60830.085955019866</c:v>
                </c:pt>
                <c:pt idx="12">
                  <c:v>65719.786306859693</c:v>
                </c:pt>
                <c:pt idx="13">
                  <c:v>70582.580772302666</c:v>
                </c:pt>
                <c:pt idx="14">
                  <c:v>75418.617402695774</c:v>
                </c:pt>
                <c:pt idx="15">
                  <c:v>80228.043434723877</c:v>
                </c:pt>
                <c:pt idx="16">
                  <c:v>85011.005294892748</c:v>
                </c:pt>
                <c:pt idx="17">
                  <c:v>89767.648603987065</c:v>
                </c:pt>
                <c:pt idx="18">
                  <c:v>94498.118181503552</c:v>
                </c:pt>
                <c:pt idx="19">
                  <c:v>99202.558050060892</c:v>
                </c:pt>
                <c:pt idx="20">
                  <c:v>103881.11143978406</c:v>
                </c:pt>
                <c:pt idx="21">
                  <c:v>108533.920792665</c:v>
                </c:pt>
                <c:pt idx="22">
                  <c:v>113161.12776689969</c:v>
                </c:pt>
                <c:pt idx="23">
                  <c:v>117762.87324120097</c:v>
                </c:pt>
                <c:pt idx="24">
                  <c:v>122339.29731908746</c:v>
                </c:pt>
                <c:pt idx="25">
                  <c:v>126890.53933314937</c:v>
                </c:pt>
                <c:pt idx="26">
                  <c:v>131416.73784929057</c:v>
                </c:pt>
                <c:pt idx="27">
                  <c:v>135918.03067094708</c:v>
                </c:pt>
                <c:pt idx="28">
                  <c:v>140394.55484328285</c:v>
                </c:pt>
                <c:pt idx="29">
                  <c:v>144846.44665736225</c:v>
                </c:pt>
                <c:pt idx="30">
                  <c:v>149273.84165429918</c:v>
                </c:pt>
                <c:pt idx="31">
                  <c:v>153676.87462938423</c:v>
                </c:pt>
                <c:pt idx="32">
                  <c:v>158055.67963618806</c:v>
                </c:pt>
                <c:pt idx="33">
                  <c:v>162410.38999064319</c:v>
                </c:pt>
                <c:pt idx="34">
                  <c:v>166741.13827510292</c:v>
                </c:pt>
                <c:pt idx="35">
                  <c:v>171048.05634237741</c:v>
                </c:pt>
                <c:pt idx="36">
                  <c:v>175331.2753197487</c:v>
                </c:pt>
                <c:pt idx="37">
                  <c:v>179590.92561296254</c:v>
                </c:pt>
                <c:pt idx="38">
                  <c:v>183827.13691019849</c:v>
                </c:pt>
                <c:pt idx="39">
                  <c:v>188040.03818601923</c:v>
                </c:pt>
                <c:pt idx="40">
                  <c:v>192229.75770529616</c:v>
                </c:pt>
                <c:pt idx="41">
                  <c:v>196396.42302711552</c:v>
                </c:pt>
                <c:pt idx="42">
                  <c:v>200540.16100866138</c:v>
                </c:pt>
                <c:pt idx="43">
                  <c:v>204661.09780907811</c:v>
                </c:pt>
                <c:pt idx="44">
                  <c:v>208759.35889331135</c:v>
                </c:pt>
                <c:pt idx="45">
                  <c:v>212835.0690359282</c:v>
                </c:pt>
                <c:pt idx="46">
                  <c:v>216888.35232491541</c:v>
                </c:pt>
                <c:pt idx="47">
                  <c:v>220919.33216545792</c:v>
                </c:pt>
                <c:pt idx="48">
                  <c:v>224928.13128369578</c:v>
                </c:pt>
                <c:pt idx="49">
                  <c:v>228914.87173046058</c:v>
                </c:pt>
                <c:pt idx="50">
                  <c:v>232879.67488499157</c:v>
                </c:pt>
                <c:pt idx="51">
                  <c:v>236822.66145863105</c:v>
                </c:pt>
                <c:pt idx="52">
                  <c:v>240743.95149849943</c:v>
                </c:pt>
                <c:pt idx="53">
                  <c:v>244643.6643911502</c:v>
                </c:pt>
                <c:pt idx="54">
                  <c:v>248521.91886620491</c:v>
                </c:pt>
                <c:pt idx="55">
                  <c:v>252378.83299996777</c:v>
                </c:pt>
                <c:pt idx="56">
                  <c:v>256214.52421902039</c:v>
                </c:pt>
                <c:pt idx="57">
                  <c:v>260029.10930379757</c:v>
                </c:pt>
                <c:pt idx="58">
                  <c:v>263822.70439214213</c:v>
                </c:pt>
                <c:pt idx="59">
                  <c:v>267595.42498284113</c:v>
                </c:pt>
                <c:pt idx="60">
                  <c:v>271347.38593914203</c:v>
                </c:pt>
                <c:pt idx="61">
                  <c:v>275078.7014922502</c:v>
                </c:pt>
                <c:pt idx="62">
                  <c:v>278789.48524480656</c:v>
                </c:pt>
                <c:pt idx="63">
                  <c:v>282479.85017434612</c:v>
                </c:pt>
                <c:pt idx="64">
                  <c:v>286149.90863673808</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0-F2AC-471F-8B15-AFDABB086E65}"/>
            </c:ext>
          </c:extLst>
        </c:ser>
        <c:ser>
          <c:idx val="1"/>
          <c:order val="1"/>
          <c:spPr>
            <a:ln w="25400">
              <a:solidFill>
                <a:srgbClr val="008000"/>
              </a:solidFill>
              <a:prstDash val="solid"/>
            </a:ln>
          </c:spPr>
          <c:marker>
            <c:symbol val="none"/>
          </c:marker>
          <c:cat>
            <c:numRef>
              <c:f>'Sparklehorse (SH)'!$A$2:$A$47</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65"/>
                <c:pt idx="0">
                  <c:v>5337.8599834530414</c:v>
                </c:pt>
                <c:pt idx="1">
                  <c:v>10635.213722550718</c:v>
                </c:pt>
                <c:pt idx="2">
                  <c:v>15892.601184708477</c:v>
                </c:pt>
                <c:pt idx="3">
                  <c:v>21110.55207449153</c:v>
                </c:pt>
                <c:pt idx="4">
                  <c:v>26289.58608625942</c:v>
                </c:pt>
                <c:pt idx="5">
                  <c:v>31430.213149191033</c:v>
                </c:pt>
                <c:pt idx="6">
                  <c:v>36532.933664959797</c:v>
                </c:pt>
                <c:pt idx="7">
                  <c:v>41598.238738319917</c:v>
                </c:pt>
                <c:pt idx="8">
                  <c:v>46626.610400853031</c:v>
                </c:pt>
                <c:pt idx="9">
                  <c:v>51618.521828118544</c:v>
                </c:pt>
                <c:pt idx="10">
                  <c:v>56574.437550431008</c:v>
                </c:pt>
                <c:pt idx="11">
                  <c:v>61494.813657491432</c:v>
                </c:pt>
                <c:pt idx="12">
                  <c:v>66380.097997082339</c:v>
                </c:pt>
                <c:pt idx="13">
                  <c:v>71230.730368030068</c:v>
                </c:pt>
                <c:pt idx="14">
                  <c:v>76047.142707627907</c:v>
                </c:pt>
                <c:pt idx="15">
                  <c:v>80829.759273713717</c:v>
                </c:pt>
                <c:pt idx="16">
                  <c:v>85578.996821573106</c:v>
                </c:pt>
                <c:pt idx="17">
                  <c:v>90295.264775854594</c:v>
                </c:pt>
                <c:pt idx="18">
                  <c:v>94978.965397647946</c:v>
                </c:pt>
                <c:pt idx="19">
                  <c:v>99630.493946900606</c:v>
                </c:pt>
                <c:pt idx="20">
                  <c:v>104250.23884031737</c:v>
                </c:pt>
                <c:pt idx="21">
                  <c:v>108838.58180489393</c:v>
                </c:pt>
                <c:pt idx="22">
                  <c:v>113395.89802722905</c:v>
                </c:pt>
                <c:pt idx="23">
                  <c:v>117922.55629874914</c:v>
                </c:pt>
                <c:pt idx="24">
                  <c:v>122418.91915698122</c:v>
                </c:pt>
                <c:pt idx="25">
                  <c:v>126885.34302299759</c:v>
                </c:pt>
                <c:pt idx="26">
                  <c:v>131322.17833515958</c:v>
                </c:pt>
                <c:pt idx="27">
                  <c:v>135729.76967927342</c:v>
                </c:pt>
                <c:pt idx="28">
                  <c:v>140108.45591527323</c:v>
                </c:pt>
                <c:pt idx="29">
                  <c:v>144458.57030054598</c:v>
                </c:pt>
                <c:pt idx="30">
                  <c:v>148780.44060999496</c:v>
                </c:pt>
                <c:pt idx="31">
                  <c:v>153074.38925294904</c:v>
                </c:pt>
                <c:pt idx="32">
                  <c:v>157340.73338701771</c:v>
                </c:pt>
                <c:pt idx="33">
                  <c:v>161579.78502897974</c:v>
                </c:pt>
                <c:pt idx="34">
                  <c:v>165791.85116280272</c:v>
                </c:pt>
                <c:pt idx="35">
                  <c:v>170644.09835148463</c:v>
                </c:pt>
                <c:pt idx="36">
                  <c:v>175460.90841741636</c:v>
                </c:pt>
                <c:pt idx="37">
                  <c:v>180242.73609641616</c:v>
                </c:pt>
                <c:pt idx="38">
                  <c:v>184990.02780267669</c:v>
                </c:pt>
                <c:pt idx="39">
                  <c:v>189055.42271100107</c:v>
                </c:pt>
                <c:pt idx="40">
                  <c:v>193095.75015619418</c:v>
                </c:pt>
                <c:pt idx="41">
                  <c:v>197111.28195723804</c:v>
                </c:pt>
                <c:pt idx="42">
                  <c:v>201102.28572613787</c:v>
                </c:pt>
                <c:pt idx="43">
                  <c:v>205069.02495234559</c:v>
                </c:pt>
                <c:pt idx="44">
                  <c:v>209011.75908510594</c:v>
                </c:pt>
                <c:pt idx="45">
                  <c:v>212930.74361378362</c:v>
                </c:pt>
                <c:pt idx="46">
                  <c:v>216826.23014623381</c:v>
                </c:pt>
                <c:pt idx="47">
                  <c:v>220698.46648526614</c:v>
                </c:pt>
                <c:pt idx="48">
                  <c:v>224547.6967032649</c:v>
                </c:pt>
                <c:pt idx="49">
                  <c:v>228374.16121501286</c:v>
                </c:pt>
                <c:pt idx="50">
                  <c:v>232178.09684876766</c:v>
                </c:pt>
                <c:pt idx="51">
                  <c:v>235959.73691564874</c:v>
                </c:pt>
                <c:pt idx="52">
                  <c:v>239719.31127737579</c:v>
                </c:pt>
                <c:pt idx="53">
                  <c:v>243457.0464124034</c:v>
                </c:pt>
                <c:pt idx="54">
                  <c:v>247173.16548050562</c:v>
                </c:pt>
                <c:pt idx="55">
                  <c:v>250867.88838584229</c:v>
                </c:pt>
                <c:pt idx="56">
                  <c:v>254541.43183855992</c:v>
                </c:pt>
                <c:pt idx="57">
                  <c:v>258194.00941495819</c:v>
                </c:pt>
                <c:pt idx="58">
                  <c:v>261825.83161626881</c:v>
                </c:pt>
                <c:pt idx="59">
                  <c:v>265437.10592608119</c:v>
                </c:pt>
                <c:pt idx="60">
                  <c:v>269028.03686644981</c:v>
                </c:pt>
                <c:pt idx="61">
                  <c:v>272598.82605272526</c:v>
                </c:pt>
                <c:pt idx="62">
                  <c:v>276149.67224713636</c:v>
                </c:pt>
                <c:pt idx="63">
                  <c:v>279680.77141116234</c:v>
                </c:pt>
                <c:pt idx="64">
                  <c:v>283192.31675672519</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1-F2AC-471F-8B15-AFDABB086E65}"/>
            </c:ext>
          </c:extLst>
        </c:ser>
        <c:ser>
          <c:idx val="2"/>
          <c:order val="2"/>
          <c:spPr>
            <a:ln w="12700">
              <a:solidFill>
                <a:srgbClr val="000080"/>
              </a:solidFill>
              <a:prstDash val="solid"/>
            </a:ln>
          </c:spPr>
          <c:marker>
            <c:symbol val="diamond"/>
            <c:size val="5"/>
            <c:spPr>
              <a:solidFill>
                <a:srgbClr val="000080"/>
              </a:solidFill>
              <a:ln>
                <a:solidFill>
                  <a:srgbClr val="000080"/>
                </a:solidFill>
                <a:prstDash val="solid"/>
              </a:ln>
            </c:spPr>
          </c:marker>
          <c:cat>
            <c:numRef>
              <c:f>'Sparklehorse (SH)'!$A$2:$A$47</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2-F2AC-471F-8B15-AFDABB086E65}"/>
            </c:ext>
          </c:extLst>
        </c:ser>
        <c:dLbls>
          <c:showLegendKey val="0"/>
          <c:showVal val="0"/>
          <c:showCatName val="0"/>
          <c:showSerName val="0"/>
          <c:showPercent val="0"/>
          <c:showBubbleSize val="0"/>
        </c:dLbls>
        <c:smooth val="0"/>
        <c:axId val="174883968"/>
        <c:axId val="174899200"/>
      </c:lineChart>
      <c:catAx>
        <c:axId val="17488396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899200"/>
        <c:crosses val="autoZero"/>
        <c:auto val="0"/>
        <c:lblAlgn val="ctr"/>
        <c:lblOffset val="100"/>
        <c:tickLblSkip val="192"/>
        <c:tickMarkSkip val="1"/>
        <c:noMultiLvlLbl val="0"/>
      </c:catAx>
      <c:valAx>
        <c:axId val="174899200"/>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883968"/>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weekly sales and airplay</a:t>
            </a:r>
          </a:p>
        </c:rich>
      </c:tx>
      <c:overlay val="0"/>
      <c:spPr>
        <a:noFill/>
        <a:ln w="25400">
          <a:noFill/>
        </a:ln>
      </c:spPr>
    </c:title>
    <c:autoTitleDeleted val="0"/>
    <c:plotArea>
      <c:layout/>
      <c:lineChart>
        <c:grouping val="standard"/>
        <c:varyColors val="0"/>
        <c:ser>
          <c:idx val="0"/>
          <c:order val="0"/>
          <c:tx>
            <c:strRef>
              <c:f>'W (All)'!$D$8</c:f>
              <c:strCache>
                <c:ptCount val="1"/>
                <c:pt idx="0">
                  <c:v>Incr_Sales</c:v>
                </c:pt>
              </c:strCache>
            </c:strRef>
          </c:tx>
          <c:spPr>
            <a:ln w="25400">
              <a:solidFill>
                <a:srgbClr val="000080"/>
              </a:solidFill>
              <a:prstDash val="solid"/>
            </a:ln>
          </c:spPr>
          <c:marker>
            <c:symbol val="none"/>
          </c:marker>
          <c:cat>
            <c:numRef>
              <c:f>'W (All)'!$A$9:$A$54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'W (All)'!$D$9:$D$54</c:f>
              <c:numCache>
                <c:formatCode>General</c:formatCode>
                <c:ptCount val="46"/>
                <c:pt idx="0">
                  <c:v>74</c:v>
                </c:pt>
                <c:pt idx="1">
                  <c:v>68</c:v>
                </c:pt>
                <c:pt idx="2">
                  <c:v>85</c:v>
                </c:pt>
                <c:pt idx="3">
                  <c:v>86</c:v>
                </c:pt>
                <c:pt idx="4">
                  <c:v>96</c:v>
                </c:pt>
                <c:pt idx="5">
                  <c:v>107</c:v>
                </c:pt>
                <c:pt idx="6">
                  <c:v>85</c:v>
                </c:pt>
                <c:pt idx="7">
                  <c:v>74</c:v>
                </c:pt>
                <c:pt idx="8">
                  <c:v>87</c:v>
                </c:pt>
                <c:pt idx="9">
                  <c:v>74</c:v>
                </c:pt>
                <c:pt idx="10">
                  <c:v>88</c:v>
                </c:pt>
                <c:pt idx="11">
                  <c:v>101</c:v>
                </c:pt>
                <c:pt idx="12">
                  <c:v>176</c:v>
                </c:pt>
                <c:pt idx="13">
                  <c:v>144</c:v>
                </c:pt>
                <c:pt idx="14">
                  <c:v>178</c:v>
                </c:pt>
                <c:pt idx="15">
                  <c:v>141</c:v>
                </c:pt>
                <c:pt idx="16">
                  <c:v>151</c:v>
                </c:pt>
                <c:pt idx="17">
                  <c:v>102</c:v>
                </c:pt>
                <c:pt idx="18">
                  <c:v>132</c:v>
                </c:pt>
                <c:pt idx="19">
                  <c:v>188</c:v>
                </c:pt>
                <c:pt idx="20">
                  <c:v>121</c:v>
                </c:pt>
                <c:pt idx="21">
                  <c:v>139</c:v>
                </c:pt>
                <c:pt idx="22">
                  <c:v>166</c:v>
                </c:pt>
                <c:pt idx="23">
                  <c:v>170</c:v>
                </c:pt>
                <c:pt idx="24">
                  <c:v>316</c:v>
                </c:pt>
                <c:pt idx="25">
                  <c:v>427</c:v>
                </c:pt>
                <c:pt idx="26">
                  <c:v>584</c:v>
                </c:pt>
              </c:numCache>
            </c:numRef>
          </c:val>
          <c:smooth val="0"/>
          <c:extLst>
            <c:ext xmlns:c16="http://schemas.microsoft.com/office/drawing/2014/chart" uri="{C3380CC4-5D6E-409C-BE32-E72D297353CC}">
              <c16:uniqueId val="{00000000-E847-48B4-BA40-DED9428E0D84}"/>
            </c:ext>
          </c:extLst>
        </c:ser>
        <c:ser>
          <c:idx val="1"/>
          <c:order val="1"/>
          <c:tx>
            <c:strRef>
              <c:f>'W (All)'!$P$8</c:f>
              <c:strCache>
                <c:ptCount val="1"/>
                <c:pt idx="0">
                  <c:v>ln(Airplay)</c:v>
                </c:pt>
              </c:strCache>
            </c:strRef>
          </c:tx>
          <c:spPr>
            <a:ln w="25400">
              <a:solidFill>
                <a:srgbClr val="FF00FF"/>
              </a:solidFill>
              <a:prstDash val="solid"/>
            </a:ln>
          </c:spPr>
          <c:marker>
            <c:symbol val="none"/>
          </c:marker>
          <c:cat>
            <c:numRef>
              <c:f>'W (All)'!$A$9:$A$54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W!#REF!</c:f>
              <c:numCache>
                <c:formatCode>General</c:formatCode>
                <c:ptCount val="1"/>
                <c:pt idx="0">
                  <c:v>1</c:v>
                </c:pt>
              </c:numCache>
            </c:numRef>
          </c:val>
          <c:smooth val="0"/>
          <c:extLst>
            <c:ext xmlns:c16="http://schemas.microsoft.com/office/drawing/2014/chart" uri="{C3380CC4-5D6E-409C-BE32-E72D297353CC}">
              <c16:uniqueId val="{00000001-E847-48B4-BA40-DED9428E0D84}"/>
            </c:ext>
          </c:extLst>
        </c:ser>
        <c:dLbls>
          <c:showLegendKey val="0"/>
          <c:showVal val="0"/>
          <c:showCatName val="0"/>
          <c:showSerName val="0"/>
          <c:showPercent val="0"/>
          <c:showBubbleSize val="0"/>
        </c:dLbls>
        <c:smooth val="0"/>
        <c:axId val="175171840"/>
        <c:axId val="175174016"/>
      </c:lineChart>
      <c:catAx>
        <c:axId val="17517184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174016"/>
        <c:crosses val="autoZero"/>
        <c:auto val="0"/>
        <c:lblAlgn val="ctr"/>
        <c:lblOffset val="100"/>
        <c:tickLblSkip val="132"/>
        <c:tickMarkSkip val="1"/>
        <c:noMultiLvlLbl val="0"/>
      </c:catAx>
      <c:valAx>
        <c:axId val="17517401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sales/airplay</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17184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genuine forecasts</a:t>
            </a:r>
          </a:p>
        </c:rich>
      </c:tx>
      <c:overlay val="0"/>
      <c:spPr>
        <a:noFill/>
        <a:ln w="25400">
          <a:noFill/>
        </a:ln>
      </c:spPr>
    </c:title>
    <c:autoTitleDeleted val="0"/>
    <c:plotArea>
      <c:layout/>
      <c:lineChart>
        <c:grouping val="standard"/>
        <c:varyColors val="0"/>
        <c:ser>
          <c:idx val="0"/>
          <c:order val="0"/>
          <c:spPr>
            <a:ln w="25400">
              <a:solidFill>
                <a:srgbClr val="FF00FF"/>
              </a:solidFill>
              <a:prstDash val="solid"/>
            </a:ln>
          </c:spPr>
          <c:marker>
            <c:symbol val="none"/>
          </c:marker>
          <c:cat>
            <c:numRef>
              <c:f>'W (All)'!$A$9:$A$54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65"/>
                <c:pt idx="0">
                  <c:v>5224.4217589694226</c:v>
                </c:pt>
                <c:pt idx="1">
                  <c:v>10420.095805764095</c:v>
                </c:pt>
                <c:pt idx="2">
                  <c:v>15587.180326494108</c:v>
                </c:pt>
                <c:pt idx="3">
                  <c:v>20725.832636840245</c:v>
                </c:pt>
                <c:pt idx="4">
                  <c:v>25836.209186844131</c:v>
                </c:pt>
                <c:pt idx="5">
                  <c:v>30918.465565670696</c:v>
                </c:pt>
                <c:pt idx="6">
                  <c:v>35972.756506346028</c:v>
                </c:pt>
                <c:pt idx="7">
                  <c:v>40999.235890467557</c:v>
                </c:pt>
                <c:pt idx="8">
                  <c:v>45998.05675288973</c:v>
                </c:pt>
                <c:pt idx="9">
                  <c:v>50969.371286382971</c:v>
                </c:pt>
                <c:pt idx="10">
                  <c:v>55913.330846267076</c:v>
                </c:pt>
                <c:pt idx="11">
                  <c:v>60830.085955019866</c:v>
                </c:pt>
                <c:pt idx="12">
                  <c:v>65719.786306859693</c:v>
                </c:pt>
                <c:pt idx="13">
                  <c:v>70582.580772302666</c:v>
                </c:pt>
                <c:pt idx="14">
                  <c:v>75418.617402695774</c:v>
                </c:pt>
                <c:pt idx="15">
                  <c:v>80228.043434723877</c:v>
                </c:pt>
                <c:pt idx="16">
                  <c:v>85011.005294892748</c:v>
                </c:pt>
                <c:pt idx="17">
                  <c:v>89767.648603987065</c:v>
                </c:pt>
                <c:pt idx="18">
                  <c:v>94498.118181503552</c:v>
                </c:pt>
                <c:pt idx="19">
                  <c:v>99202.558050060892</c:v>
                </c:pt>
                <c:pt idx="20">
                  <c:v>103881.11143978406</c:v>
                </c:pt>
                <c:pt idx="21">
                  <c:v>108533.920792665</c:v>
                </c:pt>
                <c:pt idx="22">
                  <c:v>113161.12776689969</c:v>
                </c:pt>
                <c:pt idx="23">
                  <c:v>117762.87324120097</c:v>
                </c:pt>
                <c:pt idx="24">
                  <c:v>122339.29731908746</c:v>
                </c:pt>
                <c:pt idx="25">
                  <c:v>126890.53933314937</c:v>
                </c:pt>
                <c:pt idx="26">
                  <c:v>131416.73784929057</c:v>
                </c:pt>
                <c:pt idx="27">
                  <c:v>135918.03067094708</c:v>
                </c:pt>
                <c:pt idx="28">
                  <c:v>140394.55484328285</c:v>
                </c:pt>
                <c:pt idx="29">
                  <c:v>144846.44665736225</c:v>
                </c:pt>
                <c:pt idx="30">
                  <c:v>149273.84165429918</c:v>
                </c:pt>
                <c:pt idx="31">
                  <c:v>153676.87462938423</c:v>
                </c:pt>
                <c:pt idx="32">
                  <c:v>158055.67963618806</c:v>
                </c:pt>
                <c:pt idx="33">
                  <c:v>162410.38999064319</c:v>
                </c:pt>
                <c:pt idx="34">
                  <c:v>166741.13827510292</c:v>
                </c:pt>
                <c:pt idx="35">
                  <c:v>171048.05634237741</c:v>
                </c:pt>
                <c:pt idx="36">
                  <c:v>175331.2753197487</c:v>
                </c:pt>
                <c:pt idx="37">
                  <c:v>179590.92561296254</c:v>
                </c:pt>
                <c:pt idx="38">
                  <c:v>183827.13691019849</c:v>
                </c:pt>
                <c:pt idx="39">
                  <c:v>188040.03818601923</c:v>
                </c:pt>
                <c:pt idx="40">
                  <c:v>192229.75770529616</c:v>
                </c:pt>
                <c:pt idx="41">
                  <c:v>196396.42302711552</c:v>
                </c:pt>
                <c:pt idx="42">
                  <c:v>200540.16100866138</c:v>
                </c:pt>
                <c:pt idx="43">
                  <c:v>204661.09780907811</c:v>
                </c:pt>
                <c:pt idx="44">
                  <c:v>208759.35889331135</c:v>
                </c:pt>
                <c:pt idx="45">
                  <c:v>212835.0690359282</c:v>
                </c:pt>
                <c:pt idx="46">
                  <c:v>216888.35232491541</c:v>
                </c:pt>
                <c:pt idx="47">
                  <c:v>220919.33216545792</c:v>
                </c:pt>
                <c:pt idx="48">
                  <c:v>224928.13128369578</c:v>
                </c:pt>
                <c:pt idx="49">
                  <c:v>228914.87173046058</c:v>
                </c:pt>
                <c:pt idx="50">
                  <c:v>232879.67488499157</c:v>
                </c:pt>
                <c:pt idx="51">
                  <c:v>236822.66145863105</c:v>
                </c:pt>
                <c:pt idx="52">
                  <c:v>240743.95149849943</c:v>
                </c:pt>
                <c:pt idx="53">
                  <c:v>244643.6643911502</c:v>
                </c:pt>
                <c:pt idx="54">
                  <c:v>248521.91886620491</c:v>
                </c:pt>
                <c:pt idx="55">
                  <c:v>252378.83299996777</c:v>
                </c:pt>
                <c:pt idx="56">
                  <c:v>256214.52421902039</c:v>
                </c:pt>
                <c:pt idx="57">
                  <c:v>260029.10930379757</c:v>
                </c:pt>
                <c:pt idx="58">
                  <c:v>263822.70439214213</c:v>
                </c:pt>
                <c:pt idx="59">
                  <c:v>267595.42498284113</c:v>
                </c:pt>
                <c:pt idx="60">
                  <c:v>271347.38593914203</c:v>
                </c:pt>
                <c:pt idx="61">
                  <c:v>275078.7014922502</c:v>
                </c:pt>
                <c:pt idx="62">
                  <c:v>278789.48524480656</c:v>
                </c:pt>
                <c:pt idx="63">
                  <c:v>282479.85017434612</c:v>
                </c:pt>
                <c:pt idx="64">
                  <c:v>286149.90863673808</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0-5F6C-4EBA-8529-20F34BB177B5}"/>
            </c:ext>
          </c:extLst>
        </c:ser>
        <c:ser>
          <c:idx val="1"/>
          <c:order val="1"/>
          <c:spPr>
            <a:ln w="25400">
              <a:solidFill>
                <a:srgbClr val="008000"/>
              </a:solidFill>
              <a:prstDash val="solid"/>
            </a:ln>
          </c:spPr>
          <c:marker>
            <c:symbol val="none"/>
          </c:marker>
          <c:cat>
            <c:numRef>
              <c:f>'W (All)'!$A$9:$A$54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65"/>
                <c:pt idx="0">
                  <c:v>5337.8599834530414</c:v>
                </c:pt>
                <c:pt idx="1">
                  <c:v>10635.213722550718</c:v>
                </c:pt>
                <c:pt idx="2">
                  <c:v>15892.601184708477</c:v>
                </c:pt>
                <c:pt idx="3">
                  <c:v>21110.55207449153</c:v>
                </c:pt>
                <c:pt idx="4">
                  <c:v>26289.58608625942</c:v>
                </c:pt>
                <c:pt idx="5">
                  <c:v>31430.213149191033</c:v>
                </c:pt>
                <c:pt idx="6">
                  <c:v>36532.933664959797</c:v>
                </c:pt>
                <c:pt idx="7">
                  <c:v>41598.238738319917</c:v>
                </c:pt>
                <c:pt idx="8">
                  <c:v>46626.610400853031</c:v>
                </c:pt>
                <c:pt idx="9">
                  <c:v>51618.521828118544</c:v>
                </c:pt>
                <c:pt idx="10">
                  <c:v>56574.437550431008</c:v>
                </c:pt>
                <c:pt idx="11">
                  <c:v>61494.813657491432</c:v>
                </c:pt>
                <c:pt idx="12">
                  <c:v>66380.097997082339</c:v>
                </c:pt>
                <c:pt idx="13">
                  <c:v>71230.730368030068</c:v>
                </c:pt>
                <c:pt idx="14">
                  <c:v>76047.142707627907</c:v>
                </c:pt>
                <c:pt idx="15">
                  <c:v>80829.759273713717</c:v>
                </c:pt>
                <c:pt idx="16">
                  <c:v>85578.996821573106</c:v>
                </c:pt>
                <c:pt idx="17">
                  <c:v>90295.264775854594</c:v>
                </c:pt>
                <c:pt idx="18">
                  <c:v>94978.965397647946</c:v>
                </c:pt>
                <c:pt idx="19">
                  <c:v>99630.493946900606</c:v>
                </c:pt>
                <c:pt idx="20">
                  <c:v>104250.23884031737</c:v>
                </c:pt>
                <c:pt idx="21">
                  <c:v>108838.58180489393</c:v>
                </c:pt>
                <c:pt idx="22">
                  <c:v>113395.89802722905</c:v>
                </c:pt>
                <c:pt idx="23">
                  <c:v>117922.55629874914</c:v>
                </c:pt>
                <c:pt idx="24">
                  <c:v>122418.91915698122</c:v>
                </c:pt>
                <c:pt idx="25">
                  <c:v>126885.34302299759</c:v>
                </c:pt>
                <c:pt idx="26">
                  <c:v>131322.17833515958</c:v>
                </c:pt>
                <c:pt idx="27">
                  <c:v>135729.76967927342</c:v>
                </c:pt>
                <c:pt idx="28">
                  <c:v>140108.45591527323</c:v>
                </c:pt>
                <c:pt idx="29">
                  <c:v>144458.57030054598</c:v>
                </c:pt>
                <c:pt idx="30">
                  <c:v>148780.44060999496</c:v>
                </c:pt>
                <c:pt idx="31">
                  <c:v>153074.38925294904</c:v>
                </c:pt>
                <c:pt idx="32">
                  <c:v>157340.73338701771</c:v>
                </c:pt>
                <c:pt idx="33">
                  <c:v>161579.78502897974</c:v>
                </c:pt>
                <c:pt idx="34">
                  <c:v>165791.85116280272</c:v>
                </c:pt>
                <c:pt idx="35">
                  <c:v>170644.09835148463</c:v>
                </c:pt>
                <c:pt idx="36">
                  <c:v>175460.90841741636</c:v>
                </c:pt>
                <c:pt idx="37">
                  <c:v>180242.73609641616</c:v>
                </c:pt>
                <c:pt idx="38">
                  <c:v>184990.02780267669</c:v>
                </c:pt>
                <c:pt idx="39">
                  <c:v>189055.42271100107</c:v>
                </c:pt>
                <c:pt idx="40">
                  <c:v>193095.75015619418</c:v>
                </c:pt>
                <c:pt idx="41">
                  <c:v>197111.28195723804</c:v>
                </c:pt>
                <c:pt idx="42">
                  <c:v>201102.28572613787</c:v>
                </c:pt>
                <c:pt idx="43">
                  <c:v>205069.02495234559</c:v>
                </c:pt>
                <c:pt idx="44">
                  <c:v>209011.75908510594</c:v>
                </c:pt>
                <c:pt idx="45">
                  <c:v>212930.74361378362</c:v>
                </c:pt>
                <c:pt idx="46">
                  <c:v>216826.23014623381</c:v>
                </c:pt>
                <c:pt idx="47">
                  <c:v>220698.46648526614</c:v>
                </c:pt>
                <c:pt idx="48">
                  <c:v>224547.6967032649</c:v>
                </c:pt>
                <c:pt idx="49">
                  <c:v>228374.16121501286</c:v>
                </c:pt>
                <c:pt idx="50">
                  <c:v>232178.09684876766</c:v>
                </c:pt>
                <c:pt idx="51">
                  <c:v>235959.73691564874</c:v>
                </c:pt>
                <c:pt idx="52">
                  <c:v>239719.31127737579</c:v>
                </c:pt>
                <c:pt idx="53">
                  <c:v>243457.0464124034</c:v>
                </c:pt>
                <c:pt idx="54">
                  <c:v>247173.16548050562</c:v>
                </c:pt>
                <c:pt idx="55">
                  <c:v>250867.88838584229</c:v>
                </c:pt>
                <c:pt idx="56">
                  <c:v>254541.43183855992</c:v>
                </c:pt>
                <c:pt idx="57">
                  <c:v>258194.00941495819</c:v>
                </c:pt>
                <c:pt idx="58">
                  <c:v>261825.83161626881</c:v>
                </c:pt>
                <c:pt idx="59">
                  <c:v>265437.10592608119</c:v>
                </c:pt>
                <c:pt idx="60">
                  <c:v>269028.03686644981</c:v>
                </c:pt>
                <c:pt idx="61">
                  <c:v>272598.82605272526</c:v>
                </c:pt>
                <c:pt idx="62">
                  <c:v>276149.67224713636</c:v>
                </c:pt>
                <c:pt idx="63">
                  <c:v>279680.77141116234</c:v>
                </c:pt>
                <c:pt idx="64">
                  <c:v>283192.31675672519</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1-5F6C-4EBA-8529-20F34BB177B5}"/>
            </c:ext>
          </c:extLst>
        </c:ser>
        <c:ser>
          <c:idx val="2"/>
          <c:order val="2"/>
          <c:spPr>
            <a:ln w="12700">
              <a:solidFill>
                <a:srgbClr val="000080"/>
              </a:solidFill>
              <a:prstDash val="solid"/>
            </a:ln>
          </c:spPr>
          <c:marker>
            <c:symbol val="diamond"/>
            <c:size val="5"/>
            <c:spPr>
              <a:solidFill>
                <a:srgbClr val="000080"/>
              </a:solidFill>
              <a:ln>
                <a:solidFill>
                  <a:srgbClr val="000080"/>
                </a:solidFill>
                <a:prstDash val="solid"/>
              </a:ln>
            </c:spPr>
          </c:marker>
          <c:cat>
            <c:numRef>
              <c:f>'W (All)'!$A$9:$A$54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2-5F6C-4EBA-8529-20F34BB177B5}"/>
            </c:ext>
          </c:extLst>
        </c:ser>
        <c:dLbls>
          <c:showLegendKey val="0"/>
          <c:showVal val="0"/>
          <c:showCatName val="0"/>
          <c:showSerName val="0"/>
          <c:showPercent val="0"/>
          <c:showBubbleSize val="0"/>
        </c:dLbls>
        <c:smooth val="0"/>
        <c:axId val="174883968"/>
        <c:axId val="174899200"/>
      </c:lineChart>
      <c:catAx>
        <c:axId val="17488396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899200"/>
        <c:crosses val="autoZero"/>
        <c:auto val="0"/>
        <c:lblAlgn val="ctr"/>
        <c:lblOffset val="100"/>
        <c:tickLblSkip val="192"/>
        <c:tickMarkSkip val="1"/>
        <c:noMultiLvlLbl val="0"/>
      </c:catAx>
      <c:valAx>
        <c:axId val="174899200"/>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883968"/>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early projections</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'W (All)'!$A$9:$A$54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E1CE-44AD-BB9E-B48627A7030C}"/>
            </c:ext>
          </c:extLst>
        </c:ser>
        <c:ser>
          <c:idx val="1"/>
          <c:order val="1"/>
          <c:spPr>
            <a:ln w="25400">
              <a:solidFill>
                <a:srgbClr val="FF00FF"/>
              </a:solidFill>
              <a:prstDash val="solid"/>
            </a:ln>
          </c:spPr>
          <c:marker>
            <c:symbol val="none"/>
          </c:marker>
          <c:cat>
            <c:numRef>
              <c:f>'W (All)'!$A$9:$A$54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6205.5970060675982</c:v>
                </c:pt>
                <c:pt idx="1">
                  <c:v>12398.357534068038</c:v>
                </c:pt>
                <c:pt idx="2">
                  <c:v>18578.30813667105</c:v>
                </c:pt>
                <c:pt idx="3">
                  <c:v>24745.475311621969</c:v>
                </c:pt>
                <c:pt idx="4">
                  <c:v>30899.885501853631</c:v>
                </c:pt>
                <c:pt idx="5">
                  <c:v>37041.565095601967</c:v>
                </c:pt>
                <c:pt idx="6">
                  <c:v>43170.540426517247</c:v>
                </c:pt>
                <c:pt idx="7">
                  <c:v>49286.837773777959</c:v>
                </c:pt>
                <c:pt idx="8">
                  <c:v>55390.483362203093</c:v>
                </c:pt>
                <c:pt idx="9">
                  <c:v>61481.503362365023</c:v>
                </c:pt>
                <c:pt idx="10">
                  <c:v>67559.923890701422</c:v>
                </c:pt>
                <c:pt idx="11">
                  <c:v>73625.771009626857</c:v>
                </c:pt>
                <c:pt idx="12">
                  <c:v>79679.070727645681</c:v>
                </c:pt>
                <c:pt idx="13">
                  <c:v>85719.848999461945</c:v>
                </c:pt>
                <c:pt idx="14">
                  <c:v>91748.13172609231</c:v>
                </c:pt>
                <c:pt idx="15">
                  <c:v>97763.944754976299</c:v>
                </c:pt>
                <c:pt idx="16">
                  <c:v>103767.31388008619</c:v>
                </c:pt>
                <c:pt idx="17">
                  <c:v>109758.26484203999</c:v>
                </c:pt>
                <c:pt idx="18">
                  <c:v>115736.82332820923</c:v>
                </c:pt>
                <c:pt idx="19">
                  <c:v>121703.01497283098</c:v>
                </c:pt>
                <c:pt idx="20">
                  <c:v>127656.86535711707</c:v>
                </c:pt>
                <c:pt idx="21">
                  <c:v>133598.40000936363</c:v>
                </c:pt>
                <c:pt idx="22">
                  <c:v>139527.64440506004</c:v>
                </c:pt>
                <c:pt idx="23">
                  <c:v>145444.62396699988</c:v>
                </c:pt>
                <c:pt idx="24">
                  <c:v>151349.36406538801</c:v>
                </c:pt>
                <c:pt idx="25">
                  <c:v>157241.89001795073</c:v>
                </c:pt>
                <c:pt idx="26">
                  <c:v>163122.22709004386</c:v>
                </c:pt>
                <c:pt idx="27">
                  <c:v>168990.40049476034</c:v>
                </c:pt>
                <c:pt idx="28">
                  <c:v>174846.43539304013</c:v>
                </c:pt>
                <c:pt idx="29">
                  <c:v>180690.35689377555</c:v>
                </c:pt>
                <c:pt idx="30">
                  <c:v>186522.19005392145</c:v>
                </c:pt>
                <c:pt idx="31">
                  <c:v>192341.95987860113</c:v>
                </c:pt>
                <c:pt idx="32">
                  <c:v>198149.69132121396</c:v>
                </c:pt>
                <c:pt idx="33">
                  <c:v>203945.40928354289</c:v>
                </c:pt>
                <c:pt idx="34">
                  <c:v>209729.1386158604</c:v>
                </c:pt>
                <c:pt idx="35">
                  <c:v>215500.90411703481</c:v>
                </c:pt>
                <c:pt idx="36">
                  <c:v>221260.73053463778</c:v>
                </c:pt>
                <c:pt idx="37">
                  <c:v>227008.64256505028</c:v>
                </c:pt>
                <c:pt idx="38">
                  <c:v>232744.6648535667</c:v>
                </c:pt>
                <c:pt idx="39">
                  <c:v>238468.82199450338</c:v>
                </c:pt>
                <c:pt idx="40">
                  <c:v>244181.1385313012</c:v>
                </c:pt>
                <c:pt idx="41">
                  <c:v>249881.63895663273</c:v>
                </c:pt>
                <c:pt idx="42">
                  <c:v>255570.34771250674</c:v>
                </c:pt>
                <c:pt idx="43">
                  <c:v>261247.28919037309</c:v>
                </c:pt>
                <c:pt idx="44">
                  <c:v>266912.48773122631</c:v>
                </c:pt>
                <c:pt idx="45">
                  <c:v>272565.96762571164</c:v>
                </c:pt>
                <c:pt idx="46">
                  <c:v>278207.75311422796</c:v>
                </c:pt>
                <c:pt idx="47">
                  <c:v>283837.86838703218</c:v>
                </c:pt>
                <c:pt idx="48">
                  <c:v>289456.33758434275</c:v>
                </c:pt>
                <c:pt idx="49">
                  <c:v>295063.18479644344</c:v>
                </c:pt>
                <c:pt idx="50">
                  <c:v>300658.43406378658</c:v>
                </c:pt>
                <c:pt idx="51">
                  <c:v>306242.10937709583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E1CE-44AD-BB9E-B48627A7030C}"/>
            </c:ext>
          </c:extLst>
        </c:ser>
        <c:ser>
          <c:idx val="2"/>
          <c:order val="2"/>
          <c:spPr>
            <a:ln w="25400">
              <a:solidFill>
                <a:srgbClr val="008000"/>
              </a:solidFill>
              <a:prstDash val="solid"/>
            </a:ln>
          </c:spPr>
          <c:marker>
            <c:symbol val="none"/>
          </c:marker>
          <c:cat>
            <c:numRef>
              <c:f>'W (All)'!$A$9:$A$54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6236.3185158423876</c:v>
                </c:pt>
                <c:pt idx="1">
                  <c:v>12456.105476353119</c:v>
                </c:pt>
                <c:pt idx="2">
                  <c:v>18659.414150744902</c:v>
                </c:pt>
                <c:pt idx="3">
                  <c:v>24846.297606183398</c:v>
                </c:pt>
                <c:pt idx="4">
                  <c:v>31016.80870865786</c:v>
                </c:pt>
                <c:pt idx="5">
                  <c:v>37171.000123869424</c:v>
                </c:pt>
                <c:pt idx="6">
                  <c:v>43308.924318095407</c:v>
                </c:pt>
                <c:pt idx="7">
                  <c:v>49430.63355905997</c:v>
                </c:pt>
                <c:pt idx="8">
                  <c:v>55536.179916802372</c:v>
                </c:pt>
                <c:pt idx="9">
                  <c:v>61625.615264532033</c:v>
                </c:pt>
                <c:pt idx="10">
                  <c:v>67698.991279486756</c:v>
                </c:pt>
                <c:pt idx="11">
                  <c:v>73756.359443787107</c:v>
                </c:pt>
                <c:pt idx="12">
                  <c:v>79797.771045275076</c:v>
                </c:pt>
                <c:pt idx="13">
                  <c:v>85823.277178370685</c:v>
                </c:pt>
                <c:pt idx="14">
                  <c:v>91832.928744896344</c:v>
                </c:pt>
                <c:pt idx="15">
                  <c:v>97826.776454923878</c:v>
                </c:pt>
                <c:pt idx="16">
                  <c:v>103804.87082759848</c:v>
                </c:pt>
                <c:pt idx="17">
                  <c:v>109767.26219197208</c:v>
                </c:pt>
                <c:pt idx="18">
                  <c:v>115714.00068781502</c:v>
                </c:pt>
                <c:pt idx="19">
                  <c:v>121645.13626644868</c:v>
                </c:pt>
                <c:pt idx="20">
                  <c:v>127560.71869154894</c:v>
                </c:pt>
                <c:pt idx="21">
                  <c:v>133460.79753996443</c:v>
                </c:pt>
                <c:pt idx="22">
                  <c:v>139345.42220251821</c:v>
                </c:pt>
                <c:pt idx="23">
                  <c:v>145214.64188481527</c:v>
                </c:pt>
                <c:pt idx="24">
                  <c:v>151068.50560803665</c:v>
                </c:pt>
                <c:pt idx="25">
                  <c:v>156907.06220974037</c:v>
                </c:pt>
                <c:pt idx="26">
                  <c:v>162730.36034464737</c:v>
                </c:pt>
                <c:pt idx="27">
                  <c:v>168538.44848542986</c:v>
                </c:pt>
                <c:pt idx="28">
                  <c:v>174331.37492349805</c:v>
                </c:pt>
                <c:pt idx="29">
                  <c:v>180109.18776977746</c:v>
                </c:pt>
                <c:pt idx="30">
                  <c:v>185871.93495548383</c:v>
                </c:pt>
                <c:pt idx="31">
                  <c:v>191619.66423289722</c:v>
                </c:pt>
                <c:pt idx="32">
                  <c:v>197352.42317613267</c:v>
                </c:pt>
                <c:pt idx="33">
                  <c:v>203070.25918189669</c:v>
                </c:pt>
                <c:pt idx="34">
                  <c:v>208773.21947025752</c:v>
                </c:pt>
                <c:pt idx="35">
                  <c:v>214461.35108539666</c:v>
                </c:pt>
                <c:pt idx="36">
                  <c:v>220134.70089636612</c:v>
                </c:pt>
                <c:pt idx="37">
                  <c:v>225793.31559783532</c:v>
                </c:pt>
                <c:pt idx="38">
                  <c:v>231437.24171083735</c:v>
                </c:pt>
                <c:pt idx="39">
                  <c:v>237066.52558351649</c:v>
                </c:pt>
                <c:pt idx="40">
                  <c:v>242681.21339185978</c:v>
                </c:pt>
                <c:pt idx="41">
                  <c:v>248281.35114044035</c:v>
                </c:pt>
                <c:pt idx="42">
                  <c:v>253866.98466314361</c:v>
                </c:pt>
                <c:pt idx="43">
                  <c:v>259438.15962389749</c:v>
                </c:pt>
                <c:pt idx="44">
                  <c:v>264994.92151739931</c:v>
                </c:pt>
                <c:pt idx="45">
                  <c:v>270537.31566983397</c:v>
                </c:pt>
                <c:pt idx="46">
                  <c:v>276065.38723959605</c:v>
                </c:pt>
                <c:pt idx="47">
                  <c:v>281579.18121799931</c:v>
                </c:pt>
                <c:pt idx="48">
                  <c:v>287078.74242999242</c:v>
                </c:pt>
                <c:pt idx="49">
                  <c:v>292564.11553486239</c:v>
                </c:pt>
                <c:pt idx="50">
                  <c:v>298035.34502694273</c:v>
                </c:pt>
                <c:pt idx="51">
                  <c:v>303492.47523631272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E1CE-44AD-BB9E-B48627A7030C}"/>
            </c:ext>
          </c:extLst>
        </c:ser>
        <c:dLbls>
          <c:showLegendKey val="0"/>
          <c:showVal val="0"/>
          <c:showCatName val="0"/>
          <c:showSerName val="0"/>
          <c:showPercent val="0"/>
          <c:showBubbleSize val="0"/>
        </c:dLbls>
        <c:marker val="1"/>
        <c:smooth val="0"/>
        <c:axId val="175012480"/>
        <c:axId val="175014656"/>
      </c:lineChart>
      <c:catAx>
        <c:axId val="17501248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14656"/>
        <c:crosses val="autoZero"/>
        <c:auto val="0"/>
        <c:lblAlgn val="ctr"/>
        <c:lblOffset val="100"/>
        <c:tickLblSkip val="153"/>
        <c:tickMarkSkip val="1"/>
        <c:noMultiLvlLbl val="0"/>
      </c:catAx>
      <c:valAx>
        <c:axId val="17501465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1248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model fit and validated forecast</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'W (All)'!$A$9:$A$54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2AF8-4B50-A179-F45D8E8A3BAA}"/>
            </c:ext>
          </c:extLst>
        </c:ser>
        <c:ser>
          <c:idx val="1"/>
          <c:order val="1"/>
          <c:spPr>
            <a:ln w="25400">
              <a:solidFill>
                <a:srgbClr val="FF00FF"/>
              </a:solidFill>
              <a:prstDash val="solid"/>
            </a:ln>
          </c:spPr>
          <c:marker>
            <c:symbol val="none"/>
          </c:marker>
          <c:cat>
            <c:numRef>
              <c:f>'W (All)'!$A$9:$A$54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7344.335729028825</c:v>
                </c:pt>
                <c:pt idx="1">
                  <c:v>14436.551199097725</c:v>
                </c:pt>
                <c:pt idx="2">
                  <c:v>21285.301328408012</c:v>
                </c:pt>
                <c:pt idx="3">
                  <c:v>27898.943924530697</c:v>
                </c:pt>
                <c:pt idx="4">
                  <c:v>34285.549883777916</c:v>
                </c:pt>
                <c:pt idx="5">
                  <c:v>40452.913040445157</c:v>
                </c:pt>
                <c:pt idx="6">
                  <c:v>46408.559677943333</c:v>
                </c:pt>
                <c:pt idx="7">
                  <c:v>52159.757713427702</c:v>
                </c:pt>
                <c:pt idx="8">
                  <c:v>57713.525567131976</c:v>
                </c:pt>
                <c:pt idx="9">
                  <c:v>63076.64072723117</c:v>
                </c:pt>
                <c:pt idx="10">
                  <c:v>68255.648020685359</c:v>
                </c:pt>
                <c:pt idx="11">
                  <c:v>73256.86760015742</c:v>
                </c:pt>
                <c:pt idx="12">
                  <c:v>78086.402656751801</c:v>
                </c:pt>
                <c:pt idx="13">
                  <c:v>82750.146867985968</c:v>
                </c:pt>
                <c:pt idx="14">
                  <c:v>87253.791590084365</c:v>
                </c:pt>
                <c:pt idx="15">
                  <c:v>91602.832803371042</c:v>
                </c:pt>
                <c:pt idx="16">
                  <c:v>95802.577819237515</c:v>
                </c:pt>
                <c:pt idx="17">
                  <c:v>99858.151756870066</c:v>
                </c:pt>
                <c:pt idx="18">
                  <c:v>103774.50379764057</c:v>
                </c:pt>
                <c:pt idx="19">
                  <c:v>107556.41322479326</c:v>
                </c:pt>
                <c:pt idx="20">
                  <c:v>111208.4952557979</c:v>
                </c:pt>
                <c:pt idx="21">
                  <c:v>114735.20667448692</c:v>
                </c:pt>
                <c:pt idx="22">
                  <c:v>118140.85126984945</c:v>
                </c:pt>
                <c:pt idx="23">
                  <c:v>121429.58508811954</c:v>
                </c:pt>
                <c:pt idx="24">
                  <c:v>124605.42150456809</c:v>
                </c:pt>
                <c:pt idx="25">
                  <c:v>127672.23612118732</c:v>
                </c:pt>
                <c:pt idx="26">
                  <c:v>130633.77149624519</c:v>
                </c:pt>
                <c:pt idx="27">
                  <c:v>133493.641711481</c:v>
                </c:pt>
                <c:pt idx="28">
                  <c:v>136255.33678251592</c:v>
                </c:pt>
                <c:pt idx="29">
                  <c:v>138922.22691786065</c:v>
                </c:pt>
                <c:pt idx="30">
                  <c:v>141497.56663171755</c:v>
                </c:pt>
                <c:pt idx="31">
                  <c:v>143984.49871559627</c:v>
                </c:pt>
                <c:pt idx="32">
                  <c:v>146386.05807358978</c:v>
                </c:pt>
                <c:pt idx="33">
                  <c:v>148705.17542599089</c:v>
                </c:pt>
                <c:pt idx="34">
                  <c:v>150944.68088576914</c:v>
                </c:pt>
                <c:pt idx="35">
                  <c:v>153128.47144011562</c:v>
                </c:pt>
                <c:pt idx="36">
                  <c:v>155236.56203205764</c:v>
                </c:pt>
                <c:pt idx="37">
                  <c:v>157271.57676137282</c:v>
                </c:pt>
                <c:pt idx="38">
                  <c:v>159236.04876478645</c:v>
                </c:pt>
                <c:pt idx="39">
                  <c:v>161114.04480952566</c:v>
                </c:pt>
                <c:pt idx="40">
                  <c:v>162927.57200825959</c:v>
                </c:pt>
                <c:pt idx="41">
                  <c:v>164678.8434817864</c:v>
                </c:pt>
                <c:pt idx="42">
                  <c:v>166369.99637771747</c:v>
                </c:pt>
                <c:pt idx="43">
                  <c:v>168003.09447852554</c:v>
                </c:pt>
                <c:pt idx="44">
                  <c:v>169580.13072006224</c:v>
                </c:pt>
                <c:pt idx="45">
                  <c:v>171103.02962361835</c:v>
                </c:pt>
                <c:pt idx="46">
                  <c:v>172573.64964449525</c:v>
                </c:pt>
                <c:pt idx="47">
                  <c:v>173993.78543995344</c:v>
                </c:pt>
                <c:pt idx="48">
                  <c:v>175365.17005930538</c:v>
                </c:pt>
                <c:pt idx="49">
                  <c:v>176689.47705882601</c:v>
                </c:pt>
                <c:pt idx="50">
                  <c:v>177968.32254406132</c:v>
                </c:pt>
                <c:pt idx="51">
                  <c:v>179203.26714202741</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2AF8-4B50-A179-F45D8E8A3BAA}"/>
            </c:ext>
          </c:extLst>
        </c:ser>
        <c:ser>
          <c:idx val="2"/>
          <c:order val="2"/>
          <c:spPr>
            <a:ln w="25400">
              <a:solidFill>
                <a:srgbClr val="008000"/>
              </a:solidFill>
              <a:prstDash val="solid"/>
            </a:ln>
          </c:spPr>
          <c:marker>
            <c:symbol val="none"/>
          </c:marker>
          <c:cat>
            <c:numRef>
              <c:f>'W (All)'!$A$9:$A$54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8499.3219409211779</c:v>
                </c:pt>
                <c:pt idx="1">
                  <c:v>16404.804123137495</c:v>
                </c:pt>
                <c:pt idx="2">
                  <c:v>23792.754684577423</c:v>
                </c:pt>
                <c:pt idx="3">
                  <c:v>30725.730351800816</c:v>
                </c:pt>
                <c:pt idx="4">
                  <c:v>37255.646350869756</c:v>
                </c:pt>
                <c:pt idx="5">
                  <c:v>43426.055223524942</c:v>
                </c:pt>
                <c:pt idx="6">
                  <c:v>49273.847370987503</c:v>
                </c:pt>
                <c:pt idx="7">
                  <c:v>54830.540786694248</c:v>
                </c:pt>
                <c:pt idx="8">
                  <c:v>60123.273491882399</c:v>
                </c:pt>
                <c:pt idx="9">
                  <c:v>65175.577222763903</c:v>
                </c:pt>
                <c:pt idx="10">
                  <c:v>70007.987739005519</c:v>
                </c:pt>
                <c:pt idx="11">
                  <c:v>74638.53144247079</c:v>
                </c:pt>
                <c:pt idx="12">
                  <c:v>79083.117190512858</c:v>
                </c:pt>
                <c:pt idx="13">
                  <c:v>83355.854617961581</c:v>
                </c:pt>
                <c:pt idx="14">
                  <c:v>87469.314896583499</c:v>
                </c:pt>
                <c:pt idx="15">
                  <c:v>91434.745975696569</c:v>
                </c:pt>
                <c:pt idx="16">
                  <c:v>95262.251508608126</c:v>
                </c:pt>
                <c:pt idx="17">
                  <c:v>98960.940570115621</c:v>
                </c:pt>
                <c:pt idx="18">
                  <c:v>102539.05370062744</c:v>
                </c:pt>
                <c:pt idx="19">
                  <c:v>106004.06962679887</c:v>
                </c:pt>
                <c:pt idx="20">
                  <c:v>109362.7961043987</c:v>
                </c:pt>
                <c:pt idx="21">
                  <c:v>112621.44763344251</c:v>
                </c:pt>
                <c:pt idx="22">
                  <c:v>115785.71225590339</c:v>
                </c:pt>
                <c:pt idx="23">
                  <c:v>118860.80922427788</c:v>
                </c:pt>
                <c:pt idx="24">
                  <c:v>121851.53899685852</c:v>
                </c:pt>
                <c:pt idx="25">
                  <c:v>124762.32675190546</c:v>
                </c:pt>
                <c:pt idx="26">
                  <c:v>127597.26040240616</c:v>
                </c:pt>
                <c:pt idx="27">
                  <c:v>130360.12392403407</c:v>
                </c:pt>
                <c:pt idx="28">
                  <c:v>133054.42667229407</c:v>
                </c:pt>
                <c:pt idx="29">
                  <c:v>135683.42925384446</c:v>
                </c:pt>
                <c:pt idx="30">
                  <c:v>138250.16642633482</c:v>
                </c:pt>
                <c:pt idx="31">
                  <c:v>140757.46742667383</c:v>
                </c:pt>
                <c:pt idx="32">
                  <c:v>143207.97406628681</c:v>
                </c:pt>
                <c:pt idx="33">
                  <c:v>145604.15688106132</c:v>
                </c:pt>
                <c:pt idx="34">
                  <c:v>147948.3295813876</c:v>
                </c:pt>
                <c:pt idx="35">
                  <c:v>154519.3973396708</c:v>
                </c:pt>
                <c:pt idx="36">
                  <c:v>160712.39594842569</c:v>
                </c:pt>
                <c:pt idx="37">
                  <c:v>166567.77713775184</c:v>
                </c:pt>
                <c:pt idx="38">
                  <c:v>172119.86247883536</c:v>
                </c:pt>
                <c:pt idx="39">
                  <c:v>173955.8060925912</c:v>
                </c:pt>
                <c:pt idx="40">
                  <c:v>175760.75892452724</c:v>
                </c:pt>
                <c:pt idx="41">
                  <c:v>177535.73104752653</c:v>
                </c:pt>
                <c:pt idx="42">
                  <c:v>179281.68424125924</c:v>
                </c:pt>
                <c:pt idx="43">
                  <c:v>180999.53501339117</c:v>
                </c:pt>
                <c:pt idx="44">
                  <c:v>182690.15738858763</c:v>
                </c:pt>
                <c:pt idx="45">
                  <c:v>184354.38548637839</c:v>
                </c:pt>
                <c:pt idx="46">
                  <c:v>185993.01590675808</c:v>
                </c:pt>
                <c:pt idx="47">
                  <c:v>187606.80994045688</c:v>
                </c:pt>
                <c:pt idx="48">
                  <c:v>189196.49561910034</c:v>
                </c:pt>
                <c:pt idx="49">
                  <c:v>190762.76961896522</c:v>
                </c:pt>
                <c:pt idx="50">
                  <c:v>192306.29903068152</c:v>
                </c:pt>
                <c:pt idx="51">
                  <c:v>193827.72300604312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2AF8-4B50-A179-F45D8E8A3BAA}"/>
            </c:ext>
          </c:extLst>
        </c:ser>
        <c:dLbls>
          <c:showLegendKey val="0"/>
          <c:showVal val="0"/>
          <c:showCatName val="0"/>
          <c:showSerName val="0"/>
          <c:showPercent val="0"/>
          <c:showBubbleSize val="0"/>
        </c:dLbls>
        <c:marker val="1"/>
        <c:smooth val="0"/>
        <c:axId val="175063424"/>
        <c:axId val="175065344"/>
      </c:lineChart>
      <c:catAx>
        <c:axId val="17506342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65344"/>
        <c:crosses val="autoZero"/>
        <c:auto val="0"/>
        <c:lblAlgn val="ctr"/>
        <c:lblOffset val="100"/>
        <c:tickLblSkip val="153"/>
        <c:tickMarkSkip val="1"/>
        <c:noMultiLvlLbl val="0"/>
      </c:catAx>
      <c:valAx>
        <c:axId val="175065344"/>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63424"/>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Actual sales</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'W (All)'!$D$9:$D$35</c:f>
              <c:numCache>
                <c:formatCode>General</c:formatCode>
                <c:ptCount val="27"/>
                <c:pt idx="0">
                  <c:v>74</c:v>
                </c:pt>
                <c:pt idx="1">
                  <c:v>68</c:v>
                </c:pt>
                <c:pt idx="2">
                  <c:v>85</c:v>
                </c:pt>
                <c:pt idx="3">
                  <c:v>86</c:v>
                </c:pt>
                <c:pt idx="4">
                  <c:v>96</c:v>
                </c:pt>
                <c:pt idx="5">
                  <c:v>107</c:v>
                </c:pt>
                <c:pt idx="6">
                  <c:v>85</c:v>
                </c:pt>
                <c:pt idx="7">
                  <c:v>74</c:v>
                </c:pt>
                <c:pt idx="8">
                  <c:v>87</c:v>
                </c:pt>
                <c:pt idx="9">
                  <c:v>74</c:v>
                </c:pt>
                <c:pt idx="10">
                  <c:v>88</c:v>
                </c:pt>
                <c:pt idx="11">
                  <c:v>101</c:v>
                </c:pt>
                <c:pt idx="12">
                  <c:v>176</c:v>
                </c:pt>
                <c:pt idx="13">
                  <c:v>144</c:v>
                </c:pt>
                <c:pt idx="14">
                  <c:v>178</c:v>
                </c:pt>
                <c:pt idx="15">
                  <c:v>141</c:v>
                </c:pt>
                <c:pt idx="16">
                  <c:v>151</c:v>
                </c:pt>
                <c:pt idx="17">
                  <c:v>102</c:v>
                </c:pt>
                <c:pt idx="18">
                  <c:v>132</c:v>
                </c:pt>
                <c:pt idx="19">
                  <c:v>188</c:v>
                </c:pt>
                <c:pt idx="20">
                  <c:v>121</c:v>
                </c:pt>
                <c:pt idx="21">
                  <c:v>139</c:v>
                </c:pt>
                <c:pt idx="22">
                  <c:v>166</c:v>
                </c:pt>
                <c:pt idx="23">
                  <c:v>170</c:v>
                </c:pt>
                <c:pt idx="24">
                  <c:v>316</c:v>
                </c:pt>
                <c:pt idx="25">
                  <c:v>427</c:v>
                </c:pt>
                <c:pt idx="26">
                  <c:v>584</c:v>
                </c:pt>
              </c:numCache>
            </c:numRef>
          </c:val>
          <c:smooth val="0"/>
          <c:extLst>
            <c:ext xmlns:c16="http://schemas.microsoft.com/office/drawing/2014/chart" uri="{C3380CC4-5D6E-409C-BE32-E72D297353CC}">
              <c16:uniqueId val="{00000003-2CB6-492B-BDD8-CEE19F22C1F5}"/>
            </c:ext>
          </c:extLst>
        </c:ser>
        <c:ser>
          <c:idx val="1"/>
          <c:order val="1"/>
          <c:tx>
            <c:v>Expected sales</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'W (All)'!$K$9:$K$35</c:f>
              <c:numCache>
                <c:formatCode>_(* #,##0_);_(* \(#,##0\);_(* "-"??_);_(@_)</c:formatCode>
                <c:ptCount val="27"/>
                <c:pt idx="0">
                  <c:v>21.074850246494137</c:v>
                </c:pt>
                <c:pt idx="1">
                  <c:v>43.210382219693869</c:v>
                </c:pt>
                <c:pt idx="2">
                  <c:v>59.12816239757035</c:v>
                </c:pt>
                <c:pt idx="3">
                  <c:v>72.590846353626233</c:v>
                </c:pt>
                <c:pt idx="4">
                  <c:v>84.562709721480729</c:v>
                </c:pt>
                <c:pt idx="5">
                  <c:v>95.489576972573843</c:v>
                </c:pt>
                <c:pt idx="6">
                  <c:v>105.62374987709291</c:v>
                </c:pt>
                <c:pt idx="7">
                  <c:v>115.12525229314679</c:v>
                </c:pt>
                <c:pt idx="8">
                  <c:v>124.1034412911456</c:v>
                </c:pt>
                <c:pt idx="9">
                  <c:v>132.63711784254895</c:v>
                </c:pt>
                <c:pt idx="10">
                  <c:v>140.78536789006171</c:v>
                </c:pt>
                <c:pt idx="11">
                  <c:v>148.59388959729279</c:v>
                </c:pt>
                <c:pt idx="12">
                  <c:v>156.09891728667321</c:v>
                </c:pt>
                <c:pt idx="13">
                  <c:v>163.32977471611457</c:v>
                </c:pt>
                <c:pt idx="14">
                  <c:v>170.31060264772736</c:v>
                </c:pt>
                <c:pt idx="15">
                  <c:v>177.06156623873426</c:v>
                </c:pt>
                <c:pt idx="16">
                  <c:v>183.59972227918183</c:v>
                </c:pt>
                <c:pt idx="17">
                  <c:v>189.93965685586409</c:v>
                </c:pt>
                <c:pt idx="18">
                  <c:v>196.09396381011811</c:v>
                </c:pt>
                <c:pt idx="19">
                  <c:v>202.07361015561719</c:v>
                </c:pt>
                <c:pt idx="20">
                  <c:v>207.8882195571623</c:v>
                </c:pt>
                <c:pt idx="21">
                  <c:v>213.54629531901128</c:v>
                </c:pt>
                <c:pt idx="22">
                  <c:v>219.05539798297013</c:v>
                </c:pt>
                <c:pt idx="23">
                  <c:v>224.42228836546656</c:v>
                </c:pt>
                <c:pt idx="24">
                  <c:v>229.6530439302669</c:v>
                </c:pt>
                <c:pt idx="25">
                  <c:v>234.75315434172717</c:v>
                </c:pt>
                <c:pt idx="26">
                  <c:v>239.72760058423864</c:v>
                </c:pt>
              </c:numCache>
            </c:numRef>
          </c:val>
          <c:smooth val="0"/>
          <c:extLst>
            <c:ext xmlns:c16="http://schemas.microsoft.com/office/drawing/2014/chart" uri="{C3380CC4-5D6E-409C-BE32-E72D297353CC}">
              <c16:uniqueId val="{00000004-2CB6-492B-BDD8-CEE19F22C1F5}"/>
            </c:ext>
          </c:extLst>
        </c:ser>
        <c:dLbls>
          <c:showLegendKey val="0"/>
          <c:showVal val="0"/>
          <c:showCatName val="0"/>
          <c:showSerName val="0"/>
          <c:showPercent val="0"/>
          <c:showBubbleSize val="0"/>
        </c:dLbls>
        <c:marker val="1"/>
        <c:smooth val="0"/>
        <c:axId val="414333784"/>
        <c:axId val="414334112"/>
      </c:lineChart>
      <c:catAx>
        <c:axId val="41433378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34112"/>
        <c:crosses val="autoZero"/>
        <c:auto val="1"/>
        <c:lblAlgn val="ctr"/>
        <c:lblOffset val="100"/>
        <c:noMultiLvlLbl val="0"/>
      </c:catAx>
      <c:valAx>
        <c:axId val="41433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333784"/>
        <c:crosses val="autoZero"/>
        <c:crossBetween val="between"/>
      </c:valAx>
      <c:spPr>
        <a:noFill/>
        <a:ln>
          <a:noFill/>
        </a:ln>
        <a:effectLst/>
      </c:spPr>
    </c:plotArea>
    <c:legend>
      <c:legendPos val="r"/>
      <c:layout>
        <c:manualLayout>
          <c:xMode val="edge"/>
          <c:yMode val="edge"/>
          <c:x val="0.76556330334289679"/>
          <c:y val="0.40931638148182153"/>
          <c:w val="0.2160937327518882"/>
          <c:h val="0.181366813902978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weekly sales and airplay</a:t>
            </a:r>
          </a:p>
        </c:rich>
      </c:tx>
      <c:overlay val="0"/>
      <c:spPr>
        <a:noFill/>
        <a:ln w="25400">
          <a:noFill/>
        </a:ln>
      </c:spPr>
    </c:title>
    <c:autoTitleDeleted val="0"/>
    <c:plotArea>
      <c:layout/>
      <c:lineChart>
        <c:grouping val="standard"/>
        <c:varyColors val="0"/>
        <c:ser>
          <c:idx val="0"/>
          <c:order val="0"/>
          <c:tx>
            <c:strRef>
              <c:f>'W(Holdout)'!$D$8</c:f>
              <c:strCache>
                <c:ptCount val="1"/>
                <c:pt idx="0">
                  <c:v>Incr_Sales</c:v>
                </c:pt>
              </c:strCache>
            </c:strRef>
          </c:tx>
          <c:spPr>
            <a:ln w="25400">
              <a:solidFill>
                <a:srgbClr val="000080"/>
              </a:solidFill>
              <a:prstDash val="solid"/>
            </a:ln>
          </c:spPr>
          <c:marker>
            <c:symbol val="none"/>
          </c:marker>
          <c:cat>
            <c:numRef>
              <c:f>'W(Holdout)'!$A$9:$A$54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'W(Holdout)'!$D$9:$D$54</c:f>
              <c:numCache>
                <c:formatCode>General</c:formatCode>
                <c:ptCount val="46"/>
                <c:pt idx="0">
                  <c:v>74</c:v>
                </c:pt>
                <c:pt idx="1">
                  <c:v>68</c:v>
                </c:pt>
                <c:pt idx="2">
                  <c:v>85</c:v>
                </c:pt>
                <c:pt idx="3">
                  <c:v>86</c:v>
                </c:pt>
                <c:pt idx="4">
                  <c:v>96</c:v>
                </c:pt>
                <c:pt idx="5">
                  <c:v>107</c:v>
                </c:pt>
                <c:pt idx="6">
                  <c:v>85</c:v>
                </c:pt>
                <c:pt idx="7">
                  <c:v>74</c:v>
                </c:pt>
                <c:pt idx="8">
                  <c:v>87</c:v>
                </c:pt>
                <c:pt idx="9">
                  <c:v>74</c:v>
                </c:pt>
                <c:pt idx="10">
                  <c:v>88</c:v>
                </c:pt>
                <c:pt idx="11">
                  <c:v>101</c:v>
                </c:pt>
                <c:pt idx="12">
                  <c:v>176</c:v>
                </c:pt>
                <c:pt idx="13">
                  <c:v>144</c:v>
                </c:pt>
                <c:pt idx="14">
                  <c:v>178</c:v>
                </c:pt>
                <c:pt idx="15">
                  <c:v>141</c:v>
                </c:pt>
                <c:pt idx="16">
                  <c:v>151</c:v>
                </c:pt>
                <c:pt idx="17">
                  <c:v>102</c:v>
                </c:pt>
                <c:pt idx="18">
                  <c:v>132</c:v>
                </c:pt>
                <c:pt idx="19">
                  <c:v>188</c:v>
                </c:pt>
                <c:pt idx="20">
                  <c:v>121</c:v>
                </c:pt>
                <c:pt idx="21">
                  <c:v>139</c:v>
                </c:pt>
                <c:pt idx="22">
                  <c:v>166</c:v>
                </c:pt>
                <c:pt idx="23">
                  <c:v>170</c:v>
                </c:pt>
                <c:pt idx="24">
                  <c:v>316</c:v>
                </c:pt>
                <c:pt idx="25">
                  <c:v>427</c:v>
                </c:pt>
                <c:pt idx="26">
                  <c:v>584</c:v>
                </c:pt>
              </c:numCache>
            </c:numRef>
          </c:val>
          <c:smooth val="0"/>
          <c:extLst>
            <c:ext xmlns:c16="http://schemas.microsoft.com/office/drawing/2014/chart" uri="{C3380CC4-5D6E-409C-BE32-E72D297353CC}">
              <c16:uniqueId val="{00000000-4860-4FF9-A96F-5B031A66CDE4}"/>
            </c:ext>
          </c:extLst>
        </c:ser>
        <c:ser>
          <c:idx val="1"/>
          <c:order val="1"/>
          <c:tx>
            <c:strRef>
              <c:f>'W(Holdout)'!$Q$8</c:f>
              <c:strCache>
                <c:ptCount val="1"/>
                <c:pt idx="0">
                  <c:v>lag2(Airplay)</c:v>
                </c:pt>
              </c:strCache>
            </c:strRef>
          </c:tx>
          <c:spPr>
            <a:ln w="25400">
              <a:solidFill>
                <a:srgbClr val="FF00FF"/>
              </a:solidFill>
              <a:prstDash val="solid"/>
            </a:ln>
          </c:spPr>
          <c:marker>
            <c:symbol val="none"/>
          </c:marker>
          <c:cat>
            <c:numRef>
              <c:f>'W(Holdout)'!$A$9:$A$54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W!#REF!</c:f>
              <c:numCache>
                <c:formatCode>General</c:formatCode>
                <c:ptCount val="1"/>
                <c:pt idx="0">
                  <c:v>1</c:v>
                </c:pt>
              </c:numCache>
            </c:numRef>
          </c:val>
          <c:smooth val="0"/>
          <c:extLst>
            <c:ext xmlns:c16="http://schemas.microsoft.com/office/drawing/2014/chart" uri="{C3380CC4-5D6E-409C-BE32-E72D297353CC}">
              <c16:uniqueId val="{00000001-4860-4FF9-A96F-5B031A66CDE4}"/>
            </c:ext>
          </c:extLst>
        </c:ser>
        <c:dLbls>
          <c:showLegendKey val="0"/>
          <c:showVal val="0"/>
          <c:showCatName val="0"/>
          <c:showSerName val="0"/>
          <c:showPercent val="0"/>
          <c:showBubbleSize val="0"/>
        </c:dLbls>
        <c:smooth val="0"/>
        <c:axId val="175171840"/>
        <c:axId val="175174016"/>
      </c:lineChart>
      <c:catAx>
        <c:axId val="17517184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174016"/>
        <c:crosses val="autoZero"/>
        <c:auto val="0"/>
        <c:lblAlgn val="ctr"/>
        <c:lblOffset val="100"/>
        <c:tickLblSkip val="132"/>
        <c:tickMarkSkip val="1"/>
        <c:noMultiLvlLbl val="0"/>
      </c:catAx>
      <c:valAx>
        <c:axId val="17517401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sales/airplay</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17184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genuine forecasts</a:t>
            </a:r>
          </a:p>
        </c:rich>
      </c:tx>
      <c:overlay val="0"/>
      <c:spPr>
        <a:noFill/>
        <a:ln w="25400">
          <a:noFill/>
        </a:ln>
      </c:spPr>
    </c:title>
    <c:autoTitleDeleted val="0"/>
    <c:plotArea>
      <c:layout/>
      <c:lineChart>
        <c:grouping val="standard"/>
        <c:varyColors val="0"/>
        <c:ser>
          <c:idx val="0"/>
          <c:order val="0"/>
          <c:spPr>
            <a:ln w="25400">
              <a:solidFill>
                <a:srgbClr val="FF00FF"/>
              </a:solidFill>
              <a:prstDash val="solid"/>
            </a:ln>
          </c:spPr>
          <c:marker>
            <c:symbol val="none"/>
          </c:marker>
          <c:cat>
            <c:numRef>
              <c:f>'W(Holdout)'!$A$9:$A$54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65"/>
                <c:pt idx="0">
                  <c:v>5224.4217589694226</c:v>
                </c:pt>
                <c:pt idx="1">
                  <c:v>10420.095805764095</c:v>
                </c:pt>
                <c:pt idx="2">
                  <c:v>15587.180326494108</c:v>
                </c:pt>
                <c:pt idx="3">
                  <c:v>20725.832636840245</c:v>
                </c:pt>
                <c:pt idx="4">
                  <c:v>25836.209186844131</c:v>
                </c:pt>
                <c:pt idx="5">
                  <c:v>30918.465565670696</c:v>
                </c:pt>
                <c:pt idx="6">
                  <c:v>35972.756506346028</c:v>
                </c:pt>
                <c:pt idx="7">
                  <c:v>40999.235890467557</c:v>
                </c:pt>
                <c:pt idx="8">
                  <c:v>45998.05675288973</c:v>
                </c:pt>
                <c:pt idx="9">
                  <c:v>50969.371286382971</c:v>
                </c:pt>
                <c:pt idx="10">
                  <c:v>55913.330846267076</c:v>
                </c:pt>
                <c:pt idx="11">
                  <c:v>60830.085955019866</c:v>
                </c:pt>
                <c:pt idx="12">
                  <c:v>65719.786306859693</c:v>
                </c:pt>
                <c:pt idx="13">
                  <c:v>70582.580772302666</c:v>
                </c:pt>
                <c:pt idx="14">
                  <c:v>75418.617402695774</c:v>
                </c:pt>
                <c:pt idx="15">
                  <c:v>80228.043434723877</c:v>
                </c:pt>
                <c:pt idx="16">
                  <c:v>85011.005294892748</c:v>
                </c:pt>
                <c:pt idx="17">
                  <c:v>89767.648603987065</c:v>
                </c:pt>
                <c:pt idx="18">
                  <c:v>94498.118181503552</c:v>
                </c:pt>
                <c:pt idx="19">
                  <c:v>99202.558050060892</c:v>
                </c:pt>
                <c:pt idx="20">
                  <c:v>103881.11143978406</c:v>
                </c:pt>
                <c:pt idx="21">
                  <c:v>108533.920792665</c:v>
                </c:pt>
                <c:pt idx="22">
                  <c:v>113161.12776689969</c:v>
                </c:pt>
                <c:pt idx="23">
                  <c:v>117762.87324120097</c:v>
                </c:pt>
                <c:pt idx="24">
                  <c:v>122339.29731908746</c:v>
                </c:pt>
                <c:pt idx="25">
                  <c:v>126890.53933314937</c:v>
                </c:pt>
                <c:pt idx="26">
                  <c:v>131416.73784929057</c:v>
                </c:pt>
                <c:pt idx="27">
                  <c:v>135918.03067094708</c:v>
                </c:pt>
                <c:pt idx="28">
                  <c:v>140394.55484328285</c:v>
                </c:pt>
                <c:pt idx="29">
                  <c:v>144846.44665736225</c:v>
                </c:pt>
                <c:pt idx="30">
                  <c:v>149273.84165429918</c:v>
                </c:pt>
                <c:pt idx="31">
                  <c:v>153676.87462938423</c:v>
                </c:pt>
                <c:pt idx="32">
                  <c:v>158055.67963618806</c:v>
                </c:pt>
                <c:pt idx="33">
                  <c:v>162410.38999064319</c:v>
                </c:pt>
                <c:pt idx="34">
                  <c:v>166741.13827510292</c:v>
                </c:pt>
                <c:pt idx="35">
                  <c:v>171048.05634237741</c:v>
                </c:pt>
                <c:pt idx="36">
                  <c:v>175331.2753197487</c:v>
                </c:pt>
                <c:pt idx="37">
                  <c:v>179590.92561296254</c:v>
                </c:pt>
                <c:pt idx="38">
                  <c:v>183827.13691019849</c:v>
                </c:pt>
                <c:pt idx="39">
                  <c:v>188040.03818601923</c:v>
                </c:pt>
                <c:pt idx="40">
                  <c:v>192229.75770529616</c:v>
                </c:pt>
                <c:pt idx="41">
                  <c:v>196396.42302711552</c:v>
                </c:pt>
                <c:pt idx="42">
                  <c:v>200540.16100866138</c:v>
                </c:pt>
                <c:pt idx="43">
                  <c:v>204661.09780907811</c:v>
                </c:pt>
                <c:pt idx="44">
                  <c:v>208759.35889331135</c:v>
                </c:pt>
                <c:pt idx="45">
                  <c:v>212835.0690359282</c:v>
                </c:pt>
                <c:pt idx="46">
                  <c:v>216888.35232491541</c:v>
                </c:pt>
                <c:pt idx="47">
                  <c:v>220919.33216545792</c:v>
                </c:pt>
                <c:pt idx="48">
                  <c:v>224928.13128369578</c:v>
                </c:pt>
                <c:pt idx="49">
                  <c:v>228914.87173046058</c:v>
                </c:pt>
                <c:pt idx="50">
                  <c:v>232879.67488499157</c:v>
                </c:pt>
                <c:pt idx="51">
                  <c:v>236822.66145863105</c:v>
                </c:pt>
                <c:pt idx="52">
                  <c:v>240743.95149849943</c:v>
                </c:pt>
                <c:pt idx="53">
                  <c:v>244643.6643911502</c:v>
                </c:pt>
                <c:pt idx="54">
                  <c:v>248521.91886620491</c:v>
                </c:pt>
                <c:pt idx="55">
                  <c:v>252378.83299996777</c:v>
                </c:pt>
                <c:pt idx="56">
                  <c:v>256214.52421902039</c:v>
                </c:pt>
                <c:pt idx="57">
                  <c:v>260029.10930379757</c:v>
                </c:pt>
                <c:pt idx="58">
                  <c:v>263822.70439214213</c:v>
                </c:pt>
                <c:pt idx="59">
                  <c:v>267595.42498284113</c:v>
                </c:pt>
                <c:pt idx="60">
                  <c:v>271347.38593914203</c:v>
                </c:pt>
                <c:pt idx="61">
                  <c:v>275078.7014922502</c:v>
                </c:pt>
                <c:pt idx="62">
                  <c:v>278789.48524480656</c:v>
                </c:pt>
                <c:pt idx="63">
                  <c:v>282479.85017434612</c:v>
                </c:pt>
                <c:pt idx="64">
                  <c:v>286149.90863673808</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0-070C-4E7A-8D6B-A0B7F4E19BBB}"/>
            </c:ext>
          </c:extLst>
        </c:ser>
        <c:ser>
          <c:idx val="1"/>
          <c:order val="1"/>
          <c:spPr>
            <a:ln w="25400">
              <a:solidFill>
                <a:srgbClr val="008000"/>
              </a:solidFill>
              <a:prstDash val="solid"/>
            </a:ln>
          </c:spPr>
          <c:marker>
            <c:symbol val="none"/>
          </c:marker>
          <c:cat>
            <c:numRef>
              <c:f>'W(Holdout)'!$A$9:$A$54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65"/>
                <c:pt idx="0">
                  <c:v>5337.8599834530414</c:v>
                </c:pt>
                <c:pt idx="1">
                  <c:v>10635.213722550718</c:v>
                </c:pt>
                <c:pt idx="2">
                  <c:v>15892.601184708477</c:v>
                </c:pt>
                <c:pt idx="3">
                  <c:v>21110.55207449153</c:v>
                </c:pt>
                <c:pt idx="4">
                  <c:v>26289.58608625942</c:v>
                </c:pt>
                <c:pt idx="5">
                  <c:v>31430.213149191033</c:v>
                </c:pt>
                <c:pt idx="6">
                  <c:v>36532.933664959797</c:v>
                </c:pt>
                <c:pt idx="7">
                  <c:v>41598.238738319917</c:v>
                </c:pt>
                <c:pt idx="8">
                  <c:v>46626.610400853031</c:v>
                </c:pt>
                <c:pt idx="9">
                  <c:v>51618.521828118544</c:v>
                </c:pt>
                <c:pt idx="10">
                  <c:v>56574.437550431008</c:v>
                </c:pt>
                <c:pt idx="11">
                  <c:v>61494.813657491432</c:v>
                </c:pt>
                <c:pt idx="12">
                  <c:v>66380.097997082339</c:v>
                </c:pt>
                <c:pt idx="13">
                  <c:v>71230.730368030068</c:v>
                </c:pt>
                <c:pt idx="14">
                  <c:v>76047.142707627907</c:v>
                </c:pt>
                <c:pt idx="15">
                  <c:v>80829.759273713717</c:v>
                </c:pt>
                <c:pt idx="16">
                  <c:v>85578.996821573106</c:v>
                </c:pt>
                <c:pt idx="17">
                  <c:v>90295.264775854594</c:v>
                </c:pt>
                <c:pt idx="18">
                  <c:v>94978.965397647946</c:v>
                </c:pt>
                <c:pt idx="19">
                  <c:v>99630.493946900606</c:v>
                </c:pt>
                <c:pt idx="20">
                  <c:v>104250.23884031737</c:v>
                </c:pt>
                <c:pt idx="21">
                  <c:v>108838.58180489393</c:v>
                </c:pt>
                <c:pt idx="22">
                  <c:v>113395.89802722905</c:v>
                </c:pt>
                <c:pt idx="23">
                  <c:v>117922.55629874914</c:v>
                </c:pt>
                <c:pt idx="24">
                  <c:v>122418.91915698122</c:v>
                </c:pt>
                <c:pt idx="25">
                  <c:v>126885.34302299759</c:v>
                </c:pt>
                <c:pt idx="26">
                  <c:v>131322.17833515958</c:v>
                </c:pt>
                <c:pt idx="27">
                  <c:v>135729.76967927342</c:v>
                </c:pt>
                <c:pt idx="28">
                  <c:v>140108.45591527323</c:v>
                </c:pt>
                <c:pt idx="29">
                  <c:v>144458.57030054598</c:v>
                </c:pt>
                <c:pt idx="30">
                  <c:v>148780.44060999496</c:v>
                </c:pt>
                <c:pt idx="31">
                  <c:v>153074.38925294904</c:v>
                </c:pt>
                <c:pt idx="32">
                  <c:v>157340.73338701771</c:v>
                </c:pt>
                <c:pt idx="33">
                  <c:v>161579.78502897974</c:v>
                </c:pt>
                <c:pt idx="34">
                  <c:v>165791.85116280272</c:v>
                </c:pt>
                <c:pt idx="35">
                  <c:v>170644.09835148463</c:v>
                </c:pt>
                <c:pt idx="36">
                  <c:v>175460.90841741636</c:v>
                </c:pt>
                <c:pt idx="37">
                  <c:v>180242.73609641616</c:v>
                </c:pt>
                <c:pt idx="38">
                  <c:v>184990.02780267669</c:v>
                </c:pt>
                <c:pt idx="39">
                  <c:v>189055.42271100107</c:v>
                </c:pt>
                <c:pt idx="40">
                  <c:v>193095.75015619418</c:v>
                </c:pt>
                <c:pt idx="41">
                  <c:v>197111.28195723804</c:v>
                </c:pt>
                <c:pt idx="42">
                  <c:v>201102.28572613787</c:v>
                </c:pt>
                <c:pt idx="43">
                  <c:v>205069.02495234559</c:v>
                </c:pt>
                <c:pt idx="44">
                  <c:v>209011.75908510594</c:v>
                </c:pt>
                <c:pt idx="45">
                  <c:v>212930.74361378362</c:v>
                </c:pt>
                <c:pt idx="46">
                  <c:v>216826.23014623381</c:v>
                </c:pt>
                <c:pt idx="47">
                  <c:v>220698.46648526614</c:v>
                </c:pt>
                <c:pt idx="48">
                  <c:v>224547.6967032649</c:v>
                </c:pt>
                <c:pt idx="49">
                  <c:v>228374.16121501286</c:v>
                </c:pt>
                <c:pt idx="50">
                  <c:v>232178.09684876766</c:v>
                </c:pt>
                <c:pt idx="51">
                  <c:v>235959.73691564874</c:v>
                </c:pt>
                <c:pt idx="52">
                  <c:v>239719.31127737579</c:v>
                </c:pt>
                <c:pt idx="53">
                  <c:v>243457.0464124034</c:v>
                </c:pt>
                <c:pt idx="54">
                  <c:v>247173.16548050562</c:v>
                </c:pt>
                <c:pt idx="55">
                  <c:v>250867.88838584229</c:v>
                </c:pt>
                <c:pt idx="56">
                  <c:v>254541.43183855992</c:v>
                </c:pt>
                <c:pt idx="57">
                  <c:v>258194.00941495819</c:v>
                </c:pt>
                <c:pt idx="58">
                  <c:v>261825.83161626881</c:v>
                </c:pt>
                <c:pt idx="59">
                  <c:v>265437.10592608119</c:v>
                </c:pt>
                <c:pt idx="60">
                  <c:v>269028.03686644981</c:v>
                </c:pt>
                <c:pt idx="61">
                  <c:v>272598.82605272526</c:v>
                </c:pt>
                <c:pt idx="62">
                  <c:v>276149.67224713636</c:v>
                </c:pt>
                <c:pt idx="63">
                  <c:v>279680.77141116234</c:v>
                </c:pt>
                <c:pt idx="64">
                  <c:v>283192.31675672519</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1-070C-4E7A-8D6B-A0B7F4E19BBB}"/>
            </c:ext>
          </c:extLst>
        </c:ser>
        <c:ser>
          <c:idx val="2"/>
          <c:order val="2"/>
          <c:spPr>
            <a:ln w="12700">
              <a:solidFill>
                <a:srgbClr val="000080"/>
              </a:solidFill>
              <a:prstDash val="solid"/>
            </a:ln>
          </c:spPr>
          <c:marker>
            <c:symbol val="diamond"/>
            <c:size val="5"/>
            <c:spPr>
              <a:solidFill>
                <a:srgbClr val="000080"/>
              </a:solidFill>
              <a:ln>
                <a:solidFill>
                  <a:srgbClr val="000080"/>
                </a:solidFill>
                <a:prstDash val="solid"/>
              </a:ln>
            </c:spPr>
          </c:marker>
          <c:cat>
            <c:numRef>
              <c:f>'W(Holdout)'!$A$9:$A$54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2-070C-4E7A-8D6B-A0B7F4E19BBB}"/>
            </c:ext>
          </c:extLst>
        </c:ser>
        <c:dLbls>
          <c:showLegendKey val="0"/>
          <c:showVal val="0"/>
          <c:showCatName val="0"/>
          <c:showSerName val="0"/>
          <c:showPercent val="0"/>
          <c:showBubbleSize val="0"/>
        </c:dLbls>
        <c:smooth val="0"/>
        <c:axId val="174883968"/>
        <c:axId val="174899200"/>
      </c:lineChart>
      <c:catAx>
        <c:axId val="17488396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899200"/>
        <c:crosses val="autoZero"/>
        <c:auto val="0"/>
        <c:lblAlgn val="ctr"/>
        <c:lblOffset val="100"/>
        <c:tickLblSkip val="192"/>
        <c:tickMarkSkip val="1"/>
        <c:noMultiLvlLbl val="0"/>
      </c:catAx>
      <c:valAx>
        <c:axId val="174899200"/>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883968"/>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early projections</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'W(Holdout)'!$A$9:$A$54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F903-44DB-9A27-B29B77727717}"/>
            </c:ext>
          </c:extLst>
        </c:ser>
        <c:ser>
          <c:idx val="1"/>
          <c:order val="1"/>
          <c:spPr>
            <a:ln w="25400">
              <a:solidFill>
                <a:srgbClr val="FF00FF"/>
              </a:solidFill>
              <a:prstDash val="solid"/>
            </a:ln>
          </c:spPr>
          <c:marker>
            <c:symbol val="none"/>
          </c:marker>
          <c:cat>
            <c:numRef>
              <c:f>'W(Holdout)'!$A$9:$A$54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6205.5970060675982</c:v>
                </c:pt>
                <c:pt idx="1">
                  <c:v>12398.357534068038</c:v>
                </c:pt>
                <c:pt idx="2">
                  <c:v>18578.30813667105</c:v>
                </c:pt>
                <c:pt idx="3">
                  <c:v>24745.475311621969</c:v>
                </c:pt>
                <c:pt idx="4">
                  <c:v>30899.885501853631</c:v>
                </c:pt>
                <c:pt idx="5">
                  <c:v>37041.565095601967</c:v>
                </c:pt>
                <c:pt idx="6">
                  <c:v>43170.540426517247</c:v>
                </c:pt>
                <c:pt idx="7">
                  <c:v>49286.837773777959</c:v>
                </c:pt>
                <c:pt idx="8">
                  <c:v>55390.483362203093</c:v>
                </c:pt>
                <c:pt idx="9">
                  <c:v>61481.503362365023</c:v>
                </c:pt>
                <c:pt idx="10">
                  <c:v>67559.923890701422</c:v>
                </c:pt>
                <c:pt idx="11">
                  <c:v>73625.771009626857</c:v>
                </c:pt>
                <c:pt idx="12">
                  <c:v>79679.070727645681</c:v>
                </c:pt>
                <c:pt idx="13">
                  <c:v>85719.848999461945</c:v>
                </c:pt>
                <c:pt idx="14">
                  <c:v>91748.13172609231</c:v>
                </c:pt>
                <c:pt idx="15">
                  <c:v>97763.944754976299</c:v>
                </c:pt>
                <c:pt idx="16">
                  <c:v>103767.31388008619</c:v>
                </c:pt>
                <c:pt idx="17">
                  <c:v>109758.26484203999</c:v>
                </c:pt>
                <c:pt idx="18">
                  <c:v>115736.82332820923</c:v>
                </c:pt>
                <c:pt idx="19">
                  <c:v>121703.01497283098</c:v>
                </c:pt>
                <c:pt idx="20">
                  <c:v>127656.86535711707</c:v>
                </c:pt>
                <c:pt idx="21">
                  <c:v>133598.40000936363</c:v>
                </c:pt>
                <c:pt idx="22">
                  <c:v>139527.64440506004</c:v>
                </c:pt>
                <c:pt idx="23">
                  <c:v>145444.62396699988</c:v>
                </c:pt>
                <c:pt idx="24">
                  <c:v>151349.36406538801</c:v>
                </c:pt>
                <c:pt idx="25">
                  <c:v>157241.89001795073</c:v>
                </c:pt>
                <c:pt idx="26">
                  <c:v>163122.22709004386</c:v>
                </c:pt>
                <c:pt idx="27">
                  <c:v>168990.40049476034</c:v>
                </c:pt>
                <c:pt idx="28">
                  <c:v>174846.43539304013</c:v>
                </c:pt>
                <c:pt idx="29">
                  <c:v>180690.35689377555</c:v>
                </c:pt>
                <c:pt idx="30">
                  <c:v>186522.19005392145</c:v>
                </c:pt>
                <c:pt idx="31">
                  <c:v>192341.95987860113</c:v>
                </c:pt>
                <c:pt idx="32">
                  <c:v>198149.69132121396</c:v>
                </c:pt>
                <c:pt idx="33">
                  <c:v>203945.40928354289</c:v>
                </c:pt>
                <c:pt idx="34">
                  <c:v>209729.1386158604</c:v>
                </c:pt>
                <c:pt idx="35">
                  <c:v>215500.90411703481</c:v>
                </c:pt>
                <c:pt idx="36">
                  <c:v>221260.73053463778</c:v>
                </c:pt>
                <c:pt idx="37">
                  <c:v>227008.64256505028</c:v>
                </c:pt>
                <c:pt idx="38">
                  <c:v>232744.6648535667</c:v>
                </c:pt>
                <c:pt idx="39">
                  <c:v>238468.82199450338</c:v>
                </c:pt>
                <c:pt idx="40">
                  <c:v>244181.1385313012</c:v>
                </c:pt>
                <c:pt idx="41">
                  <c:v>249881.63895663273</c:v>
                </c:pt>
                <c:pt idx="42">
                  <c:v>255570.34771250674</c:v>
                </c:pt>
                <c:pt idx="43">
                  <c:v>261247.28919037309</c:v>
                </c:pt>
                <c:pt idx="44">
                  <c:v>266912.48773122631</c:v>
                </c:pt>
                <c:pt idx="45">
                  <c:v>272565.96762571164</c:v>
                </c:pt>
                <c:pt idx="46">
                  <c:v>278207.75311422796</c:v>
                </c:pt>
                <c:pt idx="47">
                  <c:v>283837.86838703218</c:v>
                </c:pt>
                <c:pt idx="48">
                  <c:v>289456.33758434275</c:v>
                </c:pt>
                <c:pt idx="49">
                  <c:v>295063.18479644344</c:v>
                </c:pt>
                <c:pt idx="50">
                  <c:v>300658.43406378658</c:v>
                </c:pt>
                <c:pt idx="51">
                  <c:v>306242.10937709583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F903-44DB-9A27-B29B77727717}"/>
            </c:ext>
          </c:extLst>
        </c:ser>
        <c:ser>
          <c:idx val="2"/>
          <c:order val="2"/>
          <c:spPr>
            <a:ln w="25400">
              <a:solidFill>
                <a:srgbClr val="008000"/>
              </a:solidFill>
              <a:prstDash val="solid"/>
            </a:ln>
          </c:spPr>
          <c:marker>
            <c:symbol val="none"/>
          </c:marker>
          <c:cat>
            <c:numRef>
              <c:f>'W(Holdout)'!$A$9:$A$54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6236.3185158423876</c:v>
                </c:pt>
                <c:pt idx="1">
                  <c:v>12456.105476353119</c:v>
                </c:pt>
                <c:pt idx="2">
                  <c:v>18659.414150744902</c:v>
                </c:pt>
                <c:pt idx="3">
                  <c:v>24846.297606183398</c:v>
                </c:pt>
                <c:pt idx="4">
                  <c:v>31016.80870865786</c:v>
                </c:pt>
                <c:pt idx="5">
                  <c:v>37171.000123869424</c:v>
                </c:pt>
                <c:pt idx="6">
                  <c:v>43308.924318095407</c:v>
                </c:pt>
                <c:pt idx="7">
                  <c:v>49430.63355905997</c:v>
                </c:pt>
                <c:pt idx="8">
                  <c:v>55536.179916802372</c:v>
                </c:pt>
                <c:pt idx="9">
                  <c:v>61625.615264532033</c:v>
                </c:pt>
                <c:pt idx="10">
                  <c:v>67698.991279486756</c:v>
                </c:pt>
                <c:pt idx="11">
                  <c:v>73756.359443787107</c:v>
                </c:pt>
                <c:pt idx="12">
                  <c:v>79797.771045275076</c:v>
                </c:pt>
                <c:pt idx="13">
                  <c:v>85823.277178370685</c:v>
                </c:pt>
                <c:pt idx="14">
                  <c:v>91832.928744896344</c:v>
                </c:pt>
                <c:pt idx="15">
                  <c:v>97826.776454923878</c:v>
                </c:pt>
                <c:pt idx="16">
                  <c:v>103804.87082759848</c:v>
                </c:pt>
                <c:pt idx="17">
                  <c:v>109767.26219197208</c:v>
                </c:pt>
                <c:pt idx="18">
                  <c:v>115714.00068781502</c:v>
                </c:pt>
                <c:pt idx="19">
                  <c:v>121645.13626644868</c:v>
                </c:pt>
                <c:pt idx="20">
                  <c:v>127560.71869154894</c:v>
                </c:pt>
                <c:pt idx="21">
                  <c:v>133460.79753996443</c:v>
                </c:pt>
                <c:pt idx="22">
                  <c:v>139345.42220251821</c:v>
                </c:pt>
                <c:pt idx="23">
                  <c:v>145214.64188481527</c:v>
                </c:pt>
                <c:pt idx="24">
                  <c:v>151068.50560803665</c:v>
                </c:pt>
                <c:pt idx="25">
                  <c:v>156907.06220974037</c:v>
                </c:pt>
                <c:pt idx="26">
                  <c:v>162730.36034464737</c:v>
                </c:pt>
                <c:pt idx="27">
                  <c:v>168538.44848542986</c:v>
                </c:pt>
                <c:pt idx="28">
                  <c:v>174331.37492349805</c:v>
                </c:pt>
                <c:pt idx="29">
                  <c:v>180109.18776977746</c:v>
                </c:pt>
                <c:pt idx="30">
                  <c:v>185871.93495548383</c:v>
                </c:pt>
                <c:pt idx="31">
                  <c:v>191619.66423289722</c:v>
                </c:pt>
                <c:pt idx="32">
                  <c:v>197352.42317613267</c:v>
                </c:pt>
                <c:pt idx="33">
                  <c:v>203070.25918189669</c:v>
                </c:pt>
                <c:pt idx="34">
                  <c:v>208773.21947025752</c:v>
                </c:pt>
                <c:pt idx="35">
                  <c:v>214461.35108539666</c:v>
                </c:pt>
                <c:pt idx="36">
                  <c:v>220134.70089636612</c:v>
                </c:pt>
                <c:pt idx="37">
                  <c:v>225793.31559783532</c:v>
                </c:pt>
                <c:pt idx="38">
                  <c:v>231437.24171083735</c:v>
                </c:pt>
                <c:pt idx="39">
                  <c:v>237066.52558351649</c:v>
                </c:pt>
                <c:pt idx="40">
                  <c:v>242681.21339185978</c:v>
                </c:pt>
                <c:pt idx="41">
                  <c:v>248281.35114044035</c:v>
                </c:pt>
                <c:pt idx="42">
                  <c:v>253866.98466314361</c:v>
                </c:pt>
                <c:pt idx="43">
                  <c:v>259438.15962389749</c:v>
                </c:pt>
                <c:pt idx="44">
                  <c:v>264994.92151739931</c:v>
                </c:pt>
                <c:pt idx="45">
                  <c:v>270537.31566983397</c:v>
                </c:pt>
                <c:pt idx="46">
                  <c:v>276065.38723959605</c:v>
                </c:pt>
                <c:pt idx="47">
                  <c:v>281579.18121799931</c:v>
                </c:pt>
                <c:pt idx="48">
                  <c:v>287078.74242999242</c:v>
                </c:pt>
                <c:pt idx="49">
                  <c:v>292564.11553486239</c:v>
                </c:pt>
                <c:pt idx="50">
                  <c:v>298035.34502694273</c:v>
                </c:pt>
                <c:pt idx="51">
                  <c:v>303492.47523631272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F903-44DB-9A27-B29B77727717}"/>
            </c:ext>
          </c:extLst>
        </c:ser>
        <c:dLbls>
          <c:showLegendKey val="0"/>
          <c:showVal val="0"/>
          <c:showCatName val="0"/>
          <c:showSerName val="0"/>
          <c:showPercent val="0"/>
          <c:showBubbleSize val="0"/>
        </c:dLbls>
        <c:marker val="1"/>
        <c:smooth val="0"/>
        <c:axId val="175012480"/>
        <c:axId val="175014656"/>
      </c:lineChart>
      <c:catAx>
        <c:axId val="17501248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14656"/>
        <c:crosses val="autoZero"/>
        <c:auto val="0"/>
        <c:lblAlgn val="ctr"/>
        <c:lblOffset val="100"/>
        <c:tickLblSkip val="153"/>
        <c:tickMarkSkip val="1"/>
        <c:noMultiLvlLbl val="0"/>
      </c:catAx>
      <c:valAx>
        <c:axId val="17501465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1248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model fit and validated forecast</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'W(Holdout)'!$A$9:$A$54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25D2-40AD-900C-6A399DCFF7C0}"/>
            </c:ext>
          </c:extLst>
        </c:ser>
        <c:ser>
          <c:idx val="1"/>
          <c:order val="1"/>
          <c:spPr>
            <a:ln w="25400">
              <a:solidFill>
                <a:srgbClr val="FF00FF"/>
              </a:solidFill>
              <a:prstDash val="solid"/>
            </a:ln>
          </c:spPr>
          <c:marker>
            <c:symbol val="none"/>
          </c:marker>
          <c:cat>
            <c:numRef>
              <c:f>'W(Holdout)'!$A$9:$A$54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7344.335729028825</c:v>
                </c:pt>
                <c:pt idx="1">
                  <c:v>14436.551199097725</c:v>
                </c:pt>
                <c:pt idx="2">
                  <c:v>21285.301328408012</c:v>
                </c:pt>
                <c:pt idx="3">
                  <c:v>27898.943924530697</c:v>
                </c:pt>
                <c:pt idx="4">
                  <c:v>34285.549883777916</c:v>
                </c:pt>
                <c:pt idx="5">
                  <c:v>40452.913040445157</c:v>
                </c:pt>
                <c:pt idx="6">
                  <c:v>46408.559677943333</c:v>
                </c:pt>
                <c:pt idx="7">
                  <c:v>52159.757713427702</c:v>
                </c:pt>
                <c:pt idx="8">
                  <c:v>57713.525567131976</c:v>
                </c:pt>
                <c:pt idx="9">
                  <c:v>63076.64072723117</c:v>
                </c:pt>
                <c:pt idx="10">
                  <c:v>68255.648020685359</c:v>
                </c:pt>
                <c:pt idx="11">
                  <c:v>73256.86760015742</c:v>
                </c:pt>
                <c:pt idx="12">
                  <c:v>78086.402656751801</c:v>
                </c:pt>
                <c:pt idx="13">
                  <c:v>82750.146867985968</c:v>
                </c:pt>
                <c:pt idx="14">
                  <c:v>87253.791590084365</c:v>
                </c:pt>
                <c:pt idx="15">
                  <c:v>91602.832803371042</c:v>
                </c:pt>
                <c:pt idx="16">
                  <c:v>95802.577819237515</c:v>
                </c:pt>
                <c:pt idx="17">
                  <c:v>99858.151756870066</c:v>
                </c:pt>
                <c:pt idx="18">
                  <c:v>103774.50379764057</c:v>
                </c:pt>
                <c:pt idx="19">
                  <c:v>107556.41322479326</c:v>
                </c:pt>
                <c:pt idx="20">
                  <c:v>111208.4952557979</c:v>
                </c:pt>
                <c:pt idx="21">
                  <c:v>114735.20667448692</c:v>
                </c:pt>
                <c:pt idx="22">
                  <c:v>118140.85126984945</c:v>
                </c:pt>
                <c:pt idx="23">
                  <c:v>121429.58508811954</c:v>
                </c:pt>
                <c:pt idx="24">
                  <c:v>124605.42150456809</c:v>
                </c:pt>
                <c:pt idx="25">
                  <c:v>127672.23612118732</c:v>
                </c:pt>
                <c:pt idx="26">
                  <c:v>130633.77149624519</c:v>
                </c:pt>
                <c:pt idx="27">
                  <c:v>133493.641711481</c:v>
                </c:pt>
                <c:pt idx="28">
                  <c:v>136255.33678251592</c:v>
                </c:pt>
                <c:pt idx="29">
                  <c:v>138922.22691786065</c:v>
                </c:pt>
                <c:pt idx="30">
                  <c:v>141497.56663171755</c:v>
                </c:pt>
                <c:pt idx="31">
                  <c:v>143984.49871559627</c:v>
                </c:pt>
                <c:pt idx="32">
                  <c:v>146386.05807358978</c:v>
                </c:pt>
                <c:pt idx="33">
                  <c:v>148705.17542599089</c:v>
                </c:pt>
                <c:pt idx="34">
                  <c:v>150944.68088576914</c:v>
                </c:pt>
                <c:pt idx="35">
                  <c:v>153128.47144011562</c:v>
                </c:pt>
                <c:pt idx="36">
                  <c:v>155236.56203205764</c:v>
                </c:pt>
                <c:pt idx="37">
                  <c:v>157271.57676137282</c:v>
                </c:pt>
                <c:pt idx="38">
                  <c:v>159236.04876478645</c:v>
                </c:pt>
                <c:pt idx="39">
                  <c:v>161114.04480952566</c:v>
                </c:pt>
                <c:pt idx="40">
                  <c:v>162927.57200825959</c:v>
                </c:pt>
                <c:pt idx="41">
                  <c:v>164678.8434817864</c:v>
                </c:pt>
                <c:pt idx="42">
                  <c:v>166369.99637771747</c:v>
                </c:pt>
                <c:pt idx="43">
                  <c:v>168003.09447852554</c:v>
                </c:pt>
                <c:pt idx="44">
                  <c:v>169580.13072006224</c:v>
                </c:pt>
                <c:pt idx="45">
                  <c:v>171103.02962361835</c:v>
                </c:pt>
                <c:pt idx="46">
                  <c:v>172573.64964449525</c:v>
                </c:pt>
                <c:pt idx="47">
                  <c:v>173993.78543995344</c:v>
                </c:pt>
                <c:pt idx="48">
                  <c:v>175365.17005930538</c:v>
                </c:pt>
                <c:pt idx="49">
                  <c:v>176689.47705882601</c:v>
                </c:pt>
                <c:pt idx="50">
                  <c:v>177968.32254406132</c:v>
                </c:pt>
                <c:pt idx="51">
                  <c:v>179203.26714202741</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25D2-40AD-900C-6A399DCFF7C0}"/>
            </c:ext>
          </c:extLst>
        </c:ser>
        <c:ser>
          <c:idx val="2"/>
          <c:order val="2"/>
          <c:spPr>
            <a:ln w="25400">
              <a:solidFill>
                <a:srgbClr val="008000"/>
              </a:solidFill>
              <a:prstDash val="solid"/>
            </a:ln>
          </c:spPr>
          <c:marker>
            <c:symbol val="none"/>
          </c:marker>
          <c:cat>
            <c:numRef>
              <c:f>'W(Holdout)'!$A$9:$A$54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8499.3219409211779</c:v>
                </c:pt>
                <c:pt idx="1">
                  <c:v>16404.804123137495</c:v>
                </c:pt>
                <c:pt idx="2">
                  <c:v>23792.754684577423</c:v>
                </c:pt>
                <c:pt idx="3">
                  <c:v>30725.730351800816</c:v>
                </c:pt>
                <c:pt idx="4">
                  <c:v>37255.646350869756</c:v>
                </c:pt>
                <c:pt idx="5">
                  <c:v>43426.055223524942</c:v>
                </c:pt>
                <c:pt idx="6">
                  <c:v>49273.847370987503</c:v>
                </c:pt>
                <c:pt idx="7">
                  <c:v>54830.540786694248</c:v>
                </c:pt>
                <c:pt idx="8">
                  <c:v>60123.273491882399</c:v>
                </c:pt>
                <c:pt idx="9">
                  <c:v>65175.577222763903</c:v>
                </c:pt>
                <c:pt idx="10">
                  <c:v>70007.987739005519</c:v>
                </c:pt>
                <c:pt idx="11">
                  <c:v>74638.53144247079</c:v>
                </c:pt>
                <c:pt idx="12">
                  <c:v>79083.117190512858</c:v>
                </c:pt>
                <c:pt idx="13">
                  <c:v>83355.854617961581</c:v>
                </c:pt>
                <c:pt idx="14">
                  <c:v>87469.314896583499</c:v>
                </c:pt>
                <c:pt idx="15">
                  <c:v>91434.745975696569</c:v>
                </c:pt>
                <c:pt idx="16">
                  <c:v>95262.251508608126</c:v>
                </c:pt>
                <c:pt idx="17">
                  <c:v>98960.940570115621</c:v>
                </c:pt>
                <c:pt idx="18">
                  <c:v>102539.05370062744</c:v>
                </c:pt>
                <c:pt idx="19">
                  <c:v>106004.06962679887</c:v>
                </c:pt>
                <c:pt idx="20">
                  <c:v>109362.7961043987</c:v>
                </c:pt>
                <c:pt idx="21">
                  <c:v>112621.44763344251</c:v>
                </c:pt>
                <c:pt idx="22">
                  <c:v>115785.71225590339</c:v>
                </c:pt>
                <c:pt idx="23">
                  <c:v>118860.80922427788</c:v>
                </c:pt>
                <c:pt idx="24">
                  <c:v>121851.53899685852</c:v>
                </c:pt>
                <c:pt idx="25">
                  <c:v>124762.32675190546</c:v>
                </c:pt>
                <c:pt idx="26">
                  <c:v>127597.26040240616</c:v>
                </c:pt>
                <c:pt idx="27">
                  <c:v>130360.12392403407</c:v>
                </c:pt>
                <c:pt idx="28">
                  <c:v>133054.42667229407</c:v>
                </c:pt>
                <c:pt idx="29">
                  <c:v>135683.42925384446</c:v>
                </c:pt>
                <c:pt idx="30">
                  <c:v>138250.16642633482</c:v>
                </c:pt>
                <c:pt idx="31">
                  <c:v>140757.46742667383</c:v>
                </c:pt>
                <c:pt idx="32">
                  <c:v>143207.97406628681</c:v>
                </c:pt>
                <c:pt idx="33">
                  <c:v>145604.15688106132</c:v>
                </c:pt>
                <c:pt idx="34">
                  <c:v>147948.3295813876</c:v>
                </c:pt>
                <c:pt idx="35">
                  <c:v>154519.3973396708</c:v>
                </c:pt>
                <c:pt idx="36">
                  <c:v>160712.39594842569</c:v>
                </c:pt>
                <c:pt idx="37">
                  <c:v>166567.77713775184</c:v>
                </c:pt>
                <c:pt idx="38">
                  <c:v>172119.86247883536</c:v>
                </c:pt>
                <c:pt idx="39">
                  <c:v>173955.8060925912</c:v>
                </c:pt>
                <c:pt idx="40">
                  <c:v>175760.75892452724</c:v>
                </c:pt>
                <c:pt idx="41">
                  <c:v>177535.73104752653</c:v>
                </c:pt>
                <c:pt idx="42">
                  <c:v>179281.68424125924</c:v>
                </c:pt>
                <c:pt idx="43">
                  <c:v>180999.53501339117</c:v>
                </c:pt>
                <c:pt idx="44">
                  <c:v>182690.15738858763</c:v>
                </c:pt>
                <c:pt idx="45">
                  <c:v>184354.38548637839</c:v>
                </c:pt>
                <c:pt idx="46">
                  <c:v>185993.01590675808</c:v>
                </c:pt>
                <c:pt idx="47">
                  <c:v>187606.80994045688</c:v>
                </c:pt>
                <c:pt idx="48">
                  <c:v>189196.49561910034</c:v>
                </c:pt>
                <c:pt idx="49">
                  <c:v>190762.76961896522</c:v>
                </c:pt>
                <c:pt idx="50">
                  <c:v>192306.29903068152</c:v>
                </c:pt>
                <c:pt idx="51">
                  <c:v>193827.72300604312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25D2-40AD-900C-6A399DCFF7C0}"/>
            </c:ext>
          </c:extLst>
        </c:ser>
        <c:dLbls>
          <c:showLegendKey val="0"/>
          <c:showVal val="0"/>
          <c:showCatName val="0"/>
          <c:showSerName val="0"/>
          <c:showPercent val="0"/>
          <c:showBubbleSize val="0"/>
        </c:dLbls>
        <c:marker val="1"/>
        <c:smooth val="0"/>
        <c:axId val="175063424"/>
        <c:axId val="175065344"/>
      </c:lineChart>
      <c:catAx>
        <c:axId val="17506342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65344"/>
        <c:crosses val="autoZero"/>
        <c:auto val="0"/>
        <c:lblAlgn val="ctr"/>
        <c:lblOffset val="100"/>
        <c:tickLblSkip val="153"/>
        <c:tickMarkSkip val="1"/>
        <c:noMultiLvlLbl val="0"/>
      </c:catAx>
      <c:valAx>
        <c:axId val="175065344"/>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63424"/>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Actual</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'W(Holdout)'!$D$9:$D$35</c:f>
              <c:numCache>
                <c:formatCode>General</c:formatCode>
                <c:ptCount val="27"/>
                <c:pt idx="0">
                  <c:v>74</c:v>
                </c:pt>
                <c:pt idx="1">
                  <c:v>68</c:v>
                </c:pt>
                <c:pt idx="2">
                  <c:v>85</c:v>
                </c:pt>
                <c:pt idx="3">
                  <c:v>86</c:v>
                </c:pt>
                <c:pt idx="4">
                  <c:v>96</c:v>
                </c:pt>
                <c:pt idx="5">
                  <c:v>107</c:v>
                </c:pt>
                <c:pt idx="6">
                  <c:v>85</c:v>
                </c:pt>
                <c:pt idx="7">
                  <c:v>74</c:v>
                </c:pt>
                <c:pt idx="8">
                  <c:v>87</c:v>
                </c:pt>
                <c:pt idx="9">
                  <c:v>74</c:v>
                </c:pt>
                <c:pt idx="10">
                  <c:v>88</c:v>
                </c:pt>
                <c:pt idx="11">
                  <c:v>101</c:v>
                </c:pt>
                <c:pt idx="12">
                  <c:v>176</c:v>
                </c:pt>
                <c:pt idx="13">
                  <c:v>144</c:v>
                </c:pt>
                <c:pt idx="14">
                  <c:v>178</c:v>
                </c:pt>
                <c:pt idx="15">
                  <c:v>141</c:v>
                </c:pt>
                <c:pt idx="16">
                  <c:v>151</c:v>
                </c:pt>
                <c:pt idx="17">
                  <c:v>102</c:v>
                </c:pt>
                <c:pt idx="18">
                  <c:v>132</c:v>
                </c:pt>
                <c:pt idx="19">
                  <c:v>188</c:v>
                </c:pt>
                <c:pt idx="20">
                  <c:v>121</c:v>
                </c:pt>
                <c:pt idx="21">
                  <c:v>139</c:v>
                </c:pt>
                <c:pt idx="22">
                  <c:v>166</c:v>
                </c:pt>
                <c:pt idx="23">
                  <c:v>170</c:v>
                </c:pt>
                <c:pt idx="24">
                  <c:v>316</c:v>
                </c:pt>
                <c:pt idx="25">
                  <c:v>427</c:v>
                </c:pt>
                <c:pt idx="26">
                  <c:v>584</c:v>
                </c:pt>
              </c:numCache>
            </c:numRef>
          </c:val>
          <c:smooth val="0"/>
          <c:extLst>
            <c:ext xmlns:c16="http://schemas.microsoft.com/office/drawing/2014/chart" uri="{C3380CC4-5D6E-409C-BE32-E72D297353CC}">
              <c16:uniqueId val="{00000000-8AA8-4850-B90B-2A0BF10FFB64}"/>
            </c:ext>
          </c:extLst>
        </c:ser>
        <c:ser>
          <c:idx val="1"/>
          <c:order val="1"/>
          <c:tx>
            <c:v>Expected</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'W(Holdout)'!$L$9:$L$35</c:f>
              <c:numCache>
                <c:formatCode>_(* #,##0_);_(* \(#,##0\);_(* "-"??_);_(@_)</c:formatCode>
                <c:ptCount val="27"/>
                <c:pt idx="0">
                  <c:v>40.704167796767891</c:v>
                </c:pt>
                <c:pt idx="1">
                  <c:v>63.426154914247846</c:v>
                </c:pt>
                <c:pt idx="2">
                  <c:v>76.221587882163732</c:v>
                </c:pt>
                <c:pt idx="3">
                  <c:v>85.904922717927604</c:v>
                </c:pt>
                <c:pt idx="4">
                  <c:v>93.880004741631012</c:v>
                </c:pt>
                <c:pt idx="5">
                  <c:v>100.74129784680702</c:v>
                </c:pt>
                <c:pt idx="6">
                  <c:v>106.80530264601805</c:v>
                </c:pt>
                <c:pt idx="7">
                  <c:v>112.2635172537523</c:v>
                </c:pt>
                <c:pt idx="8">
                  <c:v>117.24188078797715</c:v>
                </c:pt>
                <c:pt idx="9">
                  <c:v>121.82826222709718</c:v>
                </c:pt>
                <c:pt idx="10">
                  <c:v>126.08674525091942</c:v>
                </c:pt>
                <c:pt idx="11">
                  <c:v>130.06570722852166</c:v>
                </c:pt>
                <c:pt idx="12">
                  <c:v>133.80269329554835</c:v>
                </c:pt>
                <c:pt idx="13">
                  <c:v>137.32751101706026</c:v>
                </c:pt>
                <c:pt idx="14">
                  <c:v>140.66427850739638</c:v>
                </c:pt>
                <c:pt idx="15">
                  <c:v>143.83282739353081</c:v>
                </c:pt>
                <c:pt idx="16">
                  <c:v>146.84969216445234</c:v>
                </c:pt>
                <c:pt idx="17">
                  <c:v>149.72882539845409</c:v>
                </c:pt>
                <c:pt idx="18">
                  <c:v>152.48212606328025</c:v>
                </c:pt>
                <c:pt idx="19">
                  <c:v>155.1198371535279</c:v>
                </c:pt>
                <c:pt idx="20">
                  <c:v>157.65084998998736</c:v>
                </c:pt>
                <c:pt idx="21">
                  <c:v>160.08294055080978</c:v>
                </c:pt>
                <c:pt idx="22">
                  <c:v>162.42295545503293</c:v>
                </c:pt>
                <c:pt idx="23">
                  <c:v>164.67696007439463</c:v>
                </c:pt>
                <c:pt idx="24">
                  <c:v>166.85035776081713</c:v>
                </c:pt>
                <c:pt idx="25">
                  <c:v>168.94798676614346</c:v>
                </c:pt>
                <c:pt idx="26">
                  <c:v>170.97419973539672</c:v>
                </c:pt>
              </c:numCache>
            </c:numRef>
          </c:val>
          <c:smooth val="0"/>
          <c:extLst>
            <c:ext xmlns:c16="http://schemas.microsoft.com/office/drawing/2014/chart" uri="{C3380CC4-5D6E-409C-BE32-E72D297353CC}">
              <c16:uniqueId val="{00000001-8AA8-4850-B90B-2A0BF10FFB64}"/>
            </c:ext>
          </c:extLst>
        </c:ser>
        <c:dLbls>
          <c:showLegendKey val="0"/>
          <c:showVal val="0"/>
          <c:showCatName val="0"/>
          <c:showSerName val="0"/>
          <c:showPercent val="0"/>
          <c:showBubbleSize val="0"/>
        </c:dLbls>
        <c:marker val="1"/>
        <c:smooth val="0"/>
        <c:axId val="1023026304"/>
        <c:axId val="1023025648"/>
      </c:lineChart>
      <c:catAx>
        <c:axId val="102302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25648"/>
        <c:crosses val="autoZero"/>
        <c:auto val="1"/>
        <c:lblAlgn val="ctr"/>
        <c:lblOffset val="100"/>
        <c:noMultiLvlLbl val="0"/>
      </c:catAx>
      <c:valAx>
        <c:axId val="102302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26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early projections</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'Sparklehorse (SH)'!$A$2:$A$47</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CFE7-4CDF-9D7A-51734D6DA606}"/>
            </c:ext>
          </c:extLst>
        </c:ser>
        <c:ser>
          <c:idx val="1"/>
          <c:order val="1"/>
          <c:spPr>
            <a:ln w="25400">
              <a:solidFill>
                <a:srgbClr val="FF00FF"/>
              </a:solidFill>
              <a:prstDash val="solid"/>
            </a:ln>
          </c:spPr>
          <c:marker>
            <c:symbol val="none"/>
          </c:marker>
          <c:cat>
            <c:numRef>
              <c:f>'Sparklehorse (SH)'!$A$2:$A$47</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6205.5970060675982</c:v>
                </c:pt>
                <c:pt idx="1">
                  <c:v>12398.357534068038</c:v>
                </c:pt>
                <c:pt idx="2">
                  <c:v>18578.30813667105</c:v>
                </c:pt>
                <c:pt idx="3">
                  <c:v>24745.475311621969</c:v>
                </c:pt>
                <c:pt idx="4">
                  <c:v>30899.885501853631</c:v>
                </c:pt>
                <c:pt idx="5">
                  <c:v>37041.565095601967</c:v>
                </c:pt>
                <c:pt idx="6">
                  <c:v>43170.540426517247</c:v>
                </c:pt>
                <c:pt idx="7">
                  <c:v>49286.837773777959</c:v>
                </c:pt>
                <c:pt idx="8">
                  <c:v>55390.483362203093</c:v>
                </c:pt>
                <c:pt idx="9">
                  <c:v>61481.503362365023</c:v>
                </c:pt>
                <c:pt idx="10">
                  <c:v>67559.923890701422</c:v>
                </c:pt>
                <c:pt idx="11">
                  <c:v>73625.771009626857</c:v>
                </c:pt>
                <c:pt idx="12">
                  <c:v>79679.070727645681</c:v>
                </c:pt>
                <c:pt idx="13">
                  <c:v>85719.848999461945</c:v>
                </c:pt>
                <c:pt idx="14">
                  <c:v>91748.13172609231</c:v>
                </c:pt>
                <c:pt idx="15">
                  <c:v>97763.944754976299</c:v>
                </c:pt>
                <c:pt idx="16">
                  <c:v>103767.31388008619</c:v>
                </c:pt>
                <c:pt idx="17">
                  <c:v>109758.26484203999</c:v>
                </c:pt>
                <c:pt idx="18">
                  <c:v>115736.82332820923</c:v>
                </c:pt>
                <c:pt idx="19">
                  <c:v>121703.01497283098</c:v>
                </c:pt>
                <c:pt idx="20">
                  <c:v>127656.86535711707</c:v>
                </c:pt>
                <c:pt idx="21">
                  <c:v>133598.40000936363</c:v>
                </c:pt>
                <c:pt idx="22">
                  <c:v>139527.64440506004</c:v>
                </c:pt>
                <c:pt idx="23">
                  <c:v>145444.62396699988</c:v>
                </c:pt>
                <c:pt idx="24">
                  <c:v>151349.36406538801</c:v>
                </c:pt>
                <c:pt idx="25">
                  <c:v>157241.89001795073</c:v>
                </c:pt>
                <c:pt idx="26">
                  <c:v>163122.22709004386</c:v>
                </c:pt>
                <c:pt idx="27">
                  <c:v>168990.40049476034</c:v>
                </c:pt>
                <c:pt idx="28">
                  <c:v>174846.43539304013</c:v>
                </c:pt>
                <c:pt idx="29">
                  <c:v>180690.35689377555</c:v>
                </c:pt>
                <c:pt idx="30">
                  <c:v>186522.19005392145</c:v>
                </c:pt>
                <c:pt idx="31">
                  <c:v>192341.95987860113</c:v>
                </c:pt>
                <c:pt idx="32">
                  <c:v>198149.69132121396</c:v>
                </c:pt>
                <c:pt idx="33">
                  <c:v>203945.40928354289</c:v>
                </c:pt>
                <c:pt idx="34">
                  <c:v>209729.1386158604</c:v>
                </c:pt>
                <c:pt idx="35">
                  <c:v>215500.90411703481</c:v>
                </c:pt>
                <c:pt idx="36">
                  <c:v>221260.73053463778</c:v>
                </c:pt>
                <c:pt idx="37">
                  <c:v>227008.64256505028</c:v>
                </c:pt>
                <c:pt idx="38">
                  <c:v>232744.6648535667</c:v>
                </c:pt>
                <c:pt idx="39">
                  <c:v>238468.82199450338</c:v>
                </c:pt>
                <c:pt idx="40">
                  <c:v>244181.1385313012</c:v>
                </c:pt>
                <c:pt idx="41">
                  <c:v>249881.63895663273</c:v>
                </c:pt>
                <c:pt idx="42">
                  <c:v>255570.34771250674</c:v>
                </c:pt>
                <c:pt idx="43">
                  <c:v>261247.28919037309</c:v>
                </c:pt>
                <c:pt idx="44">
                  <c:v>266912.48773122631</c:v>
                </c:pt>
                <c:pt idx="45">
                  <c:v>272565.96762571164</c:v>
                </c:pt>
                <c:pt idx="46">
                  <c:v>278207.75311422796</c:v>
                </c:pt>
                <c:pt idx="47">
                  <c:v>283837.86838703218</c:v>
                </c:pt>
                <c:pt idx="48">
                  <c:v>289456.33758434275</c:v>
                </c:pt>
                <c:pt idx="49">
                  <c:v>295063.18479644344</c:v>
                </c:pt>
                <c:pt idx="50">
                  <c:v>300658.43406378658</c:v>
                </c:pt>
                <c:pt idx="51">
                  <c:v>306242.10937709583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CFE7-4CDF-9D7A-51734D6DA606}"/>
            </c:ext>
          </c:extLst>
        </c:ser>
        <c:ser>
          <c:idx val="2"/>
          <c:order val="2"/>
          <c:spPr>
            <a:ln w="25400">
              <a:solidFill>
                <a:srgbClr val="008000"/>
              </a:solidFill>
              <a:prstDash val="solid"/>
            </a:ln>
          </c:spPr>
          <c:marker>
            <c:symbol val="none"/>
          </c:marker>
          <c:cat>
            <c:numRef>
              <c:f>'Sparklehorse (SH)'!$A$2:$A$47</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6236.3185158423876</c:v>
                </c:pt>
                <c:pt idx="1">
                  <c:v>12456.105476353119</c:v>
                </c:pt>
                <c:pt idx="2">
                  <c:v>18659.414150744902</c:v>
                </c:pt>
                <c:pt idx="3">
                  <c:v>24846.297606183398</c:v>
                </c:pt>
                <c:pt idx="4">
                  <c:v>31016.80870865786</c:v>
                </c:pt>
                <c:pt idx="5">
                  <c:v>37171.000123869424</c:v>
                </c:pt>
                <c:pt idx="6">
                  <c:v>43308.924318095407</c:v>
                </c:pt>
                <c:pt idx="7">
                  <c:v>49430.63355905997</c:v>
                </c:pt>
                <c:pt idx="8">
                  <c:v>55536.179916802372</c:v>
                </c:pt>
                <c:pt idx="9">
                  <c:v>61625.615264532033</c:v>
                </c:pt>
                <c:pt idx="10">
                  <c:v>67698.991279486756</c:v>
                </c:pt>
                <c:pt idx="11">
                  <c:v>73756.359443787107</c:v>
                </c:pt>
                <c:pt idx="12">
                  <c:v>79797.771045275076</c:v>
                </c:pt>
                <c:pt idx="13">
                  <c:v>85823.277178370685</c:v>
                </c:pt>
                <c:pt idx="14">
                  <c:v>91832.928744896344</c:v>
                </c:pt>
                <c:pt idx="15">
                  <c:v>97826.776454923878</c:v>
                </c:pt>
                <c:pt idx="16">
                  <c:v>103804.87082759848</c:v>
                </c:pt>
                <c:pt idx="17">
                  <c:v>109767.26219197208</c:v>
                </c:pt>
                <c:pt idx="18">
                  <c:v>115714.00068781502</c:v>
                </c:pt>
                <c:pt idx="19">
                  <c:v>121645.13626644868</c:v>
                </c:pt>
                <c:pt idx="20">
                  <c:v>127560.71869154894</c:v>
                </c:pt>
                <c:pt idx="21">
                  <c:v>133460.79753996443</c:v>
                </c:pt>
                <c:pt idx="22">
                  <c:v>139345.42220251821</c:v>
                </c:pt>
                <c:pt idx="23">
                  <c:v>145214.64188481527</c:v>
                </c:pt>
                <c:pt idx="24">
                  <c:v>151068.50560803665</c:v>
                </c:pt>
                <c:pt idx="25">
                  <c:v>156907.06220974037</c:v>
                </c:pt>
                <c:pt idx="26">
                  <c:v>162730.36034464737</c:v>
                </c:pt>
                <c:pt idx="27">
                  <c:v>168538.44848542986</c:v>
                </c:pt>
                <c:pt idx="28">
                  <c:v>174331.37492349805</c:v>
                </c:pt>
                <c:pt idx="29">
                  <c:v>180109.18776977746</c:v>
                </c:pt>
                <c:pt idx="30">
                  <c:v>185871.93495548383</c:v>
                </c:pt>
                <c:pt idx="31">
                  <c:v>191619.66423289722</c:v>
                </c:pt>
                <c:pt idx="32">
                  <c:v>197352.42317613267</c:v>
                </c:pt>
                <c:pt idx="33">
                  <c:v>203070.25918189669</c:v>
                </c:pt>
                <c:pt idx="34">
                  <c:v>208773.21947025752</c:v>
                </c:pt>
                <c:pt idx="35">
                  <c:v>214461.35108539666</c:v>
                </c:pt>
                <c:pt idx="36">
                  <c:v>220134.70089636612</c:v>
                </c:pt>
                <c:pt idx="37">
                  <c:v>225793.31559783532</c:v>
                </c:pt>
                <c:pt idx="38">
                  <c:v>231437.24171083735</c:v>
                </c:pt>
                <c:pt idx="39">
                  <c:v>237066.52558351649</c:v>
                </c:pt>
                <c:pt idx="40">
                  <c:v>242681.21339185978</c:v>
                </c:pt>
                <c:pt idx="41">
                  <c:v>248281.35114044035</c:v>
                </c:pt>
                <c:pt idx="42">
                  <c:v>253866.98466314361</c:v>
                </c:pt>
                <c:pt idx="43">
                  <c:v>259438.15962389749</c:v>
                </c:pt>
                <c:pt idx="44">
                  <c:v>264994.92151739931</c:v>
                </c:pt>
                <c:pt idx="45">
                  <c:v>270537.31566983397</c:v>
                </c:pt>
                <c:pt idx="46">
                  <c:v>276065.38723959605</c:v>
                </c:pt>
                <c:pt idx="47">
                  <c:v>281579.18121799931</c:v>
                </c:pt>
                <c:pt idx="48">
                  <c:v>287078.74242999242</c:v>
                </c:pt>
                <c:pt idx="49">
                  <c:v>292564.11553486239</c:v>
                </c:pt>
                <c:pt idx="50">
                  <c:v>298035.34502694273</c:v>
                </c:pt>
                <c:pt idx="51">
                  <c:v>303492.47523631272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CFE7-4CDF-9D7A-51734D6DA606}"/>
            </c:ext>
          </c:extLst>
        </c:ser>
        <c:dLbls>
          <c:showLegendKey val="0"/>
          <c:showVal val="0"/>
          <c:showCatName val="0"/>
          <c:showSerName val="0"/>
          <c:showPercent val="0"/>
          <c:showBubbleSize val="0"/>
        </c:dLbls>
        <c:marker val="1"/>
        <c:smooth val="0"/>
        <c:axId val="175012480"/>
        <c:axId val="175014656"/>
      </c:lineChart>
      <c:catAx>
        <c:axId val="17501248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14656"/>
        <c:crosses val="autoZero"/>
        <c:auto val="0"/>
        <c:lblAlgn val="ctr"/>
        <c:lblOffset val="100"/>
        <c:tickLblSkip val="153"/>
        <c:tickMarkSkip val="1"/>
        <c:noMultiLvlLbl val="0"/>
      </c:catAx>
      <c:valAx>
        <c:axId val="17501465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1248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636082969035784E-2"/>
          <c:y val="4.5142186684028834E-2"/>
          <c:w val="0.80797139237331739"/>
          <c:h val="0.86510190102206219"/>
        </c:manualLayout>
      </c:layout>
      <c:lineChart>
        <c:grouping val="standard"/>
        <c:varyColors val="0"/>
        <c:ser>
          <c:idx val="0"/>
          <c:order val="0"/>
          <c:tx>
            <c:strRef>
              <c:f>'Sparklehorse (SH)'!$C$1</c:f>
              <c:strCache>
                <c:ptCount val="1"/>
                <c:pt idx="0">
                  <c:v>airplay</c:v>
                </c:pt>
              </c:strCache>
            </c:strRef>
          </c:tx>
          <c:cat>
            <c:numRef>
              <c:f>'Sparklehorse (SH)'!$A$2:$A$28</c:f>
              <c:numCache>
                <c:formatCode>m/d/yyyy</c:formatCode>
                <c:ptCount val="27"/>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'Sparklehorse (SH)'!$C$2:$C$47</c:f>
              <c:numCache>
                <c:formatCode>General</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formatCode="0">
                  <c:v>20.080000000000002</c:v>
                </c:pt>
                <c:pt idx="19" formatCode="0">
                  <c:v>18.669999999999998</c:v>
                </c:pt>
                <c:pt idx="20" formatCode="0">
                  <c:v>83.27000000000001</c:v>
                </c:pt>
                <c:pt idx="21" formatCode="0">
                  <c:v>184.69</c:v>
                </c:pt>
                <c:pt idx="22" formatCode="0">
                  <c:v>424.75</c:v>
                </c:pt>
                <c:pt idx="23" formatCode="0">
                  <c:v>518.51</c:v>
                </c:pt>
                <c:pt idx="24" formatCode="0">
                  <c:v>673.75</c:v>
                </c:pt>
                <c:pt idx="25" formatCode="0">
                  <c:v>670.4</c:v>
                </c:pt>
                <c:pt idx="26" formatCode="0">
                  <c:v>657.45</c:v>
                </c:pt>
                <c:pt idx="30">
                  <c:v>0</c:v>
                </c:pt>
                <c:pt idx="31">
                  <c:v>0</c:v>
                </c:pt>
                <c:pt idx="32">
                  <c:v>0</c:v>
                </c:pt>
                <c:pt idx="34">
                  <c:v>0</c:v>
                </c:pt>
                <c:pt idx="35">
                  <c:v>0</c:v>
                </c:pt>
                <c:pt idx="36">
                  <c:v>0</c:v>
                </c:pt>
                <c:pt idx="37">
                  <c:v>0</c:v>
                </c:pt>
                <c:pt idx="38">
                  <c:v>0</c:v>
                </c:pt>
                <c:pt idx="39">
                  <c:v>0</c:v>
                </c:pt>
                <c:pt idx="41">
                  <c:v>0</c:v>
                </c:pt>
                <c:pt idx="42">
                  <c:v>0</c:v>
                </c:pt>
                <c:pt idx="44">
                  <c:v>0</c:v>
                </c:pt>
                <c:pt idx="45">
                  <c:v>0</c:v>
                </c:pt>
              </c:numCache>
            </c:numRef>
          </c:val>
          <c:smooth val="0"/>
          <c:extLst>
            <c:ext xmlns:c16="http://schemas.microsoft.com/office/drawing/2014/chart" uri="{C3380CC4-5D6E-409C-BE32-E72D297353CC}">
              <c16:uniqueId val="{00000000-C396-4E56-818F-CA2627BD1D46}"/>
            </c:ext>
          </c:extLst>
        </c:ser>
        <c:ser>
          <c:idx val="1"/>
          <c:order val="1"/>
          <c:tx>
            <c:strRef>
              <c:f>'Sparklehorse (SH)'!$B$1</c:f>
              <c:strCache>
                <c:ptCount val="1"/>
                <c:pt idx="0">
                  <c:v>sales</c:v>
                </c:pt>
              </c:strCache>
            </c:strRef>
          </c:tx>
          <c:cat>
            <c:numRef>
              <c:f>'Sparklehorse (SH)'!$A$2:$A$28</c:f>
              <c:numCache>
                <c:formatCode>m/d/yyyy</c:formatCode>
                <c:ptCount val="27"/>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'Sparklehorse (SH)'!$B$2:$B$28</c:f>
              <c:numCache>
                <c:formatCode>General</c:formatCode>
                <c:ptCount val="27"/>
                <c:pt idx="0">
                  <c:v>74</c:v>
                </c:pt>
                <c:pt idx="1">
                  <c:v>68</c:v>
                </c:pt>
                <c:pt idx="2">
                  <c:v>85</c:v>
                </c:pt>
                <c:pt idx="3">
                  <c:v>86</c:v>
                </c:pt>
                <c:pt idx="4">
                  <c:v>96</c:v>
                </c:pt>
                <c:pt idx="5">
                  <c:v>107</c:v>
                </c:pt>
                <c:pt idx="6">
                  <c:v>85</c:v>
                </c:pt>
                <c:pt idx="7">
                  <c:v>74</c:v>
                </c:pt>
                <c:pt idx="8">
                  <c:v>87</c:v>
                </c:pt>
                <c:pt idx="9">
                  <c:v>74</c:v>
                </c:pt>
                <c:pt idx="10">
                  <c:v>88</c:v>
                </c:pt>
                <c:pt idx="11">
                  <c:v>101</c:v>
                </c:pt>
                <c:pt idx="12">
                  <c:v>176</c:v>
                </c:pt>
                <c:pt idx="13">
                  <c:v>144</c:v>
                </c:pt>
                <c:pt idx="14">
                  <c:v>178</c:v>
                </c:pt>
                <c:pt idx="15">
                  <c:v>141</c:v>
                </c:pt>
                <c:pt idx="16">
                  <c:v>151</c:v>
                </c:pt>
                <c:pt idx="17">
                  <c:v>102</c:v>
                </c:pt>
                <c:pt idx="18">
                  <c:v>132</c:v>
                </c:pt>
                <c:pt idx="19">
                  <c:v>188</c:v>
                </c:pt>
                <c:pt idx="20">
                  <c:v>121</c:v>
                </c:pt>
                <c:pt idx="21">
                  <c:v>139</c:v>
                </c:pt>
                <c:pt idx="22">
                  <c:v>166</c:v>
                </c:pt>
                <c:pt idx="23">
                  <c:v>170</c:v>
                </c:pt>
                <c:pt idx="24">
                  <c:v>316</c:v>
                </c:pt>
                <c:pt idx="25">
                  <c:v>427</c:v>
                </c:pt>
                <c:pt idx="26">
                  <c:v>584</c:v>
                </c:pt>
              </c:numCache>
            </c:numRef>
          </c:val>
          <c:smooth val="0"/>
          <c:extLst>
            <c:ext xmlns:c16="http://schemas.microsoft.com/office/drawing/2014/chart" uri="{C3380CC4-5D6E-409C-BE32-E72D297353CC}">
              <c16:uniqueId val="{00000001-C396-4E56-818F-CA2627BD1D46}"/>
            </c:ext>
          </c:extLst>
        </c:ser>
        <c:ser>
          <c:idx val="2"/>
          <c:order val="2"/>
          <c:tx>
            <c:v>lag(airplay)</c:v>
          </c:tx>
          <c:val>
            <c:numRef>
              <c:f>#REF!</c:f>
              <c:numCache>
                <c:formatCode>General</c:formatCode>
                <c:ptCount val="1"/>
                <c:pt idx="0">
                  <c:v>1</c:v>
                </c:pt>
              </c:numCache>
            </c:numRef>
          </c:val>
          <c:smooth val="0"/>
          <c:extLst>
            <c:ext xmlns:c16="http://schemas.microsoft.com/office/drawing/2014/chart" uri="{C3380CC4-5D6E-409C-BE32-E72D297353CC}">
              <c16:uniqueId val="{00000002-C396-4E56-818F-CA2627BD1D46}"/>
            </c:ext>
          </c:extLst>
        </c:ser>
        <c:dLbls>
          <c:showLegendKey val="0"/>
          <c:showVal val="0"/>
          <c:showCatName val="0"/>
          <c:showSerName val="0"/>
          <c:showPercent val="0"/>
          <c:showBubbleSize val="0"/>
        </c:dLbls>
        <c:marker val="1"/>
        <c:smooth val="0"/>
        <c:axId val="175179264"/>
        <c:axId val="175180800"/>
      </c:lineChart>
      <c:dateAx>
        <c:axId val="175179264"/>
        <c:scaling>
          <c:orientation val="minMax"/>
        </c:scaling>
        <c:delete val="0"/>
        <c:axPos val="b"/>
        <c:numFmt formatCode="m/d/yy;@" sourceLinked="0"/>
        <c:majorTickMark val="out"/>
        <c:minorTickMark val="none"/>
        <c:tickLblPos val="nextTo"/>
        <c:crossAx val="175180800"/>
        <c:crosses val="autoZero"/>
        <c:auto val="0"/>
        <c:lblOffset val="100"/>
        <c:baseTimeUnit val="days"/>
      </c:dateAx>
      <c:valAx>
        <c:axId val="175180800"/>
        <c:scaling>
          <c:orientation val="minMax"/>
        </c:scaling>
        <c:delete val="0"/>
        <c:axPos val="l"/>
        <c:majorGridlines/>
        <c:numFmt formatCode="General" sourceLinked="1"/>
        <c:majorTickMark val="out"/>
        <c:minorTickMark val="none"/>
        <c:tickLblPos val="nextTo"/>
        <c:crossAx val="175179264"/>
        <c:crossesAt val="34973"/>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weekly sales and airplay</a:t>
            </a:r>
          </a:p>
        </c:rich>
      </c:tx>
      <c:overlay val="0"/>
      <c:spPr>
        <a:noFill/>
        <a:ln w="25400">
          <a:noFill/>
        </a:ln>
      </c:spPr>
    </c:title>
    <c:autoTitleDeleted val="0"/>
    <c:plotArea>
      <c:layout/>
      <c:lineChart>
        <c:grouping val="standard"/>
        <c:varyColors val="0"/>
        <c:ser>
          <c:idx val="0"/>
          <c:order val="0"/>
          <c:tx>
            <c:strRef>
              <c:f>'W(All)+Cov (Holdout)'!$D$8</c:f>
              <c:strCache>
                <c:ptCount val="1"/>
                <c:pt idx="0">
                  <c:v>Incr_Sales</c:v>
                </c:pt>
              </c:strCache>
            </c:strRef>
          </c:tx>
          <c:spPr>
            <a:ln w="25400">
              <a:solidFill>
                <a:srgbClr val="000080"/>
              </a:solidFill>
              <a:prstDash val="solid"/>
            </a:ln>
          </c:spPr>
          <c:marker>
            <c:symbol val="none"/>
          </c:marker>
          <c:cat>
            <c:numRef>
              <c:f>'W(All)+Cov (Holdout)'!$A$9:$A$54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'W(All)+Cov (Holdout)'!$D$9:$D$54</c:f>
              <c:numCache>
                <c:formatCode>General</c:formatCode>
                <c:ptCount val="46"/>
                <c:pt idx="0">
                  <c:v>74</c:v>
                </c:pt>
                <c:pt idx="1">
                  <c:v>68</c:v>
                </c:pt>
                <c:pt idx="2">
                  <c:v>85</c:v>
                </c:pt>
                <c:pt idx="3">
                  <c:v>86</c:v>
                </c:pt>
                <c:pt idx="4">
                  <c:v>96</c:v>
                </c:pt>
                <c:pt idx="5">
                  <c:v>107</c:v>
                </c:pt>
                <c:pt idx="6">
                  <c:v>85</c:v>
                </c:pt>
                <c:pt idx="7">
                  <c:v>74</c:v>
                </c:pt>
                <c:pt idx="8">
                  <c:v>87</c:v>
                </c:pt>
                <c:pt idx="9">
                  <c:v>74</c:v>
                </c:pt>
                <c:pt idx="10">
                  <c:v>88</c:v>
                </c:pt>
                <c:pt idx="11">
                  <c:v>101</c:v>
                </c:pt>
                <c:pt idx="12">
                  <c:v>176</c:v>
                </c:pt>
                <c:pt idx="13">
                  <c:v>144</c:v>
                </c:pt>
                <c:pt idx="14">
                  <c:v>178</c:v>
                </c:pt>
                <c:pt idx="15">
                  <c:v>141</c:v>
                </c:pt>
                <c:pt idx="16">
                  <c:v>151</c:v>
                </c:pt>
                <c:pt idx="17">
                  <c:v>102</c:v>
                </c:pt>
                <c:pt idx="18">
                  <c:v>132</c:v>
                </c:pt>
                <c:pt idx="19">
                  <c:v>188</c:v>
                </c:pt>
                <c:pt idx="20">
                  <c:v>121</c:v>
                </c:pt>
                <c:pt idx="21">
                  <c:v>139</c:v>
                </c:pt>
                <c:pt idx="22">
                  <c:v>166</c:v>
                </c:pt>
                <c:pt idx="23">
                  <c:v>170</c:v>
                </c:pt>
                <c:pt idx="24">
                  <c:v>316</c:v>
                </c:pt>
                <c:pt idx="25">
                  <c:v>427</c:v>
                </c:pt>
                <c:pt idx="26">
                  <c:v>584</c:v>
                </c:pt>
              </c:numCache>
            </c:numRef>
          </c:val>
          <c:smooth val="0"/>
          <c:extLst>
            <c:ext xmlns:c16="http://schemas.microsoft.com/office/drawing/2014/chart" uri="{C3380CC4-5D6E-409C-BE32-E72D297353CC}">
              <c16:uniqueId val="{00000000-B437-425F-82A8-D722349EB006}"/>
            </c:ext>
          </c:extLst>
        </c:ser>
        <c:ser>
          <c:idx val="1"/>
          <c:order val="1"/>
          <c:tx>
            <c:strRef>
              <c:f>'W(All)+Cov (Holdout)'!$R$8</c:f>
              <c:strCache>
                <c:ptCount val="1"/>
                <c:pt idx="0">
                  <c:v>lag2(Airplay)</c:v>
                </c:pt>
              </c:strCache>
            </c:strRef>
          </c:tx>
          <c:spPr>
            <a:ln w="25400">
              <a:solidFill>
                <a:srgbClr val="FF00FF"/>
              </a:solidFill>
              <a:prstDash val="solid"/>
            </a:ln>
          </c:spPr>
          <c:marker>
            <c:symbol val="none"/>
          </c:marker>
          <c:cat>
            <c:numRef>
              <c:f>'W(All)+Cov (Holdout)'!$A$9:$A$54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W!#REF!</c:f>
              <c:numCache>
                <c:formatCode>General</c:formatCode>
                <c:ptCount val="1"/>
                <c:pt idx="0">
                  <c:v>1</c:v>
                </c:pt>
              </c:numCache>
            </c:numRef>
          </c:val>
          <c:smooth val="0"/>
          <c:extLst>
            <c:ext xmlns:c16="http://schemas.microsoft.com/office/drawing/2014/chart" uri="{C3380CC4-5D6E-409C-BE32-E72D297353CC}">
              <c16:uniqueId val="{00000001-B437-425F-82A8-D722349EB006}"/>
            </c:ext>
          </c:extLst>
        </c:ser>
        <c:dLbls>
          <c:showLegendKey val="0"/>
          <c:showVal val="0"/>
          <c:showCatName val="0"/>
          <c:showSerName val="0"/>
          <c:showPercent val="0"/>
          <c:showBubbleSize val="0"/>
        </c:dLbls>
        <c:smooth val="0"/>
        <c:axId val="175171840"/>
        <c:axId val="175174016"/>
      </c:lineChart>
      <c:catAx>
        <c:axId val="17517184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174016"/>
        <c:crosses val="autoZero"/>
        <c:auto val="0"/>
        <c:lblAlgn val="ctr"/>
        <c:lblOffset val="100"/>
        <c:tickLblSkip val="132"/>
        <c:tickMarkSkip val="1"/>
        <c:noMultiLvlLbl val="0"/>
      </c:catAx>
      <c:valAx>
        <c:axId val="17517401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sales/airplay</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17184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genuine forecasts</a:t>
            </a:r>
          </a:p>
        </c:rich>
      </c:tx>
      <c:overlay val="0"/>
      <c:spPr>
        <a:noFill/>
        <a:ln w="25400">
          <a:noFill/>
        </a:ln>
      </c:spPr>
    </c:title>
    <c:autoTitleDeleted val="0"/>
    <c:plotArea>
      <c:layout/>
      <c:lineChart>
        <c:grouping val="standard"/>
        <c:varyColors val="0"/>
        <c:ser>
          <c:idx val="0"/>
          <c:order val="0"/>
          <c:spPr>
            <a:ln w="25400">
              <a:solidFill>
                <a:srgbClr val="FF00FF"/>
              </a:solidFill>
              <a:prstDash val="solid"/>
            </a:ln>
          </c:spPr>
          <c:marker>
            <c:symbol val="none"/>
          </c:marker>
          <c:cat>
            <c:numRef>
              <c:f>'W(All)+Cov (Holdout)'!$A$9:$A$54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65"/>
                <c:pt idx="0">
                  <c:v>5224.4217589694226</c:v>
                </c:pt>
                <c:pt idx="1">
                  <c:v>10420.095805764095</c:v>
                </c:pt>
                <c:pt idx="2">
                  <c:v>15587.180326494108</c:v>
                </c:pt>
                <c:pt idx="3">
                  <c:v>20725.832636840245</c:v>
                </c:pt>
                <c:pt idx="4">
                  <c:v>25836.209186844131</c:v>
                </c:pt>
                <c:pt idx="5">
                  <c:v>30918.465565670696</c:v>
                </c:pt>
                <c:pt idx="6">
                  <c:v>35972.756506346028</c:v>
                </c:pt>
                <c:pt idx="7">
                  <c:v>40999.235890467557</c:v>
                </c:pt>
                <c:pt idx="8">
                  <c:v>45998.05675288973</c:v>
                </c:pt>
                <c:pt idx="9">
                  <c:v>50969.371286382971</c:v>
                </c:pt>
                <c:pt idx="10">
                  <c:v>55913.330846267076</c:v>
                </c:pt>
                <c:pt idx="11">
                  <c:v>60830.085955019866</c:v>
                </c:pt>
                <c:pt idx="12">
                  <c:v>65719.786306859693</c:v>
                </c:pt>
                <c:pt idx="13">
                  <c:v>70582.580772302666</c:v>
                </c:pt>
                <c:pt idx="14">
                  <c:v>75418.617402695774</c:v>
                </c:pt>
                <c:pt idx="15">
                  <c:v>80228.043434723877</c:v>
                </c:pt>
                <c:pt idx="16">
                  <c:v>85011.005294892748</c:v>
                </c:pt>
                <c:pt idx="17">
                  <c:v>89767.648603987065</c:v>
                </c:pt>
                <c:pt idx="18">
                  <c:v>94498.118181503552</c:v>
                </c:pt>
                <c:pt idx="19">
                  <c:v>99202.558050060892</c:v>
                </c:pt>
                <c:pt idx="20">
                  <c:v>103881.11143978406</c:v>
                </c:pt>
                <c:pt idx="21">
                  <c:v>108533.920792665</c:v>
                </c:pt>
                <c:pt idx="22">
                  <c:v>113161.12776689969</c:v>
                </c:pt>
                <c:pt idx="23">
                  <c:v>117762.87324120097</c:v>
                </c:pt>
                <c:pt idx="24">
                  <c:v>122339.29731908746</c:v>
                </c:pt>
                <c:pt idx="25">
                  <c:v>126890.53933314937</c:v>
                </c:pt>
                <c:pt idx="26">
                  <c:v>131416.73784929057</c:v>
                </c:pt>
                <c:pt idx="27">
                  <c:v>135918.03067094708</c:v>
                </c:pt>
                <c:pt idx="28">
                  <c:v>140394.55484328285</c:v>
                </c:pt>
                <c:pt idx="29">
                  <c:v>144846.44665736225</c:v>
                </c:pt>
                <c:pt idx="30">
                  <c:v>149273.84165429918</c:v>
                </c:pt>
                <c:pt idx="31">
                  <c:v>153676.87462938423</c:v>
                </c:pt>
                <c:pt idx="32">
                  <c:v>158055.67963618806</c:v>
                </c:pt>
                <c:pt idx="33">
                  <c:v>162410.38999064319</c:v>
                </c:pt>
                <c:pt idx="34">
                  <c:v>166741.13827510292</c:v>
                </c:pt>
                <c:pt idx="35">
                  <c:v>171048.05634237741</c:v>
                </c:pt>
                <c:pt idx="36">
                  <c:v>175331.2753197487</c:v>
                </c:pt>
                <c:pt idx="37">
                  <c:v>179590.92561296254</c:v>
                </c:pt>
                <c:pt idx="38">
                  <c:v>183827.13691019849</c:v>
                </c:pt>
                <c:pt idx="39">
                  <c:v>188040.03818601923</c:v>
                </c:pt>
                <c:pt idx="40">
                  <c:v>192229.75770529616</c:v>
                </c:pt>
                <c:pt idx="41">
                  <c:v>196396.42302711552</c:v>
                </c:pt>
                <c:pt idx="42">
                  <c:v>200540.16100866138</c:v>
                </c:pt>
                <c:pt idx="43">
                  <c:v>204661.09780907811</c:v>
                </c:pt>
                <c:pt idx="44">
                  <c:v>208759.35889331135</c:v>
                </c:pt>
                <c:pt idx="45">
                  <c:v>212835.0690359282</c:v>
                </c:pt>
                <c:pt idx="46">
                  <c:v>216888.35232491541</c:v>
                </c:pt>
                <c:pt idx="47">
                  <c:v>220919.33216545792</c:v>
                </c:pt>
                <c:pt idx="48">
                  <c:v>224928.13128369578</c:v>
                </c:pt>
                <c:pt idx="49">
                  <c:v>228914.87173046058</c:v>
                </c:pt>
                <c:pt idx="50">
                  <c:v>232879.67488499157</c:v>
                </c:pt>
                <c:pt idx="51">
                  <c:v>236822.66145863105</c:v>
                </c:pt>
                <c:pt idx="52">
                  <c:v>240743.95149849943</c:v>
                </c:pt>
                <c:pt idx="53">
                  <c:v>244643.6643911502</c:v>
                </c:pt>
                <c:pt idx="54">
                  <c:v>248521.91886620491</c:v>
                </c:pt>
                <c:pt idx="55">
                  <c:v>252378.83299996777</c:v>
                </c:pt>
                <c:pt idx="56">
                  <c:v>256214.52421902039</c:v>
                </c:pt>
                <c:pt idx="57">
                  <c:v>260029.10930379757</c:v>
                </c:pt>
                <c:pt idx="58">
                  <c:v>263822.70439214213</c:v>
                </c:pt>
                <c:pt idx="59">
                  <c:v>267595.42498284113</c:v>
                </c:pt>
                <c:pt idx="60">
                  <c:v>271347.38593914203</c:v>
                </c:pt>
                <c:pt idx="61">
                  <c:v>275078.7014922502</c:v>
                </c:pt>
                <c:pt idx="62">
                  <c:v>278789.48524480656</c:v>
                </c:pt>
                <c:pt idx="63">
                  <c:v>282479.85017434612</c:v>
                </c:pt>
                <c:pt idx="64">
                  <c:v>286149.90863673808</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0-8B49-408F-A406-54C4163BC6F9}"/>
            </c:ext>
          </c:extLst>
        </c:ser>
        <c:ser>
          <c:idx val="1"/>
          <c:order val="1"/>
          <c:spPr>
            <a:ln w="25400">
              <a:solidFill>
                <a:srgbClr val="008000"/>
              </a:solidFill>
              <a:prstDash val="solid"/>
            </a:ln>
          </c:spPr>
          <c:marker>
            <c:symbol val="none"/>
          </c:marker>
          <c:cat>
            <c:numRef>
              <c:f>'W(All)+Cov (Holdout)'!$A$9:$A$54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65"/>
                <c:pt idx="0">
                  <c:v>5337.8599834530414</c:v>
                </c:pt>
                <c:pt idx="1">
                  <c:v>10635.213722550718</c:v>
                </c:pt>
                <c:pt idx="2">
                  <c:v>15892.601184708477</c:v>
                </c:pt>
                <c:pt idx="3">
                  <c:v>21110.55207449153</c:v>
                </c:pt>
                <c:pt idx="4">
                  <c:v>26289.58608625942</c:v>
                </c:pt>
                <c:pt idx="5">
                  <c:v>31430.213149191033</c:v>
                </c:pt>
                <c:pt idx="6">
                  <c:v>36532.933664959797</c:v>
                </c:pt>
                <c:pt idx="7">
                  <c:v>41598.238738319917</c:v>
                </c:pt>
                <c:pt idx="8">
                  <c:v>46626.610400853031</c:v>
                </c:pt>
                <c:pt idx="9">
                  <c:v>51618.521828118544</c:v>
                </c:pt>
                <c:pt idx="10">
                  <c:v>56574.437550431008</c:v>
                </c:pt>
                <c:pt idx="11">
                  <c:v>61494.813657491432</c:v>
                </c:pt>
                <c:pt idx="12">
                  <c:v>66380.097997082339</c:v>
                </c:pt>
                <c:pt idx="13">
                  <c:v>71230.730368030068</c:v>
                </c:pt>
                <c:pt idx="14">
                  <c:v>76047.142707627907</c:v>
                </c:pt>
                <c:pt idx="15">
                  <c:v>80829.759273713717</c:v>
                </c:pt>
                <c:pt idx="16">
                  <c:v>85578.996821573106</c:v>
                </c:pt>
                <c:pt idx="17">
                  <c:v>90295.264775854594</c:v>
                </c:pt>
                <c:pt idx="18">
                  <c:v>94978.965397647946</c:v>
                </c:pt>
                <c:pt idx="19">
                  <c:v>99630.493946900606</c:v>
                </c:pt>
                <c:pt idx="20">
                  <c:v>104250.23884031737</c:v>
                </c:pt>
                <c:pt idx="21">
                  <c:v>108838.58180489393</c:v>
                </c:pt>
                <c:pt idx="22">
                  <c:v>113395.89802722905</c:v>
                </c:pt>
                <c:pt idx="23">
                  <c:v>117922.55629874914</c:v>
                </c:pt>
                <c:pt idx="24">
                  <c:v>122418.91915698122</c:v>
                </c:pt>
                <c:pt idx="25">
                  <c:v>126885.34302299759</c:v>
                </c:pt>
                <c:pt idx="26">
                  <c:v>131322.17833515958</c:v>
                </c:pt>
                <c:pt idx="27">
                  <c:v>135729.76967927342</c:v>
                </c:pt>
                <c:pt idx="28">
                  <c:v>140108.45591527323</c:v>
                </c:pt>
                <c:pt idx="29">
                  <c:v>144458.57030054598</c:v>
                </c:pt>
                <c:pt idx="30">
                  <c:v>148780.44060999496</c:v>
                </c:pt>
                <c:pt idx="31">
                  <c:v>153074.38925294904</c:v>
                </c:pt>
                <c:pt idx="32">
                  <c:v>157340.73338701771</c:v>
                </c:pt>
                <c:pt idx="33">
                  <c:v>161579.78502897974</c:v>
                </c:pt>
                <c:pt idx="34">
                  <c:v>165791.85116280272</c:v>
                </c:pt>
                <c:pt idx="35">
                  <c:v>170644.09835148463</c:v>
                </c:pt>
                <c:pt idx="36">
                  <c:v>175460.90841741636</c:v>
                </c:pt>
                <c:pt idx="37">
                  <c:v>180242.73609641616</c:v>
                </c:pt>
                <c:pt idx="38">
                  <c:v>184990.02780267669</c:v>
                </c:pt>
                <c:pt idx="39">
                  <c:v>189055.42271100107</c:v>
                </c:pt>
                <c:pt idx="40">
                  <c:v>193095.75015619418</c:v>
                </c:pt>
                <c:pt idx="41">
                  <c:v>197111.28195723804</c:v>
                </c:pt>
                <c:pt idx="42">
                  <c:v>201102.28572613787</c:v>
                </c:pt>
                <c:pt idx="43">
                  <c:v>205069.02495234559</c:v>
                </c:pt>
                <c:pt idx="44">
                  <c:v>209011.75908510594</c:v>
                </c:pt>
                <c:pt idx="45">
                  <c:v>212930.74361378362</c:v>
                </c:pt>
                <c:pt idx="46">
                  <c:v>216826.23014623381</c:v>
                </c:pt>
                <c:pt idx="47">
                  <c:v>220698.46648526614</c:v>
                </c:pt>
                <c:pt idx="48">
                  <c:v>224547.6967032649</c:v>
                </c:pt>
                <c:pt idx="49">
                  <c:v>228374.16121501286</c:v>
                </c:pt>
                <c:pt idx="50">
                  <c:v>232178.09684876766</c:v>
                </c:pt>
                <c:pt idx="51">
                  <c:v>235959.73691564874</c:v>
                </c:pt>
                <c:pt idx="52">
                  <c:v>239719.31127737579</c:v>
                </c:pt>
                <c:pt idx="53">
                  <c:v>243457.0464124034</c:v>
                </c:pt>
                <c:pt idx="54">
                  <c:v>247173.16548050562</c:v>
                </c:pt>
                <c:pt idx="55">
                  <c:v>250867.88838584229</c:v>
                </c:pt>
                <c:pt idx="56">
                  <c:v>254541.43183855992</c:v>
                </c:pt>
                <c:pt idx="57">
                  <c:v>258194.00941495819</c:v>
                </c:pt>
                <c:pt idx="58">
                  <c:v>261825.83161626881</c:v>
                </c:pt>
                <c:pt idx="59">
                  <c:v>265437.10592608119</c:v>
                </c:pt>
                <c:pt idx="60">
                  <c:v>269028.03686644981</c:v>
                </c:pt>
                <c:pt idx="61">
                  <c:v>272598.82605272526</c:v>
                </c:pt>
                <c:pt idx="62">
                  <c:v>276149.67224713636</c:v>
                </c:pt>
                <c:pt idx="63">
                  <c:v>279680.77141116234</c:v>
                </c:pt>
                <c:pt idx="64">
                  <c:v>283192.31675672519</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1-8B49-408F-A406-54C4163BC6F9}"/>
            </c:ext>
          </c:extLst>
        </c:ser>
        <c:ser>
          <c:idx val="2"/>
          <c:order val="2"/>
          <c:spPr>
            <a:ln w="12700">
              <a:solidFill>
                <a:srgbClr val="000080"/>
              </a:solidFill>
              <a:prstDash val="solid"/>
            </a:ln>
          </c:spPr>
          <c:marker>
            <c:symbol val="diamond"/>
            <c:size val="5"/>
            <c:spPr>
              <a:solidFill>
                <a:srgbClr val="000080"/>
              </a:solidFill>
              <a:ln>
                <a:solidFill>
                  <a:srgbClr val="000080"/>
                </a:solidFill>
                <a:prstDash val="solid"/>
              </a:ln>
            </c:spPr>
          </c:marker>
          <c:cat>
            <c:numRef>
              <c:f>'W(All)+Cov (Holdout)'!$A$9:$A$54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2-8B49-408F-A406-54C4163BC6F9}"/>
            </c:ext>
          </c:extLst>
        </c:ser>
        <c:dLbls>
          <c:showLegendKey val="0"/>
          <c:showVal val="0"/>
          <c:showCatName val="0"/>
          <c:showSerName val="0"/>
          <c:showPercent val="0"/>
          <c:showBubbleSize val="0"/>
        </c:dLbls>
        <c:smooth val="0"/>
        <c:axId val="174883968"/>
        <c:axId val="174899200"/>
      </c:lineChart>
      <c:catAx>
        <c:axId val="17488396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899200"/>
        <c:crosses val="autoZero"/>
        <c:auto val="0"/>
        <c:lblAlgn val="ctr"/>
        <c:lblOffset val="100"/>
        <c:tickLblSkip val="192"/>
        <c:tickMarkSkip val="1"/>
        <c:noMultiLvlLbl val="0"/>
      </c:catAx>
      <c:valAx>
        <c:axId val="174899200"/>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883968"/>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early projections</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'W(All)+Cov (Holdout)'!$A$9:$A$54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D144-45E9-BAB5-51320820ACF4}"/>
            </c:ext>
          </c:extLst>
        </c:ser>
        <c:ser>
          <c:idx val="1"/>
          <c:order val="1"/>
          <c:spPr>
            <a:ln w="25400">
              <a:solidFill>
                <a:srgbClr val="FF00FF"/>
              </a:solidFill>
              <a:prstDash val="solid"/>
            </a:ln>
          </c:spPr>
          <c:marker>
            <c:symbol val="none"/>
          </c:marker>
          <c:cat>
            <c:numRef>
              <c:f>'W(All)+Cov (Holdout)'!$A$9:$A$54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6205.5970060675982</c:v>
                </c:pt>
                <c:pt idx="1">
                  <c:v>12398.357534068038</c:v>
                </c:pt>
                <c:pt idx="2">
                  <c:v>18578.30813667105</c:v>
                </c:pt>
                <c:pt idx="3">
                  <c:v>24745.475311621969</c:v>
                </c:pt>
                <c:pt idx="4">
                  <c:v>30899.885501853631</c:v>
                </c:pt>
                <c:pt idx="5">
                  <c:v>37041.565095601967</c:v>
                </c:pt>
                <c:pt idx="6">
                  <c:v>43170.540426517247</c:v>
                </c:pt>
                <c:pt idx="7">
                  <c:v>49286.837773777959</c:v>
                </c:pt>
                <c:pt idx="8">
                  <c:v>55390.483362203093</c:v>
                </c:pt>
                <c:pt idx="9">
                  <c:v>61481.503362365023</c:v>
                </c:pt>
                <c:pt idx="10">
                  <c:v>67559.923890701422</c:v>
                </c:pt>
                <c:pt idx="11">
                  <c:v>73625.771009626857</c:v>
                </c:pt>
                <c:pt idx="12">
                  <c:v>79679.070727645681</c:v>
                </c:pt>
                <c:pt idx="13">
                  <c:v>85719.848999461945</c:v>
                </c:pt>
                <c:pt idx="14">
                  <c:v>91748.13172609231</c:v>
                </c:pt>
                <c:pt idx="15">
                  <c:v>97763.944754976299</c:v>
                </c:pt>
                <c:pt idx="16">
                  <c:v>103767.31388008619</c:v>
                </c:pt>
                <c:pt idx="17">
                  <c:v>109758.26484203999</c:v>
                </c:pt>
                <c:pt idx="18">
                  <c:v>115736.82332820923</c:v>
                </c:pt>
                <c:pt idx="19">
                  <c:v>121703.01497283098</c:v>
                </c:pt>
                <c:pt idx="20">
                  <c:v>127656.86535711707</c:v>
                </c:pt>
                <c:pt idx="21">
                  <c:v>133598.40000936363</c:v>
                </c:pt>
                <c:pt idx="22">
                  <c:v>139527.64440506004</c:v>
                </c:pt>
                <c:pt idx="23">
                  <c:v>145444.62396699988</c:v>
                </c:pt>
                <c:pt idx="24">
                  <c:v>151349.36406538801</c:v>
                </c:pt>
                <c:pt idx="25">
                  <c:v>157241.89001795073</c:v>
                </c:pt>
                <c:pt idx="26">
                  <c:v>163122.22709004386</c:v>
                </c:pt>
                <c:pt idx="27">
                  <c:v>168990.40049476034</c:v>
                </c:pt>
                <c:pt idx="28">
                  <c:v>174846.43539304013</c:v>
                </c:pt>
                <c:pt idx="29">
                  <c:v>180690.35689377555</c:v>
                </c:pt>
                <c:pt idx="30">
                  <c:v>186522.19005392145</c:v>
                </c:pt>
                <c:pt idx="31">
                  <c:v>192341.95987860113</c:v>
                </c:pt>
                <c:pt idx="32">
                  <c:v>198149.69132121396</c:v>
                </c:pt>
                <c:pt idx="33">
                  <c:v>203945.40928354289</c:v>
                </c:pt>
                <c:pt idx="34">
                  <c:v>209729.1386158604</c:v>
                </c:pt>
                <c:pt idx="35">
                  <c:v>215500.90411703481</c:v>
                </c:pt>
                <c:pt idx="36">
                  <c:v>221260.73053463778</c:v>
                </c:pt>
                <c:pt idx="37">
                  <c:v>227008.64256505028</c:v>
                </c:pt>
                <c:pt idx="38">
                  <c:v>232744.6648535667</c:v>
                </c:pt>
                <c:pt idx="39">
                  <c:v>238468.82199450338</c:v>
                </c:pt>
                <c:pt idx="40">
                  <c:v>244181.1385313012</c:v>
                </c:pt>
                <c:pt idx="41">
                  <c:v>249881.63895663273</c:v>
                </c:pt>
                <c:pt idx="42">
                  <c:v>255570.34771250674</c:v>
                </c:pt>
                <c:pt idx="43">
                  <c:v>261247.28919037309</c:v>
                </c:pt>
                <c:pt idx="44">
                  <c:v>266912.48773122631</c:v>
                </c:pt>
                <c:pt idx="45">
                  <c:v>272565.96762571164</c:v>
                </c:pt>
                <c:pt idx="46">
                  <c:v>278207.75311422796</c:v>
                </c:pt>
                <c:pt idx="47">
                  <c:v>283837.86838703218</c:v>
                </c:pt>
                <c:pt idx="48">
                  <c:v>289456.33758434275</c:v>
                </c:pt>
                <c:pt idx="49">
                  <c:v>295063.18479644344</c:v>
                </c:pt>
                <c:pt idx="50">
                  <c:v>300658.43406378658</c:v>
                </c:pt>
                <c:pt idx="51">
                  <c:v>306242.10937709583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D144-45E9-BAB5-51320820ACF4}"/>
            </c:ext>
          </c:extLst>
        </c:ser>
        <c:ser>
          <c:idx val="2"/>
          <c:order val="2"/>
          <c:spPr>
            <a:ln w="25400">
              <a:solidFill>
                <a:srgbClr val="008000"/>
              </a:solidFill>
              <a:prstDash val="solid"/>
            </a:ln>
          </c:spPr>
          <c:marker>
            <c:symbol val="none"/>
          </c:marker>
          <c:cat>
            <c:numRef>
              <c:f>'W(All)+Cov (Holdout)'!$A$9:$A$54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6236.3185158423876</c:v>
                </c:pt>
                <c:pt idx="1">
                  <c:v>12456.105476353119</c:v>
                </c:pt>
                <c:pt idx="2">
                  <c:v>18659.414150744902</c:v>
                </c:pt>
                <c:pt idx="3">
                  <c:v>24846.297606183398</c:v>
                </c:pt>
                <c:pt idx="4">
                  <c:v>31016.80870865786</c:v>
                </c:pt>
                <c:pt idx="5">
                  <c:v>37171.000123869424</c:v>
                </c:pt>
                <c:pt idx="6">
                  <c:v>43308.924318095407</c:v>
                </c:pt>
                <c:pt idx="7">
                  <c:v>49430.63355905997</c:v>
                </c:pt>
                <c:pt idx="8">
                  <c:v>55536.179916802372</c:v>
                </c:pt>
                <c:pt idx="9">
                  <c:v>61625.615264532033</c:v>
                </c:pt>
                <c:pt idx="10">
                  <c:v>67698.991279486756</c:v>
                </c:pt>
                <c:pt idx="11">
                  <c:v>73756.359443787107</c:v>
                </c:pt>
                <c:pt idx="12">
                  <c:v>79797.771045275076</c:v>
                </c:pt>
                <c:pt idx="13">
                  <c:v>85823.277178370685</c:v>
                </c:pt>
                <c:pt idx="14">
                  <c:v>91832.928744896344</c:v>
                </c:pt>
                <c:pt idx="15">
                  <c:v>97826.776454923878</c:v>
                </c:pt>
                <c:pt idx="16">
                  <c:v>103804.87082759848</c:v>
                </c:pt>
                <c:pt idx="17">
                  <c:v>109767.26219197208</c:v>
                </c:pt>
                <c:pt idx="18">
                  <c:v>115714.00068781502</c:v>
                </c:pt>
                <c:pt idx="19">
                  <c:v>121645.13626644868</c:v>
                </c:pt>
                <c:pt idx="20">
                  <c:v>127560.71869154894</c:v>
                </c:pt>
                <c:pt idx="21">
                  <c:v>133460.79753996443</c:v>
                </c:pt>
                <c:pt idx="22">
                  <c:v>139345.42220251821</c:v>
                </c:pt>
                <c:pt idx="23">
                  <c:v>145214.64188481527</c:v>
                </c:pt>
                <c:pt idx="24">
                  <c:v>151068.50560803665</c:v>
                </c:pt>
                <c:pt idx="25">
                  <c:v>156907.06220974037</c:v>
                </c:pt>
                <c:pt idx="26">
                  <c:v>162730.36034464737</c:v>
                </c:pt>
                <c:pt idx="27">
                  <c:v>168538.44848542986</c:v>
                </c:pt>
                <c:pt idx="28">
                  <c:v>174331.37492349805</c:v>
                </c:pt>
                <c:pt idx="29">
                  <c:v>180109.18776977746</c:v>
                </c:pt>
                <c:pt idx="30">
                  <c:v>185871.93495548383</c:v>
                </c:pt>
                <c:pt idx="31">
                  <c:v>191619.66423289722</c:v>
                </c:pt>
                <c:pt idx="32">
                  <c:v>197352.42317613267</c:v>
                </c:pt>
                <c:pt idx="33">
                  <c:v>203070.25918189669</c:v>
                </c:pt>
                <c:pt idx="34">
                  <c:v>208773.21947025752</c:v>
                </c:pt>
                <c:pt idx="35">
                  <c:v>214461.35108539666</c:v>
                </c:pt>
                <c:pt idx="36">
                  <c:v>220134.70089636612</c:v>
                </c:pt>
                <c:pt idx="37">
                  <c:v>225793.31559783532</c:v>
                </c:pt>
                <c:pt idx="38">
                  <c:v>231437.24171083735</c:v>
                </c:pt>
                <c:pt idx="39">
                  <c:v>237066.52558351649</c:v>
                </c:pt>
                <c:pt idx="40">
                  <c:v>242681.21339185978</c:v>
                </c:pt>
                <c:pt idx="41">
                  <c:v>248281.35114044035</c:v>
                </c:pt>
                <c:pt idx="42">
                  <c:v>253866.98466314361</c:v>
                </c:pt>
                <c:pt idx="43">
                  <c:v>259438.15962389749</c:v>
                </c:pt>
                <c:pt idx="44">
                  <c:v>264994.92151739931</c:v>
                </c:pt>
                <c:pt idx="45">
                  <c:v>270537.31566983397</c:v>
                </c:pt>
                <c:pt idx="46">
                  <c:v>276065.38723959605</c:v>
                </c:pt>
                <c:pt idx="47">
                  <c:v>281579.18121799931</c:v>
                </c:pt>
                <c:pt idx="48">
                  <c:v>287078.74242999242</c:v>
                </c:pt>
                <c:pt idx="49">
                  <c:v>292564.11553486239</c:v>
                </c:pt>
                <c:pt idx="50">
                  <c:v>298035.34502694273</c:v>
                </c:pt>
                <c:pt idx="51">
                  <c:v>303492.47523631272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D144-45E9-BAB5-51320820ACF4}"/>
            </c:ext>
          </c:extLst>
        </c:ser>
        <c:dLbls>
          <c:showLegendKey val="0"/>
          <c:showVal val="0"/>
          <c:showCatName val="0"/>
          <c:showSerName val="0"/>
          <c:showPercent val="0"/>
          <c:showBubbleSize val="0"/>
        </c:dLbls>
        <c:marker val="1"/>
        <c:smooth val="0"/>
        <c:axId val="175012480"/>
        <c:axId val="175014656"/>
      </c:lineChart>
      <c:catAx>
        <c:axId val="17501248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14656"/>
        <c:crosses val="autoZero"/>
        <c:auto val="0"/>
        <c:lblAlgn val="ctr"/>
        <c:lblOffset val="100"/>
        <c:tickLblSkip val="153"/>
        <c:tickMarkSkip val="1"/>
        <c:noMultiLvlLbl val="0"/>
      </c:catAx>
      <c:valAx>
        <c:axId val="17501465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1248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model fit and validated forecast</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'W(All)+Cov (Holdout)'!$A$9:$A$54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6E95-43A2-98E8-9FBB765CF25A}"/>
            </c:ext>
          </c:extLst>
        </c:ser>
        <c:ser>
          <c:idx val="1"/>
          <c:order val="1"/>
          <c:spPr>
            <a:ln w="25400">
              <a:solidFill>
                <a:srgbClr val="FF00FF"/>
              </a:solidFill>
              <a:prstDash val="solid"/>
            </a:ln>
          </c:spPr>
          <c:marker>
            <c:symbol val="none"/>
          </c:marker>
          <c:cat>
            <c:numRef>
              <c:f>'W(All)+Cov (Holdout)'!$A$9:$A$54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7344.335729028825</c:v>
                </c:pt>
                <c:pt idx="1">
                  <c:v>14436.551199097725</c:v>
                </c:pt>
                <c:pt idx="2">
                  <c:v>21285.301328408012</c:v>
                </c:pt>
                <c:pt idx="3">
                  <c:v>27898.943924530697</c:v>
                </c:pt>
                <c:pt idx="4">
                  <c:v>34285.549883777916</c:v>
                </c:pt>
                <c:pt idx="5">
                  <c:v>40452.913040445157</c:v>
                </c:pt>
                <c:pt idx="6">
                  <c:v>46408.559677943333</c:v>
                </c:pt>
                <c:pt idx="7">
                  <c:v>52159.757713427702</c:v>
                </c:pt>
                <c:pt idx="8">
                  <c:v>57713.525567131976</c:v>
                </c:pt>
                <c:pt idx="9">
                  <c:v>63076.64072723117</c:v>
                </c:pt>
                <c:pt idx="10">
                  <c:v>68255.648020685359</c:v>
                </c:pt>
                <c:pt idx="11">
                  <c:v>73256.86760015742</c:v>
                </c:pt>
                <c:pt idx="12">
                  <c:v>78086.402656751801</c:v>
                </c:pt>
                <c:pt idx="13">
                  <c:v>82750.146867985968</c:v>
                </c:pt>
                <c:pt idx="14">
                  <c:v>87253.791590084365</c:v>
                </c:pt>
                <c:pt idx="15">
                  <c:v>91602.832803371042</c:v>
                </c:pt>
                <c:pt idx="16">
                  <c:v>95802.577819237515</c:v>
                </c:pt>
                <c:pt idx="17">
                  <c:v>99858.151756870066</c:v>
                </c:pt>
                <c:pt idx="18">
                  <c:v>103774.50379764057</c:v>
                </c:pt>
                <c:pt idx="19">
                  <c:v>107556.41322479326</c:v>
                </c:pt>
                <c:pt idx="20">
                  <c:v>111208.4952557979</c:v>
                </c:pt>
                <c:pt idx="21">
                  <c:v>114735.20667448692</c:v>
                </c:pt>
                <c:pt idx="22">
                  <c:v>118140.85126984945</c:v>
                </c:pt>
                <c:pt idx="23">
                  <c:v>121429.58508811954</c:v>
                </c:pt>
                <c:pt idx="24">
                  <c:v>124605.42150456809</c:v>
                </c:pt>
                <c:pt idx="25">
                  <c:v>127672.23612118732</c:v>
                </c:pt>
                <c:pt idx="26">
                  <c:v>130633.77149624519</c:v>
                </c:pt>
                <c:pt idx="27">
                  <c:v>133493.641711481</c:v>
                </c:pt>
                <c:pt idx="28">
                  <c:v>136255.33678251592</c:v>
                </c:pt>
                <c:pt idx="29">
                  <c:v>138922.22691786065</c:v>
                </c:pt>
                <c:pt idx="30">
                  <c:v>141497.56663171755</c:v>
                </c:pt>
                <c:pt idx="31">
                  <c:v>143984.49871559627</c:v>
                </c:pt>
                <c:pt idx="32">
                  <c:v>146386.05807358978</c:v>
                </c:pt>
                <c:pt idx="33">
                  <c:v>148705.17542599089</c:v>
                </c:pt>
                <c:pt idx="34">
                  <c:v>150944.68088576914</c:v>
                </c:pt>
                <c:pt idx="35">
                  <c:v>153128.47144011562</c:v>
                </c:pt>
                <c:pt idx="36">
                  <c:v>155236.56203205764</c:v>
                </c:pt>
                <c:pt idx="37">
                  <c:v>157271.57676137282</c:v>
                </c:pt>
                <c:pt idx="38">
                  <c:v>159236.04876478645</c:v>
                </c:pt>
                <c:pt idx="39">
                  <c:v>161114.04480952566</c:v>
                </c:pt>
                <c:pt idx="40">
                  <c:v>162927.57200825959</c:v>
                </c:pt>
                <c:pt idx="41">
                  <c:v>164678.8434817864</c:v>
                </c:pt>
                <c:pt idx="42">
                  <c:v>166369.99637771747</c:v>
                </c:pt>
                <c:pt idx="43">
                  <c:v>168003.09447852554</c:v>
                </c:pt>
                <c:pt idx="44">
                  <c:v>169580.13072006224</c:v>
                </c:pt>
                <c:pt idx="45">
                  <c:v>171103.02962361835</c:v>
                </c:pt>
                <c:pt idx="46">
                  <c:v>172573.64964449525</c:v>
                </c:pt>
                <c:pt idx="47">
                  <c:v>173993.78543995344</c:v>
                </c:pt>
                <c:pt idx="48">
                  <c:v>175365.17005930538</c:v>
                </c:pt>
                <c:pt idx="49">
                  <c:v>176689.47705882601</c:v>
                </c:pt>
                <c:pt idx="50">
                  <c:v>177968.32254406132</c:v>
                </c:pt>
                <c:pt idx="51">
                  <c:v>179203.26714202741</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6E95-43A2-98E8-9FBB765CF25A}"/>
            </c:ext>
          </c:extLst>
        </c:ser>
        <c:ser>
          <c:idx val="2"/>
          <c:order val="2"/>
          <c:spPr>
            <a:ln w="25400">
              <a:solidFill>
                <a:srgbClr val="008000"/>
              </a:solidFill>
              <a:prstDash val="solid"/>
            </a:ln>
          </c:spPr>
          <c:marker>
            <c:symbol val="none"/>
          </c:marker>
          <c:cat>
            <c:numRef>
              <c:f>'W(All)+Cov (Holdout)'!$A$9:$A$54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8499.3219409211779</c:v>
                </c:pt>
                <c:pt idx="1">
                  <c:v>16404.804123137495</c:v>
                </c:pt>
                <c:pt idx="2">
                  <c:v>23792.754684577423</c:v>
                </c:pt>
                <c:pt idx="3">
                  <c:v>30725.730351800816</c:v>
                </c:pt>
                <c:pt idx="4">
                  <c:v>37255.646350869756</c:v>
                </c:pt>
                <c:pt idx="5">
                  <c:v>43426.055223524942</c:v>
                </c:pt>
                <c:pt idx="6">
                  <c:v>49273.847370987503</c:v>
                </c:pt>
                <c:pt idx="7">
                  <c:v>54830.540786694248</c:v>
                </c:pt>
                <c:pt idx="8">
                  <c:v>60123.273491882399</c:v>
                </c:pt>
                <c:pt idx="9">
                  <c:v>65175.577222763903</c:v>
                </c:pt>
                <c:pt idx="10">
                  <c:v>70007.987739005519</c:v>
                </c:pt>
                <c:pt idx="11">
                  <c:v>74638.53144247079</c:v>
                </c:pt>
                <c:pt idx="12">
                  <c:v>79083.117190512858</c:v>
                </c:pt>
                <c:pt idx="13">
                  <c:v>83355.854617961581</c:v>
                </c:pt>
                <c:pt idx="14">
                  <c:v>87469.314896583499</c:v>
                </c:pt>
                <c:pt idx="15">
                  <c:v>91434.745975696569</c:v>
                </c:pt>
                <c:pt idx="16">
                  <c:v>95262.251508608126</c:v>
                </c:pt>
                <c:pt idx="17">
                  <c:v>98960.940570115621</c:v>
                </c:pt>
                <c:pt idx="18">
                  <c:v>102539.05370062744</c:v>
                </c:pt>
                <c:pt idx="19">
                  <c:v>106004.06962679887</c:v>
                </c:pt>
                <c:pt idx="20">
                  <c:v>109362.7961043987</c:v>
                </c:pt>
                <c:pt idx="21">
                  <c:v>112621.44763344251</c:v>
                </c:pt>
                <c:pt idx="22">
                  <c:v>115785.71225590339</c:v>
                </c:pt>
                <c:pt idx="23">
                  <c:v>118860.80922427788</c:v>
                </c:pt>
                <c:pt idx="24">
                  <c:v>121851.53899685852</c:v>
                </c:pt>
                <c:pt idx="25">
                  <c:v>124762.32675190546</c:v>
                </c:pt>
                <c:pt idx="26">
                  <c:v>127597.26040240616</c:v>
                </c:pt>
                <c:pt idx="27">
                  <c:v>130360.12392403407</c:v>
                </c:pt>
                <c:pt idx="28">
                  <c:v>133054.42667229407</c:v>
                </c:pt>
                <c:pt idx="29">
                  <c:v>135683.42925384446</c:v>
                </c:pt>
                <c:pt idx="30">
                  <c:v>138250.16642633482</c:v>
                </c:pt>
                <c:pt idx="31">
                  <c:v>140757.46742667383</c:v>
                </c:pt>
                <c:pt idx="32">
                  <c:v>143207.97406628681</c:v>
                </c:pt>
                <c:pt idx="33">
                  <c:v>145604.15688106132</c:v>
                </c:pt>
                <c:pt idx="34">
                  <c:v>147948.3295813876</c:v>
                </c:pt>
                <c:pt idx="35">
                  <c:v>154519.3973396708</c:v>
                </c:pt>
                <c:pt idx="36">
                  <c:v>160712.39594842569</c:v>
                </c:pt>
                <c:pt idx="37">
                  <c:v>166567.77713775184</c:v>
                </c:pt>
                <c:pt idx="38">
                  <c:v>172119.86247883536</c:v>
                </c:pt>
                <c:pt idx="39">
                  <c:v>173955.8060925912</c:v>
                </c:pt>
                <c:pt idx="40">
                  <c:v>175760.75892452724</c:v>
                </c:pt>
                <c:pt idx="41">
                  <c:v>177535.73104752653</c:v>
                </c:pt>
                <c:pt idx="42">
                  <c:v>179281.68424125924</c:v>
                </c:pt>
                <c:pt idx="43">
                  <c:v>180999.53501339117</c:v>
                </c:pt>
                <c:pt idx="44">
                  <c:v>182690.15738858763</c:v>
                </c:pt>
                <c:pt idx="45">
                  <c:v>184354.38548637839</c:v>
                </c:pt>
                <c:pt idx="46">
                  <c:v>185993.01590675808</c:v>
                </c:pt>
                <c:pt idx="47">
                  <c:v>187606.80994045688</c:v>
                </c:pt>
                <c:pt idx="48">
                  <c:v>189196.49561910034</c:v>
                </c:pt>
                <c:pt idx="49">
                  <c:v>190762.76961896522</c:v>
                </c:pt>
                <c:pt idx="50">
                  <c:v>192306.29903068152</c:v>
                </c:pt>
                <c:pt idx="51">
                  <c:v>193827.72300604312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6E95-43A2-98E8-9FBB765CF25A}"/>
            </c:ext>
          </c:extLst>
        </c:ser>
        <c:dLbls>
          <c:showLegendKey val="0"/>
          <c:showVal val="0"/>
          <c:showCatName val="0"/>
          <c:showSerName val="0"/>
          <c:showPercent val="0"/>
          <c:showBubbleSize val="0"/>
        </c:dLbls>
        <c:marker val="1"/>
        <c:smooth val="0"/>
        <c:axId val="175063424"/>
        <c:axId val="175065344"/>
      </c:lineChart>
      <c:catAx>
        <c:axId val="17506342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65344"/>
        <c:crosses val="autoZero"/>
        <c:auto val="0"/>
        <c:lblAlgn val="ctr"/>
        <c:lblOffset val="100"/>
        <c:tickLblSkip val="153"/>
        <c:tickMarkSkip val="1"/>
        <c:noMultiLvlLbl val="0"/>
      </c:catAx>
      <c:valAx>
        <c:axId val="175065344"/>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63424"/>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Actual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'W(All)+Cov (Holdout)'!$A$9:$A$35</c:f>
              <c:numCache>
                <c:formatCode>m/d/yyyy</c:formatCode>
                <c:ptCount val="27"/>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'W(All)+Cov (Holdout)'!$D$9:$D$35</c:f>
              <c:numCache>
                <c:formatCode>General</c:formatCode>
                <c:ptCount val="27"/>
                <c:pt idx="0">
                  <c:v>74</c:v>
                </c:pt>
                <c:pt idx="1">
                  <c:v>68</c:v>
                </c:pt>
                <c:pt idx="2">
                  <c:v>85</c:v>
                </c:pt>
                <c:pt idx="3">
                  <c:v>86</c:v>
                </c:pt>
                <c:pt idx="4">
                  <c:v>96</c:v>
                </c:pt>
                <c:pt idx="5">
                  <c:v>107</c:v>
                </c:pt>
                <c:pt idx="6">
                  <c:v>85</c:v>
                </c:pt>
                <c:pt idx="7">
                  <c:v>74</c:v>
                </c:pt>
                <c:pt idx="8">
                  <c:v>87</c:v>
                </c:pt>
                <c:pt idx="9">
                  <c:v>74</c:v>
                </c:pt>
                <c:pt idx="10">
                  <c:v>88</c:v>
                </c:pt>
                <c:pt idx="11">
                  <c:v>101</c:v>
                </c:pt>
                <c:pt idx="12">
                  <c:v>176</c:v>
                </c:pt>
                <c:pt idx="13">
                  <c:v>144</c:v>
                </c:pt>
                <c:pt idx="14">
                  <c:v>178</c:v>
                </c:pt>
                <c:pt idx="15">
                  <c:v>141</c:v>
                </c:pt>
                <c:pt idx="16">
                  <c:v>151</c:v>
                </c:pt>
                <c:pt idx="17">
                  <c:v>102</c:v>
                </c:pt>
                <c:pt idx="18">
                  <c:v>132</c:v>
                </c:pt>
                <c:pt idx="19">
                  <c:v>188</c:v>
                </c:pt>
                <c:pt idx="20">
                  <c:v>121</c:v>
                </c:pt>
                <c:pt idx="21">
                  <c:v>139</c:v>
                </c:pt>
                <c:pt idx="22">
                  <c:v>166</c:v>
                </c:pt>
                <c:pt idx="23">
                  <c:v>170</c:v>
                </c:pt>
                <c:pt idx="24">
                  <c:v>316</c:v>
                </c:pt>
                <c:pt idx="25">
                  <c:v>427</c:v>
                </c:pt>
                <c:pt idx="26">
                  <c:v>584</c:v>
                </c:pt>
              </c:numCache>
            </c:numRef>
          </c:val>
          <c:smooth val="0"/>
          <c:extLst>
            <c:ext xmlns:c16="http://schemas.microsoft.com/office/drawing/2014/chart" uri="{C3380CC4-5D6E-409C-BE32-E72D297353CC}">
              <c16:uniqueId val="{00000000-AC8F-4B45-A441-F65932B99A6F}"/>
            </c:ext>
          </c:extLst>
        </c:ser>
        <c:ser>
          <c:idx val="1"/>
          <c:order val="1"/>
          <c:tx>
            <c:v>Expected</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'W(All)+Cov (Holdout)'!$A$9:$A$35</c:f>
              <c:numCache>
                <c:formatCode>m/d/yyyy</c:formatCode>
                <c:ptCount val="27"/>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'W(All)+Cov (Holdout)'!$L$9:$L$35</c:f>
              <c:numCache>
                <c:formatCode>_(* #,##0_);_(* \(#,##0\);_(* "-"??_);_(@_)</c:formatCode>
                <c:ptCount val="27"/>
                <c:pt idx="0">
                  <c:v>52.424058712552402</c:v>
                </c:pt>
                <c:pt idx="1">
                  <c:v>72.315652521759432</c:v>
                </c:pt>
                <c:pt idx="2">
                  <c:v>82.34156678136317</c:v>
                </c:pt>
                <c:pt idx="3">
                  <c:v>89.580771929098631</c:v>
                </c:pt>
                <c:pt idx="4">
                  <c:v>95.352800230230628</c:v>
                </c:pt>
                <c:pt idx="5">
                  <c:v>100.1959243291717</c:v>
                </c:pt>
                <c:pt idx="6">
                  <c:v>104.38934725729433</c:v>
                </c:pt>
                <c:pt idx="7">
                  <c:v>108.09859226017511</c:v>
                </c:pt>
                <c:pt idx="8">
                  <c:v>111.43069995489532</c:v>
                </c:pt>
                <c:pt idx="9">
                  <c:v>114.45928816712353</c:v>
                </c:pt>
                <c:pt idx="10">
                  <c:v>117.23737667030946</c:v>
                </c:pt>
                <c:pt idx="11">
                  <c:v>119.80454557078974</c:v>
                </c:pt>
                <c:pt idx="12">
                  <c:v>122.19120433022408</c:v>
                </c:pt>
                <c:pt idx="13">
                  <c:v>124.42127442137144</c:v>
                </c:pt>
                <c:pt idx="14">
                  <c:v>126.51394827757349</c:v>
                </c:pt>
                <c:pt idx="15">
                  <c:v>128.48488395332811</c:v>
                </c:pt>
                <c:pt idx="16">
                  <c:v>130.34704100463023</c:v>
                </c:pt>
                <c:pt idx="17">
                  <c:v>132.11128039968276</c:v>
                </c:pt>
                <c:pt idx="18">
                  <c:v>133.78680465641037</c:v>
                </c:pt>
                <c:pt idx="19">
                  <c:v>135.3814870342253</c:v>
                </c:pt>
                <c:pt idx="20">
                  <c:v>141.91284854022661</c:v>
                </c:pt>
                <c:pt idx="21">
                  <c:v>143.04957643421767</c:v>
                </c:pt>
                <c:pt idx="22">
                  <c:v>162.19079677183299</c:v>
                </c:pt>
                <c:pt idx="23">
                  <c:v>196.28039926986548</c:v>
                </c:pt>
                <c:pt idx="24">
                  <c:v>304.14141523426042</c:v>
                </c:pt>
                <c:pt idx="25">
                  <c:v>362.1532848408383</c:v>
                </c:pt>
                <c:pt idx="26">
                  <c:v>480.80654090963935</c:v>
                </c:pt>
              </c:numCache>
            </c:numRef>
          </c:val>
          <c:smooth val="0"/>
          <c:extLst>
            <c:ext xmlns:c16="http://schemas.microsoft.com/office/drawing/2014/chart" uri="{C3380CC4-5D6E-409C-BE32-E72D297353CC}">
              <c16:uniqueId val="{00000001-AC8F-4B45-A441-F65932B99A6F}"/>
            </c:ext>
          </c:extLst>
        </c:ser>
        <c:dLbls>
          <c:showLegendKey val="0"/>
          <c:showVal val="0"/>
          <c:showCatName val="0"/>
          <c:showSerName val="0"/>
          <c:showPercent val="0"/>
          <c:showBubbleSize val="0"/>
        </c:dLbls>
        <c:marker val="1"/>
        <c:smooth val="0"/>
        <c:axId val="1023026304"/>
        <c:axId val="1023025648"/>
      </c:lineChart>
      <c:dateAx>
        <c:axId val="1023026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25648"/>
        <c:crosses val="autoZero"/>
        <c:auto val="1"/>
        <c:lblOffset val="100"/>
        <c:baseTimeUnit val="days"/>
      </c:dateAx>
      <c:valAx>
        <c:axId val="102302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26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636082969035784E-2"/>
          <c:y val="4.5142186684028834E-2"/>
          <c:w val="0.80797139237331739"/>
          <c:h val="0.86510190102206219"/>
        </c:manualLayout>
      </c:layout>
      <c:lineChart>
        <c:grouping val="standard"/>
        <c:varyColors val="0"/>
        <c:ser>
          <c:idx val="0"/>
          <c:order val="0"/>
          <c:tx>
            <c:strRef>
              <c:f>'Sparklehorse (SH)'!$C$1</c:f>
              <c:strCache>
                <c:ptCount val="1"/>
                <c:pt idx="0">
                  <c:v>airplay</c:v>
                </c:pt>
              </c:strCache>
            </c:strRef>
          </c:tx>
          <c:cat>
            <c:numRef>
              <c:f>'Sparklehorse (SH)'!$A$2:$A$28</c:f>
              <c:numCache>
                <c:formatCode>m/d/yyyy</c:formatCode>
                <c:ptCount val="27"/>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'Sparklehorse (SH)'!$C$2:$C$47</c:f>
              <c:numCache>
                <c:formatCode>General</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formatCode="0">
                  <c:v>20.080000000000002</c:v>
                </c:pt>
                <c:pt idx="19" formatCode="0">
                  <c:v>18.669999999999998</c:v>
                </c:pt>
                <c:pt idx="20" formatCode="0">
                  <c:v>83.27000000000001</c:v>
                </c:pt>
                <c:pt idx="21" formatCode="0">
                  <c:v>184.69</c:v>
                </c:pt>
                <c:pt idx="22" formatCode="0">
                  <c:v>424.75</c:v>
                </c:pt>
                <c:pt idx="23" formatCode="0">
                  <c:v>518.51</c:v>
                </c:pt>
                <c:pt idx="24" formatCode="0">
                  <c:v>673.75</c:v>
                </c:pt>
                <c:pt idx="25" formatCode="0">
                  <c:v>670.4</c:v>
                </c:pt>
                <c:pt idx="26" formatCode="0">
                  <c:v>657.45</c:v>
                </c:pt>
                <c:pt idx="30">
                  <c:v>0</c:v>
                </c:pt>
                <c:pt idx="31">
                  <c:v>0</c:v>
                </c:pt>
                <c:pt idx="32">
                  <c:v>0</c:v>
                </c:pt>
                <c:pt idx="34">
                  <c:v>0</c:v>
                </c:pt>
                <c:pt idx="35">
                  <c:v>0</c:v>
                </c:pt>
                <c:pt idx="36">
                  <c:v>0</c:v>
                </c:pt>
                <c:pt idx="37">
                  <c:v>0</c:v>
                </c:pt>
                <c:pt idx="38">
                  <c:v>0</c:v>
                </c:pt>
                <c:pt idx="39">
                  <c:v>0</c:v>
                </c:pt>
                <c:pt idx="41">
                  <c:v>0</c:v>
                </c:pt>
                <c:pt idx="42">
                  <c:v>0</c:v>
                </c:pt>
                <c:pt idx="44">
                  <c:v>0</c:v>
                </c:pt>
                <c:pt idx="45">
                  <c:v>0</c:v>
                </c:pt>
              </c:numCache>
            </c:numRef>
          </c:val>
          <c:smooth val="0"/>
          <c:extLst>
            <c:ext xmlns:c16="http://schemas.microsoft.com/office/drawing/2014/chart" uri="{C3380CC4-5D6E-409C-BE32-E72D297353CC}">
              <c16:uniqueId val="{00000000-BE8C-44A3-A6E1-2591D5DAC44E}"/>
            </c:ext>
          </c:extLst>
        </c:ser>
        <c:ser>
          <c:idx val="1"/>
          <c:order val="1"/>
          <c:tx>
            <c:strRef>
              <c:f>'Sparklehorse (SH)'!$B$1</c:f>
              <c:strCache>
                <c:ptCount val="1"/>
                <c:pt idx="0">
                  <c:v>sales</c:v>
                </c:pt>
              </c:strCache>
            </c:strRef>
          </c:tx>
          <c:cat>
            <c:numRef>
              <c:f>'Sparklehorse (SH)'!$A$2:$A$28</c:f>
              <c:numCache>
                <c:formatCode>m/d/yyyy</c:formatCode>
                <c:ptCount val="27"/>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'Sparklehorse (SH)'!$B$2:$B$28</c:f>
              <c:numCache>
                <c:formatCode>General</c:formatCode>
                <c:ptCount val="27"/>
                <c:pt idx="0">
                  <c:v>74</c:v>
                </c:pt>
                <c:pt idx="1">
                  <c:v>68</c:v>
                </c:pt>
                <c:pt idx="2">
                  <c:v>85</c:v>
                </c:pt>
                <c:pt idx="3">
                  <c:v>86</c:v>
                </c:pt>
                <c:pt idx="4">
                  <c:v>96</c:v>
                </c:pt>
                <c:pt idx="5">
                  <c:v>107</c:v>
                </c:pt>
                <c:pt idx="6">
                  <c:v>85</c:v>
                </c:pt>
                <c:pt idx="7">
                  <c:v>74</c:v>
                </c:pt>
                <c:pt idx="8">
                  <c:v>87</c:v>
                </c:pt>
                <c:pt idx="9">
                  <c:v>74</c:v>
                </c:pt>
                <c:pt idx="10">
                  <c:v>88</c:v>
                </c:pt>
                <c:pt idx="11">
                  <c:v>101</c:v>
                </c:pt>
                <c:pt idx="12">
                  <c:v>176</c:v>
                </c:pt>
                <c:pt idx="13">
                  <c:v>144</c:v>
                </c:pt>
                <c:pt idx="14">
                  <c:v>178</c:v>
                </c:pt>
                <c:pt idx="15">
                  <c:v>141</c:v>
                </c:pt>
                <c:pt idx="16">
                  <c:v>151</c:v>
                </c:pt>
                <c:pt idx="17">
                  <c:v>102</c:v>
                </c:pt>
                <c:pt idx="18">
                  <c:v>132</c:v>
                </c:pt>
                <c:pt idx="19">
                  <c:v>188</c:v>
                </c:pt>
                <c:pt idx="20">
                  <c:v>121</c:v>
                </c:pt>
                <c:pt idx="21">
                  <c:v>139</c:v>
                </c:pt>
                <c:pt idx="22">
                  <c:v>166</c:v>
                </c:pt>
                <c:pt idx="23">
                  <c:v>170</c:v>
                </c:pt>
                <c:pt idx="24">
                  <c:v>316</c:v>
                </c:pt>
                <c:pt idx="25">
                  <c:v>427</c:v>
                </c:pt>
                <c:pt idx="26">
                  <c:v>584</c:v>
                </c:pt>
              </c:numCache>
            </c:numRef>
          </c:val>
          <c:smooth val="0"/>
          <c:extLst>
            <c:ext xmlns:c16="http://schemas.microsoft.com/office/drawing/2014/chart" uri="{C3380CC4-5D6E-409C-BE32-E72D297353CC}">
              <c16:uniqueId val="{00000001-BE8C-44A3-A6E1-2591D5DAC44E}"/>
            </c:ext>
          </c:extLst>
        </c:ser>
        <c:ser>
          <c:idx val="2"/>
          <c:order val="2"/>
          <c:tx>
            <c:v>lag(airplay)</c:v>
          </c:tx>
          <c:val>
            <c:numRef>
              <c:f>#REF!</c:f>
              <c:numCache>
                <c:formatCode>General</c:formatCode>
                <c:ptCount val="1"/>
                <c:pt idx="0">
                  <c:v>1</c:v>
                </c:pt>
              </c:numCache>
            </c:numRef>
          </c:val>
          <c:smooth val="0"/>
          <c:extLst>
            <c:ext xmlns:c16="http://schemas.microsoft.com/office/drawing/2014/chart" uri="{C3380CC4-5D6E-409C-BE32-E72D297353CC}">
              <c16:uniqueId val="{00000002-BE8C-44A3-A6E1-2591D5DAC44E}"/>
            </c:ext>
          </c:extLst>
        </c:ser>
        <c:dLbls>
          <c:showLegendKey val="0"/>
          <c:showVal val="0"/>
          <c:showCatName val="0"/>
          <c:showSerName val="0"/>
          <c:showPercent val="0"/>
          <c:showBubbleSize val="0"/>
        </c:dLbls>
        <c:marker val="1"/>
        <c:smooth val="0"/>
        <c:axId val="175179264"/>
        <c:axId val="175180800"/>
      </c:lineChart>
      <c:dateAx>
        <c:axId val="175179264"/>
        <c:scaling>
          <c:orientation val="minMax"/>
        </c:scaling>
        <c:delete val="0"/>
        <c:axPos val="b"/>
        <c:numFmt formatCode="m/d/yy;@" sourceLinked="0"/>
        <c:majorTickMark val="out"/>
        <c:minorTickMark val="none"/>
        <c:tickLblPos val="nextTo"/>
        <c:crossAx val="175180800"/>
        <c:crosses val="autoZero"/>
        <c:auto val="0"/>
        <c:lblOffset val="100"/>
        <c:baseTimeUnit val="days"/>
      </c:dateAx>
      <c:valAx>
        <c:axId val="175180800"/>
        <c:scaling>
          <c:orientation val="minMax"/>
        </c:scaling>
        <c:delete val="0"/>
        <c:axPos val="l"/>
        <c:majorGridlines/>
        <c:numFmt formatCode="General" sourceLinked="1"/>
        <c:majorTickMark val="out"/>
        <c:minorTickMark val="none"/>
        <c:tickLblPos val="nextTo"/>
        <c:crossAx val="175179264"/>
        <c:crossesAt val="34973"/>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h(t)/h0(t)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'W(All)+Cov (Holdout)'!$A$9:$A$35</c:f>
              <c:numCache>
                <c:formatCode>m/d/yyyy</c:formatCode>
                <c:ptCount val="27"/>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'W(All)+Cov (Holdout)'!$Q$9:$Q$35</c:f>
              <c:numCache>
                <c:formatCode>_(* #,##0.00_);_(* \(#,##0.00\);_(* "-"??_);_(@_)</c:formatCode>
                <c:ptCount val="2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1.0366273825471202</c:v>
                </c:pt>
                <c:pt idx="21">
                  <c:v>1.0340122071547142</c:v>
                </c:pt>
                <c:pt idx="22">
                  <c:v>1.1608761007825892</c:v>
                </c:pt>
                <c:pt idx="23">
                  <c:v>1.3921718094383688</c:v>
                </c:pt>
                <c:pt idx="24">
                  <c:v>2.1402511272929914</c:v>
                </c:pt>
                <c:pt idx="25">
                  <c:v>2.5316988999673535</c:v>
                </c:pt>
                <c:pt idx="26">
                  <c:v>3.343429330066654</c:v>
                </c:pt>
              </c:numCache>
            </c:numRef>
          </c:val>
          <c:smooth val="0"/>
          <c:extLst>
            <c:ext xmlns:c16="http://schemas.microsoft.com/office/drawing/2014/chart" uri="{C3380CC4-5D6E-409C-BE32-E72D297353CC}">
              <c16:uniqueId val="{00000000-12ED-4D4C-8A5D-C43D79150055}"/>
            </c:ext>
          </c:extLst>
        </c:ser>
        <c:dLbls>
          <c:showLegendKey val="0"/>
          <c:showVal val="0"/>
          <c:showCatName val="0"/>
          <c:showSerName val="0"/>
          <c:showPercent val="0"/>
          <c:showBubbleSize val="0"/>
        </c:dLbls>
        <c:marker val="1"/>
        <c:smooth val="0"/>
        <c:axId val="782011272"/>
        <c:axId val="782010944"/>
      </c:lineChart>
      <c:dateAx>
        <c:axId val="78201127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10944"/>
        <c:crosses val="autoZero"/>
        <c:auto val="1"/>
        <c:lblOffset val="100"/>
        <c:baseTimeUnit val="days"/>
      </c:dateAx>
      <c:valAx>
        <c:axId val="78201094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11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weekly sales and airplay</a:t>
            </a:r>
          </a:p>
        </c:rich>
      </c:tx>
      <c:overlay val="0"/>
      <c:spPr>
        <a:noFill/>
        <a:ln w="25400">
          <a:noFill/>
        </a:ln>
      </c:spPr>
    </c:title>
    <c:autoTitleDeleted val="0"/>
    <c:plotArea>
      <c:layout/>
      <c:lineChart>
        <c:grouping val="standard"/>
        <c:varyColors val="0"/>
        <c:ser>
          <c:idx val="0"/>
          <c:order val="0"/>
          <c:tx>
            <c:strRef>
              <c:f>delta!$D$8</c:f>
              <c:strCache>
                <c:ptCount val="1"/>
                <c:pt idx="0">
                  <c:v>Incr_Sales</c:v>
                </c:pt>
              </c:strCache>
            </c:strRef>
          </c:tx>
          <c:spPr>
            <a:ln w="25400">
              <a:solidFill>
                <a:srgbClr val="000080"/>
              </a:solidFill>
              <a:prstDash val="solid"/>
            </a:ln>
          </c:spPr>
          <c:marker>
            <c:symbol val="none"/>
          </c:marker>
          <c:cat>
            <c:numRef>
              <c:f>delta!$A$9:$A$54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delta!$D$9:$D$54</c:f>
              <c:numCache>
                <c:formatCode>General</c:formatCode>
                <c:ptCount val="46"/>
                <c:pt idx="0">
                  <c:v>74</c:v>
                </c:pt>
                <c:pt idx="1">
                  <c:v>68</c:v>
                </c:pt>
                <c:pt idx="2">
                  <c:v>85</c:v>
                </c:pt>
                <c:pt idx="3">
                  <c:v>86</c:v>
                </c:pt>
                <c:pt idx="4">
                  <c:v>96</c:v>
                </c:pt>
                <c:pt idx="5">
                  <c:v>107</c:v>
                </c:pt>
                <c:pt idx="6">
                  <c:v>85</c:v>
                </c:pt>
                <c:pt idx="7">
                  <c:v>74</c:v>
                </c:pt>
                <c:pt idx="8">
                  <c:v>87</c:v>
                </c:pt>
                <c:pt idx="9">
                  <c:v>74</c:v>
                </c:pt>
                <c:pt idx="10">
                  <c:v>88</c:v>
                </c:pt>
                <c:pt idx="11">
                  <c:v>101</c:v>
                </c:pt>
                <c:pt idx="12">
                  <c:v>176</c:v>
                </c:pt>
                <c:pt idx="13">
                  <c:v>144</c:v>
                </c:pt>
                <c:pt idx="14">
                  <c:v>178</c:v>
                </c:pt>
                <c:pt idx="15">
                  <c:v>141</c:v>
                </c:pt>
                <c:pt idx="16">
                  <c:v>151</c:v>
                </c:pt>
                <c:pt idx="17">
                  <c:v>102</c:v>
                </c:pt>
                <c:pt idx="18">
                  <c:v>132</c:v>
                </c:pt>
                <c:pt idx="19">
                  <c:v>188</c:v>
                </c:pt>
                <c:pt idx="20">
                  <c:v>121</c:v>
                </c:pt>
                <c:pt idx="21">
                  <c:v>139</c:v>
                </c:pt>
                <c:pt idx="22">
                  <c:v>166</c:v>
                </c:pt>
                <c:pt idx="23">
                  <c:v>170</c:v>
                </c:pt>
                <c:pt idx="24">
                  <c:v>316</c:v>
                </c:pt>
                <c:pt idx="25">
                  <c:v>427</c:v>
                </c:pt>
                <c:pt idx="26">
                  <c:v>584</c:v>
                </c:pt>
              </c:numCache>
            </c:numRef>
          </c:val>
          <c:smooth val="0"/>
          <c:extLst>
            <c:ext xmlns:c16="http://schemas.microsoft.com/office/drawing/2014/chart" uri="{C3380CC4-5D6E-409C-BE32-E72D297353CC}">
              <c16:uniqueId val="{00000000-21AD-4319-84A0-CB98256BC447}"/>
            </c:ext>
          </c:extLst>
        </c:ser>
        <c:ser>
          <c:idx val="1"/>
          <c:order val="1"/>
          <c:tx>
            <c:strRef>
              <c:f>delta!$R$8</c:f>
              <c:strCache>
                <c:ptCount val="1"/>
                <c:pt idx="0">
                  <c:v>lag2(Airplay)</c:v>
                </c:pt>
              </c:strCache>
            </c:strRef>
          </c:tx>
          <c:spPr>
            <a:ln w="25400">
              <a:solidFill>
                <a:srgbClr val="FF00FF"/>
              </a:solidFill>
              <a:prstDash val="solid"/>
            </a:ln>
          </c:spPr>
          <c:marker>
            <c:symbol val="none"/>
          </c:marker>
          <c:cat>
            <c:numRef>
              <c:f>delta!$A$9:$A$54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W!#REF!</c:f>
              <c:numCache>
                <c:formatCode>General</c:formatCode>
                <c:ptCount val="1"/>
                <c:pt idx="0">
                  <c:v>1</c:v>
                </c:pt>
              </c:numCache>
            </c:numRef>
          </c:val>
          <c:smooth val="0"/>
          <c:extLst>
            <c:ext xmlns:c16="http://schemas.microsoft.com/office/drawing/2014/chart" uri="{C3380CC4-5D6E-409C-BE32-E72D297353CC}">
              <c16:uniqueId val="{00000001-21AD-4319-84A0-CB98256BC447}"/>
            </c:ext>
          </c:extLst>
        </c:ser>
        <c:dLbls>
          <c:showLegendKey val="0"/>
          <c:showVal val="0"/>
          <c:showCatName val="0"/>
          <c:showSerName val="0"/>
          <c:showPercent val="0"/>
          <c:showBubbleSize val="0"/>
        </c:dLbls>
        <c:smooth val="0"/>
        <c:axId val="175171840"/>
        <c:axId val="175174016"/>
      </c:lineChart>
      <c:catAx>
        <c:axId val="17517184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174016"/>
        <c:crosses val="autoZero"/>
        <c:auto val="0"/>
        <c:lblAlgn val="ctr"/>
        <c:lblOffset val="100"/>
        <c:tickLblSkip val="132"/>
        <c:tickMarkSkip val="1"/>
        <c:noMultiLvlLbl val="0"/>
      </c:catAx>
      <c:valAx>
        <c:axId val="17517401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sales/airplay</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17184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genuine forecasts</a:t>
            </a:r>
          </a:p>
        </c:rich>
      </c:tx>
      <c:overlay val="0"/>
      <c:spPr>
        <a:noFill/>
        <a:ln w="25400">
          <a:noFill/>
        </a:ln>
      </c:spPr>
    </c:title>
    <c:autoTitleDeleted val="0"/>
    <c:plotArea>
      <c:layout/>
      <c:lineChart>
        <c:grouping val="standard"/>
        <c:varyColors val="0"/>
        <c:ser>
          <c:idx val="0"/>
          <c:order val="0"/>
          <c:spPr>
            <a:ln w="25400">
              <a:solidFill>
                <a:srgbClr val="FF00FF"/>
              </a:solidFill>
              <a:prstDash val="solid"/>
            </a:ln>
          </c:spPr>
          <c:marker>
            <c:symbol val="none"/>
          </c:marker>
          <c:cat>
            <c:numRef>
              <c:f>delta!$A$9:$A$54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65"/>
                <c:pt idx="0">
                  <c:v>5224.4217589694226</c:v>
                </c:pt>
                <c:pt idx="1">
                  <c:v>10420.095805764095</c:v>
                </c:pt>
                <c:pt idx="2">
                  <c:v>15587.180326494108</c:v>
                </c:pt>
                <c:pt idx="3">
                  <c:v>20725.832636840245</c:v>
                </c:pt>
                <c:pt idx="4">
                  <c:v>25836.209186844131</c:v>
                </c:pt>
                <c:pt idx="5">
                  <c:v>30918.465565670696</c:v>
                </c:pt>
                <c:pt idx="6">
                  <c:v>35972.756506346028</c:v>
                </c:pt>
                <c:pt idx="7">
                  <c:v>40999.235890467557</c:v>
                </c:pt>
                <c:pt idx="8">
                  <c:v>45998.05675288973</c:v>
                </c:pt>
                <c:pt idx="9">
                  <c:v>50969.371286382971</c:v>
                </c:pt>
                <c:pt idx="10">
                  <c:v>55913.330846267076</c:v>
                </c:pt>
                <c:pt idx="11">
                  <c:v>60830.085955019866</c:v>
                </c:pt>
                <c:pt idx="12">
                  <c:v>65719.786306859693</c:v>
                </c:pt>
                <c:pt idx="13">
                  <c:v>70582.580772302666</c:v>
                </c:pt>
                <c:pt idx="14">
                  <c:v>75418.617402695774</c:v>
                </c:pt>
                <c:pt idx="15">
                  <c:v>80228.043434723877</c:v>
                </c:pt>
                <c:pt idx="16">
                  <c:v>85011.005294892748</c:v>
                </c:pt>
                <c:pt idx="17">
                  <c:v>89767.648603987065</c:v>
                </c:pt>
                <c:pt idx="18">
                  <c:v>94498.118181503552</c:v>
                </c:pt>
                <c:pt idx="19">
                  <c:v>99202.558050060892</c:v>
                </c:pt>
                <c:pt idx="20">
                  <c:v>103881.11143978406</c:v>
                </c:pt>
                <c:pt idx="21">
                  <c:v>108533.920792665</c:v>
                </c:pt>
                <c:pt idx="22">
                  <c:v>113161.12776689969</c:v>
                </c:pt>
                <c:pt idx="23">
                  <c:v>117762.87324120097</c:v>
                </c:pt>
                <c:pt idx="24">
                  <c:v>122339.29731908746</c:v>
                </c:pt>
                <c:pt idx="25">
                  <c:v>126890.53933314937</c:v>
                </c:pt>
                <c:pt idx="26">
                  <c:v>131416.73784929057</c:v>
                </c:pt>
                <c:pt idx="27">
                  <c:v>135918.03067094708</c:v>
                </c:pt>
                <c:pt idx="28">
                  <c:v>140394.55484328285</c:v>
                </c:pt>
                <c:pt idx="29">
                  <c:v>144846.44665736225</c:v>
                </c:pt>
                <c:pt idx="30">
                  <c:v>149273.84165429918</c:v>
                </c:pt>
                <c:pt idx="31">
                  <c:v>153676.87462938423</c:v>
                </c:pt>
                <c:pt idx="32">
                  <c:v>158055.67963618806</c:v>
                </c:pt>
                <c:pt idx="33">
                  <c:v>162410.38999064319</c:v>
                </c:pt>
                <c:pt idx="34">
                  <c:v>166741.13827510292</c:v>
                </c:pt>
                <c:pt idx="35">
                  <c:v>171048.05634237741</c:v>
                </c:pt>
                <c:pt idx="36">
                  <c:v>175331.2753197487</c:v>
                </c:pt>
                <c:pt idx="37">
                  <c:v>179590.92561296254</c:v>
                </c:pt>
                <c:pt idx="38">
                  <c:v>183827.13691019849</c:v>
                </c:pt>
                <c:pt idx="39">
                  <c:v>188040.03818601923</c:v>
                </c:pt>
                <c:pt idx="40">
                  <c:v>192229.75770529616</c:v>
                </c:pt>
                <c:pt idx="41">
                  <c:v>196396.42302711552</c:v>
                </c:pt>
                <c:pt idx="42">
                  <c:v>200540.16100866138</c:v>
                </c:pt>
                <c:pt idx="43">
                  <c:v>204661.09780907811</c:v>
                </c:pt>
                <c:pt idx="44">
                  <c:v>208759.35889331135</c:v>
                </c:pt>
                <c:pt idx="45">
                  <c:v>212835.0690359282</c:v>
                </c:pt>
                <c:pt idx="46">
                  <c:v>216888.35232491541</c:v>
                </c:pt>
                <c:pt idx="47">
                  <c:v>220919.33216545792</c:v>
                </c:pt>
                <c:pt idx="48">
                  <c:v>224928.13128369578</c:v>
                </c:pt>
                <c:pt idx="49">
                  <c:v>228914.87173046058</c:v>
                </c:pt>
                <c:pt idx="50">
                  <c:v>232879.67488499157</c:v>
                </c:pt>
                <c:pt idx="51">
                  <c:v>236822.66145863105</c:v>
                </c:pt>
                <c:pt idx="52">
                  <c:v>240743.95149849943</c:v>
                </c:pt>
                <c:pt idx="53">
                  <c:v>244643.6643911502</c:v>
                </c:pt>
                <c:pt idx="54">
                  <c:v>248521.91886620491</c:v>
                </c:pt>
                <c:pt idx="55">
                  <c:v>252378.83299996777</c:v>
                </c:pt>
                <c:pt idx="56">
                  <c:v>256214.52421902039</c:v>
                </c:pt>
                <c:pt idx="57">
                  <c:v>260029.10930379757</c:v>
                </c:pt>
                <c:pt idx="58">
                  <c:v>263822.70439214213</c:v>
                </c:pt>
                <c:pt idx="59">
                  <c:v>267595.42498284113</c:v>
                </c:pt>
                <c:pt idx="60">
                  <c:v>271347.38593914203</c:v>
                </c:pt>
                <c:pt idx="61">
                  <c:v>275078.7014922502</c:v>
                </c:pt>
                <c:pt idx="62">
                  <c:v>278789.48524480656</c:v>
                </c:pt>
                <c:pt idx="63">
                  <c:v>282479.85017434612</c:v>
                </c:pt>
                <c:pt idx="64">
                  <c:v>286149.90863673808</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0-D256-47AD-9EE2-1744DFE2B832}"/>
            </c:ext>
          </c:extLst>
        </c:ser>
        <c:ser>
          <c:idx val="1"/>
          <c:order val="1"/>
          <c:spPr>
            <a:ln w="25400">
              <a:solidFill>
                <a:srgbClr val="008000"/>
              </a:solidFill>
              <a:prstDash val="solid"/>
            </a:ln>
          </c:spPr>
          <c:marker>
            <c:symbol val="none"/>
          </c:marker>
          <c:cat>
            <c:numRef>
              <c:f>delta!$A$9:$A$54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65"/>
                <c:pt idx="0">
                  <c:v>5337.8599834530414</c:v>
                </c:pt>
                <c:pt idx="1">
                  <c:v>10635.213722550718</c:v>
                </c:pt>
                <c:pt idx="2">
                  <c:v>15892.601184708477</c:v>
                </c:pt>
                <c:pt idx="3">
                  <c:v>21110.55207449153</c:v>
                </c:pt>
                <c:pt idx="4">
                  <c:v>26289.58608625942</c:v>
                </c:pt>
                <c:pt idx="5">
                  <c:v>31430.213149191033</c:v>
                </c:pt>
                <c:pt idx="6">
                  <c:v>36532.933664959797</c:v>
                </c:pt>
                <c:pt idx="7">
                  <c:v>41598.238738319917</c:v>
                </c:pt>
                <c:pt idx="8">
                  <c:v>46626.610400853031</c:v>
                </c:pt>
                <c:pt idx="9">
                  <c:v>51618.521828118544</c:v>
                </c:pt>
                <c:pt idx="10">
                  <c:v>56574.437550431008</c:v>
                </c:pt>
                <c:pt idx="11">
                  <c:v>61494.813657491432</c:v>
                </c:pt>
                <c:pt idx="12">
                  <c:v>66380.097997082339</c:v>
                </c:pt>
                <c:pt idx="13">
                  <c:v>71230.730368030068</c:v>
                </c:pt>
                <c:pt idx="14">
                  <c:v>76047.142707627907</c:v>
                </c:pt>
                <c:pt idx="15">
                  <c:v>80829.759273713717</c:v>
                </c:pt>
                <c:pt idx="16">
                  <c:v>85578.996821573106</c:v>
                </c:pt>
                <c:pt idx="17">
                  <c:v>90295.264775854594</c:v>
                </c:pt>
                <c:pt idx="18">
                  <c:v>94978.965397647946</c:v>
                </c:pt>
                <c:pt idx="19">
                  <c:v>99630.493946900606</c:v>
                </c:pt>
                <c:pt idx="20">
                  <c:v>104250.23884031737</c:v>
                </c:pt>
                <c:pt idx="21">
                  <c:v>108838.58180489393</c:v>
                </c:pt>
                <c:pt idx="22">
                  <c:v>113395.89802722905</c:v>
                </c:pt>
                <c:pt idx="23">
                  <c:v>117922.55629874914</c:v>
                </c:pt>
                <c:pt idx="24">
                  <c:v>122418.91915698122</c:v>
                </c:pt>
                <c:pt idx="25">
                  <c:v>126885.34302299759</c:v>
                </c:pt>
                <c:pt idx="26">
                  <c:v>131322.17833515958</c:v>
                </c:pt>
                <c:pt idx="27">
                  <c:v>135729.76967927342</c:v>
                </c:pt>
                <c:pt idx="28">
                  <c:v>140108.45591527323</c:v>
                </c:pt>
                <c:pt idx="29">
                  <c:v>144458.57030054598</c:v>
                </c:pt>
                <c:pt idx="30">
                  <c:v>148780.44060999496</c:v>
                </c:pt>
                <c:pt idx="31">
                  <c:v>153074.38925294904</c:v>
                </c:pt>
                <c:pt idx="32">
                  <c:v>157340.73338701771</c:v>
                </c:pt>
                <c:pt idx="33">
                  <c:v>161579.78502897974</c:v>
                </c:pt>
                <c:pt idx="34">
                  <c:v>165791.85116280272</c:v>
                </c:pt>
                <c:pt idx="35">
                  <c:v>170644.09835148463</c:v>
                </c:pt>
                <c:pt idx="36">
                  <c:v>175460.90841741636</c:v>
                </c:pt>
                <c:pt idx="37">
                  <c:v>180242.73609641616</c:v>
                </c:pt>
                <c:pt idx="38">
                  <c:v>184990.02780267669</c:v>
                </c:pt>
                <c:pt idx="39">
                  <c:v>189055.42271100107</c:v>
                </c:pt>
                <c:pt idx="40">
                  <c:v>193095.75015619418</c:v>
                </c:pt>
                <c:pt idx="41">
                  <c:v>197111.28195723804</c:v>
                </c:pt>
                <c:pt idx="42">
                  <c:v>201102.28572613787</c:v>
                </c:pt>
                <c:pt idx="43">
                  <c:v>205069.02495234559</c:v>
                </c:pt>
                <c:pt idx="44">
                  <c:v>209011.75908510594</c:v>
                </c:pt>
                <c:pt idx="45">
                  <c:v>212930.74361378362</c:v>
                </c:pt>
                <c:pt idx="46">
                  <c:v>216826.23014623381</c:v>
                </c:pt>
                <c:pt idx="47">
                  <c:v>220698.46648526614</c:v>
                </c:pt>
                <c:pt idx="48">
                  <c:v>224547.6967032649</c:v>
                </c:pt>
                <c:pt idx="49">
                  <c:v>228374.16121501286</c:v>
                </c:pt>
                <c:pt idx="50">
                  <c:v>232178.09684876766</c:v>
                </c:pt>
                <c:pt idx="51">
                  <c:v>235959.73691564874</c:v>
                </c:pt>
                <c:pt idx="52">
                  <c:v>239719.31127737579</c:v>
                </c:pt>
                <c:pt idx="53">
                  <c:v>243457.0464124034</c:v>
                </c:pt>
                <c:pt idx="54">
                  <c:v>247173.16548050562</c:v>
                </c:pt>
                <c:pt idx="55">
                  <c:v>250867.88838584229</c:v>
                </c:pt>
                <c:pt idx="56">
                  <c:v>254541.43183855992</c:v>
                </c:pt>
                <c:pt idx="57">
                  <c:v>258194.00941495819</c:v>
                </c:pt>
                <c:pt idx="58">
                  <c:v>261825.83161626881</c:v>
                </c:pt>
                <c:pt idx="59">
                  <c:v>265437.10592608119</c:v>
                </c:pt>
                <c:pt idx="60">
                  <c:v>269028.03686644981</c:v>
                </c:pt>
                <c:pt idx="61">
                  <c:v>272598.82605272526</c:v>
                </c:pt>
                <c:pt idx="62">
                  <c:v>276149.67224713636</c:v>
                </c:pt>
                <c:pt idx="63">
                  <c:v>279680.77141116234</c:v>
                </c:pt>
                <c:pt idx="64">
                  <c:v>283192.31675672519</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1-D256-47AD-9EE2-1744DFE2B832}"/>
            </c:ext>
          </c:extLst>
        </c:ser>
        <c:ser>
          <c:idx val="2"/>
          <c:order val="2"/>
          <c:spPr>
            <a:ln w="12700">
              <a:solidFill>
                <a:srgbClr val="000080"/>
              </a:solidFill>
              <a:prstDash val="solid"/>
            </a:ln>
          </c:spPr>
          <c:marker>
            <c:symbol val="diamond"/>
            <c:size val="5"/>
            <c:spPr>
              <a:solidFill>
                <a:srgbClr val="000080"/>
              </a:solidFill>
              <a:ln>
                <a:solidFill>
                  <a:srgbClr val="000080"/>
                </a:solidFill>
                <a:prstDash val="solid"/>
              </a:ln>
            </c:spPr>
          </c:marker>
          <c:cat>
            <c:numRef>
              <c:f>delta!$A$9:$A$54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2-D256-47AD-9EE2-1744DFE2B832}"/>
            </c:ext>
          </c:extLst>
        </c:ser>
        <c:dLbls>
          <c:showLegendKey val="0"/>
          <c:showVal val="0"/>
          <c:showCatName val="0"/>
          <c:showSerName val="0"/>
          <c:showPercent val="0"/>
          <c:showBubbleSize val="0"/>
        </c:dLbls>
        <c:smooth val="0"/>
        <c:axId val="174883968"/>
        <c:axId val="174899200"/>
      </c:lineChart>
      <c:catAx>
        <c:axId val="17488396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899200"/>
        <c:crosses val="autoZero"/>
        <c:auto val="0"/>
        <c:lblAlgn val="ctr"/>
        <c:lblOffset val="100"/>
        <c:tickLblSkip val="192"/>
        <c:tickMarkSkip val="1"/>
        <c:noMultiLvlLbl val="0"/>
      </c:catAx>
      <c:valAx>
        <c:axId val="174899200"/>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883968"/>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model fit and validated forecast</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'Sparklehorse (SH)'!$A$2:$A$47</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4488-4607-ABFD-8DAF971605D2}"/>
            </c:ext>
          </c:extLst>
        </c:ser>
        <c:ser>
          <c:idx val="1"/>
          <c:order val="1"/>
          <c:spPr>
            <a:ln w="25400">
              <a:solidFill>
                <a:srgbClr val="FF00FF"/>
              </a:solidFill>
              <a:prstDash val="solid"/>
            </a:ln>
          </c:spPr>
          <c:marker>
            <c:symbol val="none"/>
          </c:marker>
          <c:cat>
            <c:numRef>
              <c:f>'Sparklehorse (SH)'!$A$2:$A$47</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7344.335729028825</c:v>
                </c:pt>
                <c:pt idx="1">
                  <c:v>14436.551199097725</c:v>
                </c:pt>
                <c:pt idx="2">
                  <c:v>21285.301328408012</c:v>
                </c:pt>
                <c:pt idx="3">
                  <c:v>27898.943924530697</c:v>
                </c:pt>
                <c:pt idx="4">
                  <c:v>34285.549883777916</c:v>
                </c:pt>
                <c:pt idx="5">
                  <c:v>40452.913040445157</c:v>
                </c:pt>
                <c:pt idx="6">
                  <c:v>46408.559677943333</c:v>
                </c:pt>
                <c:pt idx="7">
                  <c:v>52159.757713427702</c:v>
                </c:pt>
                <c:pt idx="8">
                  <c:v>57713.525567131976</c:v>
                </c:pt>
                <c:pt idx="9">
                  <c:v>63076.64072723117</c:v>
                </c:pt>
                <c:pt idx="10">
                  <c:v>68255.648020685359</c:v>
                </c:pt>
                <c:pt idx="11">
                  <c:v>73256.86760015742</c:v>
                </c:pt>
                <c:pt idx="12">
                  <c:v>78086.402656751801</c:v>
                </c:pt>
                <c:pt idx="13">
                  <c:v>82750.146867985968</c:v>
                </c:pt>
                <c:pt idx="14">
                  <c:v>87253.791590084365</c:v>
                </c:pt>
                <c:pt idx="15">
                  <c:v>91602.832803371042</c:v>
                </c:pt>
                <c:pt idx="16">
                  <c:v>95802.577819237515</c:v>
                </c:pt>
                <c:pt idx="17">
                  <c:v>99858.151756870066</c:v>
                </c:pt>
                <c:pt idx="18">
                  <c:v>103774.50379764057</c:v>
                </c:pt>
                <c:pt idx="19">
                  <c:v>107556.41322479326</c:v>
                </c:pt>
                <c:pt idx="20">
                  <c:v>111208.4952557979</c:v>
                </c:pt>
                <c:pt idx="21">
                  <c:v>114735.20667448692</c:v>
                </c:pt>
                <c:pt idx="22">
                  <c:v>118140.85126984945</c:v>
                </c:pt>
                <c:pt idx="23">
                  <c:v>121429.58508811954</c:v>
                </c:pt>
                <c:pt idx="24">
                  <c:v>124605.42150456809</c:v>
                </c:pt>
                <c:pt idx="25">
                  <c:v>127672.23612118732</c:v>
                </c:pt>
                <c:pt idx="26">
                  <c:v>130633.77149624519</c:v>
                </c:pt>
                <c:pt idx="27">
                  <c:v>133493.641711481</c:v>
                </c:pt>
                <c:pt idx="28">
                  <c:v>136255.33678251592</c:v>
                </c:pt>
                <c:pt idx="29">
                  <c:v>138922.22691786065</c:v>
                </c:pt>
                <c:pt idx="30">
                  <c:v>141497.56663171755</c:v>
                </c:pt>
                <c:pt idx="31">
                  <c:v>143984.49871559627</c:v>
                </c:pt>
                <c:pt idx="32">
                  <c:v>146386.05807358978</c:v>
                </c:pt>
                <c:pt idx="33">
                  <c:v>148705.17542599089</c:v>
                </c:pt>
                <c:pt idx="34">
                  <c:v>150944.68088576914</c:v>
                </c:pt>
                <c:pt idx="35">
                  <c:v>153128.47144011562</c:v>
                </c:pt>
                <c:pt idx="36">
                  <c:v>155236.56203205764</c:v>
                </c:pt>
                <c:pt idx="37">
                  <c:v>157271.57676137282</c:v>
                </c:pt>
                <c:pt idx="38">
                  <c:v>159236.04876478645</c:v>
                </c:pt>
                <c:pt idx="39">
                  <c:v>161114.04480952566</c:v>
                </c:pt>
                <c:pt idx="40">
                  <c:v>162927.57200825959</c:v>
                </c:pt>
                <c:pt idx="41">
                  <c:v>164678.8434817864</c:v>
                </c:pt>
                <c:pt idx="42">
                  <c:v>166369.99637771747</c:v>
                </c:pt>
                <c:pt idx="43">
                  <c:v>168003.09447852554</c:v>
                </c:pt>
                <c:pt idx="44">
                  <c:v>169580.13072006224</c:v>
                </c:pt>
                <c:pt idx="45">
                  <c:v>171103.02962361835</c:v>
                </c:pt>
                <c:pt idx="46">
                  <c:v>172573.64964449525</c:v>
                </c:pt>
                <c:pt idx="47">
                  <c:v>173993.78543995344</c:v>
                </c:pt>
                <c:pt idx="48">
                  <c:v>175365.17005930538</c:v>
                </c:pt>
                <c:pt idx="49">
                  <c:v>176689.47705882601</c:v>
                </c:pt>
                <c:pt idx="50">
                  <c:v>177968.32254406132</c:v>
                </c:pt>
                <c:pt idx="51">
                  <c:v>179203.26714202741</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4488-4607-ABFD-8DAF971605D2}"/>
            </c:ext>
          </c:extLst>
        </c:ser>
        <c:ser>
          <c:idx val="2"/>
          <c:order val="2"/>
          <c:spPr>
            <a:ln w="25400">
              <a:solidFill>
                <a:srgbClr val="008000"/>
              </a:solidFill>
              <a:prstDash val="solid"/>
            </a:ln>
          </c:spPr>
          <c:marker>
            <c:symbol val="none"/>
          </c:marker>
          <c:cat>
            <c:numRef>
              <c:f>'Sparklehorse (SH)'!$A$2:$A$47</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8499.3219409211779</c:v>
                </c:pt>
                <c:pt idx="1">
                  <c:v>16404.804123137495</c:v>
                </c:pt>
                <c:pt idx="2">
                  <c:v>23792.754684577423</c:v>
                </c:pt>
                <c:pt idx="3">
                  <c:v>30725.730351800816</c:v>
                </c:pt>
                <c:pt idx="4">
                  <c:v>37255.646350869756</c:v>
                </c:pt>
                <c:pt idx="5">
                  <c:v>43426.055223524942</c:v>
                </c:pt>
                <c:pt idx="6">
                  <c:v>49273.847370987503</c:v>
                </c:pt>
                <c:pt idx="7">
                  <c:v>54830.540786694248</c:v>
                </c:pt>
                <c:pt idx="8">
                  <c:v>60123.273491882399</c:v>
                </c:pt>
                <c:pt idx="9">
                  <c:v>65175.577222763903</c:v>
                </c:pt>
                <c:pt idx="10">
                  <c:v>70007.987739005519</c:v>
                </c:pt>
                <c:pt idx="11">
                  <c:v>74638.53144247079</c:v>
                </c:pt>
                <c:pt idx="12">
                  <c:v>79083.117190512858</c:v>
                </c:pt>
                <c:pt idx="13">
                  <c:v>83355.854617961581</c:v>
                </c:pt>
                <c:pt idx="14">
                  <c:v>87469.314896583499</c:v>
                </c:pt>
                <c:pt idx="15">
                  <c:v>91434.745975696569</c:v>
                </c:pt>
                <c:pt idx="16">
                  <c:v>95262.251508608126</c:v>
                </c:pt>
                <c:pt idx="17">
                  <c:v>98960.940570115621</c:v>
                </c:pt>
                <c:pt idx="18">
                  <c:v>102539.05370062744</c:v>
                </c:pt>
                <c:pt idx="19">
                  <c:v>106004.06962679887</c:v>
                </c:pt>
                <c:pt idx="20">
                  <c:v>109362.7961043987</c:v>
                </c:pt>
                <c:pt idx="21">
                  <c:v>112621.44763344251</c:v>
                </c:pt>
                <c:pt idx="22">
                  <c:v>115785.71225590339</c:v>
                </c:pt>
                <c:pt idx="23">
                  <c:v>118860.80922427788</c:v>
                </c:pt>
                <c:pt idx="24">
                  <c:v>121851.53899685852</c:v>
                </c:pt>
                <c:pt idx="25">
                  <c:v>124762.32675190546</c:v>
                </c:pt>
                <c:pt idx="26">
                  <c:v>127597.26040240616</c:v>
                </c:pt>
                <c:pt idx="27">
                  <c:v>130360.12392403407</c:v>
                </c:pt>
                <c:pt idx="28">
                  <c:v>133054.42667229407</c:v>
                </c:pt>
                <c:pt idx="29">
                  <c:v>135683.42925384446</c:v>
                </c:pt>
                <c:pt idx="30">
                  <c:v>138250.16642633482</c:v>
                </c:pt>
                <c:pt idx="31">
                  <c:v>140757.46742667383</c:v>
                </c:pt>
                <c:pt idx="32">
                  <c:v>143207.97406628681</c:v>
                </c:pt>
                <c:pt idx="33">
                  <c:v>145604.15688106132</c:v>
                </c:pt>
                <c:pt idx="34">
                  <c:v>147948.3295813876</c:v>
                </c:pt>
                <c:pt idx="35">
                  <c:v>154519.3973396708</c:v>
                </c:pt>
                <c:pt idx="36">
                  <c:v>160712.39594842569</c:v>
                </c:pt>
                <c:pt idx="37">
                  <c:v>166567.77713775184</c:v>
                </c:pt>
                <c:pt idx="38">
                  <c:v>172119.86247883536</c:v>
                </c:pt>
                <c:pt idx="39">
                  <c:v>173955.8060925912</c:v>
                </c:pt>
                <c:pt idx="40">
                  <c:v>175760.75892452724</c:v>
                </c:pt>
                <c:pt idx="41">
                  <c:v>177535.73104752653</c:v>
                </c:pt>
                <c:pt idx="42">
                  <c:v>179281.68424125924</c:v>
                </c:pt>
                <c:pt idx="43">
                  <c:v>180999.53501339117</c:v>
                </c:pt>
                <c:pt idx="44">
                  <c:v>182690.15738858763</c:v>
                </c:pt>
                <c:pt idx="45">
                  <c:v>184354.38548637839</c:v>
                </c:pt>
                <c:pt idx="46">
                  <c:v>185993.01590675808</c:v>
                </c:pt>
                <c:pt idx="47">
                  <c:v>187606.80994045688</c:v>
                </c:pt>
                <c:pt idx="48">
                  <c:v>189196.49561910034</c:v>
                </c:pt>
                <c:pt idx="49">
                  <c:v>190762.76961896522</c:v>
                </c:pt>
                <c:pt idx="50">
                  <c:v>192306.29903068152</c:v>
                </c:pt>
                <c:pt idx="51">
                  <c:v>193827.72300604312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4488-4607-ABFD-8DAF971605D2}"/>
            </c:ext>
          </c:extLst>
        </c:ser>
        <c:dLbls>
          <c:showLegendKey val="0"/>
          <c:showVal val="0"/>
          <c:showCatName val="0"/>
          <c:showSerName val="0"/>
          <c:showPercent val="0"/>
          <c:showBubbleSize val="0"/>
        </c:dLbls>
        <c:marker val="1"/>
        <c:smooth val="0"/>
        <c:axId val="175063424"/>
        <c:axId val="175065344"/>
      </c:lineChart>
      <c:catAx>
        <c:axId val="17506342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65344"/>
        <c:crosses val="autoZero"/>
        <c:auto val="0"/>
        <c:lblAlgn val="ctr"/>
        <c:lblOffset val="100"/>
        <c:tickLblSkip val="153"/>
        <c:tickMarkSkip val="1"/>
        <c:noMultiLvlLbl val="0"/>
      </c:catAx>
      <c:valAx>
        <c:axId val="175065344"/>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63424"/>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early projections</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delta!$A$9:$A$54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7B45-487B-A51D-AD27D8909523}"/>
            </c:ext>
          </c:extLst>
        </c:ser>
        <c:ser>
          <c:idx val="1"/>
          <c:order val="1"/>
          <c:spPr>
            <a:ln w="25400">
              <a:solidFill>
                <a:srgbClr val="FF00FF"/>
              </a:solidFill>
              <a:prstDash val="solid"/>
            </a:ln>
          </c:spPr>
          <c:marker>
            <c:symbol val="none"/>
          </c:marker>
          <c:cat>
            <c:numRef>
              <c:f>delta!$A$9:$A$54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6205.5970060675982</c:v>
                </c:pt>
                <c:pt idx="1">
                  <c:v>12398.357534068038</c:v>
                </c:pt>
                <c:pt idx="2">
                  <c:v>18578.30813667105</c:v>
                </c:pt>
                <c:pt idx="3">
                  <c:v>24745.475311621969</c:v>
                </c:pt>
                <c:pt idx="4">
                  <c:v>30899.885501853631</c:v>
                </c:pt>
                <c:pt idx="5">
                  <c:v>37041.565095601967</c:v>
                </c:pt>
                <c:pt idx="6">
                  <c:v>43170.540426517247</c:v>
                </c:pt>
                <c:pt idx="7">
                  <c:v>49286.837773777959</c:v>
                </c:pt>
                <c:pt idx="8">
                  <c:v>55390.483362203093</c:v>
                </c:pt>
                <c:pt idx="9">
                  <c:v>61481.503362365023</c:v>
                </c:pt>
                <c:pt idx="10">
                  <c:v>67559.923890701422</c:v>
                </c:pt>
                <c:pt idx="11">
                  <c:v>73625.771009626857</c:v>
                </c:pt>
                <c:pt idx="12">
                  <c:v>79679.070727645681</c:v>
                </c:pt>
                <c:pt idx="13">
                  <c:v>85719.848999461945</c:v>
                </c:pt>
                <c:pt idx="14">
                  <c:v>91748.13172609231</c:v>
                </c:pt>
                <c:pt idx="15">
                  <c:v>97763.944754976299</c:v>
                </c:pt>
                <c:pt idx="16">
                  <c:v>103767.31388008619</c:v>
                </c:pt>
                <c:pt idx="17">
                  <c:v>109758.26484203999</c:v>
                </c:pt>
                <c:pt idx="18">
                  <c:v>115736.82332820923</c:v>
                </c:pt>
                <c:pt idx="19">
                  <c:v>121703.01497283098</c:v>
                </c:pt>
                <c:pt idx="20">
                  <c:v>127656.86535711707</c:v>
                </c:pt>
                <c:pt idx="21">
                  <c:v>133598.40000936363</c:v>
                </c:pt>
                <c:pt idx="22">
                  <c:v>139527.64440506004</c:v>
                </c:pt>
                <c:pt idx="23">
                  <c:v>145444.62396699988</c:v>
                </c:pt>
                <c:pt idx="24">
                  <c:v>151349.36406538801</c:v>
                </c:pt>
                <c:pt idx="25">
                  <c:v>157241.89001795073</c:v>
                </c:pt>
                <c:pt idx="26">
                  <c:v>163122.22709004386</c:v>
                </c:pt>
                <c:pt idx="27">
                  <c:v>168990.40049476034</c:v>
                </c:pt>
                <c:pt idx="28">
                  <c:v>174846.43539304013</c:v>
                </c:pt>
                <c:pt idx="29">
                  <c:v>180690.35689377555</c:v>
                </c:pt>
                <c:pt idx="30">
                  <c:v>186522.19005392145</c:v>
                </c:pt>
                <c:pt idx="31">
                  <c:v>192341.95987860113</c:v>
                </c:pt>
                <c:pt idx="32">
                  <c:v>198149.69132121396</c:v>
                </c:pt>
                <c:pt idx="33">
                  <c:v>203945.40928354289</c:v>
                </c:pt>
                <c:pt idx="34">
                  <c:v>209729.1386158604</c:v>
                </c:pt>
                <c:pt idx="35">
                  <c:v>215500.90411703481</c:v>
                </c:pt>
                <c:pt idx="36">
                  <c:v>221260.73053463778</c:v>
                </c:pt>
                <c:pt idx="37">
                  <c:v>227008.64256505028</c:v>
                </c:pt>
                <c:pt idx="38">
                  <c:v>232744.6648535667</c:v>
                </c:pt>
                <c:pt idx="39">
                  <c:v>238468.82199450338</c:v>
                </c:pt>
                <c:pt idx="40">
                  <c:v>244181.1385313012</c:v>
                </c:pt>
                <c:pt idx="41">
                  <c:v>249881.63895663273</c:v>
                </c:pt>
                <c:pt idx="42">
                  <c:v>255570.34771250674</c:v>
                </c:pt>
                <c:pt idx="43">
                  <c:v>261247.28919037309</c:v>
                </c:pt>
                <c:pt idx="44">
                  <c:v>266912.48773122631</c:v>
                </c:pt>
                <c:pt idx="45">
                  <c:v>272565.96762571164</c:v>
                </c:pt>
                <c:pt idx="46">
                  <c:v>278207.75311422796</c:v>
                </c:pt>
                <c:pt idx="47">
                  <c:v>283837.86838703218</c:v>
                </c:pt>
                <c:pt idx="48">
                  <c:v>289456.33758434275</c:v>
                </c:pt>
                <c:pt idx="49">
                  <c:v>295063.18479644344</c:v>
                </c:pt>
                <c:pt idx="50">
                  <c:v>300658.43406378658</c:v>
                </c:pt>
                <c:pt idx="51">
                  <c:v>306242.10937709583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7B45-487B-A51D-AD27D8909523}"/>
            </c:ext>
          </c:extLst>
        </c:ser>
        <c:ser>
          <c:idx val="2"/>
          <c:order val="2"/>
          <c:spPr>
            <a:ln w="25400">
              <a:solidFill>
                <a:srgbClr val="008000"/>
              </a:solidFill>
              <a:prstDash val="solid"/>
            </a:ln>
          </c:spPr>
          <c:marker>
            <c:symbol val="none"/>
          </c:marker>
          <c:cat>
            <c:numRef>
              <c:f>delta!$A$9:$A$54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6236.3185158423876</c:v>
                </c:pt>
                <c:pt idx="1">
                  <c:v>12456.105476353119</c:v>
                </c:pt>
                <c:pt idx="2">
                  <c:v>18659.414150744902</c:v>
                </c:pt>
                <c:pt idx="3">
                  <c:v>24846.297606183398</c:v>
                </c:pt>
                <c:pt idx="4">
                  <c:v>31016.80870865786</c:v>
                </c:pt>
                <c:pt idx="5">
                  <c:v>37171.000123869424</c:v>
                </c:pt>
                <c:pt idx="6">
                  <c:v>43308.924318095407</c:v>
                </c:pt>
                <c:pt idx="7">
                  <c:v>49430.63355905997</c:v>
                </c:pt>
                <c:pt idx="8">
                  <c:v>55536.179916802372</c:v>
                </c:pt>
                <c:pt idx="9">
                  <c:v>61625.615264532033</c:v>
                </c:pt>
                <c:pt idx="10">
                  <c:v>67698.991279486756</c:v>
                </c:pt>
                <c:pt idx="11">
                  <c:v>73756.359443787107</c:v>
                </c:pt>
                <c:pt idx="12">
                  <c:v>79797.771045275076</c:v>
                </c:pt>
                <c:pt idx="13">
                  <c:v>85823.277178370685</c:v>
                </c:pt>
                <c:pt idx="14">
                  <c:v>91832.928744896344</c:v>
                </c:pt>
                <c:pt idx="15">
                  <c:v>97826.776454923878</c:v>
                </c:pt>
                <c:pt idx="16">
                  <c:v>103804.87082759848</c:v>
                </c:pt>
                <c:pt idx="17">
                  <c:v>109767.26219197208</c:v>
                </c:pt>
                <c:pt idx="18">
                  <c:v>115714.00068781502</c:v>
                </c:pt>
                <c:pt idx="19">
                  <c:v>121645.13626644868</c:v>
                </c:pt>
                <c:pt idx="20">
                  <c:v>127560.71869154894</c:v>
                </c:pt>
                <c:pt idx="21">
                  <c:v>133460.79753996443</c:v>
                </c:pt>
                <c:pt idx="22">
                  <c:v>139345.42220251821</c:v>
                </c:pt>
                <c:pt idx="23">
                  <c:v>145214.64188481527</c:v>
                </c:pt>
                <c:pt idx="24">
                  <c:v>151068.50560803665</c:v>
                </c:pt>
                <c:pt idx="25">
                  <c:v>156907.06220974037</c:v>
                </c:pt>
                <c:pt idx="26">
                  <c:v>162730.36034464737</c:v>
                </c:pt>
                <c:pt idx="27">
                  <c:v>168538.44848542986</c:v>
                </c:pt>
                <c:pt idx="28">
                  <c:v>174331.37492349805</c:v>
                </c:pt>
                <c:pt idx="29">
                  <c:v>180109.18776977746</c:v>
                </c:pt>
                <c:pt idx="30">
                  <c:v>185871.93495548383</c:v>
                </c:pt>
                <c:pt idx="31">
                  <c:v>191619.66423289722</c:v>
                </c:pt>
                <c:pt idx="32">
                  <c:v>197352.42317613267</c:v>
                </c:pt>
                <c:pt idx="33">
                  <c:v>203070.25918189669</c:v>
                </c:pt>
                <c:pt idx="34">
                  <c:v>208773.21947025752</c:v>
                </c:pt>
                <c:pt idx="35">
                  <c:v>214461.35108539666</c:v>
                </c:pt>
                <c:pt idx="36">
                  <c:v>220134.70089636612</c:v>
                </c:pt>
                <c:pt idx="37">
                  <c:v>225793.31559783532</c:v>
                </c:pt>
                <c:pt idx="38">
                  <c:v>231437.24171083735</c:v>
                </c:pt>
                <c:pt idx="39">
                  <c:v>237066.52558351649</c:v>
                </c:pt>
                <c:pt idx="40">
                  <c:v>242681.21339185978</c:v>
                </c:pt>
                <c:pt idx="41">
                  <c:v>248281.35114044035</c:v>
                </c:pt>
                <c:pt idx="42">
                  <c:v>253866.98466314361</c:v>
                </c:pt>
                <c:pt idx="43">
                  <c:v>259438.15962389749</c:v>
                </c:pt>
                <c:pt idx="44">
                  <c:v>264994.92151739931</c:v>
                </c:pt>
                <c:pt idx="45">
                  <c:v>270537.31566983397</c:v>
                </c:pt>
                <c:pt idx="46">
                  <c:v>276065.38723959605</c:v>
                </c:pt>
                <c:pt idx="47">
                  <c:v>281579.18121799931</c:v>
                </c:pt>
                <c:pt idx="48">
                  <c:v>287078.74242999242</c:v>
                </c:pt>
                <c:pt idx="49">
                  <c:v>292564.11553486239</c:v>
                </c:pt>
                <c:pt idx="50">
                  <c:v>298035.34502694273</c:v>
                </c:pt>
                <c:pt idx="51">
                  <c:v>303492.47523631272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7B45-487B-A51D-AD27D8909523}"/>
            </c:ext>
          </c:extLst>
        </c:ser>
        <c:dLbls>
          <c:showLegendKey val="0"/>
          <c:showVal val="0"/>
          <c:showCatName val="0"/>
          <c:showSerName val="0"/>
          <c:showPercent val="0"/>
          <c:showBubbleSize val="0"/>
        </c:dLbls>
        <c:marker val="1"/>
        <c:smooth val="0"/>
        <c:axId val="175012480"/>
        <c:axId val="175014656"/>
      </c:lineChart>
      <c:catAx>
        <c:axId val="17501248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14656"/>
        <c:crosses val="autoZero"/>
        <c:auto val="0"/>
        <c:lblAlgn val="ctr"/>
        <c:lblOffset val="100"/>
        <c:tickLblSkip val="153"/>
        <c:tickMarkSkip val="1"/>
        <c:noMultiLvlLbl val="0"/>
      </c:catAx>
      <c:valAx>
        <c:axId val="17501465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1248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model fit and validated forecast</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delta!$A$9:$A$54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6CFE-4038-9ECA-55644D2918C9}"/>
            </c:ext>
          </c:extLst>
        </c:ser>
        <c:ser>
          <c:idx val="1"/>
          <c:order val="1"/>
          <c:spPr>
            <a:ln w="25400">
              <a:solidFill>
                <a:srgbClr val="FF00FF"/>
              </a:solidFill>
              <a:prstDash val="solid"/>
            </a:ln>
          </c:spPr>
          <c:marker>
            <c:symbol val="none"/>
          </c:marker>
          <c:cat>
            <c:numRef>
              <c:f>delta!$A$9:$A$54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7344.335729028825</c:v>
                </c:pt>
                <c:pt idx="1">
                  <c:v>14436.551199097725</c:v>
                </c:pt>
                <c:pt idx="2">
                  <c:v>21285.301328408012</c:v>
                </c:pt>
                <c:pt idx="3">
                  <c:v>27898.943924530697</c:v>
                </c:pt>
                <c:pt idx="4">
                  <c:v>34285.549883777916</c:v>
                </c:pt>
                <c:pt idx="5">
                  <c:v>40452.913040445157</c:v>
                </c:pt>
                <c:pt idx="6">
                  <c:v>46408.559677943333</c:v>
                </c:pt>
                <c:pt idx="7">
                  <c:v>52159.757713427702</c:v>
                </c:pt>
                <c:pt idx="8">
                  <c:v>57713.525567131976</c:v>
                </c:pt>
                <c:pt idx="9">
                  <c:v>63076.64072723117</c:v>
                </c:pt>
                <c:pt idx="10">
                  <c:v>68255.648020685359</c:v>
                </c:pt>
                <c:pt idx="11">
                  <c:v>73256.86760015742</c:v>
                </c:pt>
                <c:pt idx="12">
                  <c:v>78086.402656751801</c:v>
                </c:pt>
                <c:pt idx="13">
                  <c:v>82750.146867985968</c:v>
                </c:pt>
                <c:pt idx="14">
                  <c:v>87253.791590084365</c:v>
                </c:pt>
                <c:pt idx="15">
                  <c:v>91602.832803371042</c:v>
                </c:pt>
                <c:pt idx="16">
                  <c:v>95802.577819237515</c:v>
                </c:pt>
                <c:pt idx="17">
                  <c:v>99858.151756870066</c:v>
                </c:pt>
                <c:pt idx="18">
                  <c:v>103774.50379764057</c:v>
                </c:pt>
                <c:pt idx="19">
                  <c:v>107556.41322479326</c:v>
                </c:pt>
                <c:pt idx="20">
                  <c:v>111208.4952557979</c:v>
                </c:pt>
                <c:pt idx="21">
                  <c:v>114735.20667448692</c:v>
                </c:pt>
                <c:pt idx="22">
                  <c:v>118140.85126984945</c:v>
                </c:pt>
                <c:pt idx="23">
                  <c:v>121429.58508811954</c:v>
                </c:pt>
                <c:pt idx="24">
                  <c:v>124605.42150456809</c:v>
                </c:pt>
                <c:pt idx="25">
                  <c:v>127672.23612118732</c:v>
                </c:pt>
                <c:pt idx="26">
                  <c:v>130633.77149624519</c:v>
                </c:pt>
                <c:pt idx="27">
                  <c:v>133493.641711481</c:v>
                </c:pt>
                <c:pt idx="28">
                  <c:v>136255.33678251592</c:v>
                </c:pt>
                <c:pt idx="29">
                  <c:v>138922.22691786065</c:v>
                </c:pt>
                <c:pt idx="30">
                  <c:v>141497.56663171755</c:v>
                </c:pt>
                <c:pt idx="31">
                  <c:v>143984.49871559627</c:v>
                </c:pt>
                <c:pt idx="32">
                  <c:v>146386.05807358978</c:v>
                </c:pt>
                <c:pt idx="33">
                  <c:v>148705.17542599089</c:v>
                </c:pt>
                <c:pt idx="34">
                  <c:v>150944.68088576914</c:v>
                </c:pt>
                <c:pt idx="35">
                  <c:v>153128.47144011562</c:v>
                </c:pt>
                <c:pt idx="36">
                  <c:v>155236.56203205764</c:v>
                </c:pt>
                <c:pt idx="37">
                  <c:v>157271.57676137282</c:v>
                </c:pt>
                <c:pt idx="38">
                  <c:v>159236.04876478645</c:v>
                </c:pt>
                <c:pt idx="39">
                  <c:v>161114.04480952566</c:v>
                </c:pt>
                <c:pt idx="40">
                  <c:v>162927.57200825959</c:v>
                </c:pt>
                <c:pt idx="41">
                  <c:v>164678.8434817864</c:v>
                </c:pt>
                <c:pt idx="42">
                  <c:v>166369.99637771747</c:v>
                </c:pt>
                <c:pt idx="43">
                  <c:v>168003.09447852554</c:v>
                </c:pt>
                <c:pt idx="44">
                  <c:v>169580.13072006224</c:v>
                </c:pt>
                <c:pt idx="45">
                  <c:v>171103.02962361835</c:v>
                </c:pt>
                <c:pt idx="46">
                  <c:v>172573.64964449525</c:v>
                </c:pt>
                <c:pt idx="47">
                  <c:v>173993.78543995344</c:v>
                </c:pt>
                <c:pt idx="48">
                  <c:v>175365.17005930538</c:v>
                </c:pt>
                <c:pt idx="49">
                  <c:v>176689.47705882601</c:v>
                </c:pt>
                <c:pt idx="50">
                  <c:v>177968.32254406132</c:v>
                </c:pt>
                <c:pt idx="51">
                  <c:v>179203.26714202741</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6CFE-4038-9ECA-55644D2918C9}"/>
            </c:ext>
          </c:extLst>
        </c:ser>
        <c:ser>
          <c:idx val="2"/>
          <c:order val="2"/>
          <c:spPr>
            <a:ln w="25400">
              <a:solidFill>
                <a:srgbClr val="008000"/>
              </a:solidFill>
              <a:prstDash val="solid"/>
            </a:ln>
          </c:spPr>
          <c:marker>
            <c:symbol val="none"/>
          </c:marker>
          <c:cat>
            <c:numRef>
              <c:f>delta!$A$9:$A$54</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8499.3219409211779</c:v>
                </c:pt>
                <c:pt idx="1">
                  <c:v>16404.804123137495</c:v>
                </c:pt>
                <c:pt idx="2">
                  <c:v>23792.754684577423</c:v>
                </c:pt>
                <c:pt idx="3">
                  <c:v>30725.730351800816</c:v>
                </c:pt>
                <c:pt idx="4">
                  <c:v>37255.646350869756</c:v>
                </c:pt>
                <c:pt idx="5">
                  <c:v>43426.055223524942</c:v>
                </c:pt>
                <c:pt idx="6">
                  <c:v>49273.847370987503</c:v>
                </c:pt>
                <c:pt idx="7">
                  <c:v>54830.540786694248</c:v>
                </c:pt>
                <c:pt idx="8">
                  <c:v>60123.273491882399</c:v>
                </c:pt>
                <c:pt idx="9">
                  <c:v>65175.577222763903</c:v>
                </c:pt>
                <c:pt idx="10">
                  <c:v>70007.987739005519</c:v>
                </c:pt>
                <c:pt idx="11">
                  <c:v>74638.53144247079</c:v>
                </c:pt>
                <c:pt idx="12">
                  <c:v>79083.117190512858</c:v>
                </c:pt>
                <c:pt idx="13">
                  <c:v>83355.854617961581</c:v>
                </c:pt>
                <c:pt idx="14">
                  <c:v>87469.314896583499</c:v>
                </c:pt>
                <c:pt idx="15">
                  <c:v>91434.745975696569</c:v>
                </c:pt>
                <c:pt idx="16">
                  <c:v>95262.251508608126</c:v>
                </c:pt>
                <c:pt idx="17">
                  <c:v>98960.940570115621</c:v>
                </c:pt>
                <c:pt idx="18">
                  <c:v>102539.05370062744</c:v>
                </c:pt>
                <c:pt idx="19">
                  <c:v>106004.06962679887</c:v>
                </c:pt>
                <c:pt idx="20">
                  <c:v>109362.7961043987</c:v>
                </c:pt>
                <c:pt idx="21">
                  <c:v>112621.44763344251</c:v>
                </c:pt>
                <c:pt idx="22">
                  <c:v>115785.71225590339</c:v>
                </c:pt>
                <c:pt idx="23">
                  <c:v>118860.80922427788</c:v>
                </c:pt>
                <c:pt idx="24">
                  <c:v>121851.53899685852</c:v>
                </c:pt>
                <c:pt idx="25">
                  <c:v>124762.32675190546</c:v>
                </c:pt>
                <c:pt idx="26">
                  <c:v>127597.26040240616</c:v>
                </c:pt>
                <c:pt idx="27">
                  <c:v>130360.12392403407</c:v>
                </c:pt>
                <c:pt idx="28">
                  <c:v>133054.42667229407</c:v>
                </c:pt>
                <c:pt idx="29">
                  <c:v>135683.42925384446</c:v>
                </c:pt>
                <c:pt idx="30">
                  <c:v>138250.16642633482</c:v>
                </c:pt>
                <c:pt idx="31">
                  <c:v>140757.46742667383</c:v>
                </c:pt>
                <c:pt idx="32">
                  <c:v>143207.97406628681</c:v>
                </c:pt>
                <c:pt idx="33">
                  <c:v>145604.15688106132</c:v>
                </c:pt>
                <c:pt idx="34">
                  <c:v>147948.3295813876</c:v>
                </c:pt>
                <c:pt idx="35">
                  <c:v>154519.3973396708</c:v>
                </c:pt>
                <c:pt idx="36">
                  <c:v>160712.39594842569</c:v>
                </c:pt>
                <c:pt idx="37">
                  <c:v>166567.77713775184</c:v>
                </c:pt>
                <c:pt idx="38">
                  <c:v>172119.86247883536</c:v>
                </c:pt>
                <c:pt idx="39">
                  <c:v>173955.8060925912</c:v>
                </c:pt>
                <c:pt idx="40">
                  <c:v>175760.75892452724</c:v>
                </c:pt>
                <c:pt idx="41">
                  <c:v>177535.73104752653</c:v>
                </c:pt>
                <c:pt idx="42">
                  <c:v>179281.68424125924</c:v>
                </c:pt>
                <c:pt idx="43">
                  <c:v>180999.53501339117</c:v>
                </c:pt>
                <c:pt idx="44">
                  <c:v>182690.15738858763</c:v>
                </c:pt>
                <c:pt idx="45">
                  <c:v>184354.38548637839</c:v>
                </c:pt>
                <c:pt idx="46">
                  <c:v>185993.01590675808</c:v>
                </c:pt>
                <c:pt idx="47">
                  <c:v>187606.80994045688</c:v>
                </c:pt>
                <c:pt idx="48">
                  <c:v>189196.49561910034</c:v>
                </c:pt>
                <c:pt idx="49">
                  <c:v>190762.76961896522</c:v>
                </c:pt>
                <c:pt idx="50">
                  <c:v>192306.29903068152</c:v>
                </c:pt>
                <c:pt idx="51">
                  <c:v>193827.72300604312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6CFE-4038-9ECA-55644D2918C9}"/>
            </c:ext>
          </c:extLst>
        </c:ser>
        <c:dLbls>
          <c:showLegendKey val="0"/>
          <c:showVal val="0"/>
          <c:showCatName val="0"/>
          <c:showSerName val="0"/>
          <c:showPercent val="0"/>
          <c:showBubbleSize val="0"/>
        </c:dLbls>
        <c:marker val="1"/>
        <c:smooth val="0"/>
        <c:axId val="175063424"/>
        <c:axId val="175065344"/>
      </c:lineChart>
      <c:catAx>
        <c:axId val="17506342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65344"/>
        <c:crosses val="autoZero"/>
        <c:auto val="0"/>
        <c:lblAlgn val="ctr"/>
        <c:lblOffset val="100"/>
        <c:tickLblSkip val="153"/>
        <c:tickMarkSkip val="1"/>
        <c:noMultiLvlLbl val="0"/>
      </c:catAx>
      <c:valAx>
        <c:axId val="175065344"/>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63424"/>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Actual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delta!$A$9:$A$35</c:f>
              <c:numCache>
                <c:formatCode>m/d/yyyy</c:formatCode>
                <c:ptCount val="27"/>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delta!$D$9:$D$35</c:f>
              <c:numCache>
                <c:formatCode>General</c:formatCode>
                <c:ptCount val="27"/>
                <c:pt idx="0">
                  <c:v>74</c:v>
                </c:pt>
                <c:pt idx="1">
                  <c:v>68</c:v>
                </c:pt>
                <c:pt idx="2">
                  <c:v>85</c:v>
                </c:pt>
                <c:pt idx="3">
                  <c:v>86</c:v>
                </c:pt>
                <c:pt idx="4">
                  <c:v>96</c:v>
                </c:pt>
                <c:pt idx="5">
                  <c:v>107</c:v>
                </c:pt>
                <c:pt idx="6">
                  <c:v>85</c:v>
                </c:pt>
                <c:pt idx="7">
                  <c:v>74</c:v>
                </c:pt>
                <c:pt idx="8">
                  <c:v>87</c:v>
                </c:pt>
                <c:pt idx="9">
                  <c:v>74</c:v>
                </c:pt>
                <c:pt idx="10">
                  <c:v>88</c:v>
                </c:pt>
                <c:pt idx="11">
                  <c:v>101</c:v>
                </c:pt>
                <c:pt idx="12">
                  <c:v>176</c:v>
                </c:pt>
                <c:pt idx="13">
                  <c:v>144</c:v>
                </c:pt>
                <c:pt idx="14">
                  <c:v>178</c:v>
                </c:pt>
                <c:pt idx="15">
                  <c:v>141</c:v>
                </c:pt>
                <c:pt idx="16">
                  <c:v>151</c:v>
                </c:pt>
                <c:pt idx="17">
                  <c:v>102</c:v>
                </c:pt>
                <c:pt idx="18">
                  <c:v>132</c:v>
                </c:pt>
                <c:pt idx="19">
                  <c:v>188</c:v>
                </c:pt>
                <c:pt idx="20">
                  <c:v>121</c:v>
                </c:pt>
                <c:pt idx="21">
                  <c:v>139</c:v>
                </c:pt>
                <c:pt idx="22">
                  <c:v>166</c:v>
                </c:pt>
                <c:pt idx="23">
                  <c:v>170</c:v>
                </c:pt>
                <c:pt idx="24">
                  <c:v>316</c:v>
                </c:pt>
                <c:pt idx="25">
                  <c:v>427</c:v>
                </c:pt>
                <c:pt idx="26">
                  <c:v>584</c:v>
                </c:pt>
              </c:numCache>
            </c:numRef>
          </c:val>
          <c:smooth val="0"/>
          <c:extLst>
            <c:ext xmlns:c16="http://schemas.microsoft.com/office/drawing/2014/chart" uri="{C3380CC4-5D6E-409C-BE32-E72D297353CC}">
              <c16:uniqueId val="{00000000-6C87-41CA-9A88-10E7035AF9C1}"/>
            </c:ext>
          </c:extLst>
        </c:ser>
        <c:ser>
          <c:idx val="1"/>
          <c:order val="1"/>
          <c:tx>
            <c:v>Expected</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delta!$A$9:$A$35</c:f>
              <c:numCache>
                <c:formatCode>m/d/yyyy</c:formatCode>
                <c:ptCount val="27"/>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delta!$L$9:$L$35</c:f>
              <c:numCache>
                <c:formatCode>_(* #,##0_);_(* \(#,##0\);_(* "-"??_);_(@_)</c:formatCode>
                <c:ptCount val="27"/>
                <c:pt idx="0">
                  <c:v>52.424058712552402</c:v>
                </c:pt>
                <c:pt idx="1">
                  <c:v>72.315652521759432</c:v>
                </c:pt>
                <c:pt idx="2">
                  <c:v>82.34156678136317</c:v>
                </c:pt>
                <c:pt idx="3">
                  <c:v>89.580771929098631</c:v>
                </c:pt>
                <c:pt idx="4">
                  <c:v>95.352800230230628</c:v>
                </c:pt>
                <c:pt idx="5">
                  <c:v>100.1959243291717</c:v>
                </c:pt>
                <c:pt idx="6">
                  <c:v>104.38934725729433</c:v>
                </c:pt>
                <c:pt idx="7">
                  <c:v>108.09859226017511</c:v>
                </c:pt>
                <c:pt idx="8">
                  <c:v>111.43069995489532</c:v>
                </c:pt>
                <c:pt idx="9">
                  <c:v>114.45928816712353</c:v>
                </c:pt>
                <c:pt idx="10">
                  <c:v>117.23737667030946</c:v>
                </c:pt>
                <c:pt idx="11">
                  <c:v>119.80454557078974</c:v>
                </c:pt>
                <c:pt idx="12">
                  <c:v>122.19120433022408</c:v>
                </c:pt>
                <c:pt idx="13">
                  <c:v>124.42127442137144</c:v>
                </c:pt>
                <c:pt idx="14">
                  <c:v>126.51394827757349</c:v>
                </c:pt>
                <c:pt idx="15">
                  <c:v>128.48488395332811</c:v>
                </c:pt>
                <c:pt idx="16">
                  <c:v>130.34704100463023</c:v>
                </c:pt>
                <c:pt idx="17">
                  <c:v>132.11128039968276</c:v>
                </c:pt>
                <c:pt idx="18">
                  <c:v>133.78680465641037</c:v>
                </c:pt>
                <c:pt idx="19">
                  <c:v>135.3814870342253</c:v>
                </c:pt>
                <c:pt idx="20">
                  <c:v>136.90212196203493</c:v>
                </c:pt>
                <c:pt idx="21">
                  <c:v>138.3546184445695</c:v>
                </c:pt>
                <c:pt idx="22">
                  <c:v>139.74415146158481</c:v>
                </c:pt>
                <c:pt idx="23">
                  <c:v>141.07528193320059</c:v>
                </c:pt>
                <c:pt idx="24">
                  <c:v>142.35205282965308</c:v>
                </c:pt>
                <c:pt idx="25">
                  <c:v>143.57806694359488</c:v>
                </c:pt>
                <c:pt idx="26">
                  <c:v>144.75655040162565</c:v>
                </c:pt>
              </c:numCache>
            </c:numRef>
          </c:val>
          <c:smooth val="0"/>
          <c:extLst>
            <c:ext xmlns:c16="http://schemas.microsoft.com/office/drawing/2014/chart" uri="{C3380CC4-5D6E-409C-BE32-E72D297353CC}">
              <c16:uniqueId val="{00000001-6C87-41CA-9A88-10E7035AF9C1}"/>
            </c:ext>
          </c:extLst>
        </c:ser>
        <c:dLbls>
          <c:showLegendKey val="0"/>
          <c:showVal val="0"/>
          <c:showCatName val="0"/>
          <c:showSerName val="0"/>
          <c:showPercent val="0"/>
          <c:showBubbleSize val="0"/>
        </c:dLbls>
        <c:marker val="1"/>
        <c:smooth val="0"/>
        <c:axId val="1023026304"/>
        <c:axId val="1023025648"/>
      </c:lineChart>
      <c:dateAx>
        <c:axId val="1023026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25648"/>
        <c:crosses val="autoZero"/>
        <c:auto val="1"/>
        <c:lblOffset val="100"/>
        <c:baseTimeUnit val="days"/>
      </c:dateAx>
      <c:valAx>
        <c:axId val="102302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26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636082969035784E-2"/>
          <c:y val="4.5142186684028834E-2"/>
          <c:w val="0.80797139237331739"/>
          <c:h val="0.86510190102206219"/>
        </c:manualLayout>
      </c:layout>
      <c:lineChart>
        <c:grouping val="standard"/>
        <c:varyColors val="0"/>
        <c:ser>
          <c:idx val="0"/>
          <c:order val="0"/>
          <c:tx>
            <c:strRef>
              <c:f>'Sparklehorse (SH)'!$C$1</c:f>
              <c:strCache>
                <c:ptCount val="1"/>
                <c:pt idx="0">
                  <c:v>airplay</c:v>
                </c:pt>
              </c:strCache>
            </c:strRef>
          </c:tx>
          <c:cat>
            <c:numRef>
              <c:f>'Sparklehorse (SH)'!$A$2:$A$28</c:f>
              <c:numCache>
                <c:formatCode>m/d/yyyy</c:formatCode>
                <c:ptCount val="27"/>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'Sparklehorse (SH)'!$C$2:$C$47</c:f>
              <c:numCache>
                <c:formatCode>General</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formatCode="0">
                  <c:v>20.080000000000002</c:v>
                </c:pt>
                <c:pt idx="19" formatCode="0">
                  <c:v>18.669999999999998</c:v>
                </c:pt>
                <c:pt idx="20" formatCode="0">
                  <c:v>83.27000000000001</c:v>
                </c:pt>
                <c:pt idx="21" formatCode="0">
                  <c:v>184.69</c:v>
                </c:pt>
                <c:pt idx="22" formatCode="0">
                  <c:v>424.75</c:v>
                </c:pt>
                <c:pt idx="23" formatCode="0">
                  <c:v>518.51</c:v>
                </c:pt>
                <c:pt idx="24" formatCode="0">
                  <c:v>673.75</c:v>
                </c:pt>
                <c:pt idx="25" formatCode="0">
                  <c:v>670.4</c:v>
                </c:pt>
                <c:pt idx="26" formatCode="0">
                  <c:v>657.45</c:v>
                </c:pt>
                <c:pt idx="30">
                  <c:v>0</c:v>
                </c:pt>
                <c:pt idx="31">
                  <c:v>0</c:v>
                </c:pt>
                <c:pt idx="32">
                  <c:v>0</c:v>
                </c:pt>
                <c:pt idx="34">
                  <c:v>0</c:v>
                </c:pt>
                <c:pt idx="35">
                  <c:v>0</c:v>
                </c:pt>
                <c:pt idx="36">
                  <c:v>0</c:v>
                </c:pt>
                <c:pt idx="37">
                  <c:v>0</c:v>
                </c:pt>
                <c:pt idx="38">
                  <c:v>0</c:v>
                </c:pt>
                <c:pt idx="39">
                  <c:v>0</c:v>
                </c:pt>
                <c:pt idx="41">
                  <c:v>0</c:v>
                </c:pt>
                <c:pt idx="42">
                  <c:v>0</c:v>
                </c:pt>
                <c:pt idx="44">
                  <c:v>0</c:v>
                </c:pt>
                <c:pt idx="45">
                  <c:v>0</c:v>
                </c:pt>
              </c:numCache>
            </c:numRef>
          </c:val>
          <c:smooth val="0"/>
          <c:extLst>
            <c:ext xmlns:c16="http://schemas.microsoft.com/office/drawing/2014/chart" uri="{C3380CC4-5D6E-409C-BE32-E72D297353CC}">
              <c16:uniqueId val="{00000000-225B-4314-BD15-FC8665E4F668}"/>
            </c:ext>
          </c:extLst>
        </c:ser>
        <c:ser>
          <c:idx val="1"/>
          <c:order val="1"/>
          <c:tx>
            <c:strRef>
              <c:f>'Sparklehorse (SH)'!$B$1</c:f>
              <c:strCache>
                <c:ptCount val="1"/>
                <c:pt idx="0">
                  <c:v>sales</c:v>
                </c:pt>
              </c:strCache>
            </c:strRef>
          </c:tx>
          <c:cat>
            <c:numRef>
              <c:f>'Sparklehorse (SH)'!$A$2:$A$28</c:f>
              <c:numCache>
                <c:formatCode>m/d/yyyy</c:formatCode>
                <c:ptCount val="27"/>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'Sparklehorse (SH)'!$B$2:$B$28</c:f>
              <c:numCache>
                <c:formatCode>General</c:formatCode>
                <c:ptCount val="27"/>
                <c:pt idx="0">
                  <c:v>74</c:v>
                </c:pt>
                <c:pt idx="1">
                  <c:v>68</c:v>
                </c:pt>
                <c:pt idx="2">
                  <c:v>85</c:v>
                </c:pt>
                <c:pt idx="3">
                  <c:v>86</c:v>
                </c:pt>
                <c:pt idx="4">
                  <c:v>96</c:v>
                </c:pt>
                <c:pt idx="5">
                  <c:v>107</c:v>
                </c:pt>
                <c:pt idx="6">
                  <c:v>85</c:v>
                </c:pt>
                <c:pt idx="7">
                  <c:v>74</c:v>
                </c:pt>
                <c:pt idx="8">
                  <c:v>87</c:v>
                </c:pt>
                <c:pt idx="9">
                  <c:v>74</c:v>
                </c:pt>
                <c:pt idx="10">
                  <c:v>88</c:v>
                </c:pt>
                <c:pt idx="11">
                  <c:v>101</c:v>
                </c:pt>
                <c:pt idx="12">
                  <c:v>176</c:v>
                </c:pt>
                <c:pt idx="13">
                  <c:v>144</c:v>
                </c:pt>
                <c:pt idx="14">
                  <c:v>178</c:v>
                </c:pt>
                <c:pt idx="15">
                  <c:v>141</c:v>
                </c:pt>
                <c:pt idx="16">
                  <c:v>151</c:v>
                </c:pt>
                <c:pt idx="17">
                  <c:v>102</c:v>
                </c:pt>
                <c:pt idx="18">
                  <c:v>132</c:v>
                </c:pt>
                <c:pt idx="19">
                  <c:v>188</c:v>
                </c:pt>
                <c:pt idx="20">
                  <c:v>121</c:v>
                </c:pt>
                <c:pt idx="21">
                  <c:v>139</c:v>
                </c:pt>
                <c:pt idx="22">
                  <c:v>166</c:v>
                </c:pt>
                <c:pt idx="23">
                  <c:v>170</c:v>
                </c:pt>
                <c:pt idx="24">
                  <c:v>316</c:v>
                </c:pt>
                <c:pt idx="25">
                  <c:v>427</c:v>
                </c:pt>
                <c:pt idx="26">
                  <c:v>584</c:v>
                </c:pt>
              </c:numCache>
            </c:numRef>
          </c:val>
          <c:smooth val="0"/>
          <c:extLst>
            <c:ext xmlns:c16="http://schemas.microsoft.com/office/drawing/2014/chart" uri="{C3380CC4-5D6E-409C-BE32-E72D297353CC}">
              <c16:uniqueId val="{00000001-225B-4314-BD15-FC8665E4F668}"/>
            </c:ext>
          </c:extLst>
        </c:ser>
        <c:ser>
          <c:idx val="2"/>
          <c:order val="2"/>
          <c:tx>
            <c:v>lag(airplay)</c:v>
          </c:tx>
          <c:val>
            <c:numRef>
              <c:f>#REF!</c:f>
              <c:numCache>
                <c:formatCode>General</c:formatCode>
                <c:ptCount val="1"/>
                <c:pt idx="0">
                  <c:v>1</c:v>
                </c:pt>
              </c:numCache>
            </c:numRef>
          </c:val>
          <c:smooth val="0"/>
          <c:extLst>
            <c:ext xmlns:c16="http://schemas.microsoft.com/office/drawing/2014/chart" uri="{C3380CC4-5D6E-409C-BE32-E72D297353CC}">
              <c16:uniqueId val="{00000002-225B-4314-BD15-FC8665E4F668}"/>
            </c:ext>
          </c:extLst>
        </c:ser>
        <c:dLbls>
          <c:showLegendKey val="0"/>
          <c:showVal val="0"/>
          <c:showCatName val="0"/>
          <c:showSerName val="0"/>
          <c:showPercent val="0"/>
          <c:showBubbleSize val="0"/>
        </c:dLbls>
        <c:marker val="1"/>
        <c:smooth val="0"/>
        <c:axId val="175179264"/>
        <c:axId val="175180800"/>
      </c:lineChart>
      <c:dateAx>
        <c:axId val="175179264"/>
        <c:scaling>
          <c:orientation val="minMax"/>
        </c:scaling>
        <c:delete val="0"/>
        <c:axPos val="b"/>
        <c:numFmt formatCode="m/d/yy;@" sourceLinked="0"/>
        <c:majorTickMark val="out"/>
        <c:minorTickMark val="none"/>
        <c:tickLblPos val="nextTo"/>
        <c:crossAx val="175180800"/>
        <c:crosses val="autoZero"/>
        <c:auto val="0"/>
        <c:lblOffset val="100"/>
        <c:baseTimeUnit val="days"/>
      </c:dateAx>
      <c:valAx>
        <c:axId val="175180800"/>
        <c:scaling>
          <c:orientation val="minMax"/>
        </c:scaling>
        <c:delete val="0"/>
        <c:axPos val="l"/>
        <c:majorGridlines/>
        <c:numFmt formatCode="General" sourceLinked="1"/>
        <c:majorTickMark val="out"/>
        <c:minorTickMark val="none"/>
        <c:tickLblPos val="nextTo"/>
        <c:crossAx val="175179264"/>
        <c:crossesAt val="34973"/>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delta!$A$9:$A$35</c:f>
              <c:numCache>
                <c:formatCode>m/d/yyyy</c:formatCode>
                <c:ptCount val="27"/>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delta!$N$9:$N$35</c:f>
              <c:numCache>
                <c:formatCode>_(* #,##0_);_(* \(#,##0\);_(* "-"??_);_(@_)</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5.0107265781916794</c:v>
                </c:pt>
                <c:pt idx="21">
                  <c:v>4.6949579896481737</c:v>
                </c:pt>
                <c:pt idx="22">
                  <c:v>22.446645310248186</c:v>
                </c:pt>
                <c:pt idx="23">
                  <c:v>55.205117336664898</c:v>
                </c:pt>
                <c:pt idx="24">
                  <c:v>161.78936240460735</c:v>
                </c:pt>
                <c:pt idx="25">
                  <c:v>218.57521789724342</c:v>
                </c:pt>
                <c:pt idx="26">
                  <c:v>336.04999050801371</c:v>
                </c:pt>
              </c:numCache>
            </c:numRef>
          </c:val>
          <c:smooth val="0"/>
          <c:extLst>
            <c:ext xmlns:c16="http://schemas.microsoft.com/office/drawing/2014/chart" uri="{C3380CC4-5D6E-409C-BE32-E72D297353CC}">
              <c16:uniqueId val="{00000000-8E9D-428E-92A3-6578E00E8908}"/>
            </c:ext>
          </c:extLst>
        </c:ser>
        <c:dLbls>
          <c:showLegendKey val="0"/>
          <c:showVal val="0"/>
          <c:showCatName val="0"/>
          <c:showSerName val="0"/>
          <c:showPercent val="0"/>
          <c:showBubbleSize val="0"/>
        </c:dLbls>
        <c:marker val="1"/>
        <c:smooth val="0"/>
        <c:axId val="782011272"/>
        <c:axId val="782010944"/>
      </c:lineChart>
      <c:dateAx>
        <c:axId val="78201127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10944"/>
        <c:crosses val="autoZero"/>
        <c:auto val="1"/>
        <c:lblOffset val="100"/>
        <c:baseTimeUnit val="days"/>
      </c:dateAx>
      <c:valAx>
        <c:axId val="7820109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11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weekly sales and airplay</a:t>
            </a:r>
          </a:p>
        </c:rich>
      </c:tx>
      <c:overlay val="0"/>
      <c:spPr>
        <a:noFill/>
        <a:ln w="25400">
          <a:noFill/>
        </a:ln>
      </c:spPr>
    </c:title>
    <c:autoTitleDeleted val="0"/>
    <c:plotArea>
      <c:layout/>
      <c:lineChart>
        <c:grouping val="standard"/>
        <c:varyColors val="0"/>
        <c:ser>
          <c:idx val="0"/>
          <c:order val="0"/>
          <c:tx>
            <c:strRef>
              <c:f>'2-seg W(All)+Cov'!$D$10</c:f>
              <c:strCache>
                <c:ptCount val="1"/>
                <c:pt idx="0">
                  <c:v>Incr_Sales</c:v>
                </c:pt>
              </c:strCache>
            </c:strRef>
          </c:tx>
          <c:spPr>
            <a:ln w="25400">
              <a:solidFill>
                <a:srgbClr val="000080"/>
              </a:solidFill>
              <a:prstDash val="solid"/>
            </a:ln>
          </c:spPr>
          <c:marker>
            <c:symbol val="none"/>
          </c:marker>
          <c:cat>
            <c:numRef>
              <c:f>'2-seg W(All)+Cov'!$A$11:$A$56</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'2-seg W(All)+Cov'!$D$11:$D$56</c:f>
              <c:numCache>
                <c:formatCode>General</c:formatCode>
                <c:ptCount val="46"/>
                <c:pt idx="0">
                  <c:v>74</c:v>
                </c:pt>
                <c:pt idx="1">
                  <c:v>68</c:v>
                </c:pt>
                <c:pt idx="2">
                  <c:v>85</c:v>
                </c:pt>
                <c:pt idx="3">
                  <c:v>86</c:v>
                </c:pt>
                <c:pt idx="4">
                  <c:v>96</c:v>
                </c:pt>
                <c:pt idx="5">
                  <c:v>107</c:v>
                </c:pt>
                <c:pt idx="6">
                  <c:v>85</c:v>
                </c:pt>
                <c:pt idx="7">
                  <c:v>74</c:v>
                </c:pt>
                <c:pt idx="8">
                  <c:v>87</c:v>
                </c:pt>
                <c:pt idx="9">
                  <c:v>74</c:v>
                </c:pt>
                <c:pt idx="10">
                  <c:v>88</c:v>
                </c:pt>
                <c:pt idx="11">
                  <c:v>101</c:v>
                </c:pt>
                <c:pt idx="12">
                  <c:v>176</c:v>
                </c:pt>
                <c:pt idx="13">
                  <c:v>144</c:v>
                </c:pt>
                <c:pt idx="14">
                  <c:v>178</c:v>
                </c:pt>
                <c:pt idx="15">
                  <c:v>141</c:v>
                </c:pt>
                <c:pt idx="16">
                  <c:v>151</c:v>
                </c:pt>
                <c:pt idx="17">
                  <c:v>102</c:v>
                </c:pt>
                <c:pt idx="18">
                  <c:v>132</c:v>
                </c:pt>
                <c:pt idx="19">
                  <c:v>188</c:v>
                </c:pt>
                <c:pt idx="20">
                  <c:v>121</c:v>
                </c:pt>
                <c:pt idx="21">
                  <c:v>139</c:v>
                </c:pt>
                <c:pt idx="22">
                  <c:v>166</c:v>
                </c:pt>
                <c:pt idx="23">
                  <c:v>170</c:v>
                </c:pt>
                <c:pt idx="24">
                  <c:v>316</c:v>
                </c:pt>
                <c:pt idx="25">
                  <c:v>427</c:v>
                </c:pt>
                <c:pt idx="26">
                  <c:v>584</c:v>
                </c:pt>
              </c:numCache>
            </c:numRef>
          </c:val>
          <c:smooth val="0"/>
          <c:extLst>
            <c:ext xmlns:c16="http://schemas.microsoft.com/office/drawing/2014/chart" uri="{C3380CC4-5D6E-409C-BE32-E72D297353CC}">
              <c16:uniqueId val="{00000000-86BB-4C71-A28D-8191AFEF4D4C}"/>
            </c:ext>
          </c:extLst>
        </c:ser>
        <c:ser>
          <c:idx val="1"/>
          <c:order val="1"/>
          <c:tx>
            <c:strRef>
              <c:f>'2-seg W(All)+Cov'!$S$10</c:f>
              <c:strCache>
                <c:ptCount val="1"/>
                <c:pt idx="0">
                  <c:v>lag2(Airplay)</c:v>
                </c:pt>
              </c:strCache>
            </c:strRef>
          </c:tx>
          <c:spPr>
            <a:ln w="25400">
              <a:solidFill>
                <a:srgbClr val="FF00FF"/>
              </a:solidFill>
              <a:prstDash val="solid"/>
            </a:ln>
          </c:spPr>
          <c:marker>
            <c:symbol val="none"/>
          </c:marker>
          <c:cat>
            <c:numRef>
              <c:f>'2-seg W(All)+Cov'!$A$11:$A$56</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W!#REF!</c:f>
              <c:numCache>
                <c:formatCode>General</c:formatCode>
                <c:ptCount val="1"/>
                <c:pt idx="0">
                  <c:v>1</c:v>
                </c:pt>
              </c:numCache>
            </c:numRef>
          </c:val>
          <c:smooth val="0"/>
          <c:extLst>
            <c:ext xmlns:c16="http://schemas.microsoft.com/office/drawing/2014/chart" uri="{C3380CC4-5D6E-409C-BE32-E72D297353CC}">
              <c16:uniqueId val="{00000001-86BB-4C71-A28D-8191AFEF4D4C}"/>
            </c:ext>
          </c:extLst>
        </c:ser>
        <c:dLbls>
          <c:showLegendKey val="0"/>
          <c:showVal val="0"/>
          <c:showCatName val="0"/>
          <c:showSerName val="0"/>
          <c:showPercent val="0"/>
          <c:showBubbleSize val="0"/>
        </c:dLbls>
        <c:smooth val="0"/>
        <c:axId val="175171840"/>
        <c:axId val="175174016"/>
      </c:lineChart>
      <c:catAx>
        <c:axId val="17517184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174016"/>
        <c:crosses val="autoZero"/>
        <c:auto val="0"/>
        <c:lblAlgn val="ctr"/>
        <c:lblOffset val="100"/>
        <c:tickLblSkip val="132"/>
        <c:tickMarkSkip val="1"/>
        <c:noMultiLvlLbl val="0"/>
      </c:catAx>
      <c:valAx>
        <c:axId val="17517401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sales/airplay</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17184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genuine forecasts</a:t>
            </a:r>
          </a:p>
        </c:rich>
      </c:tx>
      <c:overlay val="0"/>
      <c:spPr>
        <a:noFill/>
        <a:ln w="25400">
          <a:noFill/>
        </a:ln>
      </c:spPr>
    </c:title>
    <c:autoTitleDeleted val="0"/>
    <c:plotArea>
      <c:layout/>
      <c:lineChart>
        <c:grouping val="standard"/>
        <c:varyColors val="0"/>
        <c:ser>
          <c:idx val="0"/>
          <c:order val="0"/>
          <c:spPr>
            <a:ln w="25400">
              <a:solidFill>
                <a:srgbClr val="FF00FF"/>
              </a:solidFill>
              <a:prstDash val="solid"/>
            </a:ln>
          </c:spPr>
          <c:marker>
            <c:symbol val="none"/>
          </c:marker>
          <c:cat>
            <c:numRef>
              <c:f>'2-seg W(All)+Cov'!$A$11:$A$56</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65"/>
                <c:pt idx="0">
                  <c:v>5224.4217589694226</c:v>
                </c:pt>
                <c:pt idx="1">
                  <c:v>10420.095805764095</c:v>
                </c:pt>
                <c:pt idx="2">
                  <c:v>15587.180326494108</c:v>
                </c:pt>
                <c:pt idx="3">
                  <c:v>20725.832636840245</c:v>
                </c:pt>
                <c:pt idx="4">
                  <c:v>25836.209186844131</c:v>
                </c:pt>
                <c:pt idx="5">
                  <c:v>30918.465565670696</c:v>
                </c:pt>
                <c:pt idx="6">
                  <c:v>35972.756506346028</c:v>
                </c:pt>
                <c:pt idx="7">
                  <c:v>40999.235890467557</c:v>
                </c:pt>
                <c:pt idx="8">
                  <c:v>45998.05675288973</c:v>
                </c:pt>
                <c:pt idx="9">
                  <c:v>50969.371286382971</c:v>
                </c:pt>
                <c:pt idx="10">
                  <c:v>55913.330846267076</c:v>
                </c:pt>
                <c:pt idx="11">
                  <c:v>60830.085955019866</c:v>
                </c:pt>
                <c:pt idx="12">
                  <c:v>65719.786306859693</c:v>
                </c:pt>
                <c:pt idx="13">
                  <c:v>70582.580772302666</c:v>
                </c:pt>
                <c:pt idx="14">
                  <c:v>75418.617402695774</c:v>
                </c:pt>
                <c:pt idx="15">
                  <c:v>80228.043434723877</c:v>
                </c:pt>
                <c:pt idx="16">
                  <c:v>85011.005294892748</c:v>
                </c:pt>
                <c:pt idx="17">
                  <c:v>89767.648603987065</c:v>
                </c:pt>
                <c:pt idx="18">
                  <c:v>94498.118181503552</c:v>
                </c:pt>
                <c:pt idx="19">
                  <c:v>99202.558050060892</c:v>
                </c:pt>
                <c:pt idx="20">
                  <c:v>103881.11143978406</c:v>
                </c:pt>
                <c:pt idx="21">
                  <c:v>108533.920792665</c:v>
                </c:pt>
                <c:pt idx="22">
                  <c:v>113161.12776689969</c:v>
                </c:pt>
                <c:pt idx="23">
                  <c:v>117762.87324120097</c:v>
                </c:pt>
                <c:pt idx="24">
                  <c:v>122339.29731908746</c:v>
                </c:pt>
                <c:pt idx="25">
                  <c:v>126890.53933314937</c:v>
                </c:pt>
                <c:pt idx="26">
                  <c:v>131416.73784929057</c:v>
                </c:pt>
                <c:pt idx="27">
                  <c:v>135918.03067094708</c:v>
                </c:pt>
                <c:pt idx="28">
                  <c:v>140394.55484328285</c:v>
                </c:pt>
                <c:pt idx="29">
                  <c:v>144846.44665736225</c:v>
                </c:pt>
                <c:pt idx="30">
                  <c:v>149273.84165429918</c:v>
                </c:pt>
                <c:pt idx="31">
                  <c:v>153676.87462938423</c:v>
                </c:pt>
                <c:pt idx="32">
                  <c:v>158055.67963618806</c:v>
                </c:pt>
                <c:pt idx="33">
                  <c:v>162410.38999064319</c:v>
                </c:pt>
                <c:pt idx="34">
                  <c:v>166741.13827510292</c:v>
                </c:pt>
                <c:pt idx="35">
                  <c:v>171048.05634237741</c:v>
                </c:pt>
                <c:pt idx="36">
                  <c:v>175331.2753197487</c:v>
                </c:pt>
                <c:pt idx="37">
                  <c:v>179590.92561296254</c:v>
                </c:pt>
                <c:pt idx="38">
                  <c:v>183827.13691019849</c:v>
                </c:pt>
                <c:pt idx="39">
                  <c:v>188040.03818601923</c:v>
                </c:pt>
                <c:pt idx="40">
                  <c:v>192229.75770529616</c:v>
                </c:pt>
                <c:pt idx="41">
                  <c:v>196396.42302711552</c:v>
                </c:pt>
                <c:pt idx="42">
                  <c:v>200540.16100866138</c:v>
                </c:pt>
                <c:pt idx="43">
                  <c:v>204661.09780907811</c:v>
                </c:pt>
                <c:pt idx="44">
                  <c:v>208759.35889331135</c:v>
                </c:pt>
                <c:pt idx="45">
                  <c:v>212835.0690359282</c:v>
                </c:pt>
                <c:pt idx="46">
                  <c:v>216888.35232491541</c:v>
                </c:pt>
                <c:pt idx="47">
                  <c:v>220919.33216545792</c:v>
                </c:pt>
                <c:pt idx="48">
                  <c:v>224928.13128369578</c:v>
                </c:pt>
                <c:pt idx="49">
                  <c:v>228914.87173046058</c:v>
                </c:pt>
                <c:pt idx="50">
                  <c:v>232879.67488499157</c:v>
                </c:pt>
                <c:pt idx="51">
                  <c:v>236822.66145863105</c:v>
                </c:pt>
                <c:pt idx="52">
                  <c:v>240743.95149849943</c:v>
                </c:pt>
                <c:pt idx="53">
                  <c:v>244643.6643911502</c:v>
                </c:pt>
                <c:pt idx="54">
                  <c:v>248521.91886620491</c:v>
                </c:pt>
                <c:pt idx="55">
                  <c:v>252378.83299996777</c:v>
                </c:pt>
                <c:pt idx="56">
                  <c:v>256214.52421902039</c:v>
                </c:pt>
                <c:pt idx="57">
                  <c:v>260029.10930379757</c:v>
                </c:pt>
                <c:pt idx="58">
                  <c:v>263822.70439214213</c:v>
                </c:pt>
                <c:pt idx="59">
                  <c:v>267595.42498284113</c:v>
                </c:pt>
                <c:pt idx="60">
                  <c:v>271347.38593914203</c:v>
                </c:pt>
                <c:pt idx="61">
                  <c:v>275078.7014922502</c:v>
                </c:pt>
                <c:pt idx="62">
                  <c:v>278789.48524480656</c:v>
                </c:pt>
                <c:pt idx="63">
                  <c:v>282479.85017434612</c:v>
                </c:pt>
                <c:pt idx="64">
                  <c:v>286149.90863673808</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0-79A0-41D2-A6AA-A7F0D6D0452A}"/>
            </c:ext>
          </c:extLst>
        </c:ser>
        <c:ser>
          <c:idx val="1"/>
          <c:order val="1"/>
          <c:spPr>
            <a:ln w="25400">
              <a:solidFill>
                <a:srgbClr val="008000"/>
              </a:solidFill>
              <a:prstDash val="solid"/>
            </a:ln>
          </c:spPr>
          <c:marker>
            <c:symbol val="none"/>
          </c:marker>
          <c:cat>
            <c:numRef>
              <c:f>'2-seg W(All)+Cov'!$A$11:$A$56</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65"/>
                <c:pt idx="0">
                  <c:v>5337.8599834530414</c:v>
                </c:pt>
                <c:pt idx="1">
                  <c:v>10635.213722550718</c:v>
                </c:pt>
                <c:pt idx="2">
                  <c:v>15892.601184708477</c:v>
                </c:pt>
                <c:pt idx="3">
                  <c:v>21110.55207449153</c:v>
                </c:pt>
                <c:pt idx="4">
                  <c:v>26289.58608625942</c:v>
                </c:pt>
                <c:pt idx="5">
                  <c:v>31430.213149191033</c:v>
                </c:pt>
                <c:pt idx="6">
                  <c:v>36532.933664959797</c:v>
                </c:pt>
                <c:pt idx="7">
                  <c:v>41598.238738319917</c:v>
                </c:pt>
                <c:pt idx="8">
                  <c:v>46626.610400853031</c:v>
                </c:pt>
                <c:pt idx="9">
                  <c:v>51618.521828118544</c:v>
                </c:pt>
                <c:pt idx="10">
                  <c:v>56574.437550431008</c:v>
                </c:pt>
                <c:pt idx="11">
                  <c:v>61494.813657491432</c:v>
                </c:pt>
                <c:pt idx="12">
                  <c:v>66380.097997082339</c:v>
                </c:pt>
                <c:pt idx="13">
                  <c:v>71230.730368030068</c:v>
                </c:pt>
                <c:pt idx="14">
                  <c:v>76047.142707627907</c:v>
                </c:pt>
                <c:pt idx="15">
                  <c:v>80829.759273713717</c:v>
                </c:pt>
                <c:pt idx="16">
                  <c:v>85578.996821573106</c:v>
                </c:pt>
                <c:pt idx="17">
                  <c:v>90295.264775854594</c:v>
                </c:pt>
                <c:pt idx="18">
                  <c:v>94978.965397647946</c:v>
                </c:pt>
                <c:pt idx="19">
                  <c:v>99630.493946900606</c:v>
                </c:pt>
                <c:pt idx="20">
                  <c:v>104250.23884031737</c:v>
                </c:pt>
                <c:pt idx="21">
                  <c:v>108838.58180489393</c:v>
                </c:pt>
                <c:pt idx="22">
                  <c:v>113395.89802722905</c:v>
                </c:pt>
                <c:pt idx="23">
                  <c:v>117922.55629874914</c:v>
                </c:pt>
                <c:pt idx="24">
                  <c:v>122418.91915698122</c:v>
                </c:pt>
                <c:pt idx="25">
                  <c:v>126885.34302299759</c:v>
                </c:pt>
                <c:pt idx="26">
                  <c:v>131322.17833515958</c:v>
                </c:pt>
                <c:pt idx="27">
                  <c:v>135729.76967927342</c:v>
                </c:pt>
                <c:pt idx="28">
                  <c:v>140108.45591527323</c:v>
                </c:pt>
                <c:pt idx="29">
                  <c:v>144458.57030054598</c:v>
                </c:pt>
                <c:pt idx="30">
                  <c:v>148780.44060999496</c:v>
                </c:pt>
                <c:pt idx="31">
                  <c:v>153074.38925294904</c:v>
                </c:pt>
                <c:pt idx="32">
                  <c:v>157340.73338701771</c:v>
                </c:pt>
                <c:pt idx="33">
                  <c:v>161579.78502897974</c:v>
                </c:pt>
                <c:pt idx="34">
                  <c:v>165791.85116280272</c:v>
                </c:pt>
                <c:pt idx="35">
                  <c:v>170644.09835148463</c:v>
                </c:pt>
                <c:pt idx="36">
                  <c:v>175460.90841741636</c:v>
                </c:pt>
                <c:pt idx="37">
                  <c:v>180242.73609641616</c:v>
                </c:pt>
                <c:pt idx="38">
                  <c:v>184990.02780267669</c:v>
                </c:pt>
                <c:pt idx="39">
                  <c:v>189055.42271100107</c:v>
                </c:pt>
                <c:pt idx="40">
                  <c:v>193095.75015619418</c:v>
                </c:pt>
                <c:pt idx="41">
                  <c:v>197111.28195723804</c:v>
                </c:pt>
                <c:pt idx="42">
                  <c:v>201102.28572613787</c:v>
                </c:pt>
                <c:pt idx="43">
                  <c:v>205069.02495234559</c:v>
                </c:pt>
                <c:pt idx="44">
                  <c:v>209011.75908510594</c:v>
                </c:pt>
                <c:pt idx="45">
                  <c:v>212930.74361378362</c:v>
                </c:pt>
                <c:pt idx="46">
                  <c:v>216826.23014623381</c:v>
                </c:pt>
                <c:pt idx="47">
                  <c:v>220698.46648526614</c:v>
                </c:pt>
                <c:pt idx="48">
                  <c:v>224547.6967032649</c:v>
                </c:pt>
                <c:pt idx="49">
                  <c:v>228374.16121501286</c:v>
                </c:pt>
                <c:pt idx="50">
                  <c:v>232178.09684876766</c:v>
                </c:pt>
                <c:pt idx="51">
                  <c:v>235959.73691564874</c:v>
                </c:pt>
                <c:pt idx="52">
                  <c:v>239719.31127737579</c:v>
                </c:pt>
                <c:pt idx="53">
                  <c:v>243457.0464124034</c:v>
                </c:pt>
                <c:pt idx="54">
                  <c:v>247173.16548050562</c:v>
                </c:pt>
                <c:pt idx="55">
                  <c:v>250867.88838584229</c:v>
                </c:pt>
                <c:pt idx="56">
                  <c:v>254541.43183855992</c:v>
                </c:pt>
                <c:pt idx="57">
                  <c:v>258194.00941495819</c:v>
                </c:pt>
                <c:pt idx="58">
                  <c:v>261825.83161626881</c:v>
                </c:pt>
                <c:pt idx="59">
                  <c:v>265437.10592608119</c:v>
                </c:pt>
                <c:pt idx="60">
                  <c:v>269028.03686644981</c:v>
                </c:pt>
                <c:pt idx="61">
                  <c:v>272598.82605272526</c:v>
                </c:pt>
                <c:pt idx="62">
                  <c:v>276149.67224713636</c:v>
                </c:pt>
                <c:pt idx="63">
                  <c:v>279680.77141116234</c:v>
                </c:pt>
                <c:pt idx="64">
                  <c:v>283192.31675672519</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1-79A0-41D2-A6AA-A7F0D6D0452A}"/>
            </c:ext>
          </c:extLst>
        </c:ser>
        <c:ser>
          <c:idx val="2"/>
          <c:order val="2"/>
          <c:spPr>
            <a:ln w="12700">
              <a:solidFill>
                <a:srgbClr val="000080"/>
              </a:solidFill>
              <a:prstDash val="solid"/>
            </a:ln>
          </c:spPr>
          <c:marker>
            <c:symbol val="diamond"/>
            <c:size val="5"/>
            <c:spPr>
              <a:solidFill>
                <a:srgbClr val="000080"/>
              </a:solidFill>
              <a:ln>
                <a:solidFill>
                  <a:srgbClr val="000080"/>
                </a:solidFill>
                <a:prstDash val="solid"/>
              </a:ln>
            </c:spPr>
          </c:marker>
          <c:cat>
            <c:numRef>
              <c:f>'2-seg W(All)+Cov'!$A$11:$A$56</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2-79A0-41D2-A6AA-A7F0D6D0452A}"/>
            </c:ext>
          </c:extLst>
        </c:ser>
        <c:dLbls>
          <c:showLegendKey val="0"/>
          <c:showVal val="0"/>
          <c:showCatName val="0"/>
          <c:showSerName val="0"/>
          <c:showPercent val="0"/>
          <c:showBubbleSize val="0"/>
        </c:dLbls>
        <c:smooth val="0"/>
        <c:axId val="174883968"/>
        <c:axId val="174899200"/>
      </c:lineChart>
      <c:catAx>
        <c:axId val="17488396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899200"/>
        <c:crosses val="autoZero"/>
        <c:auto val="0"/>
        <c:lblAlgn val="ctr"/>
        <c:lblOffset val="100"/>
        <c:tickLblSkip val="192"/>
        <c:tickMarkSkip val="1"/>
        <c:noMultiLvlLbl val="0"/>
      </c:catAx>
      <c:valAx>
        <c:axId val="174899200"/>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883968"/>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early projections</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'2-seg W(All)+Cov'!$A$11:$A$56</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3814-45D2-832C-DAC860F7E74F}"/>
            </c:ext>
          </c:extLst>
        </c:ser>
        <c:ser>
          <c:idx val="1"/>
          <c:order val="1"/>
          <c:spPr>
            <a:ln w="25400">
              <a:solidFill>
                <a:srgbClr val="FF00FF"/>
              </a:solidFill>
              <a:prstDash val="solid"/>
            </a:ln>
          </c:spPr>
          <c:marker>
            <c:symbol val="none"/>
          </c:marker>
          <c:cat>
            <c:numRef>
              <c:f>'2-seg W(All)+Cov'!$A$11:$A$56</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6205.5970060675982</c:v>
                </c:pt>
                <c:pt idx="1">
                  <c:v>12398.357534068038</c:v>
                </c:pt>
                <c:pt idx="2">
                  <c:v>18578.30813667105</c:v>
                </c:pt>
                <c:pt idx="3">
                  <c:v>24745.475311621969</c:v>
                </c:pt>
                <c:pt idx="4">
                  <c:v>30899.885501853631</c:v>
                </c:pt>
                <c:pt idx="5">
                  <c:v>37041.565095601967</c:v>
                </c:pt>
                <c:pt idx="6">
                  <c:v>43170.540426517247</c:v>
                </c:pt>
                <c:pt idx="7">
                  <c:v>49286.837773777959</c:v>
                </c:pt>
                <c:pt idx="8">
                  <c:v>55390.483362203093</c:v>
                </c:pt>
                <c:pt idx="9">
                  <c:v>61481.503362365023</c:v>
                </c:pt>
                <c:pt idx="10">
                  <c:v>67559.923890701422</c:v>
                </c:pt>
                <c:pt idx="11">
                  <c:v>73625.771009626857</c:v>
                </c:pt>
                <c:pt idx="12">
                  <c:v>79679.070727645681</c:v>
                </c:pt>
                <c:pt idx="13">
                  <c:v>85719.848999461945</c:v>
                </c:pt>
                <c:pt idx="14">
                  <c:v>91748.13172609231</c:v>
                </c:pt>
                <c:pt idx="15">
                  <c:v>97763.944754976299</c:v>
                </c:pt>
                <c:pt idx="16">
                  <c:v>103767.31388008619</c:v>
                </c:pt>
                <c:pt idx="17">
                  <c:v>109758.26484203999</c:v>
                </c:pt>
                <c:pt idx="18">
                  <c:v>115736.82332820923</c:v>
                </c:pt>
                <c:pt idx="19">
                  <c:v>121703.01497283098</c:v>
                </c:pt>
                <c:pt idx="20">
                  <c:v>127656.86535711707</c:v>
                </c:pt>
                <c:pt idx="21">
                  <c:v>133598.40000936363</c:v>
                </c:pt>
                <c:pt idx="22">
                  <c:v>139527.64440506004</c:v>
                </c:pt>
                <c:pt idx="23">
                  <c:v>145444.62396699988</c:v>
                </c:pt>
                <c:pt idx="24">
                  <c:v>151349.36406538801</c:v>
                </c:pt>
                <c:pt idx="25">
                  <c:v>157241.89001795073</c:v>
                </c:pt>
                <c:pt idx="26">
                  <c:v>163122.22709004386</c:v>
                </c:pt>
                <c:pt idx="27">
                  <c:v>168990.40049476034</c:v>
                </c:pt>
                <c:pt idx="28">
                  <c:v>174846.43539304013</c:v>
                </c:pt>
                <c:pt idx="29">
                  <c:v>180690.35689377555</c:v>
                </c:pt>
                <c:pt idx="30">
                  <c:v>186522.19005392145</c:v>
                </c:pt>
                <c:pt idx="31">
                  <c:v>192341.95987860113</c:v>
                </c:pt>
                <c:pt idx="32">
                  <c:v>198149.69132121396</c:v>
                </c:pt>
                <c:pt idx="33">
                  <c:v>203945.40928354289</c:v>
                </c:pt>
                <c:pt idx="34">
                  <c:v>209729.1386158604</c:v>
                </c:pt>
                <c:pt idx="35">
                  <c:v>215500.90411703481</c:v>
                </c:pt>
                <c:pt idx="36">
                  <c:v>221260.73053463778</c:v>
                </c:pt>
                <c:pt idx="37">
                  <c:v>227008.64256505028</c:v>
                </c:pt>
                <c:pt idx="38">
                  <c:v>232744.6648535667</c:v>
                </c:pt>
                <c:pt idx="39">
                  <c:v>238468.82199450338</c:v>
                </c:pt>
                <c:pt idx="40">
                  <c:v>244181.1385313012</c:v>
                </c:pt>
                <c:pt idx="41">
                  <c:v>249881.63895663273</c:v>
                </c:pt>
                <c:pt idx="42">
                  <c:v>255570.34771250674</c:v>
                </c:pt>
                <c:pt idx="43">
                  <c:v>261247.28919037309</c:v>
                </c:pt>
                <c:pt idx="44">
                  <c:v>266912.48773122631</c:v>
                </c:pt>
                <c:pt idx="45">
                  <c:v>272565.96762571164</c:v>
                </c:pt>
                <c:pt idx="46">
                  <c:v>278207.75311422796</c:v>
                </c:pt>
                <c:pt idx="47">
                  <c:v>283837.86838703218</c:v>
                </c:pt>
                <c:pt idx="48">
                  <c:v>289456.33758434275</c:v>
                </c:pt>
                <c:pt idx="49">
                  <c:v>295063.18479644344</c:v>
                </c:pt>
                <c:pt idx="50">
                  <c:v>300658.43406378658</c:v>
                </c:pt>
                <c:pt idx="51">
                  <c:v>306242.10937709583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3814-45D2-832C-DAC860F7E74F}"/>
            </c:ext>
          </c:extLst>
        </c:ser>
        <c:ser>
          <c:idx val="2"/>
          <c:order val="2"/>
          <c:spPr>
            <a:ln w="25400">
              <a:solidFill>
                <a:srgbClr val="008000"/>
              </a:solidFill>
              <a:prstDash val="solid"/>
            </a:ln>
          </c:spPr>
          <c:marker>
            <c:symbol val="none"/>
          </c:marker>
          <c:cat>
            <c:numRef>
              <c:f>'2-seg W(All)+Cov'!$A$11:$A$56</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6236.3185158423876</c:v>
                </c:pt>
                <c:pt idx="1">
                  <c:v>12456.105476353119</c:v>
                </c:pt>
                <c:pt idx="2">
                  <c:v>18659.414150744902</c:v>
                </c:pt>
                <c:pt idx="3">
                  <c:v>24846.297606183398</c:v>
                </c:pt>
                <c:pt idx="4">
                  <c:v>31016.80870865786</c:v>
                </c:pt>
                <c:pt idx="5">
                  <c:v>37171.000123869424</c:v>
                </c:pt>
                <c:pt idx="6">
                  <c:v>43308.924318095407</c:v>
                </c:pt>
                <c:pt idx="7">
                  <c:v>49430.63355905997</c:v>
                </c:pt>
                <c:pt idx="8">
                  <c:v>55536.179916802372</c:v>
                </c:pt>
                <c:pt idx="9">
                  <c:v>61625.615264532033</c:v>
                </c:pt>
                <c:pt idx="10">
                  <c:v>67698.991279486756</c:v>
                </c:pt>
                <c:pt idx="11">
                  <c:v>73756.359443787107</c:v>
                </c:pt>
                <c:pt idx="12">
                  <c:v>79797.771045275076</c:v>
                </c:pt>
                <c:pt idx="13">
                  <c:v>85823.277178370685</c:v>
                </c:pt>
                <c:pt idx="14">
                  <c:v>91832.928744896344</c:v>
                </c:pt>
                <c:pt idx="15">
                  <c:v>97826.776454923878</c:v>
                </c:pt>
                <c:pt idx="16">
                  <c:v>103804.87082759848</c:v>
                </c:pt>
                <c:pt idx="17">
                  <c:v>109767.26219197208</c:v>
                </c:pt>
                <c:pt idx="18">
                  <c:v>115714.00068781502</c:v>
                </c:pt>
                <c:pt idx="19">
                  <c:v>121645.13626644868</c:v>
                </c:pt>
                <c:pt idx="20">
                  <c:v>127560.71869154894</c:v>
                </c:pt>
                <c:pt idx="21">
                  <c:v>133460.79753996443</c:v>
                </c:pt>
                <c:pt idx="22">
                  <c:v>139345.42220251821</c:v>
                </c:pt>
                <c:pt idx="23">
                  <c:v>145214.64188481527</c:v>
                </c:pt>
                <c:pt idx="24">
                  <c:v>151068.50560803665</c:v>
                </c:pt>
                <c:pt idx="25">
                  <c:v>156907.06220974037</c:v>
                </c:pt>
                <c:pt idx="26">
                  <c:v>162730.36034464737</c:v>
                </c:pt>
                <c:pt idx="27">
                  <c:v>168538.44848542986</c:v>
                </c:pt>
                <c:pt idx="28">
                  <c:v>174331.37492349805</c:v>
                </c:pt>
                <c:pt idx="29">
                  <c:v>180109.18776977746</c:v>
                </c:pt>
                <c:pt idx="30">
                  <c:v>185871.93495548383</c:v>
                </c:pt>
                <c:pt idx="31">
                  <c:v>191619.66423289722</c:v>
                </c:pt>
                <c:pt idx="32">
                  <c:v>197352.42317613267</c:v>
                </c:pt>
                <c:pt idx="33">
                  <c:v>203070.25918189669</c:v>
                </c:pt>
                <c:pt idx="34">
                  <c:v>208773.21947025752</c:v>
                </c:pt>
                <c:pt idx="35">
                  <c:v>214461.35108539666</c:v>
                </c:pt>
                <c:pt idx="36">
                  <c:v>220134.70089636612</c:v>
                </c:pt>
                <c:pt idx="37">
                  <c:v>225793.31559783532</c:v>
                </c:pt>
                <c:pt idx="38">
                  <c:v>231437.24171083735</c:v>
                </c:pt>
                <c:pt idx="39">
                  <c:v>237066.52558351649</c:v>
                </c:pt>
                <c:pt idx="40">
                  <c:v>242681.21339185978</c:v>
                </c:pt>
                <c:pt idx="41">
                  <c:v>248281.35114044035</c:v>
                </c:pt>
                <c:pt idx="42">
                  <c:v>253866.98466314361</c:v>
                </c:pt>
                <c:pt idx="43">
                  <c:v>259438.15962389749</c:v>
                </c:pt>
                <c:pt idx="44">
                  <c:v>264994.92151739931</c:v>
                </c:pt>
                <c:pt idx="45">
                  <c:v>270537.31566983397</c:v>
                </c:pt>
                <c:pt idx="46">
                  <c:v>276065.38723959605</c:v>
                </c:pt>
                <c:pt idx="47">
                  <c:v>281579.18121799931</c:v>
                </c:pt>
                <c:pt idx="48">
                  <c:v>287078.74242999242</c:v>
                </c:pt>
                <c:pt idx="49">
                  <c:v>292564.11553486239</c:v>
                </c:pt>
                <c:pt idx="50">
                  <c:v>298035.34502694273</c:v>
                </c:pt>
                <c:pt idx="51">
                  <c:v>303492.47523631272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3814-45D2-832C-DAC860F7E74F}"/>
            </c:ext>
          </c:extLst>
        </c:ser>
        <c:dLbls>
          <c:showLegendKey val="0"/>
          <c:showVal val="0"/>
          <c:showCatName val="0"/>
          <c:showSerName val="0"/>
          <c:showPercent val="0"/>
          <c:showBubbleSize val="0"/>
        </c:dLbls>
        <c:marker val="1"/>
        <c:smooth val="0"/>
        <c:axId val="175012480"/>
        <c:axId val="175014656"/>
      </c:lineChart>
      <c:catAx>
        <c:axId val="17501248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14656"/>
        <c:crosses val="autoZero"/>
        <c:auto val="0"/>
        <c:lblAlgn val="ctr"/>
        <c:lblOffset val="100"/>
        <c:tickLblSkip val="153"/>
        <c:tickMarkSkip val="1"/>
        <c:noMultiLvlLbl val="0"/>
      </c:catAx>
      <c:valAx>
        <c:axId val="17501465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1248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model fit and validated forecast</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'2-seg W(All)+Cov'!$A$11:$A$56</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0D19-4E12-B365-A4426FE6AB0D}"/>
            </c:ext>
          </c:extLst>
        </c:ser>
        <c:ser>
          <c:idx val="1"/>
          <c:order val="1"/>
          <c:spPr>
            <a:ln w="25400">
              <a:solidFill>
                <a:srgbClr val="FF00FF"/>
              </a:solidFill>
              <a:prstDash val="solid"/>
            </a:ln>
          </c:spPr>
          <c:marker>
            <c:symbol val="none"/>
          </c:marker>
          <c:cat>
            <c:numRef>
              <c:f>'2-seg W(All)+Cov'!$A$11:$A$56</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7344.335729028825</c:v>
                </c:pt>
                <c:pt idx="1">
                  <c:v>14436.551199097725</c:v>
                </c:pt>
                <c:pt idx="2">
                  <c:v>21285.301328408012</c:v>
                </c:pt>
                <c:pt idx="3">
                  <c:v>27898.943924530697</c:v>
                </c:pt>
                <c:pt idx="4">
                  <c:v>34285.549883777916</c:v>
                </c:pt>
                <c:pt idx="5">
                  <c:v>40452.913040445157</c:v>
                </c:pt>
                <c:pt idx="6">
                  <c:v>46408.559677943333</c:v>
                </c:pt>
                <c:pt idx="7">
                  <c:v>52159.757713427702</c:v>
                </c:pt>
                <c:pt idx="8">
                  <c:v>57713.525567131976</c:v>
                </c:pt>
                <c:pt idx="9">
                  <c:v>63076.64072723117</c:v>
                </c:pt>
                <c:pt idx="10">
                  <c:v>68255.648020685359</c:v>
                </c:pt>
                <c:pt idx="11">
                  <c:v>73256.86760015742</c:v>
                </c:pt>
                <c:pt idx="12">
                  <c:v>78086.402656751801</c:v>
                </c:pt>
                <c:pt idx="13">
                  <c:v>82750.146867985968</c:v>
                </c:pt>
                <c:pt idx="14">
                  <c:v>87253.791590084365</c:v>
                </c:pt>
                <c:pt idx="15">
                  <c:v>91602.832803371042</c:v>
                </c:pt>
                <c:pt idx="16">
                  <c:v>95802.577819237515</c:v>
                </c:pt>
                <c:pt idx="17">
                  <c:v>99858.151756870066</c:v>
                </c:pt>
                <c:pt idx="18">
                  <c:v>103774.50379764057</c:v>
                </c:pt>
                <c:pt idx="19">
                  <c:v>107556.41322479326</c:v>
                </c:pt>
                <c:pt idx="20">
                  <c:v>111208.4952557979</c:v>
                </c:pt>
                <c:pt idx="21">
                  <c:v>114735.20667448692</c:v>
                </c:pt>
                <c:pt idx="22">
                  <c:v>118140.85126984945</c:v>
                </c:pt>
                <c:pt idx="23">
                  <c:v>121429.58508811954</c:v>
                </c:pt>
                <c:pt idx="24">
                  <c:v>124605.42150456809</c:v>
                </c:pt>
                <c:pt idx="25">
                  <c:v>127672.23612118732</c:v>
                </c:pt>
                <c:pt idx="26">
                  <c:v>130633.77149624519</c:v>
                </c:pt>
                <c:pt idx="27">
                  <c:v>133493.641711481</c:v>
                </c:pt>
                <c:pt idx="28">
                  <c:v>136255.33678251592</c:v>
                </c:pt>
                <c:pt idx="29">
                  <c:v>138922.22691786065</c:v>
                </c:pt>
                <c:pt idx="30">
                  <c:v>141497.56663171755</c:v>
                </c:pt>
                <c:pt idx="31">
                  <c:v>143984.49871559627</c:v>
                </c:pt>
                <c:pt idx="32">
                  <c:v>146386.05807358978</c:v>
                </c:pt>
                <c:pt idx="33">
                  <c:v>148705.17542599089</c:v>
                </c:pt>
                <c:pt idx="34">
                  <c:v>150944.68088576914</c:v>
                </c:pt>
                <c:pt idx="35">
                  <c:v>153128.47144011562</c:v>
                </c:pt>
                <c:pt idx="36">
                  <c:v>155236.56203205764</c:v>
                </c:pt>
                <c:pt idx="37">
                  <c:v>157271.57676137282</c:v>
                </c:pt>
                <c:pt idx="38">
                  <c:v>159236.04876478645</c:v>
                </c:pt>
                <c:pt idx="39">
                  <c:v>161114.04480952566</c:v>
                </c:pt>
                <c:pt idx="40">
                  <c:v>162927.57200825959</c:v>
                </c:pt>
                <c:pt idx="41">
                  <c:v>164678.8434817864</c:v>
                </c:pt>
                <c:pt idx="42">
                  <c:v>166369.99637771747</c:v>
                </c:pt>
                <c:pt idx="43">
                  <c:v>168003.09447852554</c:v>
                </c:pt>
                <c:pt idx="44">
                  <c:v>169580.13072006224</c:v>
                </c:pt>
                <c:pt idx="45">
                  <c:v>171103.02962361835</c:v>
                </c:pt>
                <c:pt idx="46">
                  <c:v>172573.64964449525</c:v>
                </c:pt>
                <c:pt idx="47">
                  <c:v>173993.78543995344</c:v>
                </c:pt>
                <c:pt idx="48">
                  <c:v>175365.17005930538</c:v>
                </c:pt>
                <c:pt idx="49">
                  <c:v>176689.47705882601</c:v>
                </c:pt>
                <c:pt idx="50">
                  <c:v>177968.32254406132</c:v>
                </c:pt>
                <c:pt idx="51">
                  <c:v>179203.26714202741</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0D19-4E12-B365-A4426FE6AB0D}"/>
            </c:ext>
          </c:extLst>
        </c:ser>
        <c:ser>
          <c:idx val="2"/>
          <c:order val="2"/>
          <c:spPr>
            <a:ln w="25400">
              <a:solidFill>
                <a:srgbClr val="008000"/>
              </a:solidFill>
              <a:prstDash val="solid"/>
            </a:ln>
          </c:spPr>
          <c:marker>
            <c:symbol val="none"/>
          </c:marker>
          <c:cat>
            <c:numRef>
              <c:f>'2-seg W(All)+Cov'!$A$11:$A$56</c:f>
              <c:numCache>
                <c:formatCode>m/d/yyyy</c:formatCode>
                <c:ptCount val="46"/>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'Everclear -- Sparkle and Fade'!#REF!</c:f>
              <c:numCache>
                <c:formatCode>General</c:formatCode>
                <c:ptCount val="52"/>
                <c:pt idx="0">
                  <c:v>8499.3219409211779</c:v>
                </c:pt>
                <c:pt idx="1">
                  <c:v>16404.804123137495</c:v>
                </c:pt>
                <c:pt idx="2">
                  <c:v>23792.754684577423</c:v>
                </c:pt>
                <c:pt idx="3">
                  <c:v>30725.730351800816</c:v>
                </c:pt>
                <c:pt idx="4">
                  <c:v>37255.646350869756</c:v>
                </c:pt>
                <c:pt idx="5">
                  <c:v>43426.055223524942</c:v>
                </c:pt>
                <c:pt idx="6">
                  <c:v>49273.847370987503</c:v>
                </c:pt>
                <c:pt idx="7">
                  <c:v>54830.540786694248</c:v>
                </c:pt>
                <c:pt idx="8">
                  <c:v>60123.273491882399</c:v>
                </c:pt>
                <c:pt idx="9">
                  <c:v>65175.577222763903</c:v>
                </c:pt>
                <c:pt idx="10">
                  <c:v>70007.987739005519</c:v>
                </c:pt>
                <c:pt idx="11">
                  <c:v>74638.53144247079</c:v>
                </c:pt>
                <c:pt idx="12">
                  <c:v>79083.117190512858</c:v>
                </c:pt>
                <c:pt idx="13">
                  <c:v>83355.854617961581</c:v>
                </c:pt>
                <c:pt idx="14">
                  <c:v>87469.314896583499</c:v>
                </c:pt>
                <c:pt idx="15">
                  <c:v>91434.745975696569</c:v>
                </c:pt>
                <c:pt idx="16">
                  <c:v>95262.251508608126</c:v>
                </c:pt>
                <c:pt idx="17">
                  <c:v>98960.940570115621</c:v>
                </c:pt>
                <c:pt idx="18">
                  <c:v>102539.05370062744</c:v>
                </c:pt>
                <c:pt idx="19">
                  <c:v>106004.06962679887</c:v>
                </c:pt>
                <c:pt idx="20">
                  <c:v>109362.7961043987</c:v>
                </c:pt>
                <c:pt idx="21">
                  <c:v>112621.44763344251</c:v>
                </c:pt>
                <c:pt idx="22">
                  <c:v>115785.71225590339</c:v>
                </c:pt>
                <c:pt idx="23">
                  <c:v>118860.80922427788</c:v>
                </c:pt>
                <c:pt idx="24">
                  <c:v>121851.53899685852</c:v>
                </c:pt>
                <c:pt idx="25">
                  <c:v>124762.32675190546</c:v>
                </c:pt>
                <c:pt idx="26">
                  <c:v>127597.26040240616</c:v>
                </c:pt>
                <c:pt idx="27">
                  <c:v>130360.12392403407</c:v>
                </c:pt>
                <c:pt idx="28">
                  <c:v>133054.42667229407</c:v>
                </c:pt>
                <c:pt idx="29">
                  <c:v>135683.42925384446</c:v>
                </c:pt>
                <c:pt idx="30">
                  <c:v>138250.16642633482</c:v>
                </c:pt>
                <c:pt idx="31">
                  <c:v>140757.46742667383</c:v>
                </c:pt>
                <c:pt idx="32">
                  <c:v>143207.97406628681</c:v>
                </c:pt>
                <c:pt idx="33">
                  <c:v>145604.15688106132</c:v>
                </c:pt>
                <c:pt idx="34">
                  <c:v>147948.3295813876</c:v>
                </c:pt>
                <c:pt idx="35">
                  <c:v>154519.3973396708</c:v>
                </c:pt>
                <c:pt idx="36">
                  <c:v>160712.39594842569</c:v>
                </c:pt>
                <c:pt idx="37">
                  <c:v>166567.77713775184</c:v>
                </c:pt>
                <c:pt idx="38">
                  <c:v>172119.86247883536</c:v>
                </c:pt>
                <c:pt idx="39">
                  <c:v>173955.8060925912</c:v>
                </c:pt>
                <c:pt idx="40">
                  <c:v>175760.75892452724</c:v>
                </c:pt>
                <c:pt idx="41">
                  <c:v>177535.73104752653</c:v>
                </c:pt>
                <c:pt idx="42">
                  <c:v>179281.68424125924</c:v>
                </c:pt>
                <c:pt idx="43">
                  <c:v>180999.53501339117</c:v>
                </c:pt>
                <c:pt idx="44">
                  <c:v>182690.15738858763</c:v>
                </c:pt>
                <c:pt idx="45">
                  <c:v>184354.38548637839</c:v>
                </c:pt>
                <c:pt idx="46">
                  <c:v>185993.01590675808</c:v>
                </c:pt>
                <c:pt idx="47">
                  <c:v>187606.80994045688</c:v>
                </c:pt>
                <c:pt idx="48">
                  <c:v>189196.49561910034</c:v>
                </c:pt>
                <c:pt idx="49">
                  <c:v>190762.76961896522</c:v>
                </c:pt>
                <c:pt idx="50">
                  <c:v>192306.29903068152</c:v>
                </c:pt>
                <c:pt idx="51">
                  <c:v>193827.72300604312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0D19-4E12-B365-A4426FE6AB0D}"/>
            </c:ext>
          </c:extLst>
        </c:ser>
        <c:dLbls>
          <c:showLegendKey val="0"/>
          <c:showVal val="0"/>
          <c:showCatName val="0"/>
          <c:showSerName val="0"/>
          <c:showPercent val="0"/>
          <c:showBubbleSize val="0"/>
        </c:dLbls>
        <c:marker val="1"/>
        <c:smooth val="0"/>
        <c:axId val="175063424"/>
        <c:axId val="175065344"/>
      </c:lineChart>
      <c:catAx>
        <c:axId val="17506342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65344"/>
        <c:crosses val="autoZero"/>
        <c:auto val="0"/>
        <c:lblAlgn val="ctr"/>
        <c:lblOffset val="100"/>
        <c:tickLblSkip val="153"/>
        <c:tickMarkSkip val="1"/>
        <c:noMultiLvlLbl val="0"/>
      </c:catAx>
      <c:valAx>
        <c:axId val="175065344"/>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63424"/>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Actual</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'2-seg W(All)+Cov'!$D$11:$D$37</c:f>
              <c:numCache>
                <c:formatCode>General</c:formatCode>
                <c:ptCount val="27"/>
                <c:pt idx="0">
                  <c:v>74</c:v>
                </c:pt>
                <c:pt idx="1">
                  <c:v>68</c:v>
                </c:pt>
                <c:pt idx="2">
                  <c:v>85</c:v>
                </c:pt>
                <c:pt idx="3">
                  <c:v>86</c:v>
                </c:pt>
                <c:pt idx="4">
                  <c:v>96</c:v>
                </c:pt>
                <c:pt idx="5">
                  <c:v>107</c:v>
                </c:pt>
                <c:pt idx="6">
                  <c:v>85</c:v>
                </c:pt>
                <c:pt idx="7">
                  <c:v>74</c:v>
                </c:pt>
                <c:pt idx="8">
                  <c:v>87</c:v>
                </c:pt>
                <c:pt idx="9">
                  <c:v>74</c:v>
                </c:pt>
                <c:pt idx="10">
                  <c:v>88</c:v>
                </c:pt>
                <c:pt idx="11">
                  <c:v>101</c:v>
                </c:pt>
                <c:pt idx="12">
                  <c:v>176</c:v>
                </c:pt>
                <c:pt idx="13">
                  <c:v>144</c:v>
                </c:pt>
                <c:pt idx="14">
                  <c:v>178</c:v>
                </c:pt>
                <c:pt idx="15">
                  <c:v>141</c:v>
                </c:pt>
                <c:pt idx="16">
                  <c:v>151</c:v>
                </c:pt>
                <c:pt idx="17">
                  <c:v>102</c:v>
                </c:pt>
                <c:pt idx="18">
                  <c:v>132</c:v>
                </c:pt>
                <c:pt idx="19">
                  <c:v>188</c:v>
                </c:pt>
                <c:pt idx="20">
                  <c:v>121</c:v>
                </c:pt>
                <c:pt idx="21">
                  <c:v>139</c:v>
                </c:pt>
                <c:pt idx="22">
                  <c:v>166</c:v>
                </c:pt>
                <c:pt idx="23">
                  <c:v>170</c:v>
                </c:pt>
                <c:pt idx="24">
                  <c:v>316</c:v>
                </c:pt>
                <c:pt idx="25">
                  <c:v>427</c:v>
                </c:pt>
                <c:pt idx="26">
                  <c:v>584</c:v>
                </c:pt>
              </c:numCache>
            </c:numRef>
          </c:val>
          <c:smooth val="0"/>
          <c:extLst>
            <c:ext xmlns:c16="http://schemas.microsoft.com/office/drawing/2014/chart" uri="{C3380CC4-5D6E-409C-BE32-E72D297353CC}">
              <c16:uniqueId val="{00000000-2DE8-432F-8342-60EBE6D151C6}"/>
            </c:ext>
          </c:extLst>
        </c:ser>
        <c:ser>
          <c:idx val="1"/>
          <c:order val="1"/>
          <c:tx>
            <c:v>Expected</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'2-seg W(All)+Cov'!$L$11:$L$37</c:f>
              <c:numCache>
                <c:formatCode>_(* #,##0_);_(* \(#,##0\);_(* "-"??_);_(@_)</c:formatCode>
                <c:ptCount val="27"/>
                <c:pt idx="0">
                  <c:v>70.564593266685989</c:v>
                </c:pt>
                <c:pt idx="1">
                  <c:v>70.018831252758048</c:v>
                </c:pt>
                <c:pt idx="2">
                  <c:v>78.452119321928649</c:v>
                </c:pt>
                <c:pt idx="3">
                  <c:v>86.031141302478346</c:v>
                </c:pt>
                <c:pt idx="4">
                  <c:v>92.119689883385377</c:v>
                </c:pt>
                <c:pt idx="5">
                  <c:v>97.258466532090836</c:v>
                </c:pt>
                <c:pt idx="6">
                  <c:v>101.72957891254606</c:v>
                </c:pt>
                <c:pt idx="7">
                  <c:v>105.70103635673127</c:v>
                </c:pt>
                <c:pt idx="8">
                  <c:v>109.28189620694741</c:v>
                </c:pt>
                <c:pt idx="9">
                  <c:v>112.54740405887151</c:v>
                </c:pt>
                <c:pt idx="10">
                  <c:v>115.55190384915363</c:v>
                </c:pt>
                <c:pt idx="11">
                  <c:v>118.33606514478629</c:v>
                </c:pt>
                <c:pt idx="12">
                  <c:v>120.93120442859822</c:v>
                </c:pt>
                <c:pt idx="13">
                  <c:v>123.36200687869109</c:v>
                </c:pt>
                <c:pt idx="14">
                  <c:v>125.6483147008214</c:v>
                </c:pt>
                <c:pt idx="15">
                  <c:v>127.80634406160948</c:v>
                </c:pt>
                <c:pt idx="16">
                  <c:v>129.84953804642259</c:v>
                </c:pt>
                <c:pt idx="17">
                  <c:v>131.78917982031862</c:v>
                </c:pt>
                <c:pt idx="18">
                  <c:v>133.63484316727408</c:v>
                </c:pt>
                <c:pt idx="19">
                  <c:v>135.39472993783193</c:v>
                </c:pt>
                <c:pt idx="20">
                  <c:v>141.98022456792842</c:v>
                </c:pt>
                <c:pt idx="21">
                  <c:v>143.28508430017064</c:v>
                </c:pt>
                <c:pt idx="22">
                  <c:v>162.21553645759968</c:v>
                </c:pt>
                <c:pt idx="23">
                  <c:v>195.72389681231653</c:v>
                </c:pt>
                <c:pt idx="24">
                  <c:v>300.71130049273961</c:v>
                </c:pt>
                <c:pt idx="25">
                  <c:v>357.09318470135122</c:v>
                </c:pt>
                <c:pt idx="26">
                  <c:v>471.64509756307825</c:v>
                </c:pt>
              </c:numCache>
            </c:numRef>
          </c:val>
          <c:smooth val="0"/>
          <c:extLst>
            <c:ext xmlns:c16="http://schemas.microsoft.com/office/drawing/2014/chart" uri="{C3380CC4-5D6E-409C-BE32-E72D297353CC}">
              <c16:uniqueId val="{00000001-2DE8-432F-8342-60EBE6D151C6}"/>
            </c:ext>
          </c:extLst>
        </c:ser>
        <c:dLbls>
          <c:showLegendKey val="0"/>
          <c:showVal val="0"/>
          <c:showCatName val="0"/>
          <c:showSerName val="0"/>
          <c:showPercent val="0"/>
          <c:showBubbleSize val="0"/>
        </c:dLbls>
        <c:marker val="1"/>
        <c:smooth val="0"/>
        <c:axId val="1023026304"/>
        <c:axId val="1023025648"/>
      </c:lineChart>
      <c:catAx>
        <c:axId val="102302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25648"/>
        <c:crosses val="autoZero"/>
        <c:auto val="1"/>
        <c:lblAlgn val="ctr"/>
        <c:lblOffset val="100"/>
        <c:noMultiLvlLbl val="0"/>
      </c:catAx>
      <c:valAx>
        <c:axId val="102302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26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636082969035784E-2"/>
          <c:y val="4.5142186684028834E-2"/>
          <c:w val="0.80797139237331739"/>
          <c:h val="0.86510190102206219"/>
        </c:manualLayout>
      </c:layout>
      <c:lineChart>
        <c:grouping val="standard"/>
        <c:varyColors val="0"/>
        <c:ser>
          <c:idx val="0"/>
          <c:order val="0"/>
          <c:tx>
            <c:strRef>
              <c:f>'Sparklehorse (SH)'!$C$1</c:f>
              <c:strCache>
                <c:ptCount val="1"/>
                <c:pt idx="0">
                  <c:v>airplay</c:v>
                </c:pt>
              </c:strCache>
            </c:strRef>
          </c:tx>
          <c:cat>
            <c:numRef>
              <c:f>'Sparklehorse (SH)'!$A$2:$A$28</c:f>
              <c:numCache>
                <c:formatCode>m/d/yyyy</c:formatCode>
                <c:ptCount val="27"/>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'Sparklehorse (SH)'!$C$2:$C$28</c:f>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formatCode="0">
                  <c:v>20.080000000000002</c:v>
                </c:pt>
                <c:pt idx="19" formatCode="0">
                  <c:v>18.669999999999998</c:v>
                </c:pt>
                <c:pt idx="20" formatCode="0">
                  <c:v>83.27000000000001</c:v>
                </c:pt>
                <c:pt idx="21" formatCode="0">
                  <c:v>184.69</c:v>
                </c:pt>
                <c:pt idx="22" formatCode="0">
                  <c:v>424.75</c:v>
                </c:pt>
                <c:pt idx="23" formatCode="0">
                  <c:v>518.51</c:v>
                </c:pt>
                <c:pt idx="24" formatCode="0">
                  <c:v>673.75</c:v>
                </c:pt>
                <c:pt idx="25" formatCode="0">
                  <c:v>670.4</c:v>
                </c:pt>
                <c:pt idx="26" formatCode="0">
                  <c:v>657.45</c:v>
                </c:pt>
              </c:numCache>
            </c:numRef>
          </c:val>
          <c:smooth val="0"/>
          <c:extLst>
            <c:ext xmlns:c16="http://schemas.microsoft.com/office/drawing/2014/chart" uri="{C3380CC4-5D6E-409C-BE32-E72D297353CC}">
              <c16:uniqueId val="{00000000-4D50-4680-AD3D-1DBC36D91730}"/>
            </c:ext>
          </c:extLst>
        </c:ser>
        <c:ser>
          <c:idx val="1"/>
          <c:order val="1"/>
          <c:tx>
            <c:strRef>
              <c:f>'Sparklehorse (SH)'!$B$1</c:f>
              <c:strCache>
                <c:ptCount val="1"/>
                <c:pt idx="0">
                  <c:v>sales</c:v>
                </c:pt>
              </c:strCache>
            </c:strRef>
          </c:tx>
          <c:cat>
            <c:numRef>
              <c:f>'Sparklehorse (SH)'!$A$2:$A$28</c:f>
              <c:numCache>
                <c:formatCode>m/d/yyyy</c:formatCode>
                <c:ptCount val="27"/>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'Sparklehorse (SH)'!$B$2:$B$28</c:f>
              <c:numCache>
                <c:formatCode>General</c:formatCode>
                <c:ptCount val="27"/>
                <c:pt idx="0">
                  <c:v>74</c:v>
                </c:pt>
                <c:pt idx="1">
                  <c:v>68</c:v>
                </c:pt>
                <c:pt idx="2">
                  <c:v>85</c:v>
                </c:pt>
                <c:pt idx="3">
                  <c:v>86</c:v>
                </c:pt>
                <c:pt idx="4">
                  <c:v>96</c:v>
                </c:pt>
                <c:pt idx="5">
                  <c:v>107</c:v>
                </c:pt>
                <c:pt idx="6">
                  <c:v>85</c:v>
                </c:pt>
                <c:pt idx="7">
                  <c:v>74</c:v>
                </c:pt>
                <c:pt idx="8">
                  <c:v>87</c:v>
                </c:pt>
                <c:pt idx="9">
                  <c:v>74</c:v>
                </c:pt>
                <c:pt idx="10">
                  <c:v>88</c:v>
                </c:pt>
                <c:pt idx="11">
                  <c:v>101</c:v>
                </c:pt>
                <c:pt idx="12">
                  <c:v>176</c:v>
                </c:pt>
                <c:pt idx="13">
                  <c:v>144</c:v>
                </c:pt>
                <c:pt idx="14">
                  <c:v>178</c:v>
                </c:pt>
                <c:pt idx="15">
                  <c:v>141</c:v>
                </c:pt>
                <c:pt idx="16">
                  <c:v>151</c:v>
                </c:pt>
                <c:pt idx="17">
                  <c:v>102</c:v>
                </c:pt>
                <c:pt idx="18">
                  <c:v>132</c:v>
                </c:pt>
                <c:pt idx="19">
                  <c:v>188</c:v>
                </c:pt>
                <c:pt idx="20">
                  <c:v>121</c:v>
                </c:pt>
                <c:pt idx="21">
                  <c:v>139</c:v>
                </c:pt>
                <c:pt idx="22">
                  <c:v>166</c:v>
                </c:pt>
                <c:pt idx="23">
                  <c:v>170</c:v>
                </c:pt>
                <c:pt idx="24">
                  <c:v>316</c:v>
                </c:pt>
                <c:pt idx="25">
                  <c:v>427</c:v>
                </c:pt>
                <c:pt idx="26">
                  <c:v>584</c:v>
                </c:pt>
              </c:numCache>
            </c:numRef>
          </c:val>
          <c:smooth val="0"/>
          <c:extLst>
            <c:ext xmlns:c16="http://schemas.microsoft.com/office/drawing/2014/chart" uri="{C3380CC4-5D6E-409C-BE32-E72D297353CC}">
              <c16:uniqueId val="{00000001-4D50-4680-AD3D-1DBC36D91730}"/>
            </c:ext>
          </c:extLst>
        </c:ser>
        <c:dLbls>
          <c:showLegendKey val="0"/>
          <c:showVal val="0"/>
          <c:showCatName val="0"/>
          <c:showSerName val="0"/>
          <c:showPercent val="0"/>
          <c:showBubbleSize val="0"/>
        </c:dLbls>
        <c:marker val="1"/>
        <c:smooth val="0"/>
        <c:axId val="175179264"/>
        <c:axId val="175180800"/>
      </c:lineChart>
      <c:dateAx>
        <c:axId val="175179264"/>
        <c:scaling>
          <c:orientation val="minMax"/>
        </c:scaling>
        <c:delete val="0"/>
        <c:axPos val="b"/>
        <c:numFmt formatCode="m/d/yy;@" sourceLinked="0"/>
        <c:majorTickMark val="out"/>
        <c:minorTickMark val="none"/>
        <c:tickLblPos val="nextTo"/>
        <c:crossAx val="175180800"/>
        <c:crosses val="autoZero"/>
        <c:auto val="0"/>
        <c:lblOffset val="100"/>
        <c:baseTimeUnit val="days"/>
      </c:dateAx>
      <c:valAx>
        <c:axId val="175180800"/>
        <c:scaling>
          <c:orientation val="minMax"/>
        </c:scaling>
        <c:delete val="0"/>
        <c:axPos val="l"/>
        <c:majorGridlines/>
        <c:numFmt formatCode="General" sourceLinked="1"/>
        <c:majorTickMark val="out"/>
        <c:minorTickMark val="none"/>
        <c:tickLblPos val="nextTo"/>
        <c:crossAx val="175179264"/>
        <c:crossesAt val="34973"/>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weekly sales and airplay</a:t>
            </a:r>
          </a:p>
        </c:rich>
      </c:tx>
      <c:overlay val="0"/>
      <c:spPr>
        <a:noFill/>
        <a:ln w="25400">
          <a:noFill/>
        </a:ln>
      </c:spPr>
    </c:title>
    <c:autoTitleDeleted val="0"/>
    <c:plotArea>
      <c:layout/>
      <c:lineChart>
        <c:grouping val="standard"/>
        <c:varyColors val="0"/>
        <c:ser>
          <c:idx val="0"/>
          <c:order val="0"/>
          <c:tx>
            <c:strRef>
              <c:f>'Model Comp'!#REF!</c:f>
              <c:strCache>
                <c:ptCount val="1"/>
                <c:pt idx="0">
                  <c:v>#REF!</c:v>
                </c:pt>
              </c:strCache>
            </c:strRef>
          </c:tx>
          <c:spPr>
            <a:ln w="25400">
              <a:solidFill>
                <a:srgbClr val="000080"/>
              </a:solidFill>
              <a:prstDash val="solid"/>
            </a:ln>
          </c:spPr>
          <c:marker>
            <c:symbol val="none"/>
          </c:marker>
          <c:cat>
            <c:strRef>
              <c:f>'Model Comp'!$L$2:$L$42</c:f>
              <c:strCache>
                <c:ptCount val="28"/>
                <c:pt idx="0">
                  <c:v>Week</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strCache>
            </c:strRef>
          </c:cat>
          <c:val>
            <c:numRef>
              <c:f>'Model Comp'!#REF!</c:f>
              <c:numCache>
                <c:formatCode>General</c:formatCode>
                <c:ptCount val="1"/>
                <c:pt idx="0">
                  <c:v>1</c:v>
                </c:pt>
              </c:numCache>
            </c:numRef>
          </c:val>
          <c:smooth val="0"/>
          <c:extLst>
            <c:ext xmlns:c16="http://schemas.microsoft.com/office/drawing/2014/chart" uri="{C3380CC4-5D6E-409C-BE32-E72D297353CC}">
              <c16:uniqueId val="{00000000-66AE-4111-982C-9E7D4815E868}"/>
            </c:ext>
          </c:extLst>
        </c:ser>
        <c:ser>
          <c:idx val="1"/>
          <c:order val="1"/>
          <c:tx>
            <c:strRef>
              <c:f>'Model Comp'!$M$1</c:f>
              <c:strCache>
                <c:ptCount val="1"/>
              </c:strCache>
            </c:strRef>
          </c:tx>
          <c:spPr>
            <a:ln w="25400">
              <a:solidFill>
                <a:srgbClr val="FF00FF"/>
              </a:solidFill>
              <a:prstDash val="solid"/>
            </a:ln>
          </c:spPr>
          <c:marker>
            <c:symbol val="none"/>
          </c:marker>
          <c:cat>
            <c:strRef>
              <c:f>'Model Comp'!$L$2:$L$42</c:f>
              <c:strCache>
                <c:ptCount val="28"/>
                <c:pt idx="0">
                  <c:v>Week</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strCache>
            </c:strRef>
          </c:cat>
          <c:val>
            <c:numRef>
              <c:f>'Model Comp'!$M$2:$M$42</c:f>
              <c:numCache>
                <c:formatCode>_(* #,##0_);_(* \(#,##0\);_(* "-"??_);_(@_)</c:formatCode>
                <c:ptCount val="41"/>
                <c:pt idx="0" formatCode="General">
                  <c:v>0</c:v>
                </c:pt>
                <c:pt idx="1">
                  <c:v>653.74299479893375</c:v>
                </c:pt>
                <c:pt idx="2">
                  <c:v>1883.9340810252736</c:v>
                </c:pt>
                <c:pt idx="3">
                  <c:v>3483.178841127954</c:v>
                </c:pt>
                <c:pt idx="4">
                  <c:v>5365.7073263828406</c:v>
                </c:pt>
                <c:pt idx="5">
                  <c:v>7475.3551705546206</c:v>
                </c:pt>
                <c:pt idx="6">
                  <c:v>9769.6211586296049</c:v>
                </c:pt>
                <c:pt idx="7">
                  <c:v>12213.918292483128</c:v>
                </c:pt>
                <c:pt idx="8">
                  <c:v>14778.912586298653</c:v>
                </c:pt>
                <c:pt idx="9">
                  <c:v>17439.100259418807</c:v>
                </c:pt>
                <c:pt idx="10">
                  <c:v>20171.968748981937</c:v>
                </c:pt>
                <c:pt idx="11">
                  <c:v>22957.463904899665</c:v>
                </c:pt>
                <c:pt idx="12">
                  <c:v>25777.630316312006</c:v>
                </c:pt>
                <c:pt idx="13">
                  <c:v>28616.355120640212</c:v>
                </c:pt>
                <c:pt idx="14">
                  <c:v>31459.176330066919</c:v>
                </c:pt>
                <c:pt idx="15">
                  <c:v>34293.132733515042</c:v>
                </c:pt>
                <c:pt idx="16">
                  <c:v>37106.641321328934</c:v>
                </c:pt>
                <c:pt idx="17">
                  <c:v>39889.393359129142</c:v>
                </c:pt>
                <c:pt idx="18">
                  <c:v>42632.263378858945</c:v>
                </c:pt>
                <c:pt idx="19">
                  <c:v>45327.227324671956</c:v>
                </c:pt>
                <c:pt idx="20">
                  <c:v>47967.287360022368</c:v>
                </c:pt>
                <c:pt idx="21">
                  <c:v>50546.401677439011</c:v>
                </c:pt>
                <c:pt idx="22">
                  <c:v>53059.418211407668</c:v>
                </c:pt>
                <c:pt idx="23">
                  <c:v>55502.011533307581</c:v>
                </c:pt>
                <c:pt idx="24">
                  <c:v>57870.622465400236</c:v>
                </c:pt>
                <c:pt idx="25">
                  <c:v>60162.400126963897</c:v>
                </c:pt>
                <c:pt idx="26">
                  <c:v>62375.146245138712</c:v>
                </c:pt>
                <c:pt idx="27">
                  <c:v>64507.261642905723</c:v>
                </c:pt>
              </c:numCache>
            </c:numRef>
          </c:val>
          <c:smooth val="0"/>
          <c:extLst>
            <c:ext xmlns:c16="http://schemas.microsoft.com/office/drawing/2014/chart" uri="{C3380CC4-5D6E-409C-BE32-E72D297353CC}">
              <c16:uniqueId val="{00000001-66AE-4111-982C-9E7D4815E868}"/>
            </c:ext>
          </c:extLst>
        </c:ser>
        <c:dLbls>
          <c:showLegendKey val="0"/>
          <c:showVal val="0"/>
          <c:showCatName val="0"/>
          <c:showSerName val="0"/>
          <c:showPercent val="0"/>
          <c:showBubbleSize val="0"/>
        </c:dLbls>
        <c:smooth val="0"/>
        <c:axId val="174322048"/>
        <c:axId val="174323968"/>
      </c:lineChart>
      <c:catAx>
        <c:axId val="17432204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323968"/>
        <c:crosses val="autoZero"/>
        <c:auto val="0"/>
        <c:lblAlgn val="ctr"/>
        <c:lblOffset val="100"/>
        <c:tickLblSkip val="132"/>
        <c:tickMarkSkip val="1"/>
        <c:noMultiLvlLbl val="0"/>
      </c:catAx>
      <c:valAx>
        <c:axId val="174323968"/>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sales/airplay</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322048"/>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genuine forecasts</a:t>
            </a:r>
          </a:p>
        </c:rich>
      </c:tx>
      <c:overlay val="0"/>
      <c:spPr>
        <a:noFill/>
        <a:ln w="25400">
          <a:noFill/>
        </a:ln>
      </c:spPr>
    </c:title>
    <c:autoTitleDeleted val="0"/>
    <c:plotArea>
      <c:layout/>
      <c:lineChart>
        <c:grouping val="standard"/>
        <c:varyColors val="0"/>
        <c:ser>
          <c:idx val="0"/>
          <c:order val="0"/>
          <c:spPr>
            <a:ln w="25400">
              <a:solidFill>
                <a:srgbClr val="FF00FF"/>
              </a:solidFill>
              <a:prstDash val="solid"/>
            </a:ln>
          </c:spPr>
          <c:marker>
            <c:symbol val="none"/>
          </c:marker>
          <c:cat>
            <c:strRef>
              <c:f>'Model Comp'!$L$2:$L$42</c:f>
              <c:strCache>
                <c:ptCount val="28"/>
                <c:pt idx="0">
                  <c:v>Week</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strCache>
            </c:strRef>
          </c:cat>
          <c:val>
            <c:numRef>
              <c:f>'Everclear -- Sparkle and Fade'!#REF!</c:f>
              <c:numCache>
                <c:formatCode>General</c:formatCode>
                <c:ptCount val="65"/>
                <c:pt idx="0">
                  <c:v>5224.4217589694226</c:v>
                </c:pt>
                <c:pt idx="1">
                  <c:v>10420.095805764095</c:v>
                </c:pt>
                <c:pt idx="2">
                  <c:v>15587.180326494108</c:v>
                </c:pt>
                <c:pt idx="3">
                  <c:v>20725.832636840245</c:v>
                </c:pt>
                <c:pt idx="4">
                  <c:v>25836.209186844131</c:v>
                </c:pt>
                <c:pt idx="5">
                  <c:v>30918.465565670696</c:v>
                </c:pt>
                <c:pt idx="6">
                  <c:v>35972.756506346028</c:v>
                </c:pt>
                <c:pt idx="7">
                  <c:v>40999.235890467557</c:v>
                </c:pt>
                <c:pt idx="8">
                  <c:v>45998.05675288973</c:v>
                </c:pt>
                <c:pt idx="9">
                  <c:v>50969.371286382971</c:v>
                </c:pt>
                <c:pt idx="10">
                  <c:v>55913.330846267076</c:v>
                </c:pt>
                <c:pt idx="11">
                  <c:v>60830.085955019866</c:v>
                </c:pt>
                <c:pt idx="12">
                  <c:v>65719.786306859693</c:v>
                </c:pt>
                <c:pt idx="13">
                  <c:v>70582.580772302666</c:v>
                </c:pt>
                <c:pt idx="14">
                  <c:v>75418.617402695774</c:v>
                </c:pt>
                <c:pt idx="15">
                  <c:v>80228.043434723877</c:v>
                </c:pt>
                <c:pt idx="16">
                  <c:v>85011.005294892748</c:v>
                </c:pt>
                <c:pt idx="17">
                  <c:v>89767.648603987065</c:v>
                </c:pt>
                <c:pt idx="18">
                  <c:v>94498.118181503552</c:v>
                </c:pt>
                <c:pt idx="19">
                  <c:v>99202.558050060892</c:v>
                </c:pt>
                <c:pt idx="20">
                  <c:v>103881.11143978406</c:v>
                </c:pt>
                <c:pt idx="21">
                  <c:v>108533.920792665</c:v>
                </c:pt>
                <c:pt idx="22">
                  <c:v>113161.12776689969</c:v>
                </c:pt>
                <c:pt idx="23">
                  <c:v>117762.87324120097</c:v>
                </c:pt>
                <c:pt idx="24">
                  <c:v>122339.29731908746</c:v>
                </c:pt>
                <c:pt idx="25">
                  <c:v>126890.53933314937</c:v>
                </c:pt>
                <c:pt idx="26">
                  <c:v>131416.73784929057</c:v>
                </c:pt>
                <c:pt idx="27">
                  <c:v>135918.03067094708</c:v>
                </c:pt>
                <c:pt idx="28">
                  <c:v>140394.55484328285</c:v>
                </c:pt>
                <c:pt idx="29">
                  <c:v>144846.44665736225</c:v>
                </c:pt>
                <c:pt idx="30">
                  <c:v>149273.84165429918</c:v>
                </c:pt>
                <c:pt idx="31">
                  <c:v>153676.87462938423</c:v>
                </c:pt>
                <c:pt idx="32">
                  <c:v>158055.67963618806</c:v>
                </c:pt>
                <c:pt idx="33">
                  <c:v>162410.38999064319</c:v>
                </c:pt>
                <c:pt idx="34">
                  <c:v>166741.13827510292</c:v>
                </c:pt>
                <c:pt idx="35">
                  <c:v>171048.05634237741</c:v>
                </c:pt>
                <c:pt idx="36">
                  <c:v>175331.2753197487</c:v>
                </c:pt>
                <c:pt idx="37">
                  <c:v>179590.92561296254</c:v>
                </c:pt>
                <c:pt idx="38">
                  <c:v>183827.13691019849</c:v>
                </c:pt>
                <c:pt idx="39">
                  <c:v>188040.03818601923</c:v>
                </c:pt>
                <c:pt idx="40">
                  <c:v>192229.75770529616</c:v>
                </c:pt>
                <c:pt idx="41">
                  <c:v>196396.42302711552</c:v>
                </c:pt>
                <c:pt idx="42">
                  <c:v>200540.16100866138</c:v>
                </c:pt>
                <c:pt idx="43">
                  <c:v>204661.09780907811</c:v>
                </c:pt>
                <c:pt idx="44">
                  <c:v>208759.35889331135</c:v>
                </c:pt>
                <c:pt idx="45">
                  <c:v>212835.0690359282</c:v>
                </c:pt>
                <c:pt idx="46">
                  <c:v>216888.35232491541</c:v>
                </c:pt>
                <c:pt idx="47">
                  <c:v>220919.33216545792</c:v>
                </c:pt>
                <c:pt idx="48">
                  <c:v>224928.13128369578</c:v>
                </c:pt>
                <c:pt idx="49">
                  <c:v>228914.87173046058</c:v>
                </c:pt>
                <c:pt idx="50">
                  <c:v>232879.67488499157</c:v>
                </c:pt>
                <c:pt idx="51">
                  <c:v>236822.66145863105</c:v>
                </c:pt>
                <c:pt idx="52">
                  <c:v>240743.95149849943</c:v>
                </c:pt>
                <c:pt idx="53">
                  <c:v>244643.6643911502</c:v>
                </c:pt>
                <c:pt idx="54">
                  <c:v>248521.91886620491</c:v>
                </c:pt>
                <c:pt idx="55">
                  <c:v>252378.83299996777</c:v>
                </c:pt>
                <c:pt idx="56">
                  <c:v>256214.52421902039</c:v>
                </c:pt>
                <c:pt idx="57">
                  <c:v>260029.10930379757</c:v>
                </c:pt>
                <c:pt idx="58">
                  <c:v>263822.70439214213</c:v>
                </c:pt>
                <c:pt idx="59">
                  <c:v>267595.42498284113</c:v>
                </c:pt>
                <c:pt idx="60">
                  <c:v>271347.38593914203</c:v>
                </c:pt>
                <c:pt idx="61">
                  <c:v>275078.7014922502</c:v>
                </c:pt>
                <c:pt idx="62">
                  <c:v>278789.48524480656</c:v>
                </c:pt>
                <c:pt idx="63">
                  <c:v>282479.85017434612</c:v>
                </c:pt>
                <c:pt idx="64">
                  <c:v>286149.90863673808</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0-037C-4477-B1F0-E3E7E31A70AC}"/>
            </c:ext>
          </c:extLst>
        </c:ser>
        <c:ser>
          <c:idx val="1"/>
          <c:order val="1"/>
          <c:spPr>
            <a:ln w="25400">
              <a:solidFill>
                <a:srgbClr val="008000"/>
              </a:solidFill>
              <a:prstDash val="solid"/>
            </a:ln>
          </c:spPr>
          <c:marker>
            <c:symbol val="none"/>
          </c:marker>
          <c:cat>
            <c:strRef>
              <c:f>'Model Comp'!$L$2:$L$42</c:f>
              <c:strCache>
                <c:ptCount val="28"/>
                <c:pt idx="0">
                  <c:v>Week</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strCache>
            </c:strRef>
          </c:cat>
          <c:val>
            <c:numRef>
              <c:f>'Everclear -- Sparkle and Fade'!#REF!</c:f>
              <c:numCache>
                <c:formatCode>General</c:formatCode>
                <c:ptCount val="65"/>
                <c:pt idx="0">
                  <c:v>5337.8599834530414</c:v>
                </c:pt>
                <c:pt idx="1">
                  <c:v>10635.213722550718</c:v>
                </c:pt>
                <c:pt idx="2">
                  <c:v>15892.601184708477</c:v>
                </c:pt>
                <c:pt idx="3">
                  <c:v>21110.55207449153</c:v>
                </c:pt>
                <c:pt idx="4">
                  <c:v>26289.58608625942</c:v>
                </c:pt>
                <c:pt idx="5">
                  <c:v>31430.213149191033</c:v>
                </c:pt>
                <c:pt idx="6">
                  <c:v>36532.933664959797</c:v>
                </c:pt>
                <c:pt idx="7">
                  <c:v>41598.238738319917</c:v>
                </c:pt>
                <c:pt idx="8">
                  <c:v>46626.610400853031</c:v>
                </c:pt>
                <c:pt idx="9">
                  <c:v>51618.521828118544</c:v>
                </c:pt>
                <c:pt idx="10">
                  <c:v>56574.437550431008</c:v>
                </c:pt>
                <c:pt idx="11">
                  <c:v>61494.813657491432</c:v>
                </c:pt>
                <c:pt idx="12">
                  <c:v>66380.097997082339</c:v>
                </c:pt>
                <c:pt idx="13">
                  <c:v>71230.730368030068</c:v>
                </c:pt>
                <c:pt idx="14">
                  <c:v>76047.142707627907</c:v>
                </c:pt>
                <c:pt idx="15">
                  <c:v>80829.759273713717</c:v>
                </c:pt>
                <c:pt idx="16">
                  <c:v>85578.996821573106</c:v>
                </c:pt>
                <c:pt idx="17">
                  <c:v>90295.264775854594</c:v>
                </c:pt>
                <c:pt idx="18">
                  <c:v>94978.965397647946</c:v>
                </c:pt>
                <c:pt idx="19">
                  <c:v>99630.493946900606</c:v>
                </c:pt>
                <c:pt idx="20">
                  <c:v>104250.23884031737</c:v>
                </c:pt>
                <c:pt idx="21">
                  <c:v>108838.58180489393</c:v>
                </c:pt>
                <c:pt idx="22">
                  <c:v>113395.89802722905</c:v>
                </c:pt>
                <c:pt idx="23">
                  <c:v>117922.55629874914</c:v>
                </c:pt>
                <c:pt idx="24">
                  <c:v>122418.91915698122</c:v>
                </c:pt>
                <c:pt idx="25">
                  <c:v>126885.34302299759</c:v>
                </c:pt>
                <c:pt idx="26">
                  <c:v>131322.17833515958</c:v>
                </c:pt>
                <c:pt idx="27">
                  <c:v>135729.76967927342</c:v>
                </c:pt>
                <c:pt idx="28">
                  <c:v>140108.45591527323</c:v>
                </c:pt>
                <c:pt idx="29">
                  <c:v>144458.57030054598</c:v>
                </c:pt>
                <c:pt idx="30">
                  <c:v>148780.44060999496</c:v>
                </c:pt>
                <c:pt idx="31">
                  <c:v>153074.38925294904</c:v>
                </c:pt>
                <c:pt idx="32">
                  <c:v>157340.73338701771</c:v>
                </c:pt>
                <c:pt idx="33">
                  <c:v>161579.78502897974</c:v>
                </c:pt>
                <c:pt idx="34">
                  <c:v>165791.85116280272</c:v>
                </c:pt>
                <c:pt idx="35">
                  <c:v>170644.09835148463</c:v>
                </c:pt>
                <c:pt idx="36">
                  <c:v>175460.90841741636</c:v>
                </c:pt>
                <c:pt idx="37">
                  <c:v>180242.73609641616</c:v>
                </c:pt>
                <c:pt idx="38">
                  <c:v>184990.02780267669</c:v>
                </c:pt>
                <c:pt idx="39">
                  <c:v>189055.42271100107</c:v>
                </c:pt>
                <c:pt idx="40">
                  <c:v>193095.75015619418</c:v>
                </c:pt>
                <c:pt idx="41">
                  <c:v>197111.28195723804</c:v>
                </c:pt>
                <c:pt idx="42">
                  <c:v>201102.28572613787</c:v>
                </c:pt>
                <c:pt idx="43">
                  <c:v>205069.02495234559</c:v>
                </c:pt>
                <c:pt idx="44">
                  <c:v>209011.75908510594</c:v>
                </c:pt>
                <c:pt idx="45">
                  <c:v>212930.74361378362</c:v>
                </c:pt>
                <c:pt idx="46">
                  <c:v>216826.23014623381</c:v>
                </c:pt>
                <c:pt idx="47">
                  <c:v>220698.46648526614</c:v>
                </c:pt>
                <c:pt idx="48">
                  <c:v>224547.6967032649</c:v>
                </c:pt>
                <c:pt idx="49">
                  <c:v>228374.16121501286</c:v>
                </c:pt>
                <c:pt idx="50">
                  <c:v>232178.09684876766</c:v>
                </c:pt>
                <c:pt idx="51">
                  <c:v>235959.73691564874</c:v>
                </c:pt>
                <c:pt idx="52">
                  <c:v>239719.31127737579</c:v>
                </c:pt>
                <c:pt idx="53">
                  <c:v>243457.0464124034</c:v>
                </c:pt>
                <c:pt idx="54">
                  <c:v>247173.16548050562</c:v>
                </c:pt>
                <c:pt idx="55">
                  <c:v>250867.88838584229</c:v>
                </c:pt>
                <c:pt idx="56">
                  <c:v>254541.43183855992</c:v>
                </c:pt>
                <c:pt idx="57">
                  <c:v>258194.00941495819</c:v>
                </c:pt>
                <c:pt idx="58">
                  <c:v>261825.83161626881</c:v>
                </c:pt>
                <c:pt idx="59">
                  <c:v>265437.10592608119</c:v>
                </c:pt>
                <c:pt idx="60">
                  <c:v>269028.03686644981</c:v>
                </c:pt>
                <c:pt idx="61">
                  <c:v>272598.82605272526</c:v>
                </c:pt>
                <c:pt idx="62">
                  <c:v>276149.67224713636</c:v>
                </c:pt>
                <c:pt idx="63">
                  <c:v>279680.77141116234</c:v>
                </c:pt>
                <c:pt idx="64">
                  <c:v>283192.31675672519</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1-037C-4477-B1F0-E3E7E31A70AC}"/>
            </c:ext>
          </c:extLst>
        </c:ser>
        <c:ser>
          <c:idx val="2"/>
          <c:order val="2"/>
          <c:spPr>
            <a:ln w="12700">
              <a:solidFill>
                <a:srgbClr val="000080"/>
              </a:solidFill>
              <a:prstDash val="solid"/>
            </a:ln>
          </c:spPr>
          <c:marker>
            <c:symbol val="diamond"/>
            <c:size val="5"/>
            <c:spPr>
              <a:solidFill>
                <a:srgbClr val="000080"/>
              </a:solidFill>
              <a:ln>
                <a:solidFill>
                  <a:srgbClr val="000080"/>
                </a:solidFill>
                <a:prstDash val="solid"/>
              </a:ln>
            </c:spPr>
          </c:marker>
          <c:cat>
            <c:strRef>
              <c:f>'Model Comp'!$L$2:$L$42</c:f>
              <c:strCache>
                <c:ptCount val="28"/>
                <c:pt idx="0">
                  <c:v>Week</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strCache>
            </c:str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2-037C-4477-B1F0-E3E7E31A70AC}"/>
            </c:ext>
          </c:extLst>
        </c:ser>
        <c:dLbls>
          <c:showLegendKey val="0"/>
          <c:showVal val="0"/>
          <c:showCatName val="0"/>
          <c:showSerName val="0"/>
          <c:showPercent val="0"/>
          <c:showBubbleSize val="0"/>
        </c:dLbls>
        <c:smooth val="0"/>
        <c:axId val="174637824"/>
        <c:axId val="174640512"/>
      </c:lineChart>
      <c:catAx>
        <c:axId val="17463782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640512"/>
        <c:crosses val="autoZero"/>
        <c:auto val="0"/>
        <c:lblAlgn val="ctr"/>
        <c:lblOffset val="100"/>
        <c:tickLblSkip val="192"/>
        <c:tickMarkSkip val="1"/>
        <c:noMultiLvlLbl val="0"/>
      </c:catAx>
      <c:valAx>
        <c:axId val="174640512"/>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637824"/>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early projections</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strRef>
              <c:f>'Model Comp'!$L$2:$L$42</c:f>
              <c:strCache>
                <c:ptCount val="28"/>
                <c:pt idx="0">
                  <c:v>Week</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strCache>
            </c:str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98F9-45E7-A3AF-E33C6CB8B3A0}"/>
            </c:ext>
          </c:extLst>
        </c:ser>
        <c:ser>
          <c:idx val="1"/>
          <c:order val="1"/>
          <c:spPr>
            <a:ln w="25400">
              <a:solidFill>
                <a:srgbClr val="FF00FF"/>
              </a:solidFill>
              <a:prstDash val="solid"/>
            </a:ln>
          </c:spPr>
          <c:marker>
            <c:symbol val="none"/>
          </c:marker>
          <c:cat>
            <c:strRef>
              <c:f>'Model Comp'!$L$2:$L$42</c:f>
              <c:strCache>
                <c:ptCount val="28"/>
                <c:pt idx="0">
                  <c:v>Week</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strCache>
            </c:strRef>
          </c:cat>
          <c:val>
            <c:numRef>
              <c:f>'Everclear -- Sparkle and Fade'!#REF!</c:f>
              <c:numCache>
                <c:formatCode>General</c:formatCode>
                <c:ptCount val="52"/>
                <c:pt idx="0">
                  <c:v>6205.5970060675982</c:v>
                </c:pt>
                <c:pt idx="1">
                  <c:v>12398.357534068038</c:v>
                </c:pt>
                <c:pt idx="2">
                  <c:v>18578.30813667105</c:v>
                </c:pt>
                <c:pt idx="3">
                  <c:v>24745.475311621969</c:v>
                </c:pt>
                <c:pt idx="4">
                  <c:v>30899.885501853631</c:v>
                </c:pt>
                <c:pt idx="5">
                  <c:v>37041.565095601967</c:v>
                </c:pt>
                <c:pt idx="6">
                  <c:v>43170.540426517247</c:v>
                </c:pt>
                <c:pt idx="7">
                  <c:v>49286.837773777959</c:v>
                </c:pt>
                <c:pt idx="8">
                  <c:v>55390.483362203093</c:v>
                </c:pt>
                <c:pt idx="9">
                  <c:v>61481.503362365023</c:v>
                </c:pt>
                <c:pt idx="10">
                  <c:v>67559.923890701422</c:v>
                </c:pt>
                <c:pt idx="11">
                  <c:v>73625.771009626857</c:v>
                </c:pt>
                <c:pt idx="12">
                  <c:v>79679.070727645681</c:v>
                </c:pt>
                <c:pt idx="13">
                  <c:v>85719.848999461945</c:v>
                </c:pt>
                <c:pt idx="14">
                  <c:v>91748.13172609231</c:v>
                </c:pt>
                <c:pt idx="15">
                  <c:v>97763.944754976299</c:v>
                </c:pt>
                <c:pt idx="16">
                  <c:v>103767.31388008619</c:v>
                </c:pt>
                <c:pt idx="17">
                  <c:v>109758.26484203999</c:v>
                </c:pt>
                <c:pt idx="18">
                  <c:v>115736.82332820923</c:v>
                </c:pt>
                <c:pt idx="19">
                  <c:v>121703.01497283098</c:v>
                </c:pt>
                <c:pt idx="20">
                  <c:v>127656.86535711707</c:v>
                </c:pt>
                <c:pt idx="21">
                  <c:v>133598.40000936363</c:v>
                </c:pt>
                <c:pt idx="22">
                  <c:v>139527.64440506004</c:v>
                </c:pt>
                <c:pt idx="23">
                  <c:v>145444.62396699988</c:v>
                </c:pt>
                <c:pt idx="24">
                  <c:v>151349.36406538801</c:v>
                </c:pt>
                <c:pt idx="25">
                  <c:v>157241.89001795073</c:v>
                </c:pt>
                <c:pt idx="26">
                  <c:v>163122.22709004386</c:v>
                </c:pt>
                <c:pt idx="27">
                  <c:v>168990.40049476034</c:v>
                </c:pt>
                <c:pt idx="28">
                  <c:v>174846.43539304013</c:v>
                </c:pt>
                <c:pt idx="29">
                  <c:v>180690.35689377555</c:v>
                </c:pt>
                <c:pt idx="30">
                  <c:v>186522.19005392145</c:v>
                </c:pt>
                <c:pt idx="31">
                  <c:v>192341.95987860113</c:v>
                </c:pt>
                <c:pt idx="32">
                  <c:v>198149.69132121396</c:v>
                </c:pt>
                <c:pt idx="33">
                  <c:v>203945.40928354289</c:v>
                </c:pt>
                <c:pt idx="34">
                  <c:v>209729.1386158604</c:v>
                </c:pt>
                <c:pt idx="35">
                  <c:v>215500.90411703481</c:v>
                </c:pt>
                <c:pt idx="36">
                  <c:v>221260.73053463778</c:v>
                </c:pt>
                <c:pt idx="37">
                  <c:v>227008.64256505028</c:v>
                </c:pt>
                <c:pt idx="38">
                  <c:v>232744.6648535667</c:v>
                </c:pt>
                <c:pt idx="39">
                  <c:v>238468.82199450338</c:v>
                </c:pt>
                <c:pt idx="40">
                  <c:v>244181.1385313012</c:v>
                </c:pt>
                <c:pt idx="41">
                  <c:v>249881.63895663273</c:v>
                </c:pt>
                <c:pt idx="42">
                  <c:v>255570.34771250674</c:v>
                </c:pt>
                <c:pt idx="43">
                  <c:v>261247.28919037309</c:v>
                </c:pt>
                <c:pt idx="44">
                  <c:v>266912.48773122631</c:v>
                </c:pt>
                <c:pt idx="45">
                  <c:v>272565.96762571164</c:v>
                </c:pt>
                <c:pt idx="46">
                  <c:v>278207.75311422796</c:v>
                </c:pt>
                <c:pt idx="47">
                  <c:v>283837.86838703218</c:v>
                </c:pt>
                <c:pt idx="48">
                  <c:v>289456.33758434275</c:v>
                </c:pt>
                <c:pt idx="49">
                  <c:v>295063.18479644344</c:v>
                </c:pt>
                <c:pt idx="50">
                  <c:v>300658.43406378658</c:v>
                </c:pt>
                <c:pt idx="51">
                  <c:v>306242.10937709583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98F9-45E7-A3AF-E33C6CB8B3A0}"/>
            </c:ext>
          </c:extLst>
        </c:ser>
        <c:ser>
          <c:idx val="2"/>
          <c:order val="2"/>
          <c:spPr>
            <a:ln w="25400">
              <a:solidFill>
                <a:srgbClr val="008000"/>
              </a:solidFill>
              <a:prstDash val="solid"/>
            </a:ln>
          </c:spPr>
          <c:marker>
            <c:symbol val="none"/>
          </c:marker>
          <c:cat>
            <c:strRef>
              <c:f>'Model Comp'!$L$2:$L$42</c:f>
              <c:strCache>
                <c:ptCount val="28"/>
                <c:pt idx="0">
                  <c:v>Week</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strCache>
            </c:strRef>
          </c:cat>
          <c:val>
            <c:numRef>
              <c:f>'Everclear -- Sparkle and Fade'!#REF!</c:f>
              <c:numCache>
                <c:formatCode>General</c:formatCode>
                <c:ptCount val="52"/>
                <c:pt idx="0">
                  <c:v>6236.3185158423876</c:v>
                </c:pt>
                <c:pt idx="1">
                  <c:v>12456.105476353119</c:v>
                </c:pt>
                <c:pt idx="2">
                  <c:v>18659.414150744902</c:v>
                </c:pt>
                <c:pt idx="3">
                  <c:v>24846.297606183398</c:v>
                </c:pt>
                <c:pt idx="4">
                  <c:v>31016.80870865786</c:v>
                </c:pt>
                <c:pt idx="5">
                  <c:v>37171.000123869424</c:v>
                </c:pt>
                <c:pt idx="6">
                  <c:v>43308.924318095407</c:v>
                </c:pt>
                <c:pt idx="7">
                  <c:v>49430.63355905997</c:v>
                </c:pt>
                <c:pt idx="8">
                  <c:v>55536.179916802372</c:v>
                </c:pt>
                <c:pt idx="9">
                  <c:v>61625.615264532033</c:v>
                </c:pt>
                <c:pt idx="10">
                  <c:v>67698.991279486756</c:v>
                </c:pt>
                <c:pt idx="11">
                  <c:v>73756.359443787107</c:v>
                </c:pt>
                <c:pt idx="12">
                  <c:v>79797.771045275076</c:v>
                </c:pt>
                <c:pt idx="13">
                  <c:v>85823.277178370685</c:v>
                </c:pt>
                <c:pt idx="14">
                  <c:v>91832.928744896344</c:v>
                </c:pt>
                <c:pt idx="15">
                  <c:v>97826.776454923878</c:v>
                </c:pt>
                <c:pt idx="16">
                  <c:v>103804.87082759848</c:v>
                </c:pt>
                <c:pt idx="17">
                  <c:v>109767.26219197208</c:v>
                </c:pt>
                <c:pt idx="18">
                  <c:v>115714.00068781502</c:v>
                </c:pt>
                <c:pt idx="19">
                  <c:v>121645.13626644868</c:v>
                </c:pt>
                <c:pt idx="20">
                  <c:v>127560.71869154894</c:v>
                </c:pt>
                <c:pt idx="21">
                  <c:v>133460.79753996443</c:v>
                </c:pt>
                <c:pt idx="22">
                  <c:v>139345.42220251821</c:v>
                </c:pt>
                <c:pt idx="23">
                  <c:v>145214.64188481527</c:v>
                </c:pt>
                <c:pt idx="24">
                  <c:v>151068.50560803665</c:v>
                </c:pt>
                <c:pt idx="25">
                  <c:v>156907.06220974037</c:v>
                </c:pt>
                <c:pt idx="26">
                  <c:v>162730.36034464737</c:v>
                </c:pt>
                <c:pt idx="27">
                  <c:v>168538.44848542986</c:v>
                </c:pt>
                <c:pt idx="28">
                  <c:v>174331.37492349805</c:v>
                </c:pt>
                <c:pt idx="29">
                  <c:v>180109.18776977746</c:v>
                </c:pt>
                <c:pt idx="30">
                  <c:v>185871.93495548383</c:v>
                </c:pt>
                <c:pt idx="31">
                  <c:v>191619.66423289722</c:v>
                </c:pt>
                <c:pt idx="32">
                  <c:v>197352.42317613267</c:v>
                </c:pt>
                <c:pt idx="33">
                  <c:v>203070.25918189669</c:v>
                </c:pt>
                <c:pt idx="34">
                  <c:v>208773.21947025752</c:v>
                </c:pt>
                <c:pt idx="35">
                  <c:v>214461.35108539666</c:v>
                </c:pt>
                <c:pt idx="36">
                  <c:v>220134.70089636612</c:v>
                </c:pt>
                <c:pt idx="37">
                  <c:v>225793.31559783532</c:v>
                </c:pt>
                <c:pt idx="38">
                  <c:v>231437.24171083735</c:v>
                </c:pt>
                <c:pt idx="39">
                  <c:v>237066.52558351649</c:v>
                </c:pt>
                <c:pt idx="40">
                  <c:v>242681.21339185978</c:v>
                </c:pt>
                <c:pt idx="41">
                  <c:v>248281.35114044035</c:v>
                </c:pt>
                <c:pt idx="42">
                  <c:v>253866.98466314361</c:v>
                </c:pt>
                <c:pt idx="43">
                  <c:v>259438.15962389749</c:v>
                </c:pt>
                <c:pt idx="44">
                  <c:v>264994.92151739931</c:v>
                </c:pt>
                <c:pt idx="45">
                  <c:v>270537.31566983397</c:v>
                </c:pt>
                <c:pt idx="46">
                  <c:v>276065.38723959605</c:v>
                </c:pt>
                <c:pt idx="47">
                  <c:v>281579.18121799931</c:v>
                </c:pt>
                <c:pt idx="48">
                  <c:v>287078.74242999242</c:v>
                </c:pt>
                <c:pt idx="49">
                  <c:v>292564.11553486239</c:v>
                </c:pt>
                <c:pt idx="50">
                  <c:v>298035.34502694273</c:v>
                </c:pt>
                <c:pt idx="51">
                  <c:v>303492.47523631272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98F9-45E7-A3AF-E33C6CB8B3A0}"/>
            </c:ext>
          </c:extLst>
        </c:ser>
        <c:dLbls>
          <c:showLegendKey val="0"/>
          <c:showVal val="0"/>
          <c:showCatName val="0"/>
          <c:showSerName val="0"/>
          <c:showPercent val="0"/>
          <c:showBubbleSize val="0"/>
        </c:dLbls>
        <c:marker val="1"/>
        <c:smooth val="0"/>
        <c:axId val="174699264"/>
        <c:axId val="174701184"/>
      </c:lineChart>
      <c:catAx>
        <c:axId val="17469926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701184"/>
        <c:crosses val="autoZero"/>
        <c:auto val="0"/>
        <c:lblAlgn val="ctr"/>
        <c:lblOffset val="100"/>
        <c:tickLblSkip val="153"/>
        <c:tickMarkSkip val="1"/>
        <c:noMultiLvlLbl val="0"/>
      </c:catAx>
      <c:valAx>
        <c:axId val="174701184"/>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699264"/>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model fit and validated forecast</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strRef>
              <c:f>'Model Comp'!$L$2:$L$42</c:f>
              <c:strCache>
                <c:ptCount val="28"/>
                <c:pt idx="0">
                  <c:v>Week</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strCache>
            </c:str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F028-4F48-A025-CC1BE54AB0BB}"/>
            </c:ext>
          </c:extLst>
        </c:ser>
        <c:ser>
          <c:idx val="1"/>
          <c:order val="1"/>
          <c:spPr>
            <a:ln w="25400">
              <a:solidFill>
                <a:srgbClr val="FF00FF"/>
              </a:solidFill>
              <a:prstDash val="solid"/>
            </a:ln>
          </c:spPr>
          <c:marker>
            <c:symbol val="none"/>
          </c:marker>
          <c:cat>
            <c:strRef>
              <c:f>'Model Comp'!$L$2:$L$42</c:f>
              <c:strCache>
                <c:ptCount val="28"/>
                <c:pt idx="0">
                  <c:v>Week</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strCache>
            </c:strRef>
          </c:cat>
          <c:val>
            <c:numRef>
              <c:f>'Everclear -- Sparkle and Fade'!#REF!</c:f>
              <c:numCache>
                <c:formatCode>General</c:formatCode>
                <c:ptCount val="52"/>
                <c:pt idx="0">
                  <c:v>7344.335729028825</c:v>
                </c:pt>
                <c:pt idx="1">
                  <c:v>14436.551199097725</c:v>
                </c:pt>
                <c:pt idx="2">
                  <c:v>21285.301328408012</c:v>
                </c:pt>
                <c:pt idx="3">
                  <c:v>27898.943924530697</c:v>
                </c:pt>
                <c:pt idx="4">
                  <c:v>34285.549883777916</c:v>
                </c:pt>
                <c:pt idx="5">
                  <c:v>40452.913040445157</c:v>
                </c:pt>
                <c:pt idx="6">
                  <c:v>46408.559677943333</c:v>
                </c:pt>
                <c:pt idx="7">
                  <c:v>52159.757713427702</c:v>
                </c:pt>
                <c:pt idx="8">
                  <c:v>57713.525567131976</c:v>
                </c:pt>
                <c:pt idx="9">
                  <c:v>63076.64072723117</c:v>
                </c:pt>
                <c:pt idx="10">
                  <c:v>68255.648020685359</c:v>
                </c:pt>
                <c:pt idx="11">
                  <c:v>73256.86760015742</c:v>
                </c:pt>
                <c:pt idx="12">
                  <c:v>78086.402656751801</c:v>
                </c:pt>
                <c:pt idx="13">
                  <c:v>82750.146867985968</c:v>
                </c:pt>
                <c:pt idx="14">
                  <c:v>87253.791590084365</c:v>
                </c:pt>
                <c:pt idx="15">
                  <c:v>91602.832803371042</c:v>
                </c:pt>
                <c:pt idx="16">
                  <c:v>95802.577819237515</c:v>
                </c:pt>
                <c:pt idx="17">
                  <c:v>99858.151756870066</c:v>
                </c:pt>
                <c:pt idx="18">
                  <c:v>103774.50379764057</c:v>
                </c:pt>
                <c:pt idx="19">
                  <c:v>107556.41322479326</c:v>
                </c:pt>
                <c:pt idx="20">
                  <c:v>111208.4952557979</c:v>
                </c:pt>
                <c:pt idx="21">
                  <c:v>114735.20667448692</c:v>
                </c:pt>
                <c:pt idx="22">
                  <c:v>118140.85126984945</c:v>
                </c:pt>
                <c:pt idx="23">
                  <c:v>121429.58508811954</c:v>
                </c:pt>
                <c:pt idx="24">
                  <c:v>124605.42150456809</c:v>
                </c:pt>
                <c:pt idx="25">
                  <c:v>127672.23612118732</c:v>
                </c:pt>
                <c:pt idx="26">
                  <c:v>130633.77149624519</c:v>
                </c:pt>
                <c:pt idx="27">
                  <c:v>133493.641711481</c:v>
                </c:pt>
                <c:pt idx="28">
                  <c:v>136255.33678251592</c:v>
                </c:pt>
                <c:pt idx="29">
                  <c:v>138922.22691786065</c:v>
                </c:pt>
                <c:pt idx="30">
                  <c:v>141497.56663171755</c:v>
                </c:pt>
                <c:pt idx="31">
                  <c:v>143984.49871559627</c:v>
                </c:pt>
                <c:pt idx="32">
                  <c:v>146386.05807358978</c:v>
                </c:pt>
                <c:pt idx="33">
                  <c:v>148705.17542599089</c:v>
                </c:pt>
                <c:pt idx="34">
                  <c:v>150944.68088576914</c:v>
                </c:pt>
                <c:pt idx="35">
                  <c:v>153128.47144011562</c:v>
                </c:pt>
                <c:pt idx="36">
                  <c:v>155236.56203205764</c:v>
                </c:pt>
                <c:pt idx="37">
                  <c:v>157271.57676137282</c:v>
                </c:pt>
                <c:pt idx="38">
                  <c:v>159236.04876478645</c:v>
                </c:pt>
                <c:pt idx="39">
                  <c:v>161114.04480952566</c:v>
                </c:pt>
                <c:pt idx="40">
                  <c:v>162927.57200825959</c:v>
                </c:pt>
                <c:pt idx="41">
                  <c:v>164678.8434817864</c:v>
                </c:pt>
                <c:pt idx="42">
                  <c:v>166369.99637771747</c:v>
                </c:pt>
                <c:pt idx="43">
                  <c:v>168003.09447852554</c:v>
                </c:pt>
                <c:pt idx="44">
                  <c:v>169580.13072006224</c:v>
                </c:pt>
                <c:pt idx="45">
                  <c:v>171103.02962361835</c:v>
                </c:pt>
                <c:pt idx="46">
                  <c:v>172573.64964449525</c:v>
                </c:pt>
                <c:pt idx="47">
                  <c:v>173993.78543995344</c:v>
                </c:pt>
                <c:pt idx="48">
                  <c:v>175365.17005930538</c:v>
                </c:pt>
                <c:pt idx="49">
                  <c:v>176689.47705882601</c:v>
                </c:pt>
                <c:pt idx="50">
                  <c:v>177968.32254406132</c:v>
                </c:pt>
                <c:pt idx="51">
                  <c:v>179203.26714202741</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F028-4F48-A025-CC1BE54AB0BB}"/>
            </c:ext>
          </c:extLst>
        </c:ser>
        <c:ser>
          <c:idx val="2"/>
          <c:order val="2"/>
          <c:spPr>
            <a:ln w="25400">
              <a:solidFill>
                <a:srgbClr val="008000"/>
              </a:solidFill>
              <a:prstDash val="solid"/>
            </a:ln>
          </c:spPr>
          <c:marker>
            <c:symbol val="none"/>
          </c:marker>
          <c:cat>
            <c:strRef>
              <c:f>'Model Comp'!$L$2:$L$42</c:f>
              <c:strCache>
                <c:ptCount val="28"/>
                <c:pt idx="0">
                  <c:v>Week</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strCache>
            </c:strRef>
          </c:cat>
          <c:val>
            <c:numRef>
              <c:f>'Everclear -- Sparkle and Fade'!#REF!</c:f>
              <c:numCache>
                <c:formatCode>General</c:formatCode>
                <c:ptCount val="52"/>
                <c:pt idx="0">
                  <c:v>8499.3219409211779</c:v>
                </c:pt>
                <c:pt idx="1">
                  <c:v>16404.804123137495</c:v>
                </c:pt>
                <c:pt idx="2">
                  <c:v>23792.754684577423</c:v>
                </c:pt>
                <c:pt idx="3">
                  <c:v>30725.730351800816</c:v>
                </c:pt>
                <c:pt idx="4">
                  <c:v>37255.646350869756</c:v>
                </c:pt>
                <c:pt idx="5">
                  <c:v>43426.055223524942</c:v>
                </c:pt>
                <c:pt idx="6">
                  <c:v>49273.847370987503</c:v>
                </c:pt>
                <c:pt idx="7">
                  <c:v>54830.540786694248</c:v>
                </c:pt>
                <c:pt idx="8">
                  <c:v>60123.273491882399</c:v>
                </c:pt>
                <c:pt idx="9">
                  <c:v>65175.577222763903</c:v>
                </c:pt>
                <c:pt idx="10">
                  <c:v>70007.987739005519</c:v>
                </c:pt>
                <c:pt idx="11">
                  <c:v>74638.53144247079</c:v>
                </c:pt>
                <c:pt idx="12">
                  <c:v>79083.117190512858</c:v>
                </c:pt>
                <c:pt idx="13">
                  <c:v>83355.854617961581</c:v>
                </c:pt>
                <c:pt idx="14">
                  <c:v>87469.314896583499</c:v>
                </c:pt>
                <c:pt idx="15">
                  <c:v>91434.745975696569</c:v>
                </c:pt>
                <c:pt idx="16">
                  <c:v>95262.251508608126</c:v>
                </c:pt>
                <c:pt idx="17">
                  <c:v>98960.940570115621</c:v>
                </c:pt>
                <c:pt idx="18">
                  <c:v>102539.05370062744</c:v>
                </c:pt>
                <c:pt idx="19">
                  <c:v>106004.06962679887</c:v>
                </c:pt>
                <c:pt idx="20">
                  <c:v>109362.7961043987</c:v>
                </c:pt>
                <c:pt idx="21">
                  <c:v>112621.44763344251</c:v>
                </c:pt>
                <c:pt idx="22">
                  <c:v>115785.71225590339</c:v>
                </c:pt>
                <c:pt idx="23">
                  <c:v>118860.80922427788</c:v>
                </c:pt>
                <c:pt idx="24">
                  <c:v>121851.53899685852</c:v>
                </c:pt>
                <c:pt idx="25">
                  <c:v>124762.32675190546</c:v>
                </c:pt>
                <c:pt idx="26">
                  <c:v>127597.26040240616</c:v>
                </c:pt>
                <c:pt idx="27">
                  <c:v>130360.12392403407</c:v>
                </c:pt>
                <c:pt idx="28">
                  <c:v>133054.42667229407</c:v>
                </c:pt>
                <c:pt idx="29">
                  <c:v>135683.42925384446</c:v>
                </c:pt>
                <c:pt idx="30">
                  <c:v>138250.16642633482</c:v>
                </c:pt>
                <c:pt idx="31">
                  <c:v>140757.46742667383</c:v>
                </c:pt>
                <c:pt idx="32">
                  <c:v>143207.97406628681</c:v>
                </c:pt>
                <c:pt idx="33">
                  <c:v>145604.15688106132</c:v>
                </c:pt>
                <c:pt idx="34">
                  <c:v>147948.3295813876</c:v>
                </c:pt>
                <c:pt idx="35">
                  <c:v>154519.3973396708</c:v>
                </c:pt>
                <c:pt idx="36">
                  <c:v>160712.39594842569</c:v>
                </c:pt>
                <c:pt idx="37">
                  <c:v>166567.77713775184</c:v>
                </c:pt>
                <c:pt idx="38">
                  <c:v>172119.86247883536</c:v>
                </c:pt>
                <c:pt idx="39">
                  <c:v>173955.8060925912</c:v>
                </c:pt>
                <c:pt idx="40">
                  <c:v>175760.75892452724</c:v>
                </c:pt>
                <c:pt idx="41">
                  <c:v>177535.73104752653</c:v>
                </c:pt>
                <c:pt idx="42">
                  <c:v>179281.68424125924</c:v>
                </c:pt>
                <c:pt idx="43">
                  <c:v>180999.53501339117</c:v>
                </c:pt>
                <c:pt idx="44">
                  <c:v>182690.15738858763</c:v>
                </c:pt>
                <c:pt idx="45">
                  <c:v>184354.38548637839</c:v>
                </c:pt>
                <c:pt idx="46">
                  <c:v>185993.01590675808</c:v>
                </c:pt>
                <c:pt idx="47">
                  <c:v>187606.80994045688</c:v>
                </c:pt>
                <c:pt idx="48">
                  <c:v>189196.49561910034</c:v>
                </c:pt>
                <c:pt idx="49">
                  <c:v>190762.76961896522</c:v>
                </c:pt>
                <c:pt idx="50">
                  <c:v>192306.29903068152</c:v>
                </c:pt>
                <c:pt idx="51">
                  <c:v>193827.72300604312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F028-4F48-A025-CC1BE54AB0BB}"/>
            </c:ext>
          </c:extLst>
        </c:ser>
        <c:dLbls>
          <c:showLegendKey val="0"/>
          <c:showVal val="0"/>
          <c:showCatName val="0"/>
          <c:showSerName val="0"/>
          <c:showPercent val="0"/>
          <c:showBubbleSize val="0"/>
        </c:dLbls>
        <c:marker val="1"/>
        <c:smooth val="0"/>
        <c:axId val="174749952"/>
        <c:axId val="174752128"/>
      </c:lineChart>
      <c:catAx>
        <c:axId val="174749952"/>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752128"/>
        <c:crosses val="autoZero"/>
        <c:auto val="0"/>
        <c:lblAlgn val="ctr"/>
        <c:lblOffset val="100"/>
        <c:tickLblSkip val="153"/>
        <c:tickMarkSkip val="1"/>
        <c:noMultiLvlLbl val="0"/>
      </c:catAx>
      <c:valAx>
        <c:axId val="174752128"/>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749952"/>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276849005847283E-2"/>
          <c:y val="3.2529343936455776E-2"/>
          <c:w val="0.92082784866065437"/>
          <c:h val="0.89886843521980242"/>
        </c:manualLayout>
      </c:layout>
      <c:lineChart>
        <c:grouping val="standard"/>
        <c:varyColors val="0"/>
        <c:ser>
          <c:idx val="0"/>
          <c:order val="0"/>
          <c:tx>
            <c:v>Actual</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'Model Comp'!$B$3:$B$29</c:f>
              <c:numCache>
                <c:formatCode>_(* #,##0_);_(* \(#,##0\);_(* "-"??_);_(@_)</c:formatCode>
                <c:ptCount val="27"/>
                <c:pt idx="0">
                  <c:v>1375</c:v>
                </c:pt>
                <c:pt idx="1">
                  <c:v>2477</c:v>
                </c:pt>
                <c:pt idx="2">
                  <c:v>3629</c:v>
                </c:pt>
                <c:pt idx="3">
                  <c:v>4876</c:v>
                </c:pt>
                <c:pt idx="4">
                  <c:v>6515</c:v>
                </c:pt>
                <c:pt idx="5">
                  <c:v>9091</c:v>
                </c:pt>
                <c:pt idx="6">
                  <c:v>12067</c:v>
                </c:pt>
                <c:pt idx="7">
                  <c:v>14596</c:v>
                </c:pt>
                <c:pt idx="8">
                  <c:v>17017</c:v>
                </c:pt>
                <c:pt idx="9">
                  <c:v>19402</c:v>
                </c:pt>
                <c:pt idx="10">
                  <c:v>22032</c:v>
                </c:pt>
                <c:pt idx="11">
                  <c:v>24826</c:v>
                </c:pt>
                <c:pt idx="12">
                  <c:v>27526</c:v>
                </c:pt>
                <c:pt idx="13">
                  <c:v>30696</c:v>
                </c:pt>
                <c:pt idx="14">
                  <c:v>33263</c:v>
                </c:pt>
                <c:pt idx="15">
                  <c:v>36672</c:v>
                </c:pt>
                <c:pt idx="16">
                  <c:v>39742</c:v>
                </c:pt>
                <c:pt idx="17">
                  <c:v>42924</c:v>
                </c:pt>
                <c:pt idx="18">
                  <c:v>45630</c:v>
                </c:pt>
                <c:pt idx="19">
                  <c:v>47520</c:v>
                </c:pt>
                <c:pt idx="20">
                  <c:v>49143</c:v>
                </c:pt>
                <c:pt idx="21">
                  <c:v>50730</c:v>
                </c:pt>
                <c:pt idx="22">
                  <c:v>52237</c:v>
                </c:pt>
                <c:pt idx="23">
                  <c:v>53537</c:v>
                </c:pt>
                <c:pt idx="24">
                  <c:v>54664</c:v>
                </c:pt>
                <c:pt idx="25">
                  <c:v>55661</c:v>
                </c:pt>
                <c:pt idx="26">
                  <c:v>56495</c:v>
                </c:pt>
              </c:numCache>
            </c:numRef>
          </c:val>
          <c:smooth val="0"/>
          <c:extLst>
            <c:ext xmlns:c16="http://schemas.microsoft.com/office/drawing/2014/chart" uri="{C3380CC4-5D6E-409C-BE32-E72D297353CC}">
              <c16:uniqueId val="{00000000-F347-4320-A4D7-2C918AB77CFB}"/>
            </c:ext>
          </c:extLst>
        </c:ser>
        <c:ser>
          <c:idx val="1"/>
          <c:order val="1"/>
          <c:tx>
            <c:v>Exponential</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'Model Comp'!$F$3:$F$29</c:f>
              <c:numCache>
                <c:formatCode>_(* #,##0_);_(* \(#,##0\);_(* "-"??_);_(@_)</c:formatCode>
                <c:ptCount val="27"/>
                <c:pt idx="0">
                  <c:v>2872.7116364176909</c:v>
                </c:pt>
                <c:pt idx="1">
                  <c:v>5662.898551375295</c:v>
                </c:pt>
                <c:pt idx="2">
                  <c:v>8372.9314421490999</c:v>
                </c:pt>
                <c:pt idx="3">
                  <c:v>11005.112902718894</c:v>
                </c:pt>
                <c:pt idx="4">
                  <c:v>13561.679380179281</c:v>
                </c:pt>
                <c:pt idx="5">
                  <c:v>16044.803074948899</c:v>
                </c:pt>
                <c:pt idx="6">
                  <c:v>18456.593786392241</c:v>
                </c:pt>
                <c:pt idx="7">
                  <c:v>20799.10070542189</c:v>
                </c:pt>
                <c:pt idx="8">
                  <c:v>23074.31415560469</c:v>
                </c:pt>
                <c:pt idx="9">
                  <c:v>25284.167284250758</c:v>
                </c:pt>
                <c:pt idx="10">
                  <c:v>27430.537704922463</c:v>
                </c:pt>
                <c:pt idx="11">
                  <c:v>29515.24909275891</c:v>
                </c:pt>
                <c:pt idx="12">
                  <c:v>31540.072733971247</c:v>
                </c:pt>
                <c:pt idx="13">
                  <c:v>33506.729030825547</c:v>
                </c:pt>
                <c:pt idx="14">
                  <c:v>35416.888963391772</c:v>
                </c:pt>
                <c:pt idx="15">
                  <c:v>37272.175509300978</c:v>
                </c:pt>
                <c:pt idx="16">
                  <c:v>39074.165022716952</c:v>
                </c:pt>
                <c:pt idx="17">
                  <c:v>40824.388573694006</c:v>
                </c:pt>
                <c:pt idx="18">
                  <c:v>42524.333249058807</c:v>
                </c:pt>
                <c:pt idx="19">
                  <c:v>44175.443415921756</c:v>
                </c:pt>
                <c:pt idx="20">
                  <c:v>45779.121948891152</c:v>
                </c:pt>
                <c:pt idx="21">
                  <c:v>47336.731422033205</c:v>
                </c:pt>
                <c:pt idx="22">
                  <c:v>48849.595266590353</c:v>
                </c:pt>
                <c:pt idx="23">
                  <c:v>50318.998895441757</c:v>
                </c:pt>
                <c:pt idx="24">
                  <c:v>51746.190795261216</c:v>
                </c:pt>
                <c:pt idx="25">
                  <c:v>53132.383587300537</c:v>
                </c:pt>
                <c:pt idx="26">
                  <c:v>54478.75505769976</c:v>
                </c:pt>
              </c:numCache>
            </c:numRef>
          </c:val>
          <c:smooth val="0"/>
          <c:extLst>
            <c:ext xmlns:c16="http://schemas.microsoft.com/office/drawing/2014/chart" uri="{C3380CC4-5D6E-409C-BE32-E72D297353CC}">
              <c16:uniqueId val="{00000001-F347-4320-A4D7-2C918AB77CFB}"/>
            </c:ext>
          </c:extLst>
        </c:ser>
        <c:ser>
          <c:idx val="2"/>
          <c:order val="2"/>
          <c:tx>
            <c:v>Weibull</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'Model Comp'!$M$3:$M$29</c:f>
              <c:numCache>
                <c:formatCode>_(* #,##0_);_(* \(#,##0\);_(* "-"??_);_(@_)</c:formatCode>
                <c:ptCount val="27"/>
                <c:pt idx="0">
                  <c:v>653.74299479893375</c:v>
                </c:pt>
                <c:pt idx="1">
                  <c:v>1883.9340810252736</c:v>
                </c:pt>
                <c:pt idx="2">
                  <c:v>3483.178841127954</c:v>
                </c:pt>
                <c:pt idx="3">
                  <c:v>5365.7073263828406</c:v>
                </c:pt>
                <c:pt idx="4">
                  <c:v>7475.3551705546206</c:v>
                </c:pt>
                <c:pt idx="5">
                  <c:v>9769.6211586296049</c:v>
                </c:pt>
                <c:pt idx="6">
                  <c:v>12213.918292483128</c:v>
                </c:pt>
                <c:pt idx="7">
                  <c:v>14778.912586298653</c:v>
                </c:pt>
                <c:pt idx="8">
                  <c:v>17439.100259418807</c:v>
                </c:pt>
                <c:pt idx="9">
                  <c:v>20171.968748981937</c:v>
                </c:pt>
                <c:pt idx="10">
                  <c:v>22957.463904899665</c:v>
                </c:pt>
                <c:pt idx="11">
                  <c:v>25777.630316312006</c:v>
                </c:pt>
                <c:pt idx="12">
                  <c:v>28616.355120640212</c:v>
                </c:pt>
                <c:pt idx="13">
                  <c:v>31459.176330066919</c:v>
                </c:pt>
                <c:pt idx="14">
                  <c:v>34293.132733515042</c:v>
                </c:pt>
                <c:pt idx="15">
                  <c:v>37106.641321328934</c:v>
                </c:pt>
                <c:pt idx="16">
                  <c:v>39889.393359129142</c:v>
                </c:pt>
                <c:pt idx="17">
                  <c:v>42632.263378858945</c:v>
                </c:pt>
                <c:pt idx="18">
                  <c:v>45327.227324671956</c:v>
                </c:pt>
                <c:pt idx="19">
                  <c:v>47967.287360022368</c:v>
                </c:pt>
                <c:pt idx="20">
                  <c:v>50546.401677439011</c:v>
                </c:pt>
                <c:pt idx="21">
                  <c:v>53059.418211407668</c:v>
                </c:pt>
                <c:pt idx="22">
                  <c:v>55502.011533307581</c:v>
                </c:pt>
                <c:pt idx="23">
                  <c:v>57870.622465400236</c:v>
                </c:pt>
                <c:pt idx="24">
                  <c:v>60162.400126963897</c:v>
                </c:pt>
                <c:pt idx="25">
                  <c:v>62375.146245138712</c:v>
                </c:pt>
                <c:pt idx="26">
                  <c:v>64507.261642905723</c:v>
                </c:pt>
              </c:numCache>
            </c:numRef>
          </c:val>
          <c:smooth val="0"/>
          <c:extLst>
            <c:ext xmlns:c16="http://schemas.microsoft.com/office/drawing/2014/chart" uri="{C3380CC4-5D6E-409C-BE32-E72D297353CC}">
              <c16:uniqueId val="{00000002-F347-4320-A4D7-2C918AB77CFB}"/>
            </c:ext>
          </c:extLst>
        </c:ser>
        <c:ser>
          <c:idx val="3"/>
          <c:order val="3"/>
          <c:tx>
            <c:v>Weibull + Cov(AP)</c:v>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'Model Comp'!$U$3:$U$29</c:f>
              <c:numCache>
                <c:formatCode>_(* #,##0_);_(* \(#,##0\);_(* "-"??_);_(@_)</c:formatCode>
                <c:ptCount val="27"/>
                <c:pt idx="0">
                  <c:v>760.82974684816838</c:v>
                </c:pt>
                <c:pt idx="1">
                  <c:v>2123.1157008943956</c:v>
                </c:pt>
                <c:pt idx="2">
                  <c:v>3748.2743099848226</c:v>
                </c:pt>
                <c:pt idx="3">
                  <c:v>5652.1125349154208</c:v>
                </c:pt>
                <c:pt idx="4">
                  <c:v>7767.8927729586285</c:v>
                </c:pt>
                <c:pt idx="5">
                  <c:v>9994.9076091927054</c:v>
                </c:pt>
                <c:pt idx="6">
                  <c:v>12300.394694222816</c:v>
                </c:pt>
                <c:pt idx="7">
                  <c:v>14728.758665244779</c:v>
                </c:pt>
                <c:pt idx="8">
                  <c:v>17199.223827374099</c:v>
                </c:pt>
                <c:pt idx="9">
                  <c:v>19685.653218564214</c:v>
                </c:pt>
                <c:pt idx="10">
                  <c:v>22239.944082528516</c:v>
                </c:pt>
                <c:pt idx="11">
                  <c:v>24952.438073496098</c:v>
                </c:pt>
                <c:pt idx="12">
                  <c:v>27719.693585641082</c:v>
                </c:pt>
                <c:pt idx="13">
                  <c:v>30490.226902946415</c:v>
                </c:pt>
                <c:pt idx="14">
                  <c:v>33408.626293251276</c:v>
                </c:pt>
                <c:pt idx="15">
                  <c:v>36503.482120634835</c:v>
                </c:pt>
                <c:pt idx="16">
                  <c:v>39664.714873528254</c:v>
                </c:pt>
                <c:pt idx="17">
                  <c:v>42837.908238114818</c:v>
                </c:pt>
                <c:pt idx="18">
                  <c:v>45819.003349412771</c:v>
                </c:pt>
                <c:pt idx="19">
                  <c:v>48774.074854208164</c:v>
                </c:pt>
                <c:pt idx="20">
                  <c:v>51762.573806326764</c:v>
                </c:pt>
                <c:pt idx="21">
                  <c:v>54752.606701967175</c:v>
                </c:pt>
                <c:pt idx="22">
                  <c:v>57576.5258671919</c:v>
                </c:pt>
                <c:pt idx="23">
                  <c:v>60327.152485245628</c:v>
                </c:pt>
                <c:pt idx="24">
                  <c:v>62889.769934238095</c:v>
                </c:pt>
                <c:pt idx="25">
                  <c:v>65361.541680703915</c:v>
                </c:pt>
                <c:pt idx="26">
                  <c:v>68000.278695904635</c:v>
                </c:pt>
              </c:numCache>
            </c:numRef>
          </c:val>
          <c:smooth val="0"/>
          <c:extLst>
            <c:ext xmlns:c16="http://schemas.microsoft.com/office/drawing/2014/chart" uri="{C3380CC4-5D6E-409C-BE32-E72D297353CC}">
              <c16:uniqueId val="{00000003-F347-4320-A4D7-2C918AB77CFB}"/>
            </c:ext>
          </c:extLst>
        </c:ser>
        <c:ser>
          <c:idx val="4"/>
          <c:order val="4"/>
          <c:tx>
            <c:v>WB+Cov(AP,Release)</c:v>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'Model Comp'!$AB$3:$AB$29</c:f>
              <c:numCache>
                <c:formatCode>_(* #,##0_);_(* \(#,##0\);_(* "-"??_);_(@_)</c:formatCode>
                <c:ptCount val="27"/>
                <c:pt idx="0">
                  <c:v>1377.7914457559382</c:v>
                </c:pt>
                <c:pt idx="1">
                  <c:v>2434.1652409983094</c:v>
                </c:pt>
                <c:pt idx="2">
                  <c:v>3728.8776814896505</c:v>
                </c:pt>
                <c:pt idx="3">
                  <c:v>5318.8011151072633</c:v>
                </c:pt>
                <c:pt idx="4">
                  <c:v>7171.3317352844588</c:v>
                </c:pt>
                <c:pt idx="5">
                  <c:v>9235.4885132613927</c:v>
                </c:pt>
                <c:pt idx="6">
                  <c:v>11478.748882912027</c:v>
                </c:pt>
                <c:pt idx="7">
                  <c:v>13894.023196104554</c:v>
                </c:pt>
                <c:pt idx="8">
                  <c:v>16437.346239224458</c:v>
                </c:pt>
                <c:pt idx="9">
                  <c:v>19082.003267049597</c:v>
                </c:pt>
                <c:pt idx="10">
                  <c:v>21828.305152086657</c:v>
                </c:pt>
                <c:pt idx="11">
                  <c:v>24690.683379977585</c:v>
                </c:pt>
                <c:pt idx="12">
                  <c:v>27620.158278366856</c:v>
                </c:pt>
                <c:pt idx="13">
                  <c:v>30585.66689054223</c:v>
                </c:pt>
                <c:pt idx="14">
                  <c:v>33621.37594580945</c:v>
                </c:pt>
                <c:pt idx="15">
                  <c:v>36722.359032238106</c:v>
                </c:pt>
                <c:pt idx="16">
                  <c:v>39841.330681118648</c:v>
                </c:pt>
                <c:pt idx="17">
                  <c:v>42950.369316229233</c:v>
                </c:pt>
                <c:pt idx="18">
                  <c:v>45976.37142035985</c:v>
                </c:pt>
                <c:pt idx="19">
                  <c:v>48961.727625394247</c:v>
                </c:pt>
                <c:pt idx="20">
                  <c:v>51916.628534153664</c:v>
                </c:pt>
                <c:pt idx="21">
                  <c:v>54823.531066978518</c:v>
                </c:pt>
                <c:pt idx="22">
                  <c:v>57624.99742226144</c:v>
                </c:pt>
                <c:pt idx="23">
                  <c:v>60343.904609405326</c:v>
                </c:pt>
                <c:pt idx="24">
                  <c:v>62940.125672206916</c:v>
                </c:pt>
                <c:pt idx="25">
                  <c:v>65440.167257361529</c:v>
                </c:pt>
                <c:pt idx="26">
                  <c:v>67919.078375186233</c:v>
                </c:pt>
              </c:numCache>
            </c:numRef>
          </c:val>
          <c:smooth val="0"/>
          <c:extLst>
            <c:ext xmlns:c16="http://schemas.microsoft.com/office/drawing/2014/chart" uri="{C3380CC4-5D6E-409C-BE32-E72D297353CC}">
              <c16:uniqueId val="{00000004-F347-4320-A4D7-2C918AB77CFB}"/>
            </c:ext>
          </c:extLst>
        </c:ser>
        <c:ser>
          <c:idx val="5"/>
          <c:order val="5"/>
          <c:tx>
            <c:v>WB+Cov(AP+Relase+BB Presence)</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'Model Comp'!$AI$3:$AI$29</c:f>
              <c:numCache>
                <c:formatCode>_(* #,##0_);_(* \(#,##0\);_(* "-"??_);_(@_)</c:formatCode>
                <c:ptCount val="27"/>
                <c:pt idx="0">
                  <c:v>1389.5391431119508</c:v>
                </c:pt>
                <c:pt idx="1">
                  <c:v>2433.9260279074847</c:v>
                </c:pt>
                <c:pt idx="2">
                  <c:v>3532.5059670588521</c:v>
                </c:pt>
                <c:pt idx="3">
                  <c:v>4996.0335607858842</c:v>
                </c:pt>
                <c:pt idx="4">
                  <c:v>6928.5206479153812</c:v>
                </c:pt>
                <c:pt idx="5">
                  <c:v>9303.2887980731612</c:v>
                </c:pt>
                <c:pt idx="6">
                  <c:v>12115.346234800916</c:v>
                </c:pt>
                <c:pt idx="7">
                  <c:v>14290.883534629183</c:v>
                </c:pt>
                <c:pt idx="8">
                  <c:v>16646.071504152183</c:v>
                </c:pt>
                <c:pt idx="9">
                  <c:v>19119.221029272259</c:v>
                </c:pt>
                <c:pt idx="10">
                  <c:v>21750.349781272758</c:v>
                </c:pt>
                <c:pt idx="11">
                  <c:v>24638.162453502511</c:v>
                </c:pt>
                <c:pt idx="12">
                  <c:v>27602.837061618437</c:v>
                </c:pt>
                <c:pt idx="13">
                  <c:v>30534.367281179064</c:v>
                </c:pt>
                <c:pt idx="14">
                  <c:v>33601.983445315112</c:v>
                </c:pt>
                <c:pt idx="15">
                  <c:v>36803.616779929464</c:v>
                </c:pt>
                <c:pt idx="16">
                  <c:v>39944.584935558472</c:v>
                </c:pt>
                <c:pt idx="17">
                  <c:v>42920.986334866771</c:v>
                </c:pt>
                <c:pt idx="18">
                  <c:v>45471.144694090137</c:v>
                </c:pt>
                <c:pt idx="19">
                  <c:v>47791.998217527544</c:v>
                </c:pt>
                <c:pt idx="20">
                  <c:v>49935.684214017361</c:v>
                </c:pt>
                <c:pt idx="21">
                  <c:v>51862.794406021618</c:v>
                </c:pt>
                <c:pt idx="22">
                  <c:v>53442.28766878145</c:v>
                </c:pt>
                <c:pt idx="23">
                  <c:v>54769.359450997057</c:v>
                </c:pt>
                <c:pt idx="24">
                  <c:v>55799.078952631229</c:v>
                </c:pt>
                <c:pt idx="25">
                  <c:v>56617.607483782442</c:v>
                </c:pt>
                <c:pt idx="26">
                  <c:v>57348.384729452242</c:v>
                </c:pt>
              </c:numCache>
            </c:numRef>
          </c:val>
          <c:smooth val="0"/>
          <c:extLst>
            <c:ext xmlns:c16="http://schemas.microsoft.com/office/drawing/2014/chart" uri="{C3380CC4-5D6E-409C-BE32-E72D297353CC}">
              <c16:uniqueId val="{00000005-F347-4320-A4D7-2C918AB77CFB}"/>
            </c:ext>
          </c:extLst>
        </c:ser>
        <c:dLbls>
          <c:showLegendKey val="0"/>
          <c:showVal val="0"/>
          <c:showCatName val="0"/>
          <c:showSerName val="0"/>
          <c:showPercent val="0"/>
          <c:showBubbleSize val="0"/>
        </c:dLbls>
        <c:marker val="1"/>
        <c:smooth val="0"/>
        <c:axId val="788057216"/>
        <c:axId val="788058856"/>
      </c:lineChart>
      <c:catAx>
        <c:axId val="7880572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058856"/>
        <c:crosses val="autoZero"/>
        <c:auto val="1"/>
        <c:lblAlgn val="ctr"/>
        <c:lblOffset val="100"/>
        <c:noMultiLvlLbl val="0"/>
      </c:catAx>
      <c:valAx>
        <c:axId val="78805885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057216"/>
        <c:crosses val="autoZero"/>
        <c:crossBetween val="between"/>
      </c:valAx>
      <c:spPr>
        <a:noFill/>
        <a:ln>
          <a:noFill/>
        </a:ln>
        <a:effectLst/>
      </c:spPr>
    </c:plotArea>
    <c:legend>
      <c:legendPos val="r"/>
      <c:layout>
        <c:manualLayout>
          <c:xMode val="edge"/>
          <c:yMode val="edge"/>
          <c:x val="0.66898720044841054"/>
          <c:y val="0.50406512016064886"/>
          <c:w val="0.19027207249226474"/>
          <c:h val="0.29941992053246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Actual</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'Model Comp'!$C$3:$C$29</c:f>
              <c:numCache>
                <c:formatCode>_(* #,##0_);_(* \(#,##0\);_(* "-"??_);_(@_)</c:formatCode>
                <c:ptCount val="27"/>
                <c:pt idx="0">
                  <c:v>1375</c:v>
                </c:pt>
                <c:pt idx="1">
                  <c:v>1102</c:v>
                </c:pt>
                <c:pt idx="2">
                  <c:v>1152</c:v>
                </c:pt>
                <c:pt idx="3">
                  <c:v>1247</c:v>
                </c:pt>
                <c:pt idx="4">
                  <c:v>1639</c:v>
                </c:pt>
                <c:pt idx="5">
                  <c:v>2576</c:v>
                </c:pt>
                <c:pt idx="6">
                  <c:v>2976</c:v>
                </c:pt>
                <c:pt idx="7">
                  <c:v>2529</c:v>
                </c:pt>
                <c:pt idx="8">
                  <c:v>2421</c:v>
                </c:pt>
                <c:pt idx="9">
                  <c:v>2385</c:v>
                </c:pt>
                <c:pt idx="10">
                  <c:v>2630</c:v>
                </c:pt>
                <c:pt idx="11">
                  <c:v>2794</c:v>
                </c:pt>
                <c:pt idx="12">
                  <c:v>2700</c:v>
                </c:pt>
                <c:pt idx="13">
                  <c:v>3170</c:v>
                </c:pt>
                <c:pt idx="14">
                  <c:v>2567</c:v>
                </c:pt>
                <c:pt idx="15">
                  <c:v>3409</c:v>
                </c:pt>
                <c:pt idx="16">
                  <c:v>3070</c:v>
                </c:pt>
                <c:pt idx="17">
                  <c:v>3182</c:v>
                </c:pt>
                <c:pt idx="18">
                  <c:v>2706</c:v>
                </c:pt>
                <c:pt idx="19">
                  <c:v>1890</c:v>
                </c:pt>
                <c:pt idx="20">
                  <c:v>1623</c:v>
                </c:pt>
                <c:pt idx="21">
                  <c:v>1587</c:v>
                </c:pt>
                <c:pt idx="22">
                  <c:v>1507</c:v>
                </c:pt>
                <c:pt idx="23">
                  <c:v>1300</c:v>
                </c:pt>
                <c:pt idx="24">
                  <c:v>1127</c:v>
                </c:pt>
                <c:pt idx="25">
                  <c:v>997</c:v>
                </c:pt>
                <c:pt idx="26">
                  <c:v>834</c:v>
                </c:pt>
              </c:numCache>
            </c:numRef>
          </c:val>
          <c:smooth val="0"/>
          <c:extLst>
            <c:ext xmlns:c16="http://schemas.microsoft.com/office/drawing/2014/chart" uri="{C3380CC4-5D6E-409C-BE32-E72D297353CC}">
              <c16:uniqueId val="{00000008-1960-4C0B-B6EB-D649C36B519C}"/>
            </c:ext>
          </c:extLst>
        </c:ser>
        <c:ser>
          <c:idx val="1"/>
          <c:order val="1"/>
          <c:tx>
            <c:v>Expected</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'Model Comp'!$AJ$3:$AJ$29</c:f>
              <c:numCache>
                <c:formatCode>_(* #,##0_);_(* \(#,##0\);_(* "-"??_);_(@_)</c:formatCode>
                <c:ptCount val="27"/>
                <c:pt idx="0">
                  <c:v>1389.5391431119508</c:v>
                </c:pt>
                <c:pt idx="1">
                  <c:v>1044.3868847955339</c:v>
                </c:pt>
                <c:pt idx="2">
                  <c:v>1098.5799391513674</c:v>
                </c:pt>
                <c:pt idx="3">
                  <c:v>1463.5275937270321</c:v>
                </c:pt>
                <c:pt idx="4">
                  <c:v>1932.487087129497</c:v>
                </c:pt>
                <c:pt idx="5">
                  <c:v>2374.7681501577799</c:v>
                </c:pt>
                <c:pt idx="6">
                  <c:v>2812.057436727755</c:v>
                </c:pt>
                <c:pt idx="7">
                  <c:v>2175.5372998282674</c:v>
                </c:pt>
                <c:pt idx="8">
                  <c:v>2355.187969523</c:v>
                </c:pt>
                <c:pt idx="9">
                  <c:v>2473.1495251200759</c:v>
                </c:pt>
                <c:pt idx="10">
                  <c:v>2631.1287520004989</c:v>
                </c:pt>
                <c:pt idx="11">
                  <c:v>2887.8126722297529</c:v>
                </c:pt>
                <c:pt idx="12">
                  <c:v>2964.6746081159254</c:v>
                </c:pt>
                <c:pt idx="13">
                  <c:v>2931.5302195606273</c:v>
                </c:pt>
                <c:pt idx="14">
                  <c:v>3067.6161641360486</c:v>
                </c:pt>
                <c:pt idx="15">
                  <c:v>3201.633334614351</c:v>
                </c:pt>
                <c:pt idx="16">
                  <c:v>3140.9681556290088</c:v>
                </c:pt>
                <c:pt idx="17">
                  <c:v>2976.401399308299</c:v>
                </c:pt>
                <c:pt idx="18">
                  <c:v>2550.1583592233656</c:v>
                </c:pt>
                <c:pt idx="19">
                  <c:v>2320.8535234374067</c:v>
                </c:pt>
                <c:pt idx="20">
                  <c:v>2143.6859964898176</c:v>
                </c:pt>
                <c:pt idx="21">
                  <c:v>1927.1101920042565</c:v>
                </c:pt>
                <c:pt idx="22">
                  <c:v>1579.4932627598319</c:v>
                </c:pt>
                <c:pt idx="23">
                  <c:v>1327.0717822156075</c:v>
                </c:pt>
                <c:pt idx="24">
                  <c:v>1029.719501634172</c:v>
                </c:pt>
                <c:pt idx="25">
                  <c:v>818.52853115121252</c:v>
                </c:pt>
                <c:pt idx="26">
                  <c:v>730.77724566980032</c:v>
                </c:pt>
              </c:numCache>
            </c:numRef>
          </c:val>
          <c:smooth val="0"/>
          <c:extLst>
            <c:ext xmlns:c16="http://schemas.microsoft.com/office/drawing/2014/chart" uri="{C3380CC4-5D6E-409C-BE32-E72D297353CC}">
              <c16:uniqueId val="{00000009-1960-4C0B-B6EB-D649C36B519C}"/>
            </c:ext>
          </c:extLst>
        </c:ser>
        <c:dLbls>
          <c:showLegendKey val="0"/>
          <c:showVal val="0"/>
          <c:showCatName val="0"/>
          <c:showSerName val="0"/>
          <c:showPercent val="0"/>
          <c:showBubbleSize val="0"/>
        </c:dLbls>
        <c:marker val="1"/>
        <c:smooth val="0"/>
        <c:axId val="425793352"/>
        <c:axId val="425793024"/>
      </c:lineChart>
      <c:catAx>
        <c:axId val="4257933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793024"/>
        <c:crosses val="autoZero"/>
        <c:auto val="1"/>
        <c:lblAlgn val="ctr"/>
        <c:lblOffset val="100"/>
        <c:noMultiLvlLbl val="0"/>
      </c:catAx>
      <c:valAx>
        <c:axId val="42579302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793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weekly sales and airplay</a:t>
            </a:r>
          </a:p>
        </c:rich>
      </c:tx>
      <c:overlay val="0"/>
      <c:spPr>
        <a:noFill/>
        <a:ln w="25400">
          <a:noFill/>
        </a:ln>
      </c:spPr>
    </c:title>
    <c:autoTitleDeleted val="0"/>
    <c:plotArea>
      <c:layout/>
      <c:lineChart>
        <c:grouping val="standard"/>
        <c:varyColors val="0"/>
        <c:ser>
          <c:idx val="0"/>
          <c:order val="0"/>
          <c:tx>
            <c:strRef>
              <c:f>'Raw Data'!$B$1</c:f>
              <c:strCache>
                <c:ptCount val="1"/>
                <c:pt idx="0">
                  <c:v>sales</c:v>
                </c:pt>
              </c:strCache>
            </c:strRef>
          </c:tx>
          <c:spPr>
            <a:ln w="25400">
              <a:solidFill>
                <a:srgbClr val="000080"/>
              </a:solidFill>
              <a:prstDash val="solid"/>
            </a:ln>
          </c:spPr>
          <c:marker>
            <c:symbol val="none"/>
          </c:marker>
          <c:cat>
            <c:numRef>
              <c:f>'Raw Data'!$A$2:$A$42</c:f>
              <c:numCache>
                <c:formatCode>m/d/yyyy</c:formatCode>
                <c:ptCount val="41"/>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'Raw Data'!$B$2:$B$42</c:f>
              <c:numCache>
                <c:formatCode>General</c:formatCode>
                <c:ptCount val="41"/>
                <c:pt idx="0">
                  <c:v>1375</c:v>
                </c:pt>
                <c:pt idx="1">
                  <c:v>1102</c:v>
                </c:pt>
                <c:pt idx="2">
                  <c:v>1152</c:v>
                </c:pt>
                <c:pt idx="3">
                  <c:v>1247</c:v>
                </c:pt>
                <c:pt idx="4">
                  <c:v>1639</c:v>
                </c:pt>
                <c:pt idx="5">
                  <c:v>2576</c:v>
                </c:pt>
                <c:pt idx="6">
                  <c:v>2976</c:v>
                </c:pt>
                <c:pt idx="7">
                  <c:v>2529</c:v>
                </c:pt>
                <c:pt idx="8">
                  <c:v>2421</c:v>
                </c:pt>
                <c:pt idx="9">
                  <c:v>2385</c:v>
                </c:pt>
                <c:pt idx="10">
                  <c:v>2630</c:v>
                </c:pt>
                <c:pt idx="11">
                  <c:v>2794</c:v>
                </c:pt>
                <c:pt idx="12">
                  <c:v>2700</c:v>
                </c:pt>
                <c:pt idx="13">
                  <c:v>3170</c:v>
                </c:pt>
                <c:pt idx="14">
                  <c:v>2567</c:v>
                </c:pt>
                <c:pt idx="15">
                  <c:v>3409</c:v>
                </c:pt>
                <c:pt idx="16">
                  <c:v>3070</c:v>
                </c:pt>
                <c:pt idx="17">
                  <c:v>3182</c:v>
                </c:pt>
                <c:pt idx="18">
                  <c:v>2706</c:v>
                </c:pt>
                <c:pt idx="19">
                  <c:v>1890</c:v>
                </c:pt>
                <c:pt idx="20">
                  <c:v>1623</c:v>
                </c:pt>
                <c:pt idx="21">
                  <c:v>1587</c:v>
                </c:pt>
                <c:pt idx="22">
                  <c:v>1507</c:v>
                </c:pt>
                <c:pt idx="23">
                  <c:v>1300</c:v>
                </c:pt>
                <c:pt idx="24">
                  <c:v>1127</c:v>
                </c:pt>
                <c:pt idx="25">
                  <c:v>997</c:v>
                </c:pt>
                <c:pt idx="26">
                  <c:v>834</c:v>
                </c:pt>
              </c:numCache>
            </c:numRef>
          </c:val>
          <c:smooth val="0"/>
          <c:extLst>
            <c:ext xmlns:c16="http://schemas.microsoft.com/office/drawing/2014/chart" uri="{C3380CC4-5D6E-409C-BE32-E72D297353CC}">
              <c16:uniqueId val="{00000000-B154-402F-BD1B-A2057A074473}"/>
            </c:ext>
          </c:extLst>
        </c:ser>
        <c:ser>
          <c:idx val="1"/>
          <c:order val="1"/>
          <c:tx>
            <c:strRef>
              <c:f>'Raw Data'!$C$1</c:f>
              <c:strCache>
                <c:ptCount val="1"/>
                <c:pt idx="0">
                  <c:v>airplay</c:v>
                </c:pt>
              </c:strCache>
            </c:strRef>
          </c:tx>
          <c:spPr>
            <a:ln w="25400">
              <a:solidFill>
                <a:srgbClr val="FF00FF"/>
              </a:solidFill>
              <a:prstDash val="solid"/>
            </a:ln>
          </c:spPr>
          <c:marker>
            <c:symbol val="none"/>
          </c:marker>
          <c:cat>
            <c:numRef>
              <c:f>'Raw Data'!$A$2:$A$42</c:f>
              <c:numCache>
                <c:formatCode>m/d/yyyy</c:formatCode>
                <c:ptCount val="41"/>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'Raw Data'!$C$2:$C$42</c:f>
              <c:numCache>
                <c:formatCode>0</c:formatCode>
                <c:ptCount val="41"/>
                <c:pt idx="0">
                  <c:v>1550.2</c:v>
                </c:pt>
                <c:pt idx="1">
                  <c:v>1492.6</c:v>
                </c:pt>
                <c:pt idx="2">
                  <c:v>2254.6999999999998</c:v>
                </c:pt>
                <c:pt idx="3">
                  <c:v>2067.5</c:v>
                </c:pt>
                <c:pt idx="4">
                  <c:v>2003.2</c:v>
                </c:pt>
                <c:pt idx="5">
                  <c:v>2347.1999999999998</c:v>
                </c:pt>
                <c:pt idx="6">
                  <c:v>2723.3</c:v>
                </c:pt>
                <c:pt idx="7">
                  <c:v>2550.8000000000002</c:v>
                </c:pt>
                <c:pt idx="8">
                  <c:v>2828.8</c:v>
                </c:pt>
                <c:pt idx="9">
                  <c:v>3198</c:v>
                </c:pt>
                <c:pt idx="10">
                  <c:v>2988.9</c:v>
                </c:pt>
                <c:pt idx="11">
                  <c:v>2113.6</c:v>
                </c:pt>
                <c:pt idx="12">
                  <c:v>1890.6</c:v>
                </c:pt>
                <c:pt idx="13">
                  <c:v>1862.7</c:v>
                </c:pt>
                <c:pt idx="14">
                  <c:v>1242</c:v>
                </c:pt>
                <c:pt idx="15">
                  <c:v>755.1</c:v>
                </c:pt>
                <c:pt idx="16">
                  <c:v>571</c:v>
                </c:pt>
                <c:pt idx="17">
                  <c:v>470.8</c:v>
                </c:pt>
                <c:pt idx="18">
                  <c:v>603.20000000000005</c:v>
                </c:pt>
                <c:pt idx="19">
                  <c:v>523.1</c:v>
                </c:pt>
                <c:pt idx="20">
                  <c:v>382.4</c:v>
                </c:pt>
                <c:pt idx="21">
                  <c:v>290.7</c:v>
                </c:pt>
                <c:pt idx="22">
                  <c:v>322.7</c:v>
                </c:pt>
                <c:pt idx="23">
                  <c:v>284.10000000000002</c:v>
                </c:pt>
                <c:pt idx="24">
                  <c:v>336</c:v>
                </c:pt>
                <c:pt idx="25">
                  <c:v>308.39999999999998</c:v>
                </c:pt>
                <c:pt idx="26">
                  <c:v>133.19999999999999</c:v>
                </c:pt>
              </c:numCache>
            </c:numRef>
          </c:val>
          <c:smooth val="0"/>
          <c:extLst>
            <c:ext xmlns:c16="http://schemas.microsoft.com/office/drawing/2014/chart" uri="{C3380CC4-5D6E-409C-BE32-E72D297353CC}">
              <c16:uniqueId val="{00000001-B154-402F-BD1B-A2057A074473}"/>
            </c:ext>
          </c:extLst>
        </c:ser>
        <c:dLbls>
          <c:showLegendKey val="0"/>
          <c:showVal val="0"/>
          <c:showCatName val="0"/>
          <c:showSerName val="0"/>
          <c:showPercent val="0"/>
          <c:showBubbleSize val="0"/>
        </c:dLbls>
        <c:smooth val="0"/>
        <c:axId val="174322048"/>
        <c:axId val="174323968"/>
      </c:lineChart>
      <c:catAx>
        <c:axId val="17432204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323968"/>
        <c:crosses val="autoZero"/>
        <c:auto val="0"/>
        <c:lblAlgn val="ctr"/>
        <c:lblOffset val="100"/>
        <c:tickLblSkip val="132"/>
        <c:tickMarkSkip val="1"/>
        <c:noMultiLvlLbl val="0"/>
      </c:catAx>
      <c:valAx>
        <c:axId val="174323968"/>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sales/airplay</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322048"/>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genuine forecasts</a:t>
            </a:r>
          </a:p>
        </c:rich>
      </c:tx>
      <c:overlay val="0"/>
      <c:spPr>
        <a:noFill/>
        <a:ln w="25400">
          <a:noFill/>
        </a:ln>
      </c:spPr>
    </c:title>
    <c:autoTitleDeleted val="0"/>
    <c:plotArea>
      <c:layout/>
      <c:lineChart>
        <c:grouping val="standard"/>
        <c:varyColors val="0"/>
        <c:ser>
          <c:idx val="0"/>
          <c:order val="0"/>
          <c:spPr>
            <a:ln w="25400">
              <a:solidFill>
                <a:srgbClr val="FF00FF"/>
              </a:solidFill>
              <a:prstDash val="solid"/>
            </a:ln>
          </c:spPr>
          <c:marker>
            <c:symbol val="none"/>
          </c:marker>
          <c:cat>
            <c:numRef>
              <c:f>'Raw Data'!$A$2:$A$42</c:f>
              <c:numCache>
                <c:formatCode>m/d/yyyy</c:formatCode>
                <c:ptCount val="41"/>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65"/>
                <c:pt idx="0">
                  <c:v>5224.4217589694226</c:v>
                </c:pt>
                <c:pt idx="1">
                  <c:v>10420.095805764095</c:v>
                </c:pt>
                <c:pt idx="2">
                  <c:v>15587.180326494108</c:v>
                </c:pt>
                <c:pt idx="3">
                  <c:v>20725.832636840245</c:v>
                </c:pt>
                <c:pt idx="4">
                  <c:v>25836.209186844131</c:v>
                </c:pt>
                <c:pt idx="5">
                  <c:v>30918.465565670696</c:v>
                </c:pt>
                <c:pt idx="6">
                  <c:v>35972.756506346028</c:v>
                </c:pt>
                <c:pt idx="7">
                  <c:v>40999.235890467557</c:v>
                </c:pt>
                <c:pt idx="8">
                  <c:v>45998.05675288973</c:v>
                </c:pt>
                <c:pt idx="9">
                  <c:v>50969.371286382971</c:v>
                </c:pt>
                <c:pt idx="10">
                  <c:v>55913.330846267076</c:v>
                </c:pt>
                <c:pt idx="11">
                  <c:v>60830.085955019866</c:v>
                </c:pt>
                <c:pt idx="12">
                  <c:v>65719.786306859693</c:v>
                </c:pt>
                <c:pt idx="13">
                  <c:v>70582.580772302666</c:v>
                </c:pt>
                <c:pt idx="14">
                  <c:v>75418.617402695774</c:v>
                </c:pt>
                <c:pt idx="15">
                  <c:v>80228.043434723877</c:v>
                </c:pt>
                <c:pt idx="16">
                  <c:v>85011.005294892748</c:v>
                </c:pt>
                <c:pt idx="17">
                  <c:v>89767.648603987065</c:v>
                </c:pt>
                <c:pt idx="18">
                  <c:v>94498.118181503552</c:v>
                </c:pt>
                <c:pt idx="19">
                  <c:v>99202.558050060892</c:v>
                </c:pt>
                <c:pt idx="20">
                  <c:v>103881.11143978406</c:v>
                </c:pt>
                <c:pt idx="21">
                  <c:v>108533.920792665</c:v>
                </c:pt>
                <c:pt idx="22">
                  <c:v>113161.12776689969</c:v>
                </c:pt>
                <c:pt idx="23">
                  <c:v>117762.87324120097</c:v>
                </c:pt>
                <c:pt idx="24">
                  <c:v>122339.29731908746</c:v>
                </c:pt>
                <c:pt idx="25">
                  <c:v>126890.53933314937</c:v>
                </c:pt>
                <c:pt idx="26">
                  <c:v>131416.73784929057</c:v>
                </c:pt>
                <c:pt idx="27">
                  <c:v>135918.03067094708</c:v>
                </c:pt>
                <c:pt idx="28">
                  <c:v>140394.55484328285</c:v>
                </c:pt>
                <c:pt idx="29">
                  <c:v>144846.44665736225</c:v>
                </c:pt>
                <c:pt idx="30">
                  <c:v>149273.84165429918</c:v>
                </c:pt>
                <c:pt idx="31">
                  <c:v>153676.87462938423</c:v>
                </c:pt>
                <c:pt idx="32">
                  <c:v>158055.67963618806</c:v>
                </c:pt>
                <c:pt idx="33">
                  <c:v>162410.38999064319</c:v>
                </c:pt>
                <c:pt idx="34">
                  <c:v>166741.13827510292</c:v>
                </c:pt>
                <c:pt idx="35">
                  <c:v>171048.05634237741</c:v>
                </c:pt>
                <c:pt idx="36">
                  <c:v>175331.2753197487</c:v>
                </c:pt>
                <c:pt idx="37">
                  <c:v>179590.92561296254</c:v>
                </c:pt>
                <c:pt idx="38">
                  <c:v>183827.13691019849</c:v>
                </c:pt>
                <c:pt idx="39">
                  <c:v>188040.03818601923</c:v>
                </c:pt>
                <c:pt idx="40">
                  <c:v>192229.75770529616</c:v>
                </c:pt>
                <c:pt idx="41">
                  <c:v>196396.42302711552</c:v>
                </c:pt>
                <c:pt idx="42">
                  <c:v>200540.16100866138</c:v>
                </c:pt>
                <c:pt idx="43">
                  <c:v>204661.09780907811</c:v>
                </c:pt>
                <c:pt idx="44">
                  <c:v>208759.35889331135</c:v>
                </c:pt>
                <c:pt idx="45">
                  <c:v>212835.0690359282</c:v>
                </c:pt>
                <c:pt idx="46">
                  <c:v>216888.35232491541</c:v>
                </c:pt>
                <c:pt idx="47">
                  <c:v>220919.33216545792</c:v>
                </c:pt>
                <c:pt idx="48">
                  <c:v>224928.13128369578</c:v>
                </c:pt>
                <c:pt idx="49">
                  <c:v>228914.87173046058</c:v>
                </c:pt>
                <c:pt idx="50">
                  <c:v>232879.67488499157</c:v>
                </c:pt>
                <c:pt idx="51">
                  <c:v>236822.66145863105</c:v>
                </c:pt>
                <c:pt idx="52">
                  <c:v>240743.95149849943</c:v>
                </c:pt>
                <c:pt idx="53">
                  <c:v>244643.6643911502</c:v>
                </c:pt>
                <c:pt idx="54">
                  <c:v>248521.91886620491</c:v>
                </c:pt>
                <c:pt idx="55">
                  <c:v>252378.83299996777</c:v>
                </c:pt>
                <c:pt idx="56">
                  <c:v>256214.52421902039</c:v>
                </c:pt>
                <c:pt idx="57">
                  <c:v>260029.10930379757</c:v>
                </c:pt>
                <c:pt idx="58">
                  <c:v>263822.70439214213</c:v>
                </c:pt>
                <c:pt idx="59">
                  <c:v>267595.42498284113</c:v>
                </c:pt>
                <c:pt idx="60">
                  <c:v>271347.38593914203</c:v>
                </c:pt>
                <c:pt idx="61">
                  <c:v>275078.7014922502</c:v>
                </c:pt>
                <c:pt idx="62">
                  <c:v>278789.48524480656</c:v>
                </c:pt>
                <c:pt idx="63">
                  <c:v>282479.85017434612</c:v>
                </c:pt>
                <c:pt idx="64">
                  <c:v>286149.90863673808</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0-6D7F-43E4-891A-A34947050201}"/>
            </c:ext>
          </c:extLst>
        </c:ser>
        <c:ser>
          <c:idx val="1"/>
          <c:order val="1"/>
          <c:spPr>
            <a:ln w="25400">
              <a:solidFill>
                <a:srgbClr val="008000"/>
              </a:solidFill>
              <a:prstDash val="solid"/>
            </a:ln>
          </c:spPr>
          <c:marker>
            <c:symbol val="none"/>
          </c:marker>
          <c:cat>
            <c:numRef>
              <c:f>'Raw Data'!$A$2:$A$42</c:f>
              <c:numCache>
                <c:formatCode>m/d/yyyy</c:formatCode>
                <c:ptCount val="41"/>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65"/>
                <c:pt idx="0">
                  <c:v>5337.8599834530414</c:v>
                </c:pt>
                <c:pt idx="1">
                  <c:v>10635.213722550718</c:v>
                </c:pt>
                <c:pt idx="2">
                  <c:v>15892.601184708477</c:v>
                </c:pt>
                <c:pt idx="3">
                  <c:v>21110.55207449153</c:v>
                </c:pt>
                <c:pt idx="4">
                  <c:v>26289.58608625942</c:v>
                </c:pt>
                <c:pt idx="5">
                  <c:v>31430.213149191033</c:v>
                </c:pt>
                <c:pt idx="6">
                  <c:v>36532.933664959797</c:v>
                </c:pt>
                <c:pt idx="7">
                  <c:v>41598.238738319917</c:v>
                </c:pt>
                <c:pt idx="8">
                  <c:v>46626.610400853031</c:v>
                </c:pt>
                <c:pt idx="9">
                  <c:v>51618.521828118544</c:v>
                </c:pt>
                <c:pt idx="10">
                  <c:v>56574.437550431008</c:v>
                </c:pt>
                <c:pt idx="11">
                  <c:v>61494.813657491432</c:v>
                </c:pt>
                <c:pt idx="12">
                  <c:v>66380.097997082339</c:v>
                </c:pt>
                <c:pt idx="13">
                  <c:v>71230.730368030068</c:v>
                </c:pt>
                <c:pt idx="14">
                  <c:v>76047.142707627907</c:v>
                </c:pt>
                <c:pt idx="15">
                  <c:v>80829.759273713717</c:v>
                </c:pt>
                <c:pt idx="16">
                  <c:v>85578.996821573106</c:v>
                </c:pt>
                <c:pt idx="17">
                  <c:v>90295.264775854594</c:v>
                </c:pt>
                <c:pt idx="18">
                  <c:v>94978.965397647946</c:v>
                </c:pt>
                <c:pt idx="19">
                  <c:v>99630.493946900606</c:v>
                </c:pt>
                <c:pt idx="20">
                  <c:v>104250.23884031737</c:v>
                </c:pt>
                <c:pt idx="21">
                  <c:v>108838.58180489393</c:v>
                </c:pt>
                <c:pt idx="22">
                  <c:v>113395.89802722905</c:v>
                </c:pt>
                <c:pt idx="23">
                  <c:v>117922.55629874914</c:v>
                </c:pt>
                <c:pt idx="24">
                  <c:v>122418.91915698122</c:v>
                </c:pt>
                <c:pt idx="25">
                  <c:v>126885.34302299759</c:v>
                </c:pt>
                <c:pt idx="26">
                  <c:v>131322.17833515958</c:v>
                </c:pt>
                <c:pt idx="27">
                  <c:v>135729.76967927342</c:v>
                </c:pt>
                <c:pt idx="28">
                  <c:v>140108.45591527323</c:v>
                </c:pt>
                <c:pt idx="29">
                  <c:v>144458.57030054598</c:v>
                </c:pt>
                <c:pt idx="30">
                  <c:v>148780.44060999496</c:v>
                </c:pt>
                <c:pt idx="31">
                  <c:v>153074.38925294904</c:v>
                </c:pt>
                <c:pt idx="32">
                  <c:v>157340.73338701771</c:v>
                </c:pt>
                <c:pt idx="33">
                  <c:v>161579.78502897974</c:v>
                </c:pt>
                <c:pt idx="34">
                  <c:v>165791.85116280272</c:v>
                </c:pt>
                <c:pt idx="35">
                  <c:v>170644.09835148463</c:v>
                </c:pt>
                <c:pt idx="36">
                  <c:v>175460.90841741636</c:v>
                </c:pt>
                <c:pt idx="37">
                  <c:v>180242.73609641616</c:v>
                </c:pt>
                <c:pt idx="38">
                  <c:v>184990.02780267669</c:v>
                </c:pt>
                <c:pt idx="39">
                  <c:v>189055.42271100107</c:v>
                </c:pt>
                <c:pt idx="40">
                  <c:v>193095.75015619418</c:v>
                </c:pt>
                <c:pt idx="41">
                  <c:v>197111.28195723804</c:v>
                </c:pt>
                <c:pt idx="42">
                  <c:v>201102.28572613787</c:v>
                </c:pt>
                <c:pt idx="43">
                  <c:v>205069.02495234559</c:v>
                </c:pt>
                <c:pt idx="44">
                  <c:v>209011.75908510594</c:v>
                </c:pt>
                <c:pt idx="45">
                  <c:v>212930.74361378362</c:v>
                </c:pt>
                <c:pt idx="46">
                  <c:v>216826.23014623381</c:v>
                </c:pt>
                <c:pt idx="47">
                  <c:v>220698.46648526614</c:v>
                </c:pt>
                <c:pt idx="48">
                  <c:v>224547.6967032649</c:v>
                </c:pt>
                <c:pt idx="49">
                  <c:v>228374.16121501286</c:v>
                </c:pt>
                <c:pt idx="50">
                  <c:v>232178.09684876766</c:v>
                </c:pt>
                <c:pt idx="51">
                  <c:v>235959.73691564874</c:v>
                </c:pt>
                <c:pt idx="52">
                  <c:v>239719.31127737579</c:v>
                </c:pt>
                <c:pt idx="53">
                  <c:v>243457.0464124034</c:v>
                </c:pt>
                <c:pt idx="54">
                  <c:v>247173.16548050562</c:v>
                </c:pt>
                <c:pt idx="55">
                  <c:v>250867.88838584229</c:v>
                </c:pt>
                <c:pt idx="56">
                  <c:v>254541.43183855992</c:v>
                </c:pt>
                <c:pt idx="57">
                  <c:v>258194.00941495819</c:v>
                </c:pt>
                <c:pt idx="58">
                  <c:v>261825.83161626881</c:v>
                </c:pt>
                <c:pt idx="59">
                  <c:v>265437.10592608119</c:v>
                </c:pt>
                <c:pt idx="60">
                  <c:v>269028.03686644981</c:v>
                </c:pt>
                <c:pt idx="61">
                  <c:v>272598.82605272526</c:v>
                </c:pt>
                <c:pt idx="62">
                  <c:v>276149.67224713636</c:v>
                </c:pt>
                <c:pt idx="63">
                  <c:v>279680.77141116234</c:v>
                </c:pt>
                <c:pt idx="64">
                  <c:v>283192.31675672519</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1-6D7F-43E4-891A-A34947050201}"/>
            </c:ext>
          </c:extLst>
        </c:ser>
        <c:ser>
          <c:idx val="2"/>
          <c:order val="2"/>
          <c:spPr>
            <a:ln w="12700">
              <a:solidFill>
                <a:srgbClr val="000080"/>
              </a:solidFill>
              <a:prstDash val="solid"/>
            </a:ln>
          </c:spPr>
          <c:marker>
            <c:symbol val="diamond"/>
            <c:size val="5"/>
            <c:spPr>
              <a:solidFill>
                <a:srgbClr val="000080"/>
              </a:solidFill>
              <a:ln>
                <a:solidFill>
                  <a:srgbClr val="000080"/>
                </a:solidFill>
                <a:prstDash val="solid"/>
              </a:ln>
            </c:spPr>
          </c:marker>
          <c:cat>
            <c:numRef>
              <c:f>'Raw Data'!$A$2:$A$42</c:f>
              <c:numCache>
                <c:formatCode>m/d/yyyy</c:formatCode>
                <c:ptCount val="41"/>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2-6D7F-43E4-891A-A34947050201}"/>
            </c:ext>
          </c:extLst>
        </c:ser>
        <c:dLbls>
          <c:showLegendKey val="0"/>
          <c:showVal val="0"/>
          <c:showCatName val="0"/>
          <c:showSerName val="0"/>
          <c:showPercent val="0"/>
          <c:showBubbleSize val="0"/>
        </c:dLbls>
        <c:smooth val="0"/>
        <c:axId val="174637824"/>
        <c:axId val="174640512"/>
      </c:lineChart>
      <c:catAx>
        <c:axId val="17463782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640512"/>
        <c:crosses val="autoZero"/>
        <c:auto val="0"/>
        <c:lblAlgn val="ctr"/>
        <c:lblOffset val="100"/>
        <c:tickLblSkip val="192"/>
        <c:tickMarkSkip val="1"/>
        <c:noMultiLvlLbl val="0"/>
      </c:catAx>
      <c:valAx>
        <c:axId val="174640512"/>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637824"/>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early projections</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'Raw Data'!$A$2:$A$42</c:f>
              <c:numCache>
                <c:formatCode>m/d/yyyy</c:formatCode>
                <c:ptCount val="41"/>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0B82-4F72-947B-9C9316E8C9D8}"/>
            </c:ext>
          </c:extLst>
        </c:ser>
        <c:ser>
          <c:idx val="1"/>
          <c:order val="1"/>
          <c:spPr>
            <a:ln w="25400">
              <a:solidFill>
                <a:srgbClr val="FF00FF"/>
              </a:solidFill>
              <a:prstDash val="solid"/>
            </a:ln>
          </c:spPr>
          <c:marker>
            <c:symbol val="none"/>
          </c:marker>
          <c:cat>
            <c:numRef>
              <c:f>'Raw Data'!$A$2:$A$42</c:f>
              <c:numCache>
                <c:formatCode>m/d/yyyy</c:formatCode>
                <c:ptCount val="41"/>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6205.5970060675982</c:v>
                </c:pt>
                <c:pt idx="1">
                  <c:v>12398.357534068038</c:v>
                </c:pt>
                <c:pt idx="2">
                  <c:v>18578.30813667105</c:v>
                </c:pt>
                <c:pt idx="3">
                  <c:v>24745.475311621969</c:v>
                </c:pt>
                <c:pt idx="4">
                  <c:v>30899.885501853631</c:v>
                </c:pt>
                <c:pt idx="5">
                  <c:v>37041.565095601967</c:v>
                </c:pt>
                <c:pt idx="6">
                  <c:v>43170.540426517247</c:v>
                </c:pt>
                <c:pt idx="7">
                  <c:v>49286.837773777959</c:v>
                </c:pt>
                <c:pt idx="8">
                  <c:v>55390.483362203093</c:v>
                </c:pt>
                <c:pt idx="9">
                  <c:v>61481.503362365023</c:v>
                </c:pt>
                <c:pt idx="10">
                  <c:v>67559.923890701422</c:v>
                </c:pt>
                <c:pt idx="11">
                  <c:v>73625.771009626857</c:v>
                </c:pt>
                <c:pt idx="12">
                  <c:v>79679.070727645681</c:v>
                </c:pt>
                <c:pt idx="13">
                  <c:v>85719.848999461945</c:v>
                </c:pt>
                <c:pt idx="14">
                  <c:v>91748.13172609231</c:v>
                </c:pt>
                <c:pt idx="15">
                  <c:v>97763.944754976299</c:v>
                </c:pt>
                <c:pt idx="16">
                  <c:v>103767.31388008619</c:v>
                </c:pt>
                <c:pt idx="17">
                  <c:v>109758.26484203999</c:v>
                </c:pt>
                <c:pt idx="18">
                  <c:v>115736.82332820923</c:v>
                </c:pt>
                <c:pt idx="19">
                  <c:v>121703.01497283098</c:v>
                </c:pt>
                <c:pt idx="20">
                  <c:v>127656.86535711707</c:v>
                </c:pt>
                <c:pt idx="21">
                  <c:v>133598.40000936363</c:v>
                </c:pt>
                <c:pt idx="22">
                  <c:v>139527.64440506004</c:v>
                </c:pt>
                <c:pt idx="23">
                  <c:v>145444.62396699988</c:v>
                </c:pt>
                <c:pt idx="24">
                  <c:v>151349.36406538801</c:v>
                </c:pt>
                <c:pt idx="25">
                  <c:v>157241.89001795073</c:v>
                </c:pt>
                <c:pt idx="26">
                  <c:v>163122.22709004386</c:v>
                </c:pt>
                <c:pt idx="27">
                  <c:v>168990.40049476034</c:v>
                </c:pt>
                <c:pt idx="28">
                  <c:v>174846.43539304013</c:v>
                </c:pt>
                <c:pt idx="29">
                  <c:v>180690.35689377555</c:v>
                </c:pt>
                <c:pt idx="30">
                  <c:v>186522.19005392145</c:v>
                </c:pt>
                <c:pt idx="31">
                  <c:v>192341.95987860113</c:v>
                </c:pt>
                <c:pt idx="32">
                  <c:v>198149.69132121396</c:v>
                </c:pt>
                <c:pt idx="33">
                  <c:v>203945.40928354289</c:v>
                </c:pt>
                <c:pt idx="34">
                  <c:v>209729.1386158604</c:v>
                </c:pt>
                <c:pt idx="35">
                  <c:v>215500.90411703481</c:v>
                </c:pt>
                <c:pt idx="36">
                  <c:v>221260.73053463778</c:v>
                </c:pt>
                <c:pt idx="37">
                  <c:v>227008.64256505028</c:v>
                </c:pt>
                <c:pt idx="38">
                  <c:v>232744.6648535667</c:v>
                </c:pt>
                <c:pt idx="39">
                  <c:v>238468.82199450338</c:v>
                </c:pt>
                <c:pt idx="40">
                  <c:v>244181.1385313012</c:v>
                </c:pt>
                <c:pt idx="41">
                  <c:v>249881.63895663273</c:v>
                </c:pt>
                <c:pt idx="42">
                  <c:v>255570.34771250674</c:v>
                </c:pt>
                <c:pt idx="43">
                  <c:v>261247.28919037309</c:v>
                </c:pt>
                <c:pt idx="44">
                  <c:v>266912.48773122631</c:v>
                </c:pt>
                <c:pt idx="45">
                  <c:v>272565.96762571164</c:v>
                </c:pt>
                <c:pt idx="46">
                  <c:v>278207.75311422796</c:v>
                </c:pt>
                <c:pt idx="47">
                  <c:v>283837.86838703218</c:v>
                </c:pt>
                <c:pt idx="48">
                  <c:v>289456.33758434275</c:v>
                </c:pt>
                <c:pt idx="49">
                  <c:v>295063.18479644344</c:v>
                </c:pt>
                <c:pt idx="50">
                  <c:v>300658.43406378658</c:v>
                </c:pt>
                <c:pt idx="51">
                  <c:v>306242.10937709583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0B82-4F72-947B-9C9316E8C9D8}"/>
            </c:ext>
          </c:extLst>
        </c:ser>
        <c:ser>
          <c:idx val="2"/>
          <c:order val="2"/>
          <c:spPr>
            <a:ln w="25400">
              <a:solidFill>
                <a:srgbClr val="008000"/>
              </a:solidFill>
              <a:prstDash val="solid"/>
            </a:ln>
          </c:spPr>
          <c:marker>
            <c:symbol val="none"/>
          </c:marker>
          <c:cat>
            <c:numRef>
              <c:f>'Raw Data'!$A$2:$A$42</c:f>
              <c:numCache>
                <c:formatCode>m/d/yyyy</c:formatCode>
                <c:ptCount val="41"/>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6236.3185158423876</c:v>
                </c:pt>
                <c:pt idx="1">
                  <c:v>12456.105476353119</c:v>
                </c:pt>
                <c:pt idx="2">
                  <c:v>18659.414150744902</c:v>
                </c:pt>
                <c:pt idx="3">
                  <c:v>24846.297606183398</c:v>
                </c:pt>
                <c:pt idx="4">
                  <c:v>31016.80870865786</c:v>
                </c:pt>
                <c:pt idx="5">
                  <c:v>37171.000123869424</c:v>
                </c:pt>
                <c:pt idx="6">
                  <c:v>43308.924318095407</c:v>
                </c:pt>
                <c:pt idx="7">
                  <c:v>49430.63355905997</c:v>
                </c:pt>
                <c:pt idx="8">
                  <c:v>55536.179916802372</c:v>
                </c:pt>
                <c:pt idx="9">
                  <c:v>61625.615264532033</c:v>
                </c:pt>
                <c:pt idx="10">
                  <c:v>67698.991279486756</c:v>
                </c:pt>
                <c:pt idx="11">
                  <c:v>73756.359443787107</c:v>
                </c:pt>
                <c:pt idx="12">
                  <c:v>79797.771045275076</c:v>
                </c:pt>
                <c:pt idx="13">
                  <c:v>85823.277178370685</c:v>
                </c:pt>
                <c:pt idx="14">
                  <c:v>91832.928744896344</c:v>
                </c:pt>
                <c:pt idx="15">
                  <c:v>97826.776454923878</c:v>
                </c:pt>
                <c:pt idx="16">
                  <c:v>103804.87082759848</c:v>
                </c:pt>
                <c:pt idx="17">
                  <c:v>109767.26219197208</c:v>
                </c:pt>
                <c:pt idx="18">
                  <c:v>115714.00068781502</c:v>
                </c:pt>
                <c:pt idx="19">
                  <c:v>121645.13626644868</c:v>
                </c:pt>
                <c:pt idx="20">
                  <c:v>127560.71869154894</c:v>
                </c:pt>
                <c:pt idx="21">
                  <c:v>133460.79753996443</c:v>
                </c:pt>
                <c:pt idx="22">
                  <c:v>139345.42220251821</c:v>
                </c:pt>
                <c:pt idx="23">
                  <c:v>145214.64188481527</c:v>
                </c:pt>
                <c:pt idx="24">
                  <c:v>151068.50560803665</c:v>
                </c:pt>
                <c:pt idx="25">
                  <c:v>156907.06220974037</c:v>
                </c:pt>
                <c:pt idx="26">
                  <c:v>162730.36034464737</c:v>
                </c:pt>
                <c:pt idx="27">
                  <c:v>168538.44848542986</c:v>
                </c:pt>
                <c:pt idx="28">
                  <c:v>174331.37492349805</c:v>
                </c:pt>
                <c:pt idx="29">
                  <c:v>180109.18776977746</c:v>
                </c:pt>
                <c:pt idx="30">
                  <c:v>185871.93495548383</c:v>
                </c:pt>
                <c:pt idx="31">
                  <c:v>191619.66423289722</c:v>
                </c:pt>
                <c:pt idx="32">
                  <c:v>197352.42317613267</c:v>
                </c:pt>
                <c:pt idx="33">
                  <c:v>203070.25918189669</c:v>
                </c:pt>
                <c:pt idx="34">
                  <c:v>208773.21947025752</c:v>
                </c:pt>
                <c:pt idx="35">
                  <c:v>214461.35108539666</c:v>
                </c:pt>
                <c:pt idx="36">
                  <c:v>220134.70089636612</c:v>
                </c:pt>
                <c:pt idx="37">
                  <c:v>225793.31559783532</c:v>
                </c:pt>
                <c:pt idx="38">
                  <c:v>231437.24171083735</c:v>
                </c:pt>
                <c:pt idx="39">
                  <c:v>237066.52558351649</c:v>
                </c:pt>
                <c:pt idx="40">
                  <c:v>242681.21339185978</c:v>
                </c:pt>
                <c:pt idx="41">
                  <c:v>248281.35114044035</c:v>
                </c:pt>
                <c:pt idx="42">
                  <c:v>253866.98466314361</c:v>
                </c:pt>
                <c:pt idx="43">
                  <c:v>259438.15962389749</c:v>
                </c:pt>
                <c:pt idx="44">
                  <c:v>264994.92151739931</c:v>
                </c:pt>
                <c:pt idx="45">
                  <c:v>270537.31566983397</c:v>
                </c:pt>
                <c:pt idx="46">
                  <c:v>276065.38723959605</c:v>
                </c:pt>
                <c:pt idx="47">
                  <c:v>281579.18121799931</c:v>
                </c:pt>
                <c:pt idx="48">
                  <c:v>287078.74242999242</c:v>
                </c:pt>
                <c:pt idx="49">
                  <c:v>292564.11553486239</c:v>
                </c:pt>
                <c:pt idx="50">
                  <c:v>298035.34502694273</c:v>
                </c:pt>
                <c:pt idx="51">
                  <c:v>303492.47523631272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0B82-4F72-947B-9C9316E8C9D8}"/>
            </c:ext>
          </c:extLst>
        </c:ser>
        <c:dLbls>
          <c:showLegendKey val="0"/>
          <c:showVal val="0"/>
          <c:showCatName val="0"/>
          <c:showSerName val="0"/>
          <c:showPercent val="0"/>
          <c:showBubbleSize val="0"/>
        </c:dLbls>
        <c:marker val="1"/>
        <c:smooth val="0"/>
        <c:axId val="174699264"/>
        <c:axId val="174701184"/>
      </c:lineChart>
      <c:catAx>
        <c:axId val="17469926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701184"/>
        <c:crosses val="autoZero"/>
        <c:auto val="0"/>
        <c:lblAlgn val="ctr"/>
        <c:lblOffset val="100"/>
        <c:tickLblSkip val="153"/>
        <c:tickMarkSkip val="1"/>
        <c:noMultiLvlLbl val="0"/>
      </c:catAx>
      <c:valAx>
        <c:axId val="174701184"/>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699264"/>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model fit and validated forecast</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'Raw Data'!$A$2:$A$42</c:f>
              <c:numCache>
                <c:formatCode>m/d/yyyy</c:formatCode>
                <c:ptCount val="41"/>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3066-4685-91D5-FB2D89DE391B}"/>
            </c:ext>
          </c:extLst>
        </c:ser>
        <c:ser>
          <c:idx val="1"/>
          <c:order val="1"/>
          <c:spPr>
            <a:ln w="25400">
              <a:solidFill>
                <a:srgbClr val="FF00FF"/>
              </a:solidFill>
              <a:prstDash val="solid"/>
            </a:ln>
          </c:spPr>
          <c:marker>
            <c:symbol val="none"/>
          </c:marker>
          <c:cat>
            <c:numRef>
              <c:f>'Raw Data'!$A$2:$A$42</c:f>
              <c:numCache>
                <c:formatCode>m/d/yyyy</c:formatCode>
                <c:ptCount val="41"/>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7344.335729028825</c:v>
                </c:pt>
                <c:pt idx="1">
                  <c:v>14436.551199097725</c:v>
                </c:pt>
                <c:pt idx="2">
                  <c:v>21285.301328408012</c:v>
                </c:pt>
                <c:pt idx="3">
                  <c:v>27898.943924530697</c:v>
                </c:pt>
                <c:pt idx="4">
                  <c:v>34285.549883777916</c:v>
                </c:pt>
                <c:pt idx="5">
                  <c:v>40452.913040445157</c:v>
                </c:pt>
                <c:pt idx="6">
                  <c:v>46408.559677943333</c:v>
                </c:pt>
                <c:pt idx="7">
                  <c:v>52159.757713427702</c:v>
                </c:pt>
                <c:pt idx="8">
                  <c:v>57713.525567131976</c:v>
                </c:pt>
                <c:pt idx="9">
                  <c:v>63076.64072723117</c:v>
                </c:pt>
                <c:pt idx="10">
                  <c:v>68255.648020685359</c:v>
                </c:pt>
                <c:pt idx="11">
                  <c:v>73256.86760015742</c:v>
                </c:pt>
                <c:pt idx="12">
                  <c:v>78086.402656751801</c:v>
                </c:pt>
                <c:pt idx="13">
                  <c:v>82750.146867985968</c:v>
                </c:pt>
                <c:pt idx="14">
                  <c:v>87253.791590084365</c:v>
                </c:pt>
                <c:pt idx="15">
                  <c:v>91602.832803371042</c:v>
                </c:pt>
                <c:pt idx="16">
                  <c:v>95802.577819237515</c:v>
                </c:pt>
                <c:pt idx="17">
                  <c:v>99858.151756870066</c:v>
                </c:pt>
                <c:pt idx="18">
                  <c:v>103774.50379764057</c:v>
                </c:pt>
                <c:pt idx="19">
                  <c:v>107556.41322479326</c:v>
                </c:pt>
                <c:pt idx="20">
                  <c:v>111208.4952557979</c:v>
                </c:pt>
                <c:pt idx="21">
                  <c:v>114735.20667448692</c:v>
                </c:pt>
                <c:pt idx="22">
                  <c:v>118140.85126984945</c:v>
                </c:pt>
                <c:pt idx="23">
                  <c:v>121429.58508811954</c:v>
                </c:pt>
                <c:pt idx="24">
                  <c:v>124605.42150456809</c:v>
                </c:pt>
                <c:pt idx="25">
                  <c:v>127672.23612118732</c:v>
                </c:pt>
                <c:pt idx="26">
                  <c:v>130633.77149624519</c:v>
                </c:pt>
                <c:pt idx="27">
                  <c:v>133493.641711481</c:v>
                </c:pt>
                <c:pt idx="28">
                  <c:v>136255.33678251592</c:v>
                </c:pt>
                <c:pt idx="29">
                  <c:v>138922.22691786065</c:v>
                </c:pt>
                <c:pt idx="30">
                  <c:v>141497.56663171755</c:v>
                </c:pt>
                <c:pt idx="31">
                  <c:v>143984.49871559627</c:v>
                </c:pt>
                <c:pt idx="32">
                  <c:v>146386.05807358978</c:v>
                </c:pt>
                <c:pt idx="33">
                  <c:v>148705.17542599089</c:v>
                </c:pt>
                <c:pt idx="34">
                  <c:v>150944.68088576914</c:v>
                </c:pt>
                <c:pt idx="35">
                  <c:v>153128.47144011562</c:v>
                </c:pt>
                <c:pt idx="36">
                  <c:v>155236.56203205764</c:v>
                </c:pt>
                <c:pt idx="37">
                  <c:v>157271.57676137282</c:v>
                </c:pt>
                <c:pt idx="38">
                  <c:v>159236.04876478645</c:v>
                </c:pt>
                <c:pt idx="39">
                  <c:v>161114.04480952566</c:v>
                </c:pt>
                <c:pt idx="40">
                  <c:v>162927.57200825959</c:v>
                </c:pt>
                <c:pt idx="41">
                  <c:v>164678.8434817864</c:v>
                </c:pt>
                <c:pt idx="42">
                  <c:v>166369.99637771747</c:v>
                </c:pt>
                <c:pt idx="43">
                  <c:v>168003.09447852554</c:v>
                </c:pt>
                <c:pt idx="44">
                  <c:v>169580.13072006224</c:v>
                </c:pt>
                <c:pt idx="45">
                  <c:v>171103.02962361835</c:v>
                </c:pt>
                <c:pt idx="46">
                  <c:v>172573.64964449525</c:v>
                </c:pt>
                <c:pt idx="47">
                  <c:v>173993.78543995344</c:v>
                </c:pt>
                <c:pt idx="48">
                  <c:v>175365.17005930538</c:v>
                </c:pt>
                <c:pt idx="49">
                  <c:v>176689.47705882601</c:v>
                </c:pt>
                <c:pt idx="50">
                  <c:v>177968.32254406132</c:v>
                </c:pt>
                <c:pt idx="51">
                  <c:v>179203.26714202741</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3066-4685-91D5-FB2D89DE391B}"/>
            </c:ext>
          </c:extLst>
        </c:ser>
        <c:ser>
          <c:idx val="2"/>
          <c:order val="2"/>
          <c:spPr>
            <a:ln w="25400">
              <a:solidFill>
                <a:srgbClr val="008000"/>
              </a:solidFill>
              <a:prstDash val="solid"/>
            </a:ln>
          </c:spPr>
          <c:marker>
            <c:symbol val="none"/>
          </c:marker>
          <c:cat>
            <c:numRef>
              <c:f>'Raw Data'!$A$2:$A$42</c:f>
              <c:numCache>
                <c:formatCode>m/d/yyyy</c:formatCode>
                <c:ptCount val="41"/>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8499.3219409211779</c:v>
                </c:pt>
                <c:pt idx="1">
                  <c:v>16404.804123137495</c:v>
                </c:pt>
                <c:pt idx="2">
                  <c:v>23792.754684577423</c:v>
                </c:pt>
                <c:pt idx="3">
                  <c:v>30725.730351800816</c:v>
                </c:pt>
                <c:pt idx="4">
                  <c:v>37255.646350869756</c:v>
                </c:pt>
                <c:pt idx="5">
                  <c:v>43426.055223524942</c:v>
                </c:pt>
                <c:pt idx="6">
                  <c:v>49273.847370987503</c:v>
                </c:pt>
                <c:pt idx="7">
                  <c:v>54830.540786694248</c:v>
                </c:pt>
                <c:pt idx="8">
                  <c:v>60123.273491882399</c:v>
                </c:pt>
                <c:pt idx="9">
                  <c:v>65175.577222763903</c:v>
                </c:pt>
                <c:pt idx="10">
                  <c:v>70007.987739005519</c:v>
                </c:pt>
                <c:pt idx="11">
                  <c:v>74638.53144247079</c:v>
                </c:pt>
                <c:pt idx="12">
                  <c:v>79083.117190512858</c:v>
                </c:pt>
                <c:pt idx="13">
                  <c:v>83355.854617961581</c:v>
                </c:pt>
                <c:pt idx="14">
                  <c:v>87469.314896583499</c:v>
                </c:pt>
                <c:pt idx="15">
                  <c:v>91434.745975696569</c:v>
                </c:pt>
                <c:pt idx="16">
                  <c:v>95262.251508608126</c:v>
                </c:pt>
                <c:pt idx="17">
                  <c:v>98960.940570115621</c:v>
                </c:pt>
                <c:pt idx="18">
                  <c:v>102539.05370062744</c:v>
                </c:pt>
                <c:pt idx="19">
                  <c:v>106004.06962679887</c:v>
                </c:pt>
                <c:pt idx="20">
                  <c:v>109362.7961043987</c:v>
                </c:pt>
                <c:pt idx="21">
                  <c:v>112621.44763344251</c:v>
                </c:pt>
                <c:pt idx="22">
                  <c:v>115785.71225590339</c:v>
                </c:pt>
                <c:pt idx="23">
                  <c:v>118860.80922427788</c:v>
                </c:pt>
                <c:pt idx="24">
                  <c:v>121851.53899685852</c:v>
                </c:pt>
                <c:pt idx="25">
                  <c:v>124762.32675190546</c:v>
                </c:pt>
                <c:pt idx="26">
                  <c:v>127597.26040240616</c:v>
                </c:pt>
                <c:pt idx="27">
                  <c:v>130360.12392403407</c:v>
                </c:pt>
                <c:pt idx="28">
                  <c:v>133054.42667229407</c:v>
                </c:pt>
                <c:pt idx="29">
                  <c:v>135683.42925384446</c:v>
                </c:pt>
                <c:pt idx="30">
                  <c:v>138250.16642633482</c:v>
                </c:pt>
                <c:pt idx="31">
                  <c:v>140757.46742667383</c:v>
                </c:pt>
                <c:pt idx="32">
                  <c:v>143207.97406628681</c:v>
                </c:pt>
                <c:pt idx="33">
                  <c:v>145604.15688106132</c:v>
                </c:pt>
                <c:pt idx="34">
                  <c:v>147948.3295813876</c:v>
                </c:pt>
                <c:pt idx="35">
                  <c:v>154519.3973396708</c:v>
                </c:pt>
                <c:pt idx="36">
                  <c:v>160712.39594842569</c:v>
                </c:pt>
                <c:pt idx="37">
                  <c:v>166567.77713775184</c:v>
                </c:pt>
                <c:pt idx="38">
                  <c:v>172119.86247883536</c:v>
                </c:pt>
                <c:pt idx="39">
                  <c:v>173955.8060925912</c:v>
                </c:pt>
                <c:pt idx="40">
                  <c:v>175760.75892452724</c:v>
                </c:pt>
                <c:pt idx="41">
                  <c:v>177535.73104752653</c:v>
                </c:pt>
                <c:pt idx="42">
                  <c:v>179281.68424125924</c:v>
                </c:pt>
                <c:pt idx="43">
                  <c:v>180999.53501339117</c:v>
                </c:pt>
                <c:pt idx="44">
                  <c:v>182690.15738858763</c:v>
                </c:pt>
                <c:pt idx="45">
                  <c:v>184354.38548637839</c:v>
                </c:pt>
                <c:pt idx="46">
                  <c:v>185993.01590675808</c:v>
                </c:pt>
                <c:pt idx="47">
                  <c:v>187606.80994045688</c:v>
                </c:pt>
                <c:pt idx="48">
                  <c:v>189196.49561910034</c:v>
                </c:pt>
                <c:pt idx="49">
                  <c:v>190762.76961896522</c:v>
                </c:pt>
                <c:pt idx="50">
                  <c:v>192306.29903068152</c:v>
                </c:pt>
                <c:pt idx="51">
                  <c:v>193827.72300604312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3066-4685-91D5-FB2D89DE391B}"/>
            </c:ext>
          </c:extLst>
        </c:ser>
        <c:dLbls>
          <c:showLegendKey val="0"/>
          <c:showVal val="0"/>
          <c:showCatName val="0"/>
          <c:showSerName val="0"/>
          <c:showPercent val="0"/>
          <c:showBubbleSize val="0"/>
        </c:dLbls>
        <c:marker val="1"/>
        <c:smooth val="0"/>
        <c:axId val="174749952"/>
        <c:axId val="174752128"/>
      </c:lineChart>
      <c:catAx>
        <c:axId val="174749952"/>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752128"/>
        <c:crosses val="autoZero"/>
        <c:auto val="0"/>
        <c:lblAlgn val="ctr"/>
        <c:lblOffset val="100"/>
        <c:tickLblSkip val="153"/>
        <c:tickMarkSkip val="1"/>
        <c:noMultiLvlLbl val="0"/>
      </c:catAx>
      <c:valAx>
        <c:axId val="174752128"/>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749952"/>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636043082358407E-2"/>
          <c:y val="3.4597235099566859E-2"/>
          <c:w val="0.80797139237331739"/>
          <c:h val="0.86510190102206219"/>
        </c:manualLayout>
      </c:layout>
      <c:lineChart>
        <c:grouping val="standard"/>
        <c:varyColors val="0"/>
        <c:ser>
          <c:idx val="0"/>
          <c:order val="0"/>
          <c:tx>
            <c:strRef>
              <c:f>'Sparklehorse (SH)'!$C$1</c:f>
              <c:strCache>
                <c:ptCount val="1"/>
                <c:pt idx="0">
                  <c:v>airplay</c:v>
                </c:pt>
              </c:strCache>
            </c:strRef>
          </c:tx>
          <c:cat>
            <c:numRef>
              <c:f>'Sparklehorse (SH)'!$A$2:$A$28</c:f>
              <c:numCache>
                <c:formatCode>m/d/yyyy</c:formatCode>
                <c:ptCount val="27"/>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'Sparklehorse (SH)'!$C$2:$C$28</c:f>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formatCode="0">
                  <c:v>20.080000000000002</c:v>
                </c:pt>
                <c:pt idx="19" formatCode="0">
                  <c:v>18.669999999999998</c:v>
                </c:pt>
                <c:pt idx="20" formatCode="0">
                  <c:v>83.27000000000001</c:v>
                </c:pt>
                <c:pt idx="21" formatCode="0">
                  <c:v>184.69</c:v>
                </c:pt>
                <c:pt idx="22" formatCode="0">
                  <c:v>424.75</c:v>
                </c:pt>
                <c:pt idx="23" formatCode="0">
                  <c:v>518.51</c:v>
                </c:pt>
                <c:pt idx="24" formatCode="0">
                  <c:v>673.75</c:v>
                </c:pt>
                <c:pt idx="25" formatCode="0">
                  <c:v>670.4</c:v>
                </c:pt>
                <c:pt idx="26" formatCode="0">
                  <c:v>657.45</c:v>
                </c:pt>
              </c:numCache>
            </c:numRef>
          </c:val>
          <c:smooth val="0"/>
          <c:extLst>
            <c:ext xmlns:c16="http://schemas.microsoft.com/office/drawing/2014/chart" uri="{C3380CC4-5D6E-409C-BE32-E72D297353CC}">
              <c16:uniqueId val="{00000000-8EB5-4B5E-9E34-87CE3B2133D6}"/>
            </c:ext>
          </c:extLst>
        </c:ser>
        <c:ser>
          <c:idx val="1"/>
          <c:order val="1"/>
          <c:tx>
            <c:strRef>
              <c:f>'Sparklehorse (SH)'!$B$1</c:f>
              <c:strCache>
                <c:ptCount val="1"/>
                <c:pt idx="0">
                  <c:v>sales</c:v>
                </c:pt>
              </c:strCache>
            </c:strRef>
          </c:tx>
          <c:cat>
            <c:numRef>
              <c:f>'Sparklehorse (SH)'!$A$2:$A$28</c:f>
              <c:numCache>
                <c:formatCode>m/d/yyyy</c:formatCode>
                <c:ptCount val="27"/>
                <c:pt idx="0">
                  <c:v>34973</c:v>
                </c:pt>
                <c:pt idx="1">
                  <c:v>34980</c:v>
                </c:pt>
                <c:pt idx="2">
                  <c:v>34987</c:v>
                </c:pt>
                <c:pt idx="3">
                  <c:v>34994</c:v>
                </c:pt>
                <c:pt idx="4">
                  <c:v>35001</c:v>
                </c:pt>
                <c:pt idx="5">
                  <c:v>35008</c:v>
                </c:pt>
                <c:pt idx="6">
                  <c:v>35015</c:v>
                </c:pt>
                <c:pt idx="7">
                  <c:v>35022</c:v>
                </c:pt>
                <c:pt idx="8">
                  <c:v>35029</c:v>
                </c:pt>
                <c:pt idx="9">
                  <c:v>35036</c:v>
                </c:pt>
                <c:pt idx="10">
                  <c:v>35043</c:v>
                </c:pt>
                <c:pt idx="11">
                  <c:v>35050</c:v>
                </c:pt>
                <c:pt idx="12">
                  <c:v>35057</c:v>
                </c:pt>
                <c:pt idx="13">
                  <c:v>35064</c:v>
                </c:pt>
                <c:pt idx="14">
                  <c:v>35071</c:v>
                </c:pt>
                <c:pt idx="15">
                  <c:v>35078</c:v>
                </c:pt>
                <c:pt idx="16">
                  <c:v>35085</c:v>
                </c:pt>
                <c:pt idx="17">
                  <c:v>35092</c:v>
                </c:pt>
                <c:pt idx="18">
                  <c:v>35099</c:v>
                </c:pt>
                <c:pt idx="19">
                  <c:v>35106</c:v>
                </c:pt>
                <c:pt idx="20">
                  <c:v>35113</c:v>
                </c:pt>
                <c:pt idx="21">
                  <c:v>35120</c:v>
                </c:pt>
                <c:pt idx="22">
                  <c:v>35127</c:v>
                </c:pt>
                <c:pt idx="23">
                  <c:v>35134</c:v>
                </c:pt>
                <c:pt idx="24">
                  <c:v>35141</c:v>
                </c:pt>
                <c:pt idx="25">
                  <c:v>35148</c:v>
                </c:pt>
                <c:pt idx="26">
                  <c:v>35155</c:v>
                </c:pt>
              </c:numCache>
            </c:numRef>
          </c:cat>
          <c:val>
            <c:numRef>
              <c:f>'Sparklehorse (SH)'!$B$2:$B$28</c:f>
              <c:numCache>
                <c:formatCode>General</c:formatCode>
                <c:ptCount val="27"/>
                <c:pt idx="0">
                  <c:v>74</c:v>
                </c:pt>
                <c:pt idx="1">
                  <c:v>68</c:v>
                </c:pt>
                <c:pt idx="2">
                  <c:v>85</c:v>
                </c:pt>
                <c:pt idx="3">
                  <c:v>86</c:v>
                </c:pt>
                <c:pt idx="4">
                  <c:v>96</c:v>
                </c:pt>
                <c:pt idx="5">
                  <c:v>107</c:v>
                </c:pt>
                <c:pt idx="6">
                  <c:v>85</c:v>
                </c:pt>
                <c:pt idx="7">
                  <c:v>74</c:v>
                </c:pt>
                <c:pt idx="8">
                  <c:v>87</c:v>
                </c:pt>
                <c:pt idx="9">
                  <c:v>74</c:v>
                </c:pt>
                <c:pt idx="10">
                  <c:v>88</c:v>
                </c:pt>
                <c:pt idx="11">
                  <c:v>101</c:v>
                </c:pt>
                <c:pt idx="12">
                  <c:v>176</c:v>
                </c:pt>
                <c:pt idx="13">
                  <c:v>144</c:v>
                </c:pt>
                <c:pt idx="14">
                  <c:v>178</c:v>
                </c:pt>
                <c:pt idx="15">
                  <c:v>141</c:v>
                </c:pt>
                <c:pt idx="16">
                  <c:v>151</c:v>
                </c:pt>
                <c:pt idx="17">
                  <c:v>102</c:v>
                </c:pt>
                <c:pt idx="18">
                  <c:v>132</c:v>
                </c:pt>
                <c:pt idx="19">
                  <c:v>188</c:v>
                </c:pt>
                <c:pt idx="20">
                  <c:v>121</c:v>
                </c:pt>
                <c:pt idx="21">
                  <c:v>139</c:v>
                </c:pt>
                <c:pt idx="22">
                  <c:v>166</c:v>
                </c:pt>
                <c:pt idx="23">
                  <c:v>170</c:v>
                </c:pt>
                <c:pt idx="24">
                  <c:v>316</c:v>
                </c:pt>
                <c:pt idx="25">
                  <c:v>427</c:v>
                </c:pt>
                <c:pt idx="26">
                  <c:v>584</c:v>
                </c:pt>
              </c:numCache>
            </c:numRef>
          </c:val>
          <c:smooth val="0"/>
          <c:extLst>
            <c:ext xmlns:c16="http://schemas.microsoft.com/office/drawing/2014/chart" uri="{C3380CC4-5D6E-409C-BE32-E72D297353CC}">
              <c16:uniqueId val="{00000001-8EB5-4B5E-9E34-87CE3B2133D6}"/>
            </c:ext>
          </c:extLst>
        </c:ser>
        <c:ser>
          <c:idx val="2"/>
          <c:order val="2"/>
          <c:tx>
            <c:v>lag(airplay)</c:v>
          </c:tx>
          <c:val>
            <c:numRef>
              <c:f>'Sparklehorse (SH)'!$D$2:$D$28</c:f>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formatCode="0">
                  <c:v>20.080000000000002</c:v>
                </c:pt>
                <c:pt idx="21" formatCode="0">
                  <c:v>18.669999999999998</c:v>
                </c:pt>
                <c:pt idx="22" formatCode="0">
                  <c:v>83.27000000000001</c:v>
                </c:pt>
                <c:pt idx="23" formatCode="0">
                  <c:v>184.69</c:v>
                </c:pt>
                <c:pt idx="24" formatCode="0">
                  <c:v>424.75</c:v>
                </c:pt>
                <c:pt idx="25" formatCode="0">
                  <c:v>518.51</c:v>
                </c:pt>
                <c:pt idx="26" formatCode="0">
                  <c:v>673.75</c:v>
                </c:pt>
              </c:numCache>
            </c:numRef>
          </c:val>
          <c:smooth val="0"/>
          <c:extLst>
            <c:ext xmlns:c16="http://schemas.microsoft.com/office/drawing/2014/chart" uri="{C3380CC4-5D6E-409C-BE32-E72D297353CC}">
              <c16:uniqueId val="{00000002-8EB5-4B5E-9E34-87CE3B2133D6}"/>
            </c:ext>
          </c:extLst>
        </c:ser>
        <c:dLbls>
          <c:showLegendKey val="0"/>
          <c:showVal val="0"/>
          <c:showCatName val="0"/>
          <c:showSerName val="0"/>
          <c:showPercent val="0"/>
          <c:showBubbleSize val="0"/>
        </c:dLbls>
        <c:marker val="1"/>
        <c:smooth val="0"/>
        <c:axId val="175179264"/>
        <c:axId val="175180800"/>
      </c:lineChart>
      <c:dateAx>
        <c:axId val="175179264"/>
        <c:scaling>
          <c:orientation val="minMax"/>
        </c:scaling>
        <c:delete val="0"/>
        <c:axPos val="b"/>
        <c:numFmt formatCode="m/d/yy;@" sourceLinked="0"/>
        <c:majorTickMark val="out"/>
        <c:minorTickMark val="none"/>
        <c:tickLblPos val="nextTo"/>
        <c:crossAx val="175180800"/>
        <c:crosses val="autoZero"/>
        <c:auto val="0"/>
        <c:lblOffset val="100"/>
        <c:baseTimeUnit val="days"/>
      </c:dateAx>
      <c:valAx>
        <c:axId val="175180800"/>
        <c:scaling>
          <c:orientation val="minMax"/>
        </c:scaling>
        <c:delete val="0"/>
        <c:axPos val="l"/>
        <c:majorGridlines/>
        <c:numFmt formatCode="General" sourceLinked="1"/>
        <c:majorTickMark val="out"/>
        <c:minorTickMark val="none"/>
        <c:tickLblPos val="nextTo"/>
        <c:crossAx val="175179264"/>
        <c:crossesAt val="34973"/>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'Raw Data'!$C$1</c:f>
              <c:strCache>
                <c:ptCount val="1"/>
                <c:pt idx="0">
                  <c:v>airplay</c:v>
                </c:pt>
              </c:strCache>
            </c:strRef>
          </c:tx>
          <c:cat>
            <c:numRef>
              <c:f>'Raw Data'!$A$2:$A$28</c:f>
              <c:numCache>
                <c:formatCode>m/d/yyyy</c:formatCode>
                <c:ptCount val="27"/>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'Raw Data'!$C$2:$C$50</c:f>
              <c:numCache>
                <c:formatCode>0</c:formatCode>
                <c:ptCount val="49"/>
                <c:pt idx="0">
                  <c:v>1550.2</c:v>
                </c:pt>
                <c:pt idx="1">
                  <c:v>1492.6</c:v>
                </c:pt>
                <c:pt idx="2">
                  <c:v>2254.6999999999998</c:v>
                </c:pt>
                <c:pt idx="3">
                  <c:v>2067.5</c:v>
                </c:pt>
                <c:pt idx="4">
                  <c:v>2003.2</c:v>
                </c:pt>
                <c:pt idx="5">
                  <c:v>2347.1999999999998</c:v>
                </c:pt>
                <c:pt idx="6">
                  <c:v>2723.3</c:v>
                </c:pt>
                <c:pt idx="7">
                  <c:v>2550.8000000000002</c:v>
                </c:pt>
                <c:pt idx="8">
                  <c:v>2828.8</c:v>
                </c:pt>
                <c:pt idx="9">
                  <c:v>3198</c:v>
                </c:pt>
                <c:pt idx="10">
                  <c:v>2988.9</c:v>
                </c:pt>
                <c:pt idx="11">
                  <c:v>2113.6</c:v>
                </c:pt>
                <c:pt idx="12">
                  <c:v>1890.6</c:v>
                </c:pt>
                <c:pt idx="13">
                  <c:v>1862.7</c:v>
                </c:pt>
                <c:pt idx="14">
                  <c:v>1242</c:v>
                </c:pt>
                <c:pt idx="15">
                  <c:v>755.1</c:v>
                </c:pt>
                <c:pt idx="16">
                  <c:v>571</c:v>
                </c:pt>
                <c:pt idx="17">
                  <c:v>470.8</c:v>
                </c:pt>
                <c:pt idx="18">
                  <c:v>603.20000000000005</c:v>
                </c:pt>
                <c:pt idx="19">
                  <c:v>523.1</c:v>
                </c:pt>
                <c:pt idx="20">
                  <c:v>382.4</c:v>
                </c:pt>
                <c:pt idx="21">
                  <c:v>290.7</c:v>
                </c:pt>
                <c:pt idx="22">
                  <c:v>322.7</c:v>
                </c:pt>
                <c:pt idx="23">
                  <c:v>284.10000000000002</c:v>
                </c:pt>
                <c:pt idx="24">
                  <c:v>336</c:v>
                </c:pt>
                <c:pt idx="25">
                  <c:v>308.39999999999998</c:v>
                </c:pt>
                <c:pt idx="26">
                  <c:v>133.19999999999999</c:v>
                </c:pt>
              </c:numCache>
            </c:numRef>
          </c:val>
          <c:smooth val="0"/>
          <c:extLst>
            <c:ext xmlns:c16="http://schemas.microsoft.com/office/drawing/2014/chart" uri="{C3380CC4-5D6E-409C-BE32-E72D297353CC}">
              <c16:uniqueId val="{00000000-4BED-452B-8900-102A7670228F}"/>
            </c:ext>
          </c:extLst>
        </c:ser>
        <c:ser>
          <c:idx val="1"/>
          <c:order val="1"/>
          <c:tx>
            <c:strRef>
              <c:f>'Raw Data'!$B$1</c:f>
              <c:strCache>
                <c:ptCount val="1"/>
                <c:pt idx="0">
                  <c:v>sales</c:v>
                </c:pt>
              </c:strCache>
            </c:strRef>
          </c:tx>
          <c:cat>
            <c:numRef>
              <c:f>'Raw Data'!$A$2:$A$28</c:f>
              <c:numCache>
                <c:formatCode>m/d/yyyy</c:formatCode>
                <c:ptCount val="27"/>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'Raw Data'!$B$2:$B$50</c:f>
              <c:numCache>
                <c:formatCode>General</c:formatCode>
                <c:ptCount val="49"/>
                <c:pt idx="0">
                  <c:v>1375</c:v>
                </c:pt>
                <c:pt idx="1">
                  <c:v>1102</c:v>
                </c:pt>
                <c:pt idx="2">
                  <c:v>1152</c:v>
                </c:pt>
                <c:pt idx="3">
                  <c:v>1247</c:v>
                </c:pt>
                <c:pt idx="4">
                  <c:v>1639</c:v>
                </c:pt>
                <c:pt idx="5">
                  <c:v>2576</c:v>
                </c:pt>
                <c:pt idx="6">
                  <c:v>2976</c:v>
                </c:pt>
                <c:pt idx="7">
                  <c:v>2529</c:v>
                </c:pt>
                <c:pt idx="8">
                  <c:v>2421</c:v>
                </c:pt>
                <c:pt idx="9">
                  <c:v>2385</c:v>
                </c:pt>
                <c:pt idx="10">
                  <c:v>2630</c:v>
                </c:pt>
                <c:pt idx="11">
                  <c:v>2794</c:v>
                </c:pt>
                <c:pt idx="12">
                  <c:v>2700</c:v>
                </c:pt>
                <c:pt idx="13">
                  <c:v>3170</c:v>
                </c:pt>
                <c:pt idx="14">
                  <c:v>2567</c:v>
                </c:pt>
                <c:pt idx="15">
                  <c:v>3409</c:v>
                </c:pt>
                <c:pt idx="16">
                  <c:v>3070</c:v>
                </c:pt>
                <c:pt idx="17">
                  <c:v>3182</c:v>
                </c:pt>
                <c:pt idx="18">
                  <c:v>2706</c:v>
                </c:pt>
                <c:pt idx="19">
                  <c:v>1890</c:v>
                </c:pt>
                <c:pt idx="20">
                  <c:v>1623</c:v>
                </c:pt>
                <c:pt idx="21">
                  <c:v>1587</c:v>
                </c:pt>
                <c:pt idx="22">
                  <c:v>1507</c:v>
                </c:pt>
                <c:pt idx="23">
                  <c:v>1300</c:v>
                </c:pt>
                <c:pt idx="24">
                  <c:v>1127</c:v>
                </c:pt>
                <c:pt idx="25">
                  <c:v>997</c:v>
                </c:pt>
                <c:pt idx="26">
                  <c:v>834</c:v>
                </c:pt>
              </c:numCache>
            </c:numRef>
          </c:val>
          <c:smooth val="0"/>
          <c:extLst>
            <c:ext xmlns:c16="http://schemas.microsoft.com/office/drawing/2014/chart" uri="{C3380CC4-5D6E-409C-BE32-E72D297353CC}">
              <c16:uniqueId val="{00000001-4BED-452B-8900-102A7670228F}"/>
            </c:ext>
          </c:extLst>
        </c:ser>
        <c:ser>
          <c:idx val="2"/>
          <c:order val="2"/>
          <c:tx>
            <c:v>lag6(airplay)</c:v>
          </c:tx>
          <c:cat>
            <c:numRef>
              <c:f>'Raw Data'!$A$2:$A$28</c:f>
              <c:numCache>
                <c:formatCode>m/d/yyyy</c:formatCode>
                <c:ptCount val="27"/>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'Raw Data'!$H$2:$H$28</c:f>
              <c:numCache>
                <c:formatCode>General</c:formatCode>
                <c:ptCount val="27"/>
                <c:pt idx="5" formatCode="0">
                  <c:v>1550.2</c:v>
                </c:pt>
                <c:pt idx="6" formatCode="0">
                  <c:v>1492.6</c:v>
                </c:pt>
                <c:pt idx="7" formatCode="0">
                  <c:v>2254.6999999999998</c:v>
                </c:pt>
                <c:pt idx="8" formatCode="0">
                  <c:v>2067.5</c:v>
                </c:pt>
                <c:pt idx="9" formatCode="0">
                  <c:v>2003.2</c:v>
                </c:pt>
                <c:pt idx="10" formatCode="0">
                  <c:v>2347.1999999999998</c:v>
                </c:pt>
                <c:pt idx="11" formatCode="0">
                  <c:v>2723.3</c:v>
                </c:pt>
                <c:pt idx="12" formatCode="0">
                  <c:v>2550.8000000000002</c:v>
                </c:pt>
                <c:pt idx="13" formatCode="0">
                  <c:v>2828.8</c:v>
                </c:pt>
                <c:pt idx="14" formatCode="0">
                  <c:v>3198</c:v>
                </c:pt>
                <c:pt idx="15" formatCode="0">
                  <c:v>2988.9</c:v>
                </c:pt>
                <c:pt idx="16" formatCode="0">
                  <c:v>2113.6</c:v>
                </c:pt>
                <c:pt idx="17" formatCode="0">
                  <c:v>1890.6</c:v>
                </c:pt>
                <c:pt idx="18" formatCode="0">
                  <c:v>1862.7</c:v>
                </c:pt>
                <c:pt idx="19" formatCode="0">
                  <c:v>1242</c:v>
                </c:pt>
                <c:pt idx="20" formatCode="0">
                  <c:v>755.1</c:v>
                </c:pt>
                <c:pt idx="21" formatCode="0">
                  <c:v>571</c:v>
                </c:pt>
                <c:pt idx="22" formatCode="0">
                  <c:v>470.8</c:v>
                </c:pt>
                <c:pt idx="23" formatCode="0">
                  <c:v>603.20000000000005</c:v>
                </c:pt>
                <c:pt idx="24" formatCode="0">
                  <c:v>523.1</c:v>
                </c:pt>
                <c:pt idx="25" formatCode="0">
                  <c:v>382.4</c:v>
                </c:pt>
                <c:pt idx="26" formatCode="0">
                  <c:v>290.7</c:v>
                </c:pt>
              </c:numCache>
            </c:numRef>
          </c:val>
          <c:smooth val="0"/>
          <c:extLst>
            <c:ext xmlns:c16="http://schemas.microsoft.com/office/drawing/2014/chart" uri="{C3380CC4-5D6E-409C-BE32-E72D297353CC}">
              <c16:uniqueId val="{00000000-5961-44FC-8A14-686F7DA2310B}"/>
            </c:ext>
          </c:extLst>
        </c:ser>
        <c:dLbls>
          <c:showLegendKey val="0"/>
          <c:showVal val="0"/>
          <c:showCatName val="0"/>
          <c:showSerName val="0"/>
          <c:showPercent val="0"/>
          <c:showBubbleSize val="0"/>
        </c:dLbls>
        <c:marker val="1"/>
        <c:smooth val="0"/>
        <c:axId val="175118592"/>
        <c:axId val="175124480"/>
      </c:lineChart>
      <c:dateAx>
        <c:axId val="175118592"/>
        <c:scaling>
          <c:orientation val="minMax"/>
        </c:scaling>
        <c:delete val="0"/>
        <c:axPos val="b"/>
        <c:numFmt formatCode="m/d/yyyy" sourceLinked="0"/>
        <c:majorTickMark val="out"/>
        <c:minorTickMark val="none"/>
        <c:tickLblPos val="nextTo"/>
        <c:crossAx val="175124480"/>
        <c:crosses val="autoZero"/>
        <c:auto val="1"/>
        <c:lblOffset val="100"/>
        <c:baseTimeUnit val="days"/>
      </c:dateAx>
      <c:valAx>
        <c:axId val="175124480"/>
        <c:scaling>
          <c:orientation val="minMax"/>
        </c:scaling>
        <c:delete val="0"/>
        <c:axPos val="l"/>
        <c:majorGridlines/>
        <c:numFmt formatCode="0" sourceLinked="1"/>
        <c:majorTickMark val="out"/>
        <c:minorTickMark val="none"/>
        <c:tickLblPos val="nextTo"/>
        <c:crossAx val="1751185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weekly sales and airplay</a:t>
            </a:r>
          </a:p>
        </c:rich>
      </c:tx>
      <c:overlay val="0"/>
      <c:spPr>
        <a:noFill/>
        <a:ln w="25400">
          <a:noFill/>
        </a:ln>
      </c:spPr>
    </c:title>
    <c:autoTitleDeleted val="0"/>
    <c:plotArea>
      <c:layout/>
      <c:lineChart>
        <c:grouping val="standard"/>
        <c:varyColors val="0"/>
        <c:ser>
          <c:idx val="0"/>
          <c:order val="0"/>
          <c:tx>
            <c:strRef>
              <c:f>'EG (2)'!$C$6</c:f>
              <c:strCache>
                <c:ptCount val="1"/>
                <c:pt idx="0">
                  <c:v>Incr_Sales</c:v>
                </c:pt>
              </c:strCache>
            </c:strRef>
          </c:tx>
          <c:spPr>
            <a:ln w="25400">
              <a:solidFill>
                <a:srgbClr val="000080"/>
              </a:solidFill>
              <a:prstDash val="solid"/>
            </a:ln>
          </c:spPr>
          <c:marker>
            <c:symbol val="none"/>
          </c:marker>
          <c:cat>
            <c:numRef>
              <c:f>'EG (2)'!$A$7:$A$52</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'EG (2)'!$C$7:$C$52</c:f>
              <c:numCache>
                <c:formatCode>General</c:formatCode>
                <c:ptCount val="46"/>
                <c:pt idx="0">
                  <c:v>1375</c:v>
                </c:pt>
                <c:pt idx="1">
                  <c:v>1102</c:v>
                </c:pt>
                <c:pt idx="2">
                  <c:v>1152</c:v>
                </c:pt>
                <c:pt idx="3">
                  <c:v>1247</c:v>
                </c:pt>
                <c:pt idx="4">
                  <c:v>1639</c:v>
                </c:pt>
                <c:pt idx="5">
                  <c:v>2576</c:v>
                </c:pt>
                <c:pt idx="6">
                  <c:v>2976</c:v>
                </c:pt>
                <c:pt idx="7">
                  <c:v>2529</c:v>
                </c:pt>
                <c:pt idx="8">
                  <c:v>2421</c:v>
                </c:pt>
                <c:pt idx="9">
                  <c:v>2385</c:v>
                </c:pt>
                <c:pt idx="10">
                  <c:v>2630</c:v>
                </c:pt>
                <c:pt idx="11">
                  <c:v>2794</c:v>
                </c:pt>
                <c:pt idx="12">
                  <c:v>2700</c:v>
                </c:pt>
                <c:pt idx="13">
                  <c:v>3170</c:v>
                </c:pt>
                <c:pt idx="14">
                  <c:v>2567</c:v>
                </c:pt>
                <c:pt idx="15">
                  <c:v>3409</c:v>
                </c:pt>
                <c:pt idx="16">
                  <c:v>3070</c:v>
                </c:pt>
                <c:pt idx="17">
                  <c:v>3182</c:v>
                </c:pt>
                <c:pt idx="18">
                  <c:v>2706</c:v>
                </c:pt>
                <c:pt idx="19">
                  <c:v>1890</c:v>
                </c:pt>
                <c:pt idx="20">
                  <c:v>1623</c:v>
                </c:pt>
                <c:pt idx="21">
                  <c:v>1587</c:v>
                </c:pt>
                <c:pt idx="22">
                  <c:v>1507</c:v>
                </c:pt>
                <c:pt idx="23">
                  <c:v>1300</c:v>
                </c:pt>
                <c:pt idx="24">
                  <c:v>1127</c:v>
                </c:pt>
                <c:pt idx="25">
                  <c:v>997</c:v>
                </c:pt>
                <c:pt idx="26">
                  <c:v>834</c:v>
                </c:pt>
              </c:numCache>
            </c:numRef>
          </c:val>
          <c:smooth val="0"/>
          <c:extLst>
            <c:ext xmlns:c16="http://schemas.microsoft.com/office/drawing/2014/chart" uri="{C3380CC4-5D6E-409C-BE32-E72D297353CC}">
              <c16:uniqueId val="{00000000-7078-4749-A7A5-218BB891CC49}"/>
            </c:ext>
          </c:extLst>
        </c:ser>
        <c:ser>
          <c:idx val="1"/>
          <c:order val="1"/>
          <c:tx>
            <c:strRef>
              <c:f>'EG (2)'!$D$6</c:f>
              <c:strCache>
                <c:ptCount val="1"/>
                <c:pt idx="0">
                  <c:v>Airplay</c:v>
                </c:pt>
              </c:strCache>
            </c:strRef>
          </c:tx>
          <c:spPr>
            <a:ln w="25400">
              <a:solidFill>
                <a:srgbClr val="FF00FF"/>
              </a:solidFill>
              <a:prstDash val="solid"/>
            </a:ln>
          </c:spPr>
          <c:marker>
            <c:symbol val="none"/>
          </c:marker>
          <c:cat>
            <c:numRef>
              <c:f>'EG (2)'!$A$7:$A$52</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'EG (2)'!$D$7:$D$52</c:f>
              <c:numCache>
                <c:formatCode>0</c:formatCode>
                <c:ptCount val="46"/>
                <c:pt idx="0">
                  <c:v>1550.2</c:v>
                </c:pt>
                <c:pt idx="1">
                  <c:v>1492.6</c:v>
                </c:pt>
                <c:pt idx="2">
                  <c:v>2254.6999999999998</c:v>
                </c:pt>
                <c:pt idx="3">
                  <c:v>2067.5</c:v>
                </c:pt>
                <c:pt idx="4">
                  <c:v>2003.2</c:v>
                </c:pt>
                <c:pt idx="5">
                  <c:v>2347.1999999999998</c:v>
                </c:pt>
                <c:pt idx="6">
                  <c:v>2723.3</c:v>
                </c:pt>
                <c:pt idx="7">
                  <c:v>2550.8000000000002</c:v>
                </c:pt>
                <c:pt idx="8">
                  <c:v>2828.8</c:v>
                </c:pt>
                <c:pt idx="9">
                  <c:v>3198</c:v>
                </c:pt>
                <c:pt idx="10">
                  <c:v>2988.9</c:v>
                </c:pt>
                <c:pt idx="11">
                  <c:v>2113.6</c:v>
                </c:pt>
                <c:pt idx="12">
                  <c:v>1890.6</c:v>
                </c:pt>
                <c:pt idx="13">
                  <c:v>1862.7</c:v>
                </c:pt>
                <c:pt idx="14">
                  <c:v>1242</c:v>
                </c:pt>
                <c:pt idx="15">
                  <c:v>755.1</c:v>
                </c:pt>
                <c:pt idx="16">
                  <c:v>571</c:v>
                </c:pt>
                <c:pt idx="17">
                  <c:v>470.8</c:v>
                </c:pt>
                <c:pt idx="18">
                  <c:v>603.20000000000005</c:v>
                </c:pt>
                <c:pt idx="19">
                  <c:v>523.1</c:v>
                </c:pt>
                <c:pt idx="20">
                  <c:v>382.4</c:v>
                </c:pt>
                <c:pt idx="21">
                  <c:v>290.7</c:v>
                </c:pt>
                <c:pt idx="22">
                  <c:v>322.7</c:v>
                </c:pt>
                <c:pt idx="23">
                  <c:v>284.10000000000002</c:v>
                </c:pt>
                <c:pt idx="24">
                  <c:v>336</c:v>
                </c:pt>
                <c:pt idx="25">
                  <c:v>308.39999999999998</c:v>
                </c:pt>
                <c:pt idx="26">
                  <c:v>133.19999999999999</c:v>
                </c:pt>
              </c:numCache>
            </c:numRef>
          </c:val>
          <c:smooth val="0"/>
          <c:extLst>
            <c:ext xmlns:c16="http://schemas.microsoft.com/office/drawing/2014/chart" uri="{C3380CC4-5D6E-409C-BE32-E72D297353CC}">
              <c16:uniqueId val="{00000001-7078-4749-A7A5-218BB891CC49}"/>
            </c:ext>
          </c:extLst>
        </c:ser>
        <c:dLbls>
          <c:showLegendKey val="0"/>
          <c:showVal val="0"/>
          <c:showCatName val="0"/>
          <c:showSerName val="0"/>
          <c:showPercent val="0"/>
          <c:showBubbleSize val="0"/>
        </c:dLbls>
        <c:smooth val="0"/>
        <c:axId val="175171840"/>
        <c:axId val="175174016"/>
      </c:lineChart>
      <c:catAx>
        <c:axId val="17517184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174016"/>
        <c:crosses val="autoZero"/>
        <c:auto val="0"/>
        <c:lblAlgn val="ctr"/>
        <c:lblOffset val="100"/>
        <c:tickLblSkip val="132"/>
        <c:tickMarkSkip val="1"/>
        <c:noMultiLvlLbl val="0"/>
      </c:catAx>
      <c:valAx>
        <c:axId val="17517401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sales/airplay</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17184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genuine forecasts</a:t>
            </a:r>
          </a:p>
        </c:rich>
      </c:tx>
      <c:overlay val="0"/>
      <c:spPr>
        <a:noFill/>
        <a:ln w="25400">
          <a:noFill/>
        </a:ln>
      </c:spPr>
    </c:title>
    <c:autoTitleDeleted val="0"/>
    <c:plotArea>
      <c:layout/>
      <c:lineChart>
        <c:grouping val="standard"/>
        <c:varyColors val="0"/>
        <c:ser>
          <c:idx val="0"/>
          <c:order val="0"/>
          <c:spPr>
            <a:ln w="25400">
              <a:solidFill>
                <a:srgbClr val="FF00FF"/>
              </a:solidFill>
              <a:prstDash val="solid"/>
            </a:ln>
          </c:spPr>
          <c:marker>
            <c:symbol val="none"/>
          </c:marker>
          <c:cat>
            <c:numRef>
              <c:f>'EG (2)'!$A$7:$A$52</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65"/>
                <c:pt idx="0">
                  <c:v>5224.4217589694226</c:v>
                </c:pt>
                <c:pt idx="1">
                  <c:v>10420.095805764095</c:v>
                </c:pt>
                <c:pt idx="2">
                  <c:v>15587.180326494108</c:v>
                </c:pt>
                <c:pt idx="3">
                  <c:v>20725.832636840245</c:v>
                </c:pt>
                <c:pt idx="4">
                  <c:v>25836.209186844131</c:v>
                </c:pt>
                <c:pt idx="5">
                  <c:v>30918.465565670696</c:v>
                </c:pt>
                <c:pt idx="6">
                  <c:v>35972.756506346028</c:v>
                </c:pt>
                <c:pt idx="7">
                  <c:v>40999.235890467557</c:v>
                </c:pt>
                <c:pt idx="8">
                  <c:v>45998.05675288973</c:v>
                </c:pt>
                <c:pt idx="9">
                  <c:v>50969.371286382971</c:v>
                </c:pt>
                <c:pt idx="10">
                  <c:v>55913.330846267076</c:v>
                </c:pt>
                <c:pt idx="11">
                  <c:v>60830.085955019866</c:v>
                </c:pt>
                <c:pt idx="12">
                  <c:v>65719.786306859693</c:v>
                </c:pt>
                <c:pt idx="13">
                  <c:v>70582.580772302666</c:v>
                </c:pt>
                <c:pt idx="14">
                  <c:v>75418.617402695774</c:v>
                </c:pt>
                <c:pt idx="15">
                  <c:v>80228.043434723877</c:v>
                </c:pt>
                <c:pt idx="16">
                  <c:v>85011.005294892748</c:v>
                </c:pt>
                <c:pt idx="17">
                  <c:v>89767.648603987065</c:v>
                </c:pt>
                <c:pt idx="18">
                  <c:v>94498.118181503552</c:v>
                </c:pt>
                <c:pt idx="19">
                  <c:v>99202.558050060892</c:v>
                </c:pt>
                <c:pt idx="20">
                  <c:v>103881.11143978406</c:v>
                </c:pt>
                <c:pt idx="21">
                  <c:v>108533.920792665</c:v>
                </c:pt>
                <c:pt idx="22">
                  <c:v>113161.12776689969</c:v>
                </c:pt>
                <c:pt idx="23">
                  <c:v>117762.87324120097</c:v>
                </c:pt>
                <c:pt idx="24">
                  <c:v>122339.29731908746</c:v>
                </c:pt>
                <c:pt idx="25">
                  <c:v>126890.53933314937</c:v>
                </c:pt>
                <c:pt idx="26">
                  <c:v>131416.73784929057</c:v>
                </c:pt>
                <c:pt idx="27">
                  <c:v>135918.03067094708</c:v>
                </c:pt>
                <c:pt idx="28">
                  <c:v>140394.55484328285</c:v>
                </c:pt>
                <c:pt idx="29">
                  <c:v>144846.44665736225</c:v>
                </c:pt>
                <c:pt idx="30">
                  <c:v>149273.84165429918</c:v>
                </c:pt>
                <c:pt idx="31">
                  <c:v>153676.87462938423</c:v>
                </c:pt>
                <c:pt idx="32">
                  <c:v>158055.67963618806</c:v>
                </c:pt>
                <c:pt idx="33">
                  <c:v>162410.38999064319</c:v>
                </c:pt>
                <c:pt idx="34">
                  <c:v>166741.13827510292</c:v>
                </c:pt>
                <c:pt idx="35">
                  <c:v>171048.05634237741</c:v>
                </c:pt>
                <c:pt idx="36">
                  <c:v>175331.2753197487</c:v>
                </c:pt>
                <c:pt idx="37">
                  <c:v>179590.92561296254</c:v>
                </c:pt>
                <c:pt idx="38">
                  <c:v>183827.13691019849</c:v>
                </c:pt>
                <c:pt idx="39">
                  <c:v>188040.03818601923</c:v>
                </c:pt>
                <c:pt idx="40">
                  <c:v>192229.75770529616</c:v>
                </c:pt>
                <c:pt idx="41">
                  <c:v>196396.42302711552</c:v>
                </c:pt>
                <c:pt idx="42">
                  <c:v>200540.16100866138</c:v>
                </c:pt>
                <c:pt idx="43">
                  <c:v>204661.09780907811</c:v>
                </c:pt>
                <c:pt idx="44">
                  <c:v>208759.35889331135</c:v>
                </c:pt>
                <c:pt idx="45">
                  <c:v>212835.0690359282</c:v>
                </c:pt>
                <c:pt idx="46">
                  <c:v>216888.35232491541</c:v>
                </c:pt>
                <c:pt idx="47">
                  <c:v>220919.33216545792</c:v>
                </c:pt>
                <c:pt idx="48">
                  <c:v>224928.13128369578</c:v>
                </c:pt>
                <c:pt idx="49">
                  <c:v>228914.87173046058</c:v>
                </c:pt>
                <c:pt idx="50">
                  <c:v>232879.67488499157</c:v>
                </c:pt>
                <c:pt idx="51">
                  <c:v>236822.66145863105</c:v>
                </c:pt>
                <c:pt idx="52">
                  <c:v>240743.95149849943</c:v>
                </c:pt>
                <c:pt idx="53">
                  <c:v>244643.6643911502</c:v>
                </c:pt>
                <c:pt idx="54">
                  <c:v>248521.91886620491</c:v>
                </c:pt>
                <c:pt idx="55">
                  <c:v>252378.83299996777</c:v>
                </c:pt>
                <c:pt idx="56">
                  <c:v>256214.52421902039</c:v>
                </c:pt>
                <c:pt idx="57">
                  <c:v>260029.10930379757</c:v>
                </c:pt>
                <c:pt idx="58">
                  <c:v>263822.70439214213</c:v>
                </c:pt>
                <c:pt idx="59">
                  <c:v>267595.42498284113</c:v>
                </c:pt>
                <c:pt idx="60">
                  <c:v>271347.38593914203</c:v>
                </c:pt>
                <c:pt idx="61">
                  <c:v>275078.7014922502</c:v>
                </c:pt>
                <c:pt idx="62">
                  <c:v>278789.48524480656</c:v>
                </c:pt>
                <c:pt idx="63">
                  <c:v>282479.85017434612</c:v>
                </c:pt>
                <c:pt idx="64">
                  <c:v>286149.90863673808</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0-EC9A-4303-81AB-8503E7384188}"/>
            </c:ext>
          </c:extLst>
        </c:ser>
        <c:ser>
          <c:idx val="1"/>
          <c:order val="1"/>
          <c:spPr>
            <a:ln w="25400">
              <a:solidFill>
                <a:srgbClr val="008000"/>
              </a:solidFill>
              <a:prstDash val="solid"/>
            </a:ln>
          </c:spPr>
          <c:marker>
            <c:symbol val="none"/>
          </c:marker>
          <c:cat>
            <c:numRef>
              <c:f>'EG (2)'!$A$7:$A$52</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65"/>
                <c:pt idx="0">
                  <c:v>5337.8599834530414</c:v>
                </c:pt>
                <c:pt idx="1">
                  <c:v>10635.213722550718</c:v>
                </c:pt>
                <c:pt idx="2">
                  <c:v>15892.601184708477</c:v>
                </c:pt>
                <c:pt idx="3">
                  <c:v>21110.55207449153</c:v>
                </c:pt>
                <c:pt idx="4">
                  <c:v>26289.58608625942</c:v>
                </c:pt>
                <c:pt idx="5">
                  <c:v>31430.213149191033</c:v>
                </c:pt>
                <c:pt idx="6">
                  <c:v>36532.933664959797</c:v>
                </c:pt>
                <c:pt idx="7">
                  <c:v>41598.238738319917</c:v>
                </c:pt>
                <c:pt idx="8">
                  <c:v>46626.610400853031</c:v>
                </c:pt>
                <c:pt idx="9">
                  <c:v>51618.521828118544</c:v>
                </c:pt>
                <c:pt idx="10">
                  <c:v>56574.437550431008</c:v>
                </c:pt>
                <c:pt idx="11">
                  <c:v>61494.813657491432</c:v>
                </c:pt>
                <c:pt idx="12">
                  <c:v>66380.097997082339</c:v>
                </c:pt>
                <c:pt idx="13">
                  <c:v>71230.730368030068</c:v>
                </c:pt>
                <c:pt idx="14">
                  <c:v>76047.142707627907</c:v>
                </c:pt>
                <c:pt idx="15">
                  <c:v>80829.759273713717</c:v>
                </c:pt>
                <c:pt idx="16">
                  <c:v>85578.996821573106</c:v>
                </c:pt>
                <c:pt idx="17">
                  <c:v>90295.264775854594</c:v>
                </c:pt>
                <c:pt idx="18">
                  <c:v>94978.965397647946</c:v>
                </c:pt>
                <c:pt idx="19">
                  <c:v>99630.493946900606</c:v>
                </c:pt>
                <c:pt idx="20">
                  <c:v>104250.23884031737</c:v>
                </c:pt>
                <c:pt idx="21">
                  <c:v>108838.58180489393</c:v>
                </c:pt>
                <c:pt idx="22">
                  <c:v>113395.89802722905</c:v>
                </c:pt>
                <c:pt idx="23">
                  <c:v>117922.55629874914</c:v>
                </c:pt>
                <c:pt idx="24">
                  <c:v>122418.91915698122</c:v>
                </c:pt>
                <c:pt idx="25">
                  <c:v>126885.34302299759</c:v>
                </c:pt>
                <c:pt idx="26">
                  <c:v>131322.17833515958</c:v>
                </c:pt>
                <c:pt idx="27">
                  <c:v>135729.76967927342</c:v>
                </c:pt>
                <c:pt idx="28">
                  <c:v>140108.45591527323</c:v>
                </c:pt>
                <c:pt idx="29">
                  <c:v>144458.57030054598</c:v>
                </c:pt>
                <c:pt idx="30">
                  <c:v>148780.44060999496</c:v>
                </c:pt>
                <c:pt idx="31">
                  <c:v>153074.38925294904</c:v>
                </c:pt>
                <c:pt idx="32">
                  <c:v>157340.73338701771</c:v>
                </c:pt>
                <c:pt idx="33">
                  <c:v>161579.78502897974</c:v>
                </c:pt>
                <c:pt idx="34">
                  <c:v>165791.85116280272</c:v>
                </c:pt>
                <c:pt idx="35">
                  <c:v>170644.09835148463</c:v>
                </c:pt>
                <c:pt idx="36">
                  <c:v>175460.90841741636</c:v>
                </c:pt>
                <c:pt idx="37">
                  <c:v>180242.73609641616</c:v>
                </c:pt>
                <c:pt idx="38">
                  <c:v>184990.02780267669</c:v>
                </c:pt>
                <c:pt idx="39">
                  <c:v>189055.42271100107</c:v>
                </c:pt>
                <c:pt idx="40">
                  <c:v>193095.75015619418</c:v>
                </c:pt>
                <c:pt idx="41">
                  <c:v>197111.28195723804</c:v>
                </c:pt>
                <c:pt idx="42">
                  <c:v>201102.28572613787</c:v>
                </c:pt>
                <c:pt idx="43">
                  <c:v>205069.02495234559</c:v>
                </c:pt>
                <c:pt idx="44">
                  <c:v>209011.75908510594</c:v>
                </c:pt>
                <c:pt idx="45">
                  <c:v>212930.74361378362</c:v>
                </c:pt>
                <c:pt idx="46">
                  <c:v>216826.23014623381</c:v>
                </c:pt>
                <c:pt idx="47">
                  <c:v>220698.46648526614</c:v>
                </c:pt>
                <c:pt idx="48">
                  <c:v>224547.6967032649</c:v>
                </c:pt>
                <c:pt idx="49">
                  <c:v>228374.16121501286</c:v>
                </c:pt>
                <c:pt idx="50">
                  <c:v>232178.09684876766</c:v>
                </c:pt>
                <c:pt idx="51">
                  <c:v>235959.73691564874</c:v>
                </c:pt>
                <c:pt idx="52">
                  <c:v>239719.31127737579</c:v>
                </c:pt>
                <c:pt idx="53">
                  <c:v>243457.0464124034</c:v>
                </c:pt>
                <c:pt idx="54">
                  <c:v>247173.16548050562</c:v>
                </c:pt>
                <c:pt idx="55">
                  <c:v>250867.88838584229</c:v>
                </c:pt>
                <c:pt idx="56">
                  <c:v>254541.43183855992</c:v>
                </c:pt>
                <c:pt idx="57">
                  <c:v>258194.00941495819</c:v>
                </c:pt>
                <c:pt idx="58">
                  <c:v>261825.83161626881</c:v>
                </c:pt>
                <c:pt idx="59">
                  <c:v>265437.10592608119</c:v>
                </c:pt>
                <c:pt idx="60">
                  <c:v>269028.03686644981</c:v>
                </c:pt>
                <c:pt idx="61">
                  <c:v>272598.82605272526</c:v>
                </c:pt>
                <c:pt idx="62">
                  <c:v>276149.67224713636</c:v>
                </c:pt>
                <c:pt idx="63">
                  <c:v>279680.77141116234</c:v>
                </c:pt>
                <c:pt idx="64">
                  <c:v>283192.31675672519</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1-EC9A-4303-81AB-8503E7384188}"/>
            </c:ext>
          </c:extLst>
        </c:ser>
        <c:ser>
          <c:idx val="2"/>
          <c:order val="2"/>
          <c:spPr>
            <a:ln w="12700">
              <a:solidFill>
                <a:srgbClr val="000080"/>
              </a:solidFill>
              <a:prstDash val="solid"/>
            </a:ln>
          </c:spPr>
          <c:marker>
            <c:symbol val="diamond"/>
            <c:size val="5"/>
            <c:spPr>
              <a:solidFill>
                <a:srgbClr val="000080"/>
              </a:solidFill>
              <a:ln>
                <a:solidFill>
                  <a:srgbClr val="000080"/>
                </a:solidFill>
                <a:prstDash val="solid"/>
              </a:ln>
            </c:spPr>
          </c:marker>
          <c:cat>
            <c:numRef>
              <c:f>'EG (2)'!$A$7:$A$52</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2-EC9A-4303-81AB-8503E7384188}"/>
            </c:ext>
          </c:extLst>
        </c:ser>
        <c:dLbls>
          <c:showLegendKey val="0"/>
          <c:showVal val="0"/>
          <c:showCatName val="0"/>
          <c:showSerName val="0"/>
          <c:showPercent val="0"/>
          <c:showBubbleSize val="0"/>
        </c:dLbls>
        <c:smooth val="0"/>
        <c:axId val="174883968"/>
        <c:axId val="174899200"/>
      </c:lineChart>
      <c:catAx>
        <c:axId val="17488396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899200"/>
        <c:crosses val="autoZero"/>
        <c:auto val="0"/>
        <c:lblAlgn val="ctr"/>
        <c:lblOffset val="100"/>
        <c:tickLblSkip val="192"/>
        <c:tickMarkSkip val="1"/>
        <c:noMultiLvlLbl val="0"/>
      </c:catAx>
      <c:valAx>
        <c:axId val="174899200"/>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883968"/>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early projections</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'EG (2)'!$A$7:$A$52</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4B58-497F-9E11-C521235D778A}"/>
            </c:ext>
          </c:extLst>
        </c:ser>
        <c:ser>
          <c:idx val="1"/>
          <c:order val="1"/>
          <c:spPr>
            <a:ln w="25400">
              <a:solidFill>
                <a:srgbClr val="FF00FF"/>
              </a:solidFill>
              <a:prstDash val="solid"/>
            </a:ln>
          </c:spPr>
          <c:marker>
            <c:symbol val="none"/>
          </c:marker>
          <c:cat>
            <c:numRef>
              <c:f>'EG (2)'!$A$7:$A$52</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6205.5970060675982</c:v>
                </c:pt>
                <c:pt idx="1">
                  <c:v>12398.357534068038</c:v>
                </c:pt>
                <c:pt idx="2">
                  <c:v>18578.30813667105</c:v>
                </c:pt>
                <c:pt idx="3">
                  <c:v>24745.475311621969</c:v>
                </c:pt>
                <c:pt idx="4">
                  <c:v>30899.885501853631</c:v>
                </c:pt>
                <c:pt idx="5">
                  <c:v>37041.565095601967</c:v>
                </c:pt>
                <c:pt idx="6">
                  <c:v>43170.540426517247</c:v>
                </c:pt>
                <c:pt idx="7">
                  <c:v>49286.837773777959</c:v>
                </c:pt>
                <c:pt idx="8">
                  <c:v>55390.483362203093</c:v>
                </c:pt>
                <c:pt idx="9">
                  <c:v>61481.503362365023</c:v>
                </c:pt>
                <c:pt idx="10">
                  <c:v>67559.923890701422</c:v>
                </c:pt>
                <c:pt idx="11">
                  <c:v>73625.771009626857</c:v>
                </c:pt>
                <c:pt idx="12">
                  <c:v>79679.070727645681</c:v>
                </c:pt>
                <c:pt idx="13">
                  <c:v>85719.848999461945</c:v>
                </c:pt>
                <c:pt idx="14">
                  <c:v>91748.13172609231</c:v>
                </c:pt>
                <c:pt idx="15">
                  <c:v>97763.944754976299</c:v>
                </c:pt>
                <c:pt idx="16">
                  <c:v>103767.31388008619</c:v>
                </c:pt>
                <c:pt idx="17">
                  <c:v>109758.26484203999</c:v>
                </c:pt>
                <c:pt idx="18">
                  <c:v>115736.82332820923</c:v>
                </c:pt>
                <c:pt idx="19">
                  <c:v>121703.01497283098</c:v>
                </c:pt>
                <c:pt idx="20">
                  <c:v>127656.86535711707</c:v>
                </c:pt>
                <c:pt idx="21">
                  <c:v>133598.40000936363</c:v>
                </c:pt>
                <c:pt idx="22">
                  <c:v>139527.64440506004</c:v>
                </c:pt>
                <c:pt idx="23">
                  <c:v>145444.62396699988</c:v>
                </c:pt>
                <c:pt idx="24">
                  <c:v>151349.36406538801</c:v>
                </c:pt>
                <c:pt idx="25">
                  <c:v>157241.89001795073</c:v>
                </c:pt>
                <c:pt idx="26">
                  <c:v>163122.22709004386</c:v>
                </c:pt>
                <c:pt idx="27">
                  <c:v>168990.40049476034</c:v>
                </c:pt>
                <c:pt idx="28">
                  <c:v>174846.43539304013</c:v>
                </c:pt>
                <c:pt idx="29">
                  <c:v>180690.35689377555</c:v>
                </c:pt>
                <c:pt idx="30">
                  <c:v>186522.19005392145</c:v>
                </c:pt>
                <c:pt idx="31">
                  <c:v>192341.95987860113</c:v>
                </c:pt>
                <c:pt idx="32">
                  <c:v>198149.69132121396</c:v>
                </c:pt>
                <c:pt idx="33">
                  <c:v>203945.40928354289</c:v>
                </c:pt>
                <c:pt idx="34">
                  <c:v>209729.1386158604</c:v>
                </c:pt>
                <c:pt idx="35">
                  <c:v>215500.90411703481</c:v>
                </c:pt>
                <c:pt idx="36">
                  <c:v>221260.73053463778</c:v>
                </c:pt>
                <c:pt idx="37">
                  <c:v>227008.64256505028</c:v>
                </c:pt>
                <c:pt idx="38">
                  <c:v>232744.6648535667</c:v>
                </c:pt>
                <c:pt idx="39">
                  <c:v>238468.82199450338</c:v>
                </c:pt>
                <c:pt idx="40">
                  <c:v>244181.1385313012</c:v>
                </c:pt>
                <c:pt idx="41">
                  <c:v>249881.63895663273</c:v>
                </c:pt>
                <c:pt idx="42">
                  <c:v>255570.34771250674</c:v>
                </c:pt>
                <c:pt idx="43">
                  <c:v>261247.28919037309</c:v>
                </c:pt>
                <c:pt idx="44">
                  <c:v>266912.48773122631</c:v>
                </c:pt>
                <c:pt idx="45">
                  <c:v>272565.96762571164</c:v>
                </c:pt>
                <c:pt idx="46">
                  <c:v>278207.75311422796</c:v>
                </c:pt>
                <c:pt idx="47">
                  <c:v>283837.86838703218</c:v>
                </c:pt>
                <c:pt idx="48">
                  <c:v>289456.33758434275</c:v>
                </c:pt>
                <c:pt idx="49">
                  <c:v>295063.18479644344</c:v>
                </c:pt>
                <c:pt idx="50">
                  <c:v>300658.43406378658</c:v>
                </c:pt>
                <c:pt idx="51">
                  <c:v>306242.10937709583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4B58-497F-9E11-C521235D778A}"/>
            </c:ext>
          </c:extLst>
        </c:ser>
        <c:ser>
          <c:idx val="2"/>
          <c:order val="2"/>
          <c:spPr>
            <a:ln w="25400">
              <a:solidFill>
                <a:srgbClr val="008000"/>
              </a:solidFill>
              <a:prstDash val="solid"/>
            </a:ln>
          </c:spPr>
          <c:marker>
            <c:symbol val="none"/>
          </c:marker>
          <c:cat>
            <c:numRef>
              <c:f>'EG (2)'!$A$7:$A$52</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6236.3185158423876</c:v>
                </c:pt>
                <c:pt idx="1">
                  <c:v>12456.105476353119</c:v>
                </c:pt>
                <c:pt idx="2">
                  <c:v>18659.414150744902</c:v>
                </c:pt>
                <c:pt idx="3">
                  <c:v>24846.297606183398</c:v>
                </c:pt>
                <c:pt idx="4">
                  <c:v>31016.80870865786</c:v>
                </c:pt>
                <c:pt idx="5">
                  <c:v>37171.000123869424</c:v>
                </c:pt>
                <c:pt idx="6">
                  <c:v>43308.924318095407</c:v>
                </c:pt>
                <c:pt idx="7">
                  <c:v>49430.63355905997</c:v>
                </c:pt>
                <c:pt idx="8">
                  <c:v>55536.179916802372</c:v>
                </c:pt>
                <c:pt idx="9">
                  <c:v>61625.615264532033</c:v>
                </c:pt>
                <c:pt idx="10">
                  <c:v>67698.991279486756</c:v>
                </c:pt>
                <c:pt idx="11">
                  <c:v>73756.359443787107</c:v>
                </c:pt>
                <c:pt idx="12">
                  <c:v>79797.771045275076</c:v>
                </c:pt>
                <c:pt idx="13">
                  <c:v>85823.277178370685</c:v>
                </c:pt>
                <c:pt idx="14">
                  <c:v>91832.928744896344</c:v>
                </c:pt>
                <c:pt idx="15">
                  <c:v>97826.776454923878</c:v>
                </c:pt>
                <c:pt idx="16">
                  <c:v>103804.87082759848</c:v>
                </c:pt>
                <c:pt idx="17">
                  <c:v>109767.26219197208</c:v>
                </c:pt>
                <c:pt idx="18">
                  <c:v>115714.00068781502</c:v>
                </c:pt>
                <c:pt idx="19">
                  <c:v>121645.13626644868</c:v>
                </c:pt>
                <c:pt idx="20">
                  <c:v>127560.71869154894</c:v>
                </c:pt>
                <c:pt idx="21">
                  <c:v>133460.79753996443</c:v>
                </c:pt>
                <c:pt idx="22">
                  <c:v>139345.42220251821</c:v>
                </c:pt>
                <c:pt idx="23">
                  <c:v>145214.64188481527</c:v>
                </c:pt>
                <c:pt idx="24">
                  <c:v>151068.50560803665</c:v>
                </c:pt>
                <c:pt idx="25">
                  <c:v>156907.06220974037</c:v>
                </c:pt>
                <c:pt idx="26">
                  <c:v>162730.36034464737</c:v>
                </c:pt>
                <c:pt idx="27">
                  <c:v>168538.44848542986</c:v>
                </c:pt>
                <c:pt idx="28">
                  <c:v>174331.37492349805</c:v>
                </c:pt>
                <c:pt idx="29">
                  <c:v>180109.18776977746</c:v>
                </c:pt>
                <c:pt idx="30">
                  <c:v>185871.93495548383</c:v>
                </c:pt>
                <c:pt idx="31">
                  <c:v>191619.66423289722</c:v>
                </c:pt>
                <c:pt idx="32">
                  <c:v>197352.42317613267</c:v>
                </c:pt>
                <c:pt idx="33">
                  <c:v>203070.25918189669</c:v>
                </c:pt>
                <c:pt idx="34">
                  <c:v>208773.21947025752</c:v>
                </c:pt>
                <c:pt idx="35">
                  <c:v>214461.35108539666</c:v>
                </c:pt>
                <c:pt idx="36">
                  <c:v>220134.70089636612</c:v>
                </c:pt>
                <c:pt idx="37">
                  <c:v>225793.31559783532</c:v>
                </c:pt>
                <c:pt idx="38">
                  <c:v>231437.24171083735</c:v>
                </c:pt>
                <c:pt idx="39">
                  <c:v>237066.52558351649</c:v>
                </c:pt>
                <c:pt idx="40">
                  <c:v>242681.21339185978</c:v>
                </c:pt>
                <c:pt idx="41">
                  <c:v>248281.35114044035</c:v>
                </c:pt>
                <c:pt idx="42">
                  <c:v>253866.98466314361</c:v>
                </c:pt>
                <c:pt idx="43">
                  <c:v>259438.15962389749</c:v>
                </c:pt>
                <c:pt idx="44">
                  <c:v>264994.92151739931</c:v>
                </c:pt>
                <c:pt idx="45">
                  <c:v>270537.31566983397</c:v>
                </c:pt>
                <c:pt idx="46">
                  <c:v>276065.38723959605</c:v>
                </c:pt>
                <c:pt idx="47">
                  <c:v>281579.18121799931</c:v>
                </c:pt>
                <c:pt idx="48">
                  <c:v>287078.74242999242</c:v>
                </c:pt>
                <c:pt idx="49">
                  <c:v>292564.11553486239</c:v>
                </c:pt>
                <c:pt idx="50">
                  <c:v>298035.34502694273</c:v>
                </c:pt>
                <c:pt idx="51">
                  <c:v>303492.47523631272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4B58-497F-9E11-C521235D778A}"/>
            </c:ext>
          </c:extLst>
        </c:ser>
        <c:dLbls>
          <c:showLegendKey val="0"/>
          <c:showVal val="0"/>
          <c:showCatName val="0"/>
          <c:showSerName val="0"/>
          <c:showPercent val="0"/>
          <c:showBubbleSize val="0"/>
        </c:dLbls>
        <c:marker val="1"/>
        <c:smooth val="0"/>
        <c:axId val="175012480"/>
        <c:axId val="175014656"/>
      </c:lineChart>
      <c:catAx>
        <c:axId val="17501248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14656"/>
        <c:crosses val="autoZero"/>
        <c:auto val="0"/>
        <c:lblAlgn val="ctr"/>
        <c:lblOffset val="100"/>
        <c:tickLblSkip val="153"/>
        <c:tickMarkSkip val="1"/>
        <c:noMultiLvlLbl val="0"/>
      </c:catAx>
      <c:valAx>
        <c:axId val="17501465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1248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model fit and validated forecast</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'EG (2)'!$A$7:$A$52</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BF33-4708-803E-3CB05924BA9D}"/>
            </c:ext>
          </c:extLst>
        </c:ser>
        <c:ser>
          <c:idx val="1"/>
          <c:order val="1"/>
          <c:spPr>
            <a:ln w="25400">
              <a:solidFill>
                <a:srgbClr val="FF00FF"/>
              </a:solidFill>
              <a:prstDash val="solid"/>
            </a:ln>
          </c:spPr>
          <c:marker>
            <c:symbol val="none"/>
          </c:marker>
          <c:cat>
            <c:numRef>
              <c:f>'EG (2)'!$A$7:$A$52</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7344.335729028825</c:v>
                </c:pt>
                <c:pt idx="1">
                  <c:v>14436.551199097725</c:v>
                </c:pt>
                <c:pt idx="2">
                  <c:v>21285.301328408012</c:v>
                </c:pt>
                <c:pt idx="3">
                  <c:v>27898.943924530697</c:v>
                </c:pt>
                <c:pt idx="4">
                  <c:v>34285.549883777916</c:v>
                </c:pt>
                <c:pt idx="5">
                  <c:v>40452.913040445157</c:v>
                </c:pt>
                <c:pt idx="6">
                  <c:v>46408.559677943333</c:v>
                </c:pt>
                <c:pt idx="7">
                  <c:v>52159.757713427702</c:v>
                </c:pt>
                <c:pt idx="8">
                  <c:v>57713.525567131976</c:v>
                </c:pt>
                <c:pt idx="9">
                  <c:v>63076.64072723117</c:v>
                </c:pt>
                <c:pt idx="10">
                  <c:v>68255.648020685359</c:v>
                </c:pt>
                <c:pt idx="11">
                  <c:v>73256.86760015742</c:v>
                </c:pt>
                <c:pt idx="12">
                  <c:v>78086.402656751801</c:v>
                </c:pt>
                <c:pt idx="13">
                  <c:v>82750.146867985968</c:v>
                </c:pt>
                <c:pt idx="14">
                  <c:v>87253.791590084365</c:v>
                </c:pt>
                <c:pt idx="15">
                  <c:v>91602.832803371042</c:v>
                </c:pt>
                <c:pt idx="16">
                  <c:v>95802.577819237515</c:v>
                </c:pt>
                <c:pt idx="17">
                  <c:v>99858.151756870066</c:v>
                </c:pt>
                <c:pt idx="18">
                  <c:v>103774.50379764057</c:v>
                </c:pt>
                <c:pt idx="19">
                  <c:v>107556.41322479326</c:v>
                </c:pt>
                <c:pt idx="20">
                  <c:v>111208.4952557979</c:v>
                </c:pt>
                <c:pt idx="21">
                  <c:v>114735.20667448692</c:v>
                </c:pt>
                <c:pt idx="22">
                  <c:v>118140.85126984945</c:v>
                </c:pt>
                <c:pt idx="23">
                  <c:v>121429.58508811954</c:v>
                </c:pt>
                <c:pt idx="24">
                  <c:v>124605.42150456809</c:v>
                </c:pt>
                <c:pt idx="25">
                  <c:v>127672.23612118732</c:v>
                </c:pt>
                <c:pt idx="26">
                  <c:v>130633.77149624519</c:v>
                </c:pt>
                <c:pt idx="27">
                  <c:v>133493.641711481</c:v>
                </c:pt>
                <c:pt idx="28">
                  <c:v>136255.33678251592</c:v>
                </c:pt>
                <c:pt idx="29">
                  <c:v>138922.22691786065</c:v>
                </c:pt>
                <c:pt idx="30">
                  <c:v>141497.56663171755</c:v>
                </c:pt>
                <c:pt idx="31">
                  <c:v>143984.49871559627</c:v>
                </c:pt>
                <c:pt idx="32">
                  <c:v>146386.05807358978</c:v>
                </c:pt>
                <c:pt idx="33">
                  <c:v>148705.17542599089</c:v>
                </c:pt>
                <c:pt idx="34">
                  <c:v>150944.68088576914</c:v>
                </c:pt>
                <c:pt idx="35">
                  <c:v>153128.47144011562</c:v>
                </c:pt>
                <c:pt idx="36">
                  <c:v>155236.56203205764</c:v>
                </c:pt>
                <c:pt idx="37">
                  <c:v>157271.57676137282</c:v>
                </c:pt>
                <c:pt idx="38">
                  <c:v>159236.04876478645</c:v>
                </c:pt>
                <c:pt idx="39">
                  <c:v>161114.04480952566</c:v>
                </c:pt>
                <c:pt idx="40">
                  <c:v>162927.57200825959</c:v>
                </c:pt>
                <c:pt idx="41">
                  <c:v>164678.8434817864</c:v>
                </c:pt>
                <c:pt idx="42">
                  <c:v>166369.99637771747</c:v>
                </c:pt>
                <c:pt idx="43">
                  <c:v>168003.09447852554</c:v>
                </c:pt>
                <c:pt idx="44">
                  <c:v>169580.13072006224</c:v>
                </c:pt>
                <c:pt idx="45">
                  <c:v>171103.02962361835</c:v>
                </c:pt>
                <c:pt idx="46">
                  <c:v>172573.64964449525</c:v>
                </c:pt>
                <c:pt idx="47">
                  <c:v>173993.78543995344</c:v>
                </c:pt>
                <c:pt idx="48">
                  <c:v>175365.17005930538</c:v>
                </c:pt>
                <c:pt idx="49">
                  <c:v>176689.47705882601</c:v>
                </c:pt>
                <c:pt idx="50">
                  <c:v>177968.32254406132</c:v>
                </c:pt>
                <c:pt idx="51">
                  <c:v>179203.26714202741</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BF33-4708-803E-3CB05924BA9D}"/>
            </c:ext>
          </c:extLst>
        </c:ser>
        <c:ser>
          <c:idx val="2"/>
          <c:order val="2"/>
          <c:spPr>
            <a:ln w="25400">
              <a:solidFill>
                <a:srgbClr val="008000"/>
              </a:solidFill>
              <a:prstDash val="solid"/>
            </a:ln>
          </c:spPr>
          <c:marker>
            <c:symbol val="none"/>
          </c:marker>
          <c:cat>
            <c:numRef>
              <c:f>'EG (2)'!$A$7:$A$52</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8499.3219409211779</c:v>
                </c:pt>
                <c:pt idx="1">
                  <c:v>16404.804123137495</c:v>
                </c:pt>
                <c:pt idx="2">
                  <c:v>23792.754684577423</c:v>
                </c:pt>
                <c:pt idx="3">
                  <c:v>30725.730351800816</c:v>
                </c:pt>
                <c:pt idx="4">
                  <c:v>37255.646350869756</c:v>
                </c:pt>
                <c:pt idx="5">
                  <c:v>43426.055223524942</c:v>
                </c:pt>
                <c:pt idx="6">
                  <c:v>49273.847370987503</c:v>
                </c:pt>
                <c:pt idx="7">
                  <c:v>54830.540786694248</c:v>
                </c:pt>
                <c:pt idx="8">
                  <c:v>60123.273491882399</c:v>
                </c:pt>
                <c:pt idx="9">
                  <c:v>65175.577222763903</c:v>
                </c:pt>
                <c:pt idx="10">
                  <c:v>70007.987739005519</c:v>
                </c:pt>
                <c:pt idx="11">
                  <c:v>74638.53144247079</c:v>
                </c:pt>
                <c:pt idx="12">
                  <c:v>79083.117190512858</c:v>
                </c:pt>
                <c:pt idx="13">
                  <c:v>83355.854617961581</c:v>
                </c:pt>
                <c:pt idx="14">
                  <c:v>87469.314896583499</c:v>
                </c:pt>
                <c:pt idx="15">
                  <c:v>91434.745975696569</c:v>
                </c:pt>
                <c:pt idx="16">
                  <c:v>95262.251508608126</c:v>
                </c:pt>
                <c:pt idx="17">
                  <c:v>98960.940570115621</c:v>
                </c:pt>
                <c:pt idx="18">
                  <c:v>102539.05370062744</c:v>
                </c:pt>
                <c:pt idx="19">
                  <c:v>106004.06962679887</c:v>
                </c:pt>
                <c:pt idx="20">
                  <c:v>109362.7961043987</c:v>
                </c:pt>
                <c:pt idx="21">
                  <c:v>112621.44763344251</c:v>
                </c:pt>
                <c:pt idx="22">
                  <c:v>115785.71225590339</c:v>
                </c:pt>
                <c:pt idx="23">
                  <c:v>118860.80922427788</c:v>
                </c:pt>
                <c:pt idx="24">
                  <c:v>121851.53899685852</c:v>
                </c:pt>
                <c:pt idx="25">
                  <c:v>124762.32675190546</c:v>
                </c:pt>
                <c:pt idx="26">
                  <c:v>127597.26040240616</c:v>
                </c:pt>
                <c:pt idx="27">
                  <c:v>130360.12392403407</c:v>
                </c:pt>
                <c:pt idx="28">
                  <c:v>133054.42667229407</c:v>
                </c:pt>
                <c:pt idx="29">
                  <c:v>135683.42925384446</c:v>
                </c:pt>
                <c:pt idx="30">
                  <c:v>138250.16642633482</c:v>
                </c:pt>
                <c:pt idx="31">
                  <c:v>140757.46742667383</c:v>
                </c:pt>
                <c:pt idx="32">
                  <c:v>143207.97406628681</c:v>
                </c:pt>
                <c:pt idx="33">
                  <c:v>145604.15688106132</c:v>
                </c:pt>
                <c:pt idx="34">
                  <c:v>147948.3295813876</c:v>
                </c:pt>
                <c:pt idx="35">
                  <c:v>154519.3973396708</c:v>
                </c:pt>
                <c:pt idx="36">
                  <c:v>160712.39594842569</c:v>
                </c:pt>
                <c:pt idx="37">
                  <c:v>166567.77713775184</c:v>
                </c:pt>
                <c:pt idx="38">
                  <c:v>172119.86247883536</c:v>
                </c:pt>
                <c:pt idx="39">
                  <c:v>173955.8060925912</c:v>
                </c:pt>
                <c:pt idx="40">
                  <c:v>175760.75892452724</c:v>
                </c:pt>
                <c:pt idx="41">
                  <c:v>177535.73104752653</c:v>
                </c:pt>
                <c:pt idx="42">
                  <c:v>179281.68424125924</c:v>
                </c:pt>
                <c:pt idx="43">
                  <c:v>180999.53501339117</c:v>
                </c:pt>
                <c:pt idx="44">
                  <c:v>182690.15738858763</c:v>
                </c:pt>
                <c:pt idx="45">
                  <c:v>184354.38548637839</c:v>
                </c:pt>
                <c:pt idx="46">
                  <c:v>185993.01590675808</c:v>
                </c:pt>
                <c:pt idx="47">
                  <c:v>187606.80994045688</c:v>
                </c:pt>
                <c:pt idx="48">
                  <c:v>189196.49561910034</c:v>
                </c:pt>
                <c:pt idx="49">
                  <c:v>190762.76961896522</c:v>
                </c:pt>
                <c:pt idx="50">
                  <c:v>192306.29903068152</c:v>
                </c:pt>
                <c:pt idx="51">
                  <c:v>193827.72300604312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BF33-4708-803E-3CB05924BA9D}"/>
            </c:ext>
          </c:extLst>
        </c:ser>
        <c:dLbls>
          <c:showLegendKey val="0"/>
          <c:showVal val="0"/>
          <c:showCatName val="0"/>
          <c:showSerName val="0"/>
          <c:showPercent val="0"/>
          <c:showBubbleSize val="0"/>
        </c:dLbls>
        <c:marker val="1"/>
        <c:smooth val="0"/>
        <c:axId val="175063424"/>
        <c:axId val="175065344"/>
      </c:lineChart>
      <c:catAx>
        <c:axId val="17506342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65344"/>
        <c:crosses val="autoZero"/>
        <c:auto val="0"/>
        <c:lblAlgn val="ctr"/>
        <c:lblOffset val="100"/>
        <c:tickLblSkip val="153"/>
        <c:tickMarkSkip val="1"/>
        <c:noMultiLvlLbl val="0"/>
      </c:catAx>
      <c:valAx>
        <c:axId val="175065344"/>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63424"/>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weekly sales and airplay</a:t>
            </a:r>
          </a:p>
        </c:rich>
      </c:tx>
      <c:overlay val="0"/>
      <c:spPr>
        <a:noFill/>
        <a:ln w="25400">
          <a:noFill/>
        </a:ln>
      </c:spPr>
    </c:title>
    <c:autoTitleDeleted val="0"/>
    <c:plotArea>
      <c:layout/>
      <c:lineChart>
        <c:grouping val="standard"/>
        <c:varyColors val="0"/>
        <c:ser>
          <c:idx val="0"/>
          <c:order val="0"/>
          <c:tx>
            <c:strRef>
              <c:f>'Exp (2)'!$D$10</c:f>
              <c:strCache>
                <c:ptCount val="1"/>
                <c:pt idx="0">
                  <c:v>Incr_Sales</c:v>
                </c:pt>
              </c:strCache>
            </c:strRef>
          </c:tx>
          <c:spPr>
            <a:ln w="25400">
              <a:solidFill>
                <a:srgbClr val="000080"/>
              </a:solidFill>
              <a:prstDash val="solid"/>
            </a:ln>
          </c:spPr>
          <c:marker>
            <c:symbol val="none"/>
          </c:marker>
          <c:cat>
            <c:numRef>
              <c:f>'Exp (2)'!$A$11:$A$56</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'Exp (2)'!$D$11:$D$56</c:f>
              <c:numCache>
                <c:formatCode>General</c:formatCode>
                <c:ptCount val="46"/>
                <c:pt idx="0">
                  <c:v>1375</c:v>
                </c:pt>
                <c:pt idx="1">
                  <c:v>1102</c:v>
                </c:pt>
                <c:pt idx="2">
                  <c:v>1152</c:v>
                </c:pt>
                <c:pt idx="3">
                  <c:v>1247</c:v>
                </c:pt>
                <c:pt idx="4">
                  <c:v>1639</c:v>
                </c:pt>
                <c:pt idx="5">
                  <c:v>2576</c:v>
                </c:pt>
                <c:pt idx="6">
                  <c:v>2976</c:v>
                </c:pt>
                <c:pt idx="7">
                  <c:v>2529</c:v>
                </c:pt>
                <c:pt idx="8">
                  <c:v>2421</c:v>
                </c:pt>
                <c:pt idx="9">
                  <c:v>2385</c:v>
                </c:pt>
                <c:pt idx="10">
                  <c:v>2630</c:v>
                </c:pt>
                <c:pt idx="11">
                  <c:v>2794</c:v>
                </c:pt>
                <c:pt idx="12">
                  <c:v>2700</c:v>
                </c:pt>
                <c:pt idx="13">
                  <c:v>3170</c:v>
                </c:pt>
                <c:pt idx="14">
                  <c:v>2567</c:v>
                </c:pt>
                <c:pt idx="15">
                  <c:v>3409</c:v>
                </c:pt>
                <c:pt idx="16">
                  <c:v>3070</c:v>
                </c:pt>
                <c:pt idx="17">
                  <c:v>3182</c:v>
                </c:pt>
                <c:pt idx="18">
                  <c:v>2706</c:v>
                </c:pt>
                <c:pt idx="19">
                  <c:v>1890</c:v>
                </c:pt>
                <c:pt idx="20">
                  <c:v>1623</c:v>
                </c:pt>
                <c:pt idx="21">
                  <c:v>1587</c:v>
                </c:pt>
                <c:pt idx="22">
                  <c:v>1507</c:v>
                </c:pt>
                <c:pt idx="23">
                  <c:v>1300</c:v>
                </c:pt>
                <c:pt idx="24">
                  <c:v>1127</c:v>
                </c:pt>
                <c:pt idx="25">
                  <c:v>997</c:v>
                </c:pt>
                <c:pt idx="26">
                  <c:v>834</c:v>
                </c:pt>
              </c:numCache>
            </c:numRef>
          </c:val>
          <c:smooth val="0"/>
          <c:extLst>
            <c:ext xmlns:c16="http://schemas.microsoft.com/office/drawing/2014/chart" uri="{C3380CC4-5D6E-409C-BE32-E72D297353CC}">
              <c16:uniqueId val="{00000000-4336-446D-9AEE-65A4C373AF35}"/>
            </c:ext>
          </c:extLst>
        </c:ser>
        <c:ser>
          <c:idx val="1"/>
          <c:order val="1"/>
          <c:tx>
            <c:strRef>
              <c:f>'W+cov (1)'!#REF!</c:f>
              <c:strCache>
                <c:ptCount val="1"/>
                <c:pt idx="0">
                  <c:v>#REF!</c:v>
                </c:pt>
              </c:strCache>
            </c:strRef>
          </c:tx>
          <c:spPr>
            <a:ln w="25400">
              <a:solidFill>
                <a:srgbClr val="FF00FF"/>
              </a:solidFill>
              <a:prstDash val="solid"/>
            </a:ln>
          </c:spPr>
          <c:marker>
            <c:symbol val="none"/>
          </c:marker>
          <c:cat>
            <c:numRef>
              <c:f>'Exp (2)'!$A$11:$A$56</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W!#REF!</c:f>
              <c:numCache>
                <c:formatCode>General</c:formatCode>
                <c:ptCount val="1"/>
                <c:pt idx="0">
                  <c:v>1</c:v>
                </c:pt>
              </c:numCache>
            </c:numRef>
          </c:val>
          <c:smooth val="0"/>
          <c:extLst>
            <c:ext xmlns:c16="http://schemas.microsoft.com/office/drawing/2014/chart" uri="{C3380CC4-5D6E-409C-BE32-E72D297353CC}">
              <c16:uniqueId val="{00000001-4336-446D-9AEE-65A4C373AF35}"/>
            </c:ext>
          </c:extLst>
        </c:ser>
        <c:dLbls>
          <c:showLegendKey val="0"/>
          <c:showVal val="0"/>
          <c:showCatName val="0"/>
          <c:showSerName val="0"/>
          <c:showPercent val="0"/>
          <c:showBubbleSize val="0"/>
        </c:dLbls>
        <c:smooth val="0"/>
        <c:axId val="175171840"/>
        <c:axId val="175174016"/>
      </c:lineChart>
      <c:catAx>
        <c:axId val="17517184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174016"/>
        <c:crosses val="autoZero"/>
        <c:auto val="0"/>
        <c:lblAlgn val="ctr"/>
        <c:lblOffset val="100"/>
        <c:tickLblSkip val="132"/>
        <c:tickMarkSkip val="1"/>
        <c:noMultiLvlLbl val="0"/>
      </c:catAx>
      <c:valAx>
        <c:axId val="17517401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sales/airplay</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17184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genuine forecasts</a:t>
            </a:r>
          </a:p>
        </c:rich>
      </c:tx>
      <c:overlay val="0"/>
      <c:spPr>
        <a:noFill/>
        <a:ln w="25400">
          <a:noFill/>
        </a:ln>
      </c:spPr>
    </c:title>
    <c:autoTitleDeleted val="0"/>
    <c:plotArea>
      <c:layout/>
      <c:lineChart>
        <c:grouping val="standard"/>
        <c:varyColors val="0"/>
        <c:ser>
          <c:idx val="0"/>
          <c:order val="0"/>
          <c:spPr>
            <a:ln w="25400">
              <a:solidFill>
                <a:srgbClr val="FF00FF"/>
              </a:solidFill>
              <a:prstDash val="solid"/>
            </a:ln>
          </c:spPr>
          <c:marker>
            <c:symbol val="none"/>
          </c:marker>
          <c:cat>
            <c:numRef>
              <c:f>'Exp (2)'!$A$11:$A$56</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65"/>
                <c:pt idx="0">
                  <c:v>5224.4217589694226</c:v>
                </c:pt>
                <c:pt idx="1">
                  <c:v>10420.095805764095</c:v>
                </c:pt>
                <c:pt idx="2">
                  <c:v>15587.180326494108</c:v>
                </c:pt>
                <c:pt idx="3">
                  <c:v>20725.832636840245</c:v>
                </c:pt>
                <c:pt idx="4">
                  <c:v>25836.209186844131</c:v>
                </c:pt>
                <c:pt idx="5">
                  <c:v>30918.465565670696</c:v>
                </c:pt>
                <c:pt idx="6">
                  <c:v>35972.756506346028</c:v>
                </c:pt>
                <c:pt idx="7">
                  <c:v>40999.235890467557</c:v>
                </c:pt>
                <c:pt idx="8">
                  <c:v>45998.05675288973</c:v>
                </c:pt>
                <c:pt idx="9">
                  <c:v>50969.371286382971</c:v>
                </c:pt>
                <c:pt idx="10">
                  <c:v>55913.330846267076</c:v>
                </c:pt>
                <c:pt idx="11">
                  <c:v>60830.085955019866</c:v>
                </c:pt>
                <c:pt idx="12">
                  <c:v>65719.786306859693</c:v>
                </c:pt>
                <c:pt idx="13">
                  <c:v>70582.580772302666</c:v>
                </c:pt>
                <c:pt idx="14">
                  <c:v>75418.617402695774</c:v>
                </c:pt>
                <c:pt idx="15">
                  <c:v>80228.043434723877</c:v>
                </c:pt>
                <c:pt idx="16">
                  <c:v>85011.005294892748</c:v>
                </c:pt>
                <c:pt idx="17">
                  <c:v>89767.648603987065</c:v>
                </c:pt>
                <c:pt idx="18">
                  <c:v>94498.118181503552</c:v>
                </c:pt>
                <c:pt idx="19">
                  <c:v>99202.558050060892</c:v>
                </c:pt>
                <c:pt idx="20">
                  <c:v>103881.11143978406</c:v>
                </c:pt>
                <c:pt idx="21">
                  <c:v>108533.920792665</c:v>
                </c:pt>
                <c:pt idx="22">
                  <c:v>113161.12776689969</c:v>
                </c:pt>
                <c:pt idx="23">
                  <c:v>117762.87324120097</c:v>
                </c:pt>
                <c:pt idx="24">
                  <c:v>122339.29731908746</c:v>
                </c:pt>
                <c:pt idx="25">
                  <c:v>126890.53933314937</c:v>
                </c:pt>
                <c:pt idx="26">
                  <c:v>131416.73784929057</c:v>
                </c:pt>
                <c:pt idx="27">
                  <c:v>135918.03067094708</c:v>
                </c:pt>
                <c:pt idx="28">
                  <c:v>140394.55484328285</c:v>
                </c:pt>
                <c:pt idx="29">
                  <c:v>144846.44665736225</c:v>
                </c:pt>
                <c:pt idx="30">
                  <c:v>149273.84165429918</c:v>
                </c:pt>
                <c:pt idx="31">
                  <c:v>153676.87462938423</c:v>
                </c:pt>
                <c:pt idx="32">
                  <c:v>158055.67963618806</c:v>
                </c:pt>
                <c:pt idx="33">
                  <c:v>162410.38999064319</c:v>
                </c:pt>
                <c:pt idx="34">
                  <c:v>166741.13827510292</c:v>
                </c:pt>
                <c:pt idx="35">
                  <c:v>171048.05634237741</c:v>
                </c:pt>
                <c:pt idx="36">
                  <c:v>175331.2753197487</c:v>
                </c:pt>
                <c:pt idx="37">
                  <c:v>179590.92561296254</c:v>
                </c:pt>
                <c:pt idx="38">
                  <c:v>183827.13691019849</c:v>
                </c:pt>
                <c:pt idx="39">
                  <c:v>188040.03818601923</c:v>
                </c:pt>
                <c:pt idx="40">
                  <c:v>192229.75770529616</c:v>
                </c:pt>
                <c:pt idx="41">
                  <c:v>196396.42302711552</c:v>
                </c:pt>
                <c:pt idx="42">
                  <c:v>200540.16100866138</c:v>
                </c:pt>
                <c:pt idx="43">
                  <c:v>204661.09780907811</c:v>
                </c:pt>
                <c:pt idx="44">
                  <c:v>208759.35889331135</c:v>
                </c:pt>
                <c:pt idx="45">
                  <c:v>212835.0690359282</c:v>
                </c:pt>
                <c:pt idx="46">
                  <c:v>216888.35232491541</c:v>
                </c:pt>
                <c:pt idx="47">
                  <c:v>220919.33216545792</c:v>
                </c:pt>
                <c:pt idx="48">
                  <c:v>224928.13128369578</c:v>
                </c:pt>
                <c:pt idx="49">
                  <c:v>228914.87173046058</c:v>
                </c:pt>
                <c:pt idx="50">
                  <c:v>232879.67488499157</c:v>
                </c:pt>
                <c:pt idx="51">
                  <c:v>236822.66145863105</c:v>
                </c:pt>
                <c:pt idx="52">
                  <c:v>240743.95149849943</c:v>
                </c:pt>
                <c:pt idx="53">
                  <c:v>244643.6643911502</c:v>
                </c:pt>
                <c:pt idx="54">
                  <c:v>248521.91886620491</c:v>
                </c:pt>
                <c:pt idx="55">
                  <c:v>252378.83299996777</c:v>
                </c:pt>
                <c:pt idx="56">
                  <c:v>256214.52421902039</c:v>
                </c:pt>
                <c:pt idx="57">
                  <c:v>260029.10930379757</c:v>
                </c:pt>
                <c:pt idx="58">
                  <c:v>263822.70439214213</c:v>
                </c:pt>
                <c:pt idx="59">
                  <c:v>267595.42498284113</c:v>
                </c:pt>
                <c:pt idx="60">
                  <c:v>271347.38593914203</c:v>
                </c:pt>
                <c:pt idx="61">
                  <c:v>275078.7014922502</c:v>
                </c:pt>
                <c:pt idx="62">
                  <c:v>278789.48524480656</c:v>
                </c:pt>
                <c:pt idx="63">
                  <c:v>282479.85017434612</c:v>
                </c:pt>
                <c:pt idx="64">
                  <c:v>286149.90863673808</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0-2648-4D6A-824A-D1E102350D48}"/>
            </c:ext>
          </c:extLst>
        </c:ser>
        <c:ser>
          <c:idx val="1"/>
          <c:order val="1"/>
          <c:spPr>
            <a:ln w="25400">
              <a:solidFill>
                <a:srgbClr val="008000"/>
              </a:solidFill>
              <a:prstDash val="solid"/>
            </a:ln>
          </c:spPr>
          <c:marker>
            <c:symbol val="none"/>
          </c:marker>
          <c:cat>
            <c:numRef>
              <c:f>'Exp (2)'!$A$11:$A$56</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65"/>
                <c:pt idx="0">
                  <c:v>5337.8599834530414</c:v>
                </c:pt>
                <c:pt idx="1">
                  <c:v>10635.213722550718</c:v>
                </c:pt>
                <c:pt idx="2">
                  <c:v>15892.601184708477</c:v>
                </c:pt>
                <c:pt idx="3">
                  <c:v>21110.55207449153</c:v>
                </c:pt>
                <c:pt idx="4">
                  <c:v>26289.58608625942</c:v>
                </c:pt>
                <c:pt idx="5">
                  <c:v>31430.213149191033</c:v>
                </c:pt>
                <c:pt idx="6">
                  <c:v>36532.933664959797</c:v>
                </c:pt>
                <c:pt idx="7">
                  <c:v>41598.238738319917</c:v>
                </c:pt>
                <c:pt idx="8">
                  <c:v>46626.610400853031</c:v>
                </c:pt>
                <c:pt idx="9">
                  <c:v>51618.521828118544</c:v>
                </c:pt>
                <c:pt idx="10">
                  <c:v>56574.437550431008</c:v>
                </c:pt>
                <c:pt idx="11">
                  <c:v>61494.813657491432</c:v>
                </c:pt>
                <c:pt idx="12">
                  <c:v>66380.097997082339</c:v>
                </c:pt>
                <c:pt idx="13">
                  <c:v>71230.730368030068</c:v>
                </c:pt>
                <c:pt idx="14">
                  <c:v>76047.142707627907</c:v>
                </c:pt>
                <c:pt idx="15">
                  <c:v>80829.759273713717</c:v>
                </c:pt>
                <c:pt idx="16">
                  <c:v>85578.996821573106</c:v>
                </c:pt>
                <c:pt idx="17">
                  <c:v>90295.264775854594</c:v>
                </c:pt>
                <c:pt idx="18">
                  <c:v>94978.965397647946</c:v>
                </c:pt>
                <c:pt idx="19">
                  <c:v>99630.493946900606</c:v>
                </c:pt>
                <c:pt idx="20">
                  <c:v>104250.23884031737</c:v>
                </c:pt>
                <c:pt idx="21">
                  <c:v>108838.58180489393</c:v>
                </c:pt>
                <c:pt idx="22">
                  <c:v>113395.89802722905</c:v>
                </c:pt>
                <c:pt idx="23">
                  <c:v>117922.55629874914</c:v>
                </c:pt>
                <c:pt idx="24">
                  <c:v>122418.91915698122</c:v>
                </c:pt>
                <c:pt idx="25">
                  <c:v>126885.34302299759</c:v>
                </c:pt>
                <c:pt idx="26">
                  <c:v>131322.17833515958</c:v>
                </c:pt>
                <c:pt idx="27">
                  <c:v>135729.76967927342</c:v>
                </c:pt>
                <c:pt idx="28">
                  <c:v>140108.45591527323</c:v>
                </c:pt>
                <c:pt idx="29">
                  <c:v>144458.57030054598</c:v>
                </c:pt>
                <c:pt idx="30">
                  <c:v>148780.44060999496</c:v>
                </c:pt>
                <c:pt idx="31">
                  <c:v>153074.38925294904</c:v>
                </c:pt>
                <c:pt idx="32">
                  <c:v>157340.73338701771</c:v>
                </c:pt>
                <c:pt idx="33">
                  <c:v>161579.78502897974</c:v>
                </c:pt>
                <c:pt idx="34">
                  <c:v>165791.85116280272</c:v>
                </c:pt>
                <c:pt idx="35">
                  <c:v>170644.09835148463</c:v>
                </c:pt>
                <c:pt idx="36">
                  <c:v>175460.90841741636</c:v>
                </c:pt>
                <c:pt idx="37">
                  <c:v>180242.73609641616</c:v>
                </c:pt>
                <c:pt idx="38">
                  <c:v>184990.02780267669</c:v>
                </c:pt>
                <c:pt idx="39">
                  <c:v>189055.42271100107</c:v>
                </c:pt>
                <c:pt idx="40">
                  <c:v>193095.75015619418</c:v>
                </c:pt>
                <c:pt idx="41">
                  <c:v>197111.28195723804</c:v>
                </c:pt>
                <c:pt idx="42">
                  <c:v>201102.28572613787</c:v>
                </c:pt>
                <c:pt idx="43">
                  <c:v>205069.02495234559</c:v>
                </c:pt>
                <c:pt idx="44">
                  <c:v>209011.75908510594</c:v>
                </c:pt>
                <c:pt idx="45">
                  <c:v>212930.74361378362</c:v>
                </c:pt>
                <c:pt idx="46">
                  <c:v>216826.23014623381</c:v>
                </c:pt>
                <c:pt idx="47">
                  <c:v>220698.46648526614</c:v>
                </c:pt>
                <c:pt idx="48">
                  <c:v>224547.6967032649</c:v>
                </c:pt>
                <c:pt idx="49">
                  <c:v>228374.16121501286</c:v>
                </c:pt>
                <c:pt idx="50">
                  <c:v>232178.09684876766</c:v>
                </c:pt>
                <c:pt idx="51">
                  <c:v>235959.73691564874</c:v>
                </c:pt>
                <c:pt idx="52">
                  <c:v>239719.31127737579</c:v>
                </c:pt>
                <c:pt idx="53">
                  <c:v>243457.0464124034</c:v>
                </c:pt>
                <c:pt idx="54">
                  <c:v>247173.16548050562</c:v>
                </c:pt>
                <c:pt idx="55">
                  <c:v>250867.88838584229</c:v>
                </c:pt>
                <c:pt idx="56">
                  <c:v>254541.43183855992</c:v>
                </c:pt>
                <c:pt idx="57">
                  <c:v>258194.00941495819</c:v>
                </c:pt>
                <c:pt idx="58">
                  <c:v>261825.83161626881</c:v>
                </c:pt>
                <c:pt idx="59">
                  <c:v>265437.10592608119</c:v>
                </c:pt>
                <c:pt idx="60">
                  <c:v>269028.03686644981</c:v>
                </c:pt>
                <c:pt idx="61">
                  <c:v>272598.82605272526</c:v>
                </c:pt>
                <c:pt idx="62">
                  <c:v>276149.67224713636</c:v>
                </c:pt>
                <c:pt idx="63">
                  <c:v>279680.77141116234</c:v>
                </c:pt>
                <c:pt idx="64">
                  <c:v>283192.31675672519</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1-2648-4D6A-824A-D1E102350D48}"/>
            </c:ext>
          </c:extLst>
        </c:ser>
        <c:ser>
          <c:idx val="2"/>
          <c:order val="2"/>
          <c:spPr>
            <a:ln w="12700">
              <a:solidFill>
                <a:srgbClr val="000080"/>
              </a:solidFill>
              <a:prstDash val="solid"/>
            </a:ln>
          </c:spPr>
          <c:marker>
            <c:symbol val="diamond"/>
            <c:size val="5"/>
            <c:spPr>
              <a:solidFill>
                <a:srgbClr val="000080"/>
              </a:solidFill>
              <a:ln>
                <a:solidFill>
                  <a:srgbClr val="000080"/>
                </a:solidFill>
                <a:prstDash val="solid"/>
              </a:ln>
            </c:spPr>
          </c:marker>
          <c:cat>
            <c:numRef>
              <c:f>'Exp (2)'!$A$11:$A$56</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2-2648-4D6A-824A-D1E102350D48}"/>
            </c:ext>
          </c:extLst>
        </c:ser>
        <c:dLbls>
          <c:showLegendKey val="0"/>
          <c:showVal val="0"/>
          <c:showCatName val="0"/>
          <c:showSerName val="0"/>
          <c:showPercent val="0"/>
          <c:showBubbleSize val="0"/>
        </c:dLbls>
        <c:smooth val="0"/>
        <c:axId val="174883968"/>
        <c:axId val="174899200"/>
      </c:lineChart>
      <c:catAx>
        <c:axId val="17488396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899200"/>
        <c:crosses val="autoZero"/>
        <c:auto val="0"/>
        <c:lblAlgn val="ctr"/>
        <c:lblOffset val="100"/>
        <c:tickLblSkip val="192"/>
        <c:tickMarkSkip val="1"/>
        <c:noMultiLvlLbl val="0"/>
      </c:catAx>
      <c:valAx>
        <c:axId val="174899200"/>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883968"/>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early projections</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'Exp (2)'!$A$11:$A$56</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16BF-4C76-B1AF-04EC1C5C4865}"/>
            </c:ext>
          </c:extLst>
        </c:ser>
        <c:ser>
          <c:idx val="1"/>
          <c:order val="1"/>
          <c:spPr>
            <a:ln w="25400">
              <a:solidFill>
                <a:srgbClr val="FF00FF"/>
              </a:solidFill>
              <a:prstDash val="solid"/>
            </a:ln>
          </c:spPr>
          <c:marker>
            <c:symbol val="none"/>
          </c:marker>
          <c:cat>
            <c:numRef>
              <c:f>'Exp (2)'!$A$11:$A$56</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6205.5970060675982</c:v>
                </c:pt>
                <c:pt idx="1">
                  <c:v>12398.357534068038</c:v>
                </c:pt>
                <c:pt idx="2">
                  <c:v>18578.30813667105</c:v>
                </c:pt>
                <c:pt idx="3">
                  <c:v>24745.475311621969</c:v>
                </c:pt>
                <c:pt idx="4">
                  <c:v>30899.885501853631</c:v>
                </c:pt>
                <c:pt idx="5">
                  <c:v>37041.565095601967</c:v>
                </c:pt>
                <c:pt idx="6">
                  <c:v>43170.540426517247</c:v>
                </c:pt>
                <c:pt idx="7">
                  <c:v>49286.837773777959</c:v>
                </c:pt>
                <c:pt idx="8">
                  <c:v>55390.483362203093</c:v>
                </c:pt>
                <c:pt idx="9">
                  <c:v>61481.503362365023</c:v>
                </c:pt>
                <c:pt idx="10">
                  <c:v>67559.923890701422</c:v>
                </c:pt>
                <c:pt idx="11">
                  <c:v>73625.771009626857</c:v>
                </c:pt>
                <c:pt idx="12">
                  <c:v>79679.070727645681</c:v>
                </c:pt>
                <c:pt idx="13">
                  <c:v>85719.848999461945</c:v>
                </c:pt>
                <c:pt idx="14">
                  <c:v>91748.13172609231</c:v>
                </c:pt>
                <c:pt idx="15">
                  <c:v>97763.944754976299</c:v>
                </c:pt>
                <c:pt idx="16">
                  <c:v>103767.31388008619</c:v>
                </c:pt>
                <c:pt idx="17">
                  <c:v>109758.26484203999</c:v>
                </c:pt>
                <c:pt idx="18">
                  <c:v>115736.82332820923</c:v>
                </c:pt>
                <c:pt idx="19">
                  <c:v>121703.01497283098</c:v>
                </c:pt>
                <c:pt idx="20">
                  <c:v>127656.86535711707</c:v>
                </c:pt>
                <c:pt idx="21">
                  <c:v>133598.40000936363</c:v>
                </c:pt>
                <c:pt idx="22">
                  <c:v>139527.64440506004</c:v>
                </c:pt>
                <c:pt idx="23">
                  <c:v>145444.62396699988</c:v>
                </c:pt>
                <c:pt idx="24">
                  <c:v>151349.36406538801</c:v>
                </c:pt>
                <c:pt idx="25">
                  <c:v>157241.89001795073</c:v>
                </c:pt>
                <c:pt idx="26">
                  <c:v>163122.22709004386</c:v>
                </c:pt>
                <c:pt idx="27">
                  <c:v>168990.40049476034</c:v>
                </c:pt>
                <c:pt idx="28">
                  <c:v>174846.43539304013</c:v>
                </c:pt>
                <c:pt idx="29">
                  <c:v>180690.35689377555</c:v>
                </c:pt>
                <c:pt idx="30">
                  <c:v>186522.19005392145</c:v>
                </c:pt>
                <c:pt idx="31">
                  <c:v>192341.95987860113</c:v>
                </c:pt>
                <c:pt idx="32">
                  <c:v>198149.69132121396</c:v>
                </c:pt>
                <c:pt idx="33">
                  <c:v>203945.40928354289</c:v>
                </c:pt>
                <c:pt idx="34">
                  <c:v>209729.1386158604</c:v>
                </c:pt>
                <c:pt idx="35">
                  <c:v>215500.90411703481</c:v>
                </c:pt>
                <c:pt idx="36">
                  <c:v>221260.73053463778</c:v>
                </c:pt>
                <c:pt idx="37">
                  <c:v>227008.64256505028</c:v>
                </c:pt>
                <c:pt idx="38">
                  <c:v>232744.6648535667</c:v>
                </c:pt>
                <c:pt idx="39">
                  <c:v>238468.82199450338</c:v>
                </c:pt>
                <c:pt idx="40">
                  <c:v>244181.1385313012</c:v>
                </c:pt>
                <c:pt idx="41">
                  <c:v>249881.63895663273</c:v>
                </c:pt>
                <c:pt idx="42">
                  <c:v>255570.34771250674</c:v>
                </c:pt>
                <c:pt idx="43">
                  <c:v>261247.28919037309</c:v>
                </c:pt>
                <c:pt idx="44">
                  <c:v>266912.48773122631</c:v>
                </c:pt>
                <c:pt idx="45">
                  <c:v>272565.96762571164</c:v>
                </c:pt>
                <c:pt idx="46">
                  <c:v>278207.75311422796</c:v>
                </c:pt>
                <c:pt idx="47">
                  <c:v>283837.86838703218</c:v>
                </c:pt>
                <c:pt idx="48">
                  <c:v>289456.33758434275</c:v>
                </c:pt>
                <c:pt idx="49">
                  <c:v>295063.18479644344</c:v>
                </c:pt>
                <c:pt idx="50">
                  <c:v>300658.43406378658</c:v>
                </c:pt>
                <c:pt idx="51">
                  <c:v>306242.10937709583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16BF-4C76-B1AF-04EC1C5C4865}"/>
            </c:ext>
          </c:extLst>
        </c:ser>
        <c:ser>
          <c:idx val="2"/>
          <c:order val="2"/>
          <c:spPr>
            <a:ln w="25400">
              <a:solidFill>
                <a:srgbClr val="008000"/>
              </a:solidFill>
              <a:prstDash val="solid"/>
            </a:ln>
          </c:spPr>
          <c:marker>
            <c:symbol val="none"/>
          </c:marker>
          <c:cat>
            <c:numRef>
              <c:f>'Exp (2)'!$A$11:$A$56</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6236.3185158423876</c:v>
                </c:pt>
                <c:pt idx="1">
                  <c:v>12456.105476353119</c:v>
                </c:pt>
                <c:pt idx="2">
                  <c:v>18659.414150744902</c:v>
                </c:pt>
                <c:pt idx="3">
                  <c:v>24846.297606183398</c:v>
                </c:pt>
                <c:pt idx="4">
                  <c:v>31016.80870865786</c:v>
                </c:pt>
                <c:pt idx="5">
                  <c:v>37171.000123869424</c:v>
                </c:pt>
                <c:pt idx="6">
                  <c:v>43308.924318095407</c:v>
                </c:pt>
                <c:pt idx="7">
                  <c:v>49430.63355905997</c:v>
                </c:pt>
                <c:pt idx="8">
                  <c:v>55536.179916802372</c:v>
                </c:pt>
                <c:pt idx="9">
                  <c:v>61625.615264532033</c:v>
                </c:pt>
                <c:pt idx="10">
                  <c:v>67698.991279486756</c:v>
                </c:pt>
                <c:pt idx="11">
                  <c:v>73756.359443787107</c:v>
                </c:pt>
                <c:pt idx="12">
                  <c:v>79797.771045275076</c:v>
                </c:pt>
                <c:pt idx="13">
                  <c:v>85823.277178370685</c:v>
                </c:pt>
                <c:pt idx="14">
                  <c:v>91832.928744896344</c:v>
                </c:pt>
                <c:pt idx="15">
                  <c:v>97826.776454923878</c:v>
                </c:pt>
                <c:pt idx="16">
                  <c:v>103804.87082759848</c:v>
                </c:pt>
                <c:pt idx="17">
                  <c:v>109767.26219197208</c:v>
                </c:pt>
                <c:pt idx="18">
                  <c:v>115714.00068781502</c:v>
                </c:pt>
                <c:pt idx="19">
                  <c:v>121645.13626644868</c:v>
                </c:pt>
                <c:pt idx="20">
                  <c:v>127560.71869154894</c:v>
                </c:pt>
                <c:pt idx="21">
                  <c:v>133460.79753996443</c:v>
                </c:pt>
                <c:pt idx="22">
                  <c:v>139345.42220251821</c:v>
                </c:pt>
                <c:pt idx="23">
                  <c:v>145214.64188481527</c:v>
                </c:pt>
                <c:pt idx="24">
                  <c:v>151068.50560803665</c:v>
                </c:pt>
                <c:pt idx="25">
                  <c:v>156907.06220974037</c:v>
                </c:pt>
                <c:pt idx="26">
                  <c:v>162730.36034464737</c:v>
                </c:pt>
                <c:pt idx="27">
                  <c:v>168538.44848542986</c:v>
                </c:pt>
                <c:pt idx="28">
                  <c:v>174331.37492349805</c:v>
                </c:pt>
                <c:pt idx="29">
                  <c:v>180109.18776977746</c:v>
                </c:pt>
                <c:pt idx="30">
                  <c:v>185871.93495548383</c:v>
                </c:pt>
                <c:pt idx="31">
                  <c:v>191619.66423289722</c:v>
                </c:pt>
                <c:pt idx="32">
                  <c:v>197352.42317613267</c:v>
                </c:pt>
                <c:pt idx="33">
                  <c:v>203070.25918189669</c:v>
                </c:pt>
                <c:pt idx="34">
                  <c:v>208773.21947025752</c:v>
                </c:pt>
                <c:pt idx="35">
                  <c:v>214461.35108539666</c:v>
                </c:pt>
                <c:pt idx="36">
                  <c:v>220134.70089636612</c:v>
                </c:pt>
                <c:pt idx="37">
                  <c:v>225793.31559783532</c:v>
                </c:pt>
                <c:pt idx="38">
                  <c:v>231437.24171083735</c:v>
                </c:pt>
                <c:pt idx="39">
                  <c:v>237066.52558351649</c:v>
                </c:pt>
                <c:pt idx="40">
                  <c:v>242681.21339185978</c:v>
                </c:pt>
                <c:pt idx="41">
                  <c:v>248281.35114044035</c:v>
                </c:pt>
                <c:pt idx="42">
                  <c:v>253866.98466314361</c:v>
                </c:pt>
                <c:pt idx="43">
                  <c:v>259438.15962389749</c:v>
                </c:pt>
                <c:pt idx="44">
                  <c:v>264994.92151739931</c:v>
                </c:pt>
                <c:pt idx="45">
                  <c:v>270537.31566983397</c:v>
                </c:pt>
                <c:pt idx="46">
                  <c:v>276065.38723959605</c:v>
                </c:pt>
                <c:pt idx="47">
                  <c:v>281579.18121799931</c:v>
                </c:pt>
                <c:pt idx="48">
                  <c:v>287078.74242999242</c:v>
                </c:pt>
                <c:pt idx="49">
                  <c:v>292564.11553486239</c:v>
                </c:pt>
                <c:pt idx="50">
                  <c:v>298035.34502694273</c:v>
                </c:pt>
                <c:pt idx="51">
                  <c:v>303492.47523631272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16BF-4C76-B1AF-04EC1C5C4865}"/>
            </c:ext>
          </c:extLst>
        </c:ser>
        <c:dLbls>
          <c:showLegendKey val="0"/>
          <c:showVal val="0"/>
          <c:showCatName val="0"/>
          <c:showSerName val="0"/>
          <c:showPercent val="0"/>
          <c:showBubbleSize val="0"/>
        </c:dLbls>
        <c:marker val="1"/>
        <c:smooth val="0"/>
        <c:axId val="175012480"/>
        <c:axId val="175014656"/>
      </c:lineChart>
      <c:catAx>
        <c:axId val="17501248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14656"/>
        <c:crosses val="autoZero"/>
        <c:auto val="0"/>
        <c:lblAlgn val="ctr"/>
        <c:lblOffset val="100"/>
        <c:tickLblSkip val="153"/>
        <c:tickMarkSkip val="1"/>
        <c:noMultiLvlLbl val="0"/>
      </c:catAx>
      <c:valAx>
        <c:axId val="17501465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1248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model fit and validated forecast</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'Exp (2)'!$A$11:$A$56</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8F72-4483-AE3E-9284D2BE486D}"/>
            </c:ext>
          </c:extLst>
        </c:ser>
        <c:ser>
          <c:idx val="1"/>
          <c:order val="1"/>
          <c:spPr>
            <a:ln w="25400">
              <a:solidFill>
                <a:srgbClr val="FF00FF"/>
              </a:solidFill>
              <a:prstDash val="solid"/>
            </a:ln>
          </c:spPr>
          <c:marker>
            <c:symbol val="none"/>
          </c:marker>
          <c:cat>
            <c:numRef>
              <c:f>'Exp (2)'!$A$11:$A$56</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7344.335729028825</c:v>
                </c:pt>
                <c:pt idx="1">
                  <c:v>14436.551199097725</c:v>
                </c:pt>
                <c:pt idx="2">
                  <c:v>21285.301328408012</c:v>
                </c:pt>
                <c:pt idx="3">
                  <c:v>27898.943924530697</c:v>
                </c:pt>
                <c:pt idx="4">
                  <c:v>34285.549883777916</c:v>
                </c:pt>
                <c:pt idx="5">
                  <c:v>40452.913040445157</c:v>
                </c:pt>
                <c:pt idx="6">
                  <c:v>46408.559677943333</c:v>
                </c:pt>
                <c:pt idx="7">
                  <c:v>52159.757713427702</c:v>
                </c:pt>
                <c:pt idx="8">
                  <c:v>57713.525567131976</c:v>
                </c:pt>
                <c:pt idx="9">
                  <c:v>63076.64072723117</c:v>
                </c:pt>
                <c:pt idx="10">
                  <c:v>68255.648020685359</c:v>
                </c:pt>
                <c:pt idx="11">
                  <c:v>73256.86760015742</c:v>
                </c:pt>
                <c:pt idx="12">
                  <c:v>78086.402656751801</c:v>
                </c:pt>
                <c:pt idx="13">
                  <c:v>82750.146867985968</c:v>
                </c:pt>
                <c:pt idx="14">
                  <c:v>87253.791590084365</c:v>
                </c:pt>
                <c:pt idx="15">
                  <c:v>91602.832803371042</c:v>
                </c:pt>
                <c:pt idx="16">
                  <c:v>95802.577819237515</c:v>
                </c:pt>
                <c:pt idx="17">
                  <c:v>99858.151756870066</c:v>
                </c:pt>
                <c:pt idx="18">
                  <c:v>103774.50379764057</c:v>
                </c:pt>
                <c:pt idx="19">
                  <c:v>107556.41322479326</c:v>
                </c:pt>
                <c:pt idx="20">
                  <c:v>111208.4952557979</c:v>
                </c:pt>
                <c:pt idx="21">
                  <c:v>114735.20667448692</c:v>
                </c:pt>
                <c:pt idx="22">
                  <c:v>118140.85126984945</c:v>
                </c:pt>
                <c:pt idx="23">
                  <c:v>121429.58508811954</c:v>
                </c:pt>
                <c:pt idx="24">
                  <c:v>124605.42150456809</c:v>
                </c:pt>
                <c:pt idx="25">
                  <c:v>127672.23612118732</c:v>
                </c:pt>
                <c:pt idx="26">
                  <c:v>130633.77149624519</c:v>
                </c:pt>
                <c:pt idx="27">
                  <c:v>133493.641711481</c:v>
                </c:pt>
                <c:pt idx="28">
                  <c:v>136255.33678251592</c:v>
                </c:pt>
                <c:pt idx="29">
                  <c:v>138922.22691786065</c:v>
                </c:pt>
                <c:pt idx="30">
                  <c:v>141497.56663171755</c:v>
                </c:pt>
                <c:pt idx="31">
                  <c:v>143984.49871559627</c:v>
                </c:pt>
                <c:pt idx="32">
                  <c:v>146386.05807358978</c:v>
                </c:pt>
                <c:pt idx="33">
                  <c:v>148705.17542599089</c:v>
                </c:pt>
                <c:pt idx="34">
                  <c:v>150944.68088576914</c:v>
                </c:pt>
                <c:pt idx="35">
                  <c:v>153128.47144011562</c:v>
                </c:pt>
                <c:pt idx="36">
                  <c:v>155236.56203205764</c:v>
                </c:pt>
                <c:pt idx="37">
                  <c:v>157271.57676137282</c:v>
                </c:pt>
                <c:pt idx="38">
                  <c:v>159236.04876478645</c:v>
                </c:pt>
                <c:pt idx="39">
                  <c:v>161114.04480952566</c:v>
                </c:pt>
                <c:pt idx="40">
                  <c:v>162927.57200825959</c:v>
                </c:pt>
                <c:pt idx="41">
                  <c:v>164678.8434817864</c:v>
                </c:pt>
                <c:pt idx="42">
                  <c:v>166369.99637771747</c:v>
                </c:pt>
                <c:pt idx="43">
                  <c:v>168003.09447852554</c:v>
                </c:pt>
                <c:pt idx="44">
                  <c:v>169580.13072006224</c:v>
                </c:pt>
                <c:pt idx="45">
                  <c:v>171103.02962361835</c:v>
                </c:pt>
                <c:pt idx="46">
                  <c:v>172573.64964449525</c:v>
                </c:pt>
                <c:pt idx="47">
                  <c:v>173993.78543995344</c:v>
                </c:pt>
                <c:pt idx="48">
                  <c:v>175365.17005930538</c:v>
                </c:pt>
                <c:pt idx="49">
                  <c:v>176689.47705882601</c:v>
                </c:pt>
                <c:pt idx="50">
                  <c:v>177968.32254406132</c:v>
                </c:pt>
                <c:pt idx="51">
                  <c:v>179203.26714202741</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8F72-4483-AE3E-9284D2BE486D}"/>
            </c:ext>
          </c:extLst>
        </c:ser>
        <c:ser>
          <c:idx val="2"/>
          <c:order val="2"/>
          <c:spPr>
            <a:ln w="25400">
              <a:solidFill>
                <a:srgbClr val="008000"/>
              </a:solidFill>
              <a:prstDash val="solid"/>
            </a:ln>
          </c:spPr>
          <c:marker>
            <c:symbol val="none"/>
          </c:marker>
          <c:cat>
            <c:numRef>
              <c:f>'Exp (2)'!$A$11:$A$56</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8499.3219409211779</c:v>
                </c:pt>
                <c:pt idx="1">
                  <c:v>16404.804123137495</c:v>
                </c:pt>
                <c:pt idx="2">
                  <c:v>23792.754684577423</c:v>
                </c:pt>
                <c:pt idx="3">
                  <c:v>30725.730351800816</c:v>
                </c:pt>
                <c:pt idx="4">
                  <c:v>37255.646350869756</c:v>
                </c:pt>
                <c:pt idx="5">
                  <c:v>43426.055223524942</c:v>
                </c:pt>
                <c:pt idx="6">
                  <c:v>49273.847370987503</c:v>
                </c:pt>
                <c:pt idx="7">
                  <c:v>54830.540786694248</c:v>
                </c:pt>
                <c:pt idx="8">
                  <c:v>60123.273491882399</c:v>
                </c:pt>
                <c:pt idx="9">
                  <c:v>65175.577222763903</c:v>
                </c:pt>
                <c:pt idx="10">
                  <c:v>70007.987739005519</c:v>
                </c:pt>
                <c:pt idx="11">
                  <c:v>74638.53144247079</c:v>
                </c:pt>
                <c:pt idx="12">
                  <c:v>79083.117190512858</c:v>
                </c:pt>
                <c:pt idx="13">
                  <c:v>83355.854617961581</c:v>
                </c:pt>
                <c:pt idx="14">
                  <c:v>87469.314896583499</c:v>
                </c:pt>
                <c:pt idx="15">
                  <c:v>91434.745975696569</c:v>
                </c:pt>
                <c:pt idx="16">
                  <c:v>95262.251508608126</c:v>
                </c:pt>
                <c:pt idx="17">
                  <c:v>98960.940570115621</c:v>
                </c:pt>
                <c:pt idx="18">
                  <c:v>102539.05370062744</c:v>
                </c:pt>
                <c:pt idx="19">
                  <c:v>106004.06962679887</c:v>
                </c:pt>
                <c:pt idx="20">
                  <c:v>109362.7961043987</c:v>
                </c:pt>
                <c:pt idx="21">
                  <c:v>112621.44763344251</c:v>
                </c:pt>
                <c:pt idx="22">
                  <c:v>115785.71225590339</c:v>
                </c:pt>
                <c:pt idx="23">
                  <c:v>118860.80922427788</c:v>
                </c:pt>
                <c:pt idx="24">
                  <c:v>121851.53899685852</c:v>
                </c:pt>
                <c:pt idx="25">
                  <c:v>124762.32675190546</c:v>
                </c:pt>
                <c:pt idx="26">
                  <c:v>127597.26040240616</c:v>
                </c:pt>
                <c:pt idx="27">
                  <c:v>130360.12392403407</c:v>
                </c:pt>
                <c:pt idx="28">
                  <c:v>133054.42667229407</c:v>
                </c:pt>
                <c:pt idx="29">
                  <c:v>135683.42925384446</c:v>
                </c:pt>
                <c:pt idx="30">
                  <c:v>138250.16642633482</c:v>
                </c:pt>
                <c:pt idx="31">
                  <c:v>140757.46742667383</c:v>
                </c:pt>
                <c:pt idx="32">
                  <c:v>143207.97406628681</c:v>
                </c:pt>
                <c:pt idx="33">
                  <c:v>145604.15688106132</c:v>
                </c:pt>
                <c:pt idx="34">
                  <c:v>147948.3295813876</c:v>
                </c:pt>
                <c:pt idx="35">
                  <c:v>154519.3973396708</c:v>
                </c:pt>
                <c:pt idx="36">
                  <c:v>160712.39594842569</c:v>
                </c:pt>
                <c:pt idx="37">
                  <c:v>166567.77713775184</c:v>
                </c:pt>
                <c:pt idx="38">
                  <c:v>172119.86247883536</c:v>
                </c:pt>
                <c:pt idx="39">
                  <c:v>173955.8060925912</c:v>
                </c:pt>
                <c:pt idx="40">
                  <c:v>175760.75892452724</c:v>
                </c:pt>
                <c:pt idx="41">
                  <c:v>177535.73104752653</c:v>
                </c:pt>
                <c:pt idx="42">
                  <c:v>179281.68424125924</c:v>
                </c:pt>
                <c:pt idx="43">
                  <c:v>180999.53501339117</c:v>
                </c:pt>
                <c:pt idx="44">
                  <c:v>182690.15738858763</c:v>
                </c:pt>
                <c:pt idx="45">
                  <c:v>184354.38548637839</c:v>
                </c:pt>
                <c:pt idx="46">
                  <c:v>185993.01590675808</c:v>
                </c:pt>
                <c:pt idx="47">
                  <c:v>187606.80994045688</c:v>
                </c:pt>
                <c:pt idx="48">
                  <c:v>189196.49561910034</c:v>
                </c:pt>
                <c:pt idx="49">
                  <c:v>190762.76961896522</c:v>
                </c:pt>
                <c:pt idx="50">
                  <c:v>192306.29903068152</c:v>
                </c:pt>
                <c:pt idx="51">
                  <c:v>193827.72300604312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8F72-4483-AE3E-9284D2BE486D}"/>
            </c:ext>
          </c:extLst>
        </c:ser>
        <c:dLbls>
          <c:showLegendKey val="0"/>
          <c:showVal val="0"/>
          <c:showCatName val="0"/>
          <c:showSerName val="0"/>
          <c:showPercent val="0"/>
          <c:showBubbleSize val="0"/>
        </c:dLbls>
        <c:marker val="1"/>
        <c:smooth val="0"/>
        <c:axId val="175063424"/>
        <c:axId val="175065344"/>
      </c:lineChart>
      <c:catAx>
        <c:axId val="17506342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65344"/>
        <c:crosses val="autoZero"/>
        <c:auto val="0"/>
        <c:lblAlgn val="ctr"/>
        <c:lblOffset val="100"/>
        <c:tickLblSkip val="153"/>
        <c:tickMarkSkip val="1"/>
        <c:noMultiLvlLbl val="0"/>
      </c:catAx>
      <c:valAx>
        <c:axId val="175065344"/>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63424"/>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weekly sales and airplay</a:t>
            </a:r>
          </a:p>
        </c:rich>
      </c:tx>
      <c:overlay val="0"/>
      <c:spPr>
        <a:noFill/>
        <a:ln w="25400">
          <a:noFill/>
        </a:ln>
      </c:spPr>
    </c:title>
    <c:autoTitleDeleted val="0"/>
    <c:plotArea>
      <c:layout/>
      <c:lineChart>
        <c:grouping val="standard"/>
        <c:varyColors val="0"/>
        <c:ser>
          <c:idx val="0"/>
          <c:order val="0"/>
          <c:tx>
            <c:strRef>
              <c:f>'W (No HO)'!$D$11</c:f>
              <c:strCache>
                <c:ptCount val="1"/>
                <c:pt idx="0">
                  <c:v>Incr_Sales</c:v>
                </c:pt>
              </c:strCache>
            </c:strRef>
          </c:tx>
          <c:spPr>
            <a:ln w="25400">
              <a:solidFill>
                <a:srgbClr val="000080"/>
              </a:solidFill>
              <a:prstDash val="solid"/>
            </a:ln>
          </c:spPr>
          <c:marker>
            <c:symbol val="none"/>
          </c:marker>
          <c:cat>
            <c:numRef>
              <c:f>'W (No HO)'!$A$12:$A$57</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'W (No HO)'!$D$12:$D$57</c:f>
              <c:numCache>
                <c:formatCode>General</c:formatCode>
                <c:ptCount val="46"/>
                <c:pt idx="0">
                  <c:v>1375</c:v>
                </c:pt>
                <c:pt idx="1">
                  <c:v>1102</c:v>
                </c:pt>
                <c:pt idx="2">
                  <c:v>1152</c:v>
                </c:pt>
                <c:pt idx="3">
                  <c:v>1247</c:v>
                </c:pt>
                <c:pt idx="4">
                  <c:v>1639</c:v>
                </c:pt>
                <c:pt idx="5">
                  <c:v>2576</c:v>
                </c:pt>
                <c:pt idx="6">
                  <c:v>2976</c:v>
                </c:pt>
                <c:pt idx="7">
                  <c:v>2529</c:v>
                </c:pt>
                <c:pt idx="8">
                  <c:v>2421</c:v>
                </c:pt>
                <c:pt idx="9">
                  <c:v>2385</c:v>
                </c:pt>
                <c:pt idx="10">
                  <c:v>2630</c:v>
                </c:pt>
                <c:pt idx="11">
                  <c:v>2794</c:v>
                </c:pt>
                <c:pt idx="12">
                  <c:v>2700</c:v>
                </c:pt>
                <c:pt idx="13">
                  <c:v>3170</c:v>
                </c:pt>
                <c:pt idx="14">
                  <c:v>2567</c:v>
                </c:pt>
                <c:pt idx="15">
                  <c:v>3409</c:v>
                </c:pt>
                <c:pt idx="16">
                  <c:v>3070</c:v>
                </c:pt>
                <c:pt idx="17">
                  <c:v>3182</c:v>
                </c:pt>
                <c:pt idx="18">
                  <c:v>2706</c:v>
                </c:pt>
                <c:pt idx="19">
                  <c:v>1890</c:v>
                </c:pt>
                <c:pt idx="20">
                  <c:v>1623</c:v>
                </c:pt>
                <c:pt idx="21">
                  <c:v>1587</c:v>
                </c:pt>
                <c:pt idx="22">
                  <c:v>1507</c:v>
                </c:pt>
                <c:pt idx="23">
                  <c:v>1300</c:v>
                </c:pt>
                <c:pt idx="24">
                  <c:v>1127</c:v>
                </c:pt>
                <c:pt idx="25">
                  <c:v>997</c:v>
                </c:pt>
                <c:pt idx="26">
                  <c:v>834</c:v>
                </c:pt>
              </c:numCache>
            </c:numRef>
          </c:val>
          <c:smooth val="0"/>
          <c:extLst>
            <c:ext xmlns:c16="http://schemas.microsoft.com/office/drawing/2014/chart" uri="{C3380CC4-5D6E-409C-BE32-E72D297353CC}">
              <c16:uniqueId val="{00000000-CD02-48E8-95AA-6BEF65229BD1}"/>
            </c:ext>
          </c:extLst>
        </c:ser>
        <c:ser>
          <c:idx val="1"/>
          <c:order val="1"/>
          <c:tx>
            <c:strRef>
              <c:f>'W+cov (1)'!#REF!</c:f>
              <c:strCache>
                <c:ptCount val="1"/>
                <c:pt idx="0">
                  <c:v>#REF!</c:v>
                </c:pt>
              </c:strCache>
            </c:strRef>
          </c:tx>
          <c:spPr>
            <a:ln w="25400">
              <a:solidFill>
                <a:srgbClr val="FF00FF"/>
              </a:solidFill>
              <a:prstDash val="solid"/>
            </a:ln>
          </c:spPr>
          <c:marker>
            <c:symbol val="none"/>
          </c:marker>
          <c:cat>
            <c:numRef>
              <c:f>'W (No HO)'!$A$12:$A$57</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W!#REF!</c:f>
              <c:numCache>
                <c:formatCode>General</c:formatCode>
                <c:ptCount val="1"/>
                <c:pt idx="0">
                  <c:v>1</c:v>
                </c:pt>
              </c:numCache>
            </c:numRef>
          </c:val>
          <c:smooth val="0"/>
          <c:extLst>
            <c:ext xmlns:c16="http://schemas.microsoft.com/office/drawing/2014/chart" uri="{C3380CC4-5D6E-409C-BE32-E72D297353CC}">
              <c16:uniqueId val="{00000001-CD02-48E8-95AA-6BEF65229BD1}"/>
            </c:ext>
          </c:extLst>
        </c:ser>
        <c:dLbls>
          <c:showLegendKey val="0"/>
          <c:showVal val="0"/>
          <c:showCatName val="0"/>
          <c:showSerName val="0"/>
          <c:showPercent val="0"/>
          <c:showBubbleSize val="0"/>
        </c:dLbls>
        <c:smooth val="0"/>
        <c:axId val="175171840"/>
        <c:axId val="175174016"/>
      </c:lineChart>
      <c:catAx>
        <c:axId val="17517184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174016"/>
        <c:crosses val="autoZero"/>
        <c:auto val="0"/>
        <c:lblAlgn val="ctr"/>
        <c:lblOffset val="100"/>
        <c:tickLblSkip val="132"/>
        <c:tickMarkSkip val="1"/>
        <c:noMultiLvlLbl val="0"/>
      </c:catAx>
      <c:valAx>
        <c:axId val="17517401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sales/airplay</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17184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weekly sales and airplay</a:t>
            </a:r>
          </a:p>
        </c:rich>
      </c:tx>
      <c:overlay val="0"/>
      <c:spPr>
        <a:noFill/>
        <a:ln w="25400">
          <a:noFill/>
        </a:ln>
      </c:spPr>
    </c:title>
    <c:autoTitleDeleted val="0"/>
    <c:plotArea>
      <c:layout/>
      <c:lineChart>
        <c:grouping val="standard"/>
        <c:varyColors val="0"/>
        <c:ser>
          <c:idx val="0"/>
          <c:order val="0"/>
          <c:tx>
            <c:strRef>
              <c:f>'Dink (D)'!$B$1</c:f>
              <c:strCache>
                <c:ptCount val="1"/>
                <c:pt idx="0">
                  <c:v>sales</c:v>
                </c:pt>
              </c:strCache>
            </c:strRef>
          </c:tx>
          <c:spPr>
            <a:ln w="25400">
              <a:solidFill>
                <a:srgbClr val="000080"/>
              </a:solidFill>
              <a:prstDash val="solid"/>
            </a:ln>
          </c:spPr>
          <c:marker>
            <c:symbol val="none"/>
          </c:marker>
          <c:cat>
            <c:numRef>
              <c:f>'Dink (D)'!$A$2:$A$45</c:f>
              <c:numCache>
                <c:formatCode>m/d/yyyy</c:formatCode>
                <c:ptCount val="44"/>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'Dink (D)'!$B$2:$B$45</c:f>
              <c:numCache>
                <c:formatCode>General</c:formatCode>
                <c:ptCount val="44"/>
                <c:pt idx="0">
                  <c:v>1375</c:v>
                </c:pt>
                <c:pt idx="1">
                  <c:v>1102</c:v>
                </c:pt>
                <c:pt idx="2">
                  <c:v>1152</c:v>
                </c:pt>
                <c:pt idx="3">
                  <c:v>1247</c:v>
                </c:pt>
                <c:pt idx="4">
                  <c:v>1639</c:v>
                </c:pt>
                <c:pt idx="5">
                  <c:v>2576</c:v>
                </c:pt>
                <c:pt idx="6">
                  <c:v>2976</c:v>
                </c:pt>
                <c:pt idx="7">
                  <c:v>2529</c:v>
                </c:pt>
                <c:pt idx="8">
                  <c:v>2421</c:v>
                </c:pt>
                <c:pt idx="9">
                  <c:v>2385</c:v>
                </c:pt>
                <c:pt idx="10">
                  <c:v>2630</c:v>
                </c:pt>
                <c:pt idx="11">
                  <c:v>2794</c:v>
                </c:pt>
                <c:pt idx="12">
                  <c:v>2700</c:v>
                </c:pt>
                <c:pt idx="13">
                  <c:v>3170</c:v>
                </c:pt>
                <c:pt idx="14">
                  <c:v>2567</c:v>
                </c:pt>
                <c:pt idx="15">
                  <c:v>3409</c:v>
                </c:pt>
                <c:pt idx="16">
                  <c:v>3070</c:v>
                </c:pt>
                <c:pt idx="17">
                  <c:v>3182</c:v>
                </c:pt>
                <c:pt idx="18">
                  <c:v>2706</c:v>
                </c:pt>
                <c:pt idx="19">
                  <c:v>1890</c:v>
                </c:pt>
                <c:pt idx="20">
                  <c:v>1623</c:v>
                </c:pt>
                <c:pt idx="21">
                  <c:v>1587</c:v>
                </c:pt>
                <c:pt idx="22">
                  <c:v>1507</c:v>
                </c:pt>
                <c:pt idx="23">
                  <c:v>1300</c:v>
                </c:pt>
                <c:pt idx="24">
                  <c:v>1127</c:v>
                </c:pt>
                <c:pt idx="25">
                  <c:v>997</c:v>
                </c:pt>
                <c:pt idx="26">
                  <c:v>834</c:v>
                </c:pt>
                <c:pt idx="28">
                  <c:v>0</c:v>
                </c:pt>
                <c:pt idx="29">
                  <c:v>0</c:v>
                </c:pt>
                <c:pt idx="31">
                  <c:v>0</c:v>
                </c:pt>
                <c:pt idx="32">
                  <c:v>0</c:v>
                </c:pt>
                <c:pt idx="34">
                  <c:v>0</c:v>
                </c:pt>
                <c:pt idx="35">
                  <c:v>0</c:v>
                </c:pt>
                <c:pt idx="36">
                  <c:v>0</c:v>
                </c:pt>
                <c:pt idx="38">
                  <c:v>0</c:v>
                </c:pt>
                <c:pt idx="39">
                  <c:v>0</c:v>
                </c:pt>
                <c:pt idx="40">
                  <c:v>0</c:v>
                </c:pt>
              </c:numCache>
            </c:numRef>
          </c:val>
          <c:smooth val="0"/>
          <c:extLst>
            <c:ext xmlns:c16="http://schemas.microsoft.com/office/drawing/2014/chart" uri="{C3380CC4-5D6E-409C-BE32-E72D297353CC}">
              <c16:uniqueId val="{00000000-37B8-4F43-8C12-93F4C12A562D}"/>
            </c:ext>
          </c:extLst>
        </c:ser>
        <c:ser>
          <c:idx val="1"/>
          <c:order val="1"/>
          <c:tx>
            <c:strRef>
              <c:f>'Dink (D)'!$C$1</c:f>
              <c:strCache>
                <c:ptCount val="1"/>
                <c:pt idx="0">
                  <c:v>airplay</c:v>
                </c:pt>
              </c:strCache>
            </c:strRef>
          </c:tx>
          <c:spPr>
            <a:ln w="25400">
              <a:solidFill>
                <a:srgbClr val="FF00FF"/>
              </a:solidFill>
              <a:prstDash val="solid"/>
            </a:ln>
          </c:spPr>
          <c:marker>
            <c:symbol val="none"/>
          </c:marker>
          <c:cat>
            <c:numRef>
              <c:f>'Dink (D)'!$A$2:$A$45</c:f>
              <c:numCache>
                <c:formatCode>m/d/yyyy</c:formatCode>
                <c:ptCount val="44"/>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'Dink (D)'!$C$2:$C$45</c:f>
              <c:numCache>
                <c:formatCode>0</c:formatCode>
                <c:ptCount val="44"/>
                <c:pt idx="0">
                  <c:v>1550.2</c:v>
                </c:pt>
                <c:pt idx="1">
                  <c:v>1492.6</c:v>
                </c:pt>
                <c:pt idx="2">
                  <c:v>2254.6999999999998</c:v>
                </c:pt>
                <c:pt idx="3">
                  <c:v>2067.5</c:v>
                </c:pt>
                <c:pt idx="4">
                  <c:v>2003.2</c:v>
                </c:pt>
                <c:pt idx="5">
                  <c:v>2347.1999999999998</c:v>
                </c:pt>
                <c:pt idx="6">
                  <c:v>2723.3</c:v>
                </c:pt>
                <c:pt idx="7">
                  <c:v>2550.8000000000002</c:v>
                </c:pt>
                <c:pt idx="8">
                  <c:v>2828.8</c:v>
                </c:pt>
                <c:pt idx="9">
                  <c:v>3198</c:v>
                </c:pt>
                <c:pt idx="10">
                  <c:v>2988.9</c:v>
                </c:pt>
                <c:pt idx="11">
                  <c:v>2113.6</c:v>
                </c:pt>
                <c:pt idx="12">
                  <c:v>1890.6</c:v>
                </c:pt>
                <c:pt idx="13">
                  <c:v>1862.7</c:v>
                </c:pt>
                <c:pt idx="14">
                  <c:v>1242</c:v>
                </c:pt>
                <c:pt idx="15">
                  <c:v>755.1</c:v>
                </c:pt>
                <c:pt idx="16">
                  <c:v>571</c:v>
                </c:pt>
                <c:pt idx="17">
                  <c:v>470.8</c:v>
                </c:pt>
                <c:pt idx="18">
                  <c:v>603.20000000000005</c:v>
                </c:pt>
                <c:pt idx="19">
                  <c:v>523.1</c:v>
                </c:pt>
                <c:pt idx="20">
                  <c:v>382.4</c:v>
                </c:pt>
                <c:pt idx="21">
                  <c:v>290.7</c:v>
                </c:pt>
                <c:pt idx="22">
                  <c:v>322.7</c:v>
                </c:pt>
                <c:pt idx="23">
                  <c:v>284.10000000000002</c:v>
                </c:pt>
                <c:pt idx="24">
                  <c:v>336</c:v>
                </c:pt>
                <c:pt idx="25">
                  <c:v>308.39999999999998</c:v>
                </c:pt>
                <c:pt idx="26">
                  <c:v>133.19999999999999</c:v>
                </c:pt>
              </c:numCache>
            </c:numRef>
          </c:val>
          <c:smooth val="0"/>
          <c:extLst>
            <c:ext xmlns:c16="http://schemas.microsoft.com/office/drawing/2014/chart" uri="{C3380CC4-5D6E-409C-BE32-E72D297353CC}">
              <c16:uniqueId val="{00000001-37B8-4F43-8C12-93F4C12A562D}"/>
            </c:ext>
          </c:extLst>
        </c:ser>
        <c:dLbls>
          <c:showLegendKey val="0"/>
          <c:showVal val="0"/>
          <c:showCatName val="0"/>
          <c:showSerName val="0"/>
          <c:showPercent val="0"/>
          <c:showBubbleSize val="0"/>
        </c:dLbls>
        <c:smooth val="0"/>
        <c:axId val="174322048"/>
        <c:axId val="174323968"/>
      </c:lineChart>
      <c:catAx>
        <c:axId val="17432204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323968"/>
        <c:crosses val="autoZero"/>
        <c:auto val="0"/>
        <c:lblAlgn val="ctr"/>
        <c:lblOffset val="100"/>
        <c:tickLblSkip val="132"/>
        <c:tickMarkSkip val="1"/>
        <c:noMultiLvlLbl val="0"/>
      </c:catAx>
      <c:valAx>
        <c:axId val="174323968"/>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sales/airplay</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322048"/>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genuine forecasts</a:t>
            </a:r>
          </a:p>
        </c:rich>
      </c:tx>
      <c:overlay val="0"/>
      <c:spPr>
        <a:noFill/>
        <a:ln w="25400">
          <a:noFill/>
        </a:ln>
      </c:spPr>
    </c:title>
    <c:autoTitleDeleted val="0"/>
    <c:plotArea>
      <c:layout/>
      <c:lineChart>
        <c:grouping val="standard"/>
        <c:varyColors val="0"/>
        <c:ser>
          <c:idx val="0"/>
          <c:order val="0"/>
          <c:spPr>
            <a:ln w="25400">
              <a:solidFill>
                <a:srgbClr val="FF00FF"/>
              </a:solidFill>
              <a:prstDash val="solid"/>
            </a:ln>
          </c:spPr>
          <c:marker>
            <c:symbol val="none"/>
          </c:marker>
          <c:cat>
            <c:numRef>
              <c:f>'W (No HO)'!$A$12:$A$57</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65"/>
                <c:pt idx="0">
                  <c:v>5224.4217589694226</c:v>
                </c:pt>
                <c:pt idx="1">
                  <c:v>10420.095805764095</c:v>
                </c:pt>
                <c:pt idx="2">
                  <c:v>15587.180326494108</c:v>
                </c:pt>
                <c:pt idx="3">
                  <c:v>20725.832636840245</c:v>
                </c:pt>
                <c:pt idx="4">
                  <c:v>25836.209186844131</c:v>
                </c:pt>
                <c:pt idx="5">
                  <c:v>30918.465565670696</c:v>
                </c:pt>
                <c:pt idx="6">
                  <c:v>35972.756506346028</c:v>
                </c:pt>
                <c:pt idx="7">
                  <c:v>40999.235890467557</c:v>
                </c:pt>
                <c:pt idx="8">
                  <c:v>45998.05675288973</c:v>
                </c:pt>
                <c:pt idx="9">
                  <c:v>50969.371286382971</c:v>
                </c:pt>
                <c:pt idx="10">
                  <c:v>55913.330846267076</c:v>
                </c:pt>
                <c:pt idx="11">
                  <c:v>60830.085955019866</c:v>
                </c:pt>
                <c:pt idx="12">
                  <c:v>65719.786306859693</c:v>
                </c:pt>
                <c:pt idx="13">
                  <c:v>70582.580772302666</c:v>
                </c:pt>
                <c:pt idx="14">
                  <c:v>75418.617402695774</c:v>
                </c:pt>
                <c:pt idx="15">
                  <c:v>80228.043434723877</c:v>
                </c:pt>
                <c:pt idx="16">
                  <c:v>85011.005294892748</c:v>
                </c:pt>
                <c:pt idx="17">
                  <c:v>89767.648603987065</c:v>
                </c:pt>
                <c:pt idx="18">
                  <c:v>94498.118181503552</c:v>
                </c:pt>
                <c:pt idx="19">
                  <c:v>99202.558050060892</c:v>
                </c:pt>
                <c:pt idx="20">
                  <c:v>103881.11143978406</c:v>
                </c:pt>
                <c:pt idx="21">
                  <c:v>108533.920792665</c:v>
                </c:pt>
                <c:pt idx="22">
                  <c:v>113161.12776689969</c:v>
                </c:pt>
                <c:pt idx="23">
                  <c:v>117762.87324120097</c:v>
                </c:pt>
                <c:pt idx="24">
                  <c:v>122339.29731908746</c:v>
                </c:pt>
                <c:pt idx="25">
                  <c:v>126890.53933314937</c:v>
                </c:pt>
                <c:pt idx="26">
                  <c:v>131416.73784929057</c:v>
                </c:pt>
                <c:pt idx="27">
                  <c:v>135918.03067094708</c:v>
                </c:pt>
                <c:pt idx="28">
                  <c:v>140394.55484328285</c:v>
                </c:pt>
                <c:pt idx="29">
                  <c:v>144846.44665736225</c:v>
                </c:pt>
                <c:pt idx="30">
                  <c:v>149273.84165429918</c:v>
                </c:pt>
                <c:pt idx="31">
                  <c:v>153676.87462938423</c:v>
                </c:pt>
                <c:pt idx="32">
                  <c:v>158055.67963618806</c:v>
                </c:pt>
                <c:pt idx="33">
                  <c:v>162410.38999064319</c:v>
                </c:pt>
                <c:pt idx="34">
                  <c:v>166741.13827510292</c:v>
                </c:pt>
                <c:pt idx="35">
                  <c:v>171048.05634237741</c:v>
                </c:pt>
                <c:pt idx="36">
                  <c:v>175331.2753197487</c:v>
                </c:pt>
                <c:pt idx="37">
                  <c:v>179590.92561296254</c:v>
                </c:pt>
                <c:pt idx="38">
                  <c:v>183827.13691019849</c:v>
                </c:pt>
                <c:pt idx="39">
                  <c:v>188040.03818601923</c:v>
                </c:pt>
                <c:pt idx="40">
                  <c:v>192229.75770529616</c:v>
                </c:pt>
                <c:pt idx="41">
                  <c:v>196396.42302711552</c:v>
                </c:pt>
                <c:pt idx="42">
                  <c:v>200540.16100866138</c:v>
                </c:pt>
                <c:pt idx="43">
                  <c:v>204661.09780907811</c:v>
                </c:pt>
                <c:pt idx="44">
                  <c:v>208759.35889331135</c:v>
                </c:pt>
                <c:pt idx="45">
                  <c:v>212835.0690359282</c:v>
                </c:pt>
                <c:pt idx="46">
                  <c:v>216888.35232491541</c:v>
                </c:pt>
                <c:pt idx="47">
                  <c:v>220919.33216545792</c:v>
                </c:pt>
                <c:pt idx="48">
                  <c:v>224928.13128369578</c:v>
                </c:pt>
                <c:pt idx="49">
                  <c:v>228914.87173046058</c:v>
                </c:pt>
                <c:pt idx="50">
                  <c:v>232879.67488499157</c:v>
                </c:pt>
                <c:pt idx="51">
                  <c:v>236822.66145863105</c:v>
                </c:pt>
                <c:pt idx="52">
                  <c:v>240743.95149849943</c:v>
                </c:pt>
                <c:pt idx="53">
                  <c:v>244643.6643911502</c:v>
                </c:pt>
                <c:pt idx="54">
                  <c:v>248521.91886620491</c:v>
                </c:pt>
                <c:pt idx="55">
                  <c:v>252378.83299996777</c:v>
                </c:pt>
                <c:pt idx="56">
                  <c:v>256214.52421902039</c:v>
                </c:pt>
                <c:pt idx="57">
                  <c:v>260029.10930379757</c:v>
                </c:pt>
                <c:pt idx="58">
                  <c:v>263822.70439214213</c:v>
                </c:pt>
                <c:pt idx="59">
                  <c:v>267595.42498284113</c:v>
                </c:pt>
                <c:pt idx="60">
                  <c:v>271347.38593914203</c:v>
                </c:pt>
                <c:pt idx="61">
                  <c:v>275078.7014922502</c:v>
                </c:pt>
                <c:pt idx="62">
                  <c:v>278789.48524480656</c:v>
                </c:pt>
                <c:pt idx="63">
                  <c:v>282479.85017434612</c:v>
                </c:pt>
                <c:pt idx="64">
                  <c:v>286149.90863673808</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0-8E58-45EA-920C-8FDF38D4C67A}"/>
            </c:ext>
          </c:extLst>
        </c:ser>
        <c:ser>
          <c:idx val="1"/>
          <c:order val="1"/>
          <c:spPr>
            <a:ln w="25400">
              <a:solidFill>
                <a:srgbClr val="008000"/>
              </a:solidFill>
              <a:prstDash val="solid"/>
            </a:ln>
          </c:spPr>
          <c:marker>
            <c:symbol val="none"/>
          </c:marker>
          <c:cat>
            <c:numRef>
              <c:f>'W (No HO)'!$A$12:$A$57</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65"/>
                <c:pt idx="0">
                  <c:v>5337.8599834530414</c:v>
                </c:pt>
                <c:pt idx="1">
                  <c:v>10635.213722550718</c:v>
                </c:pt>
                <c:pt idx="2">
                  <c:v>15892.601184708477</c:v>
                </c:pt>
                <c:pt idx="3">
                  <c:v>21110.55207449153</c:v>
                </c:pt>
                <c:pt idx="4">
                  <c:v>26289.58608625942</c:v>
                </c:pt>
                <c:pt idx="5">
                  <c:v>31430.213149191033</c:v>
                </c:pt>
                <c:pt idx="6">
                  <c:v>36532.933664959797</c:v>
                </c:pt>
                <c:pt idx="7">
                  <c:v>41598.238738319917</c:v>
                </c:pt>
                <c:pt idx="8">
                  <c:v>46626.610400853031</c:v>
                </c:pt>
                <c:pt idx="9">
                  <c:v>51618.521828118544</c:v>
                </c:pt>
                <c:pt idx="10">
                  <c:v>56574.437550431008</c:v>
                </c:pt>
                <c:pt idx="11">
                  <c:v>61494.813657491432</c:v>
                </c:pt>
                <c:pt idx="12">
                  <c:v>66380.097997082339</c:v>
                </c:pt>
                <c:pt idx="13">
                  <c:v>71230.730368030068</c:v>
                </c:pt>
                <c:pt idx="14">
                  <c:v>76047.142707627907</c:v>
                </c:pt>
                <c:pt idx="15">
                  <c:v>80829.759273713717</c:v>
                </c:pt>
                <c:pt idx="16">
                  <c:v>85578.996821573106</c:v>
                </c:pt>
                <c:pt idx="17">
                  <c:v>90295.264775854594</c:v>
                </c:pt>
                <c:pt idx="18">
                  <c:v>94978.965397647946</c:v>
                </c:pt>
                <c:pt idx="19">
                  <c:v>99630.493946900606</c:v>
                </c:pt>
                <c:pt idx="20">
                  <c:v>104250.23884031737</c:v>
                </c:pt>
                <c:pt idx="21">
                  <c:v>108838.58180489393</c:v>
                </c:pt>
                <c:pt idx="22">
                  <c:v>113395.89802722905</c:v>
                </c:pt>
                <c:pt idx="23">
                  <c:v>117922.55629874914</c:v>
                </c:pt>
                <c:pt idx="24">
                  <c:v>122418.91915698122</c:v>
                </c:pt>
                <c:pt idx="25">
                  <c:v>126885.34302299759</c:v>
                </c:pt>
                <c:pt idx="26">
                  <c:v>131322.17833515958</c:v>
                </c:pt>
                <c:pt idx="27">
                  <c:v>135729.76967927342</c:v>
                </c:pt>
                <c:pt idx="28">
                  <c:v>140108.45591527323</c:v>
                </c:pt>
                <c:pt idx="29">
                  <c:v>144458.57030054598</c:v>
                </c:pt>
                <c:pt idx="30">
                  <c:v>148780.44060999496</c:v>
                </c:pt>
                <c:pt idx="31">
                  <c:v>153074.38925294904</c:v>
                </c:pt>
                <c:pt idx="32">
                  <c:v>157340.73338701771</c:v>
                </c:pt>
                <c:pt idx="33">
                  <c:v>161579.78502897974</c:v>
                </c:pt>
                <c:pt idx="34">
                  <c:v>165791.85116280272</c:v>
                </c:pt>
                <c:pt idx="35">
                  <c:v>170644.09835148463</c:v>
                </c:pt>
                <c:pt idx="36">
                  <c:v>175460.90841741636</c:v>
                </c:pt>
                <c:pt idx="37">
                  <c:v>180242.73609641616</c:v>
                </c:pt>
                <c:pt idx="38">
                  <c:v>184990.02780267669</c:v>
                </c:pt>
                <c:pt idx="39">
                  <c:v>189055.42271100107</c:v>
                </c:pt>
                <c:pt idx="40">
                  <c:v>193095.75015619418</c:v>
                </c:pt>
                <c:pt idx="41">
                  <c:v>197111.28195723804</c:v>
                </c:pt>
                <c:pt idx="42">
                  <c:v>201102.28572613787</c:v>
                </c:pt>
                <c:pt idx="43">
                  <c:v>205069.02495234559</c:v>
                </c:pt>
                <c:pt idx="44">
                  <c:v>209011.75908510594</c:v>
                </c:pt>
                <c:pt idx="45">
                  <c:v>212930.74361378362</c:v>
                </c:pt>
                <c:pt idx="46">
                  <c:v>216826.23014623381</c:v>
                </c:pt>
                <c:pt idx="47">
                  <c:v>220698.46648526614</c:v>
                </c:pt>
                <c:pt idx="48">
                  <c:v>224547.6967032649</c:v>
                </c:pt>
                <c:pt idx="49">
                  <c:v>228374.16121501286</c:v>
                </c:pt>
                <c:pt idx="50">
                  <c:v>232178.09684876766</c:v>
                </c:pt>
                <c:pt idx="51">
                  <c:v>235959.73691564874</c:v>
                </c:pt>
                <c:pt idx="52">
                  <c:v>239719.31127737579</c:v>
                </c:pt>
                <c:pt idx="53">
                  <c:v>243457.0464124034</c:v>
                </c:pt>
                <c:pt idx="54">
                  <c:v>247173.16548050562</c:v>
                </c:pt>
                <c:pt idx="55">
                  <c:v>250867.88838584229</c:v>
                </c:pt>
                <c:pt idx="56">
                  <c:v>254541.43183855992</c:v>
                </c:pt>
                <c:pt idx="57">
                  <c:v>258194.00941495819</c:v>
                </c:pt>
                <c:pt idx="58">
                  <c:v>261825.83161626881</c:v>
                </c:pt>
                <c:pt idx="59">
                  <c:v>265437.10592608119</c:v>
                </c:pt>
                <c:pt idx="60">
                  <c:v>269028.03686644981</c:v>
                </c:pt>
                <c:pt idx="61">
                  <c:v>272598.82605272526</c:v>
                </c:pt>
                <c:pt idx="62">
                  <c:v>276149.67224713636</c:v>
                </c:pt>
                <c:pt idx="63">
                  <c:v>279680.77141116234</c:v>
                </c:pt>
                <c:pt idx="64">
                  <c:v>283192.31675672519</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1-8E58-45EA-920C-8FDF38D4C67A}"/>
            </c:ext>
          </c:extLst>
        </c:ser>
        <c:ser>
          <c:idx val="2"/>
          <c:order val="2"/>
          <c:spPr>
            <a:ln w="12700">
              <a:solidFill>
                <a:srgbClr val="000080"/>
              </a:solidFill>
              <a:prstDash val="solid"/>
            </a:ln>
          </c:spPr>
          <c:marker>
            <c:symbol val="diamond"/>
            <c:size val="5"/>
            <c:spPr>
              <a:solidFill>
                <a:srgbClr val="000080"/>
              </a:solidFill>
              <a:ln>
                <a:solidFill>
                  <a:srgbClr val="000080"/>
                </a:solidFill>
                <a:prstDash val="solid"/>
              </a:ln>
            </c:spPr>
          </c:marker>
          <c:cat>
            <c:numRef>
              <c:f>'W (No HO)'!$A$12:$A$57</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2-8E58-45EA-920C-8FDF38D4C67A}"/>
            </c:ext>
          </c:extLst>
        </c:ser>
        <c:dLbls>
          <c:showLegendKey val="0"/>
          <c:showVal val="0"/>
          <c:showCatName val="0"/>
          <c:showSerName val="0"/>
          <c:showPercent val="0"/>
          <c:showBubbleSize val="0"/>
        </c:dLbls>
        <c:smooth val="0"/>
        <c:axId val="174883968"/>
        <c:axId val="174899200"/>
      </c:lineChart>
      <c:catAx>
        <c:axId val="17488396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899200"/>
        <c:crosses val="autoZero"/>
        <c:auto val="0"/>
        <c:lblAlgn val="ctr"/>
        <c:lblOffset val="100"/>
        <c:tickLblSkip val="192"/>
        <c:tickMarkSkip val="1"/>
        <c:noMultiLvlLbl val="0"/>
      </c:catAx>
      <c:valAx>
        <c:axId val="174899200"/>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883968"/>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early projections</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'W (No HO)'!$A$12:$A$57</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3E09-40FC-B7AA-58C962A2E3A8}"/>
            </c:ext>
          </c:extLst>
        </c:ser>
        <c:ser>
          <c:idx val="1"/>
          <c:order val="1"/>
          <c:spPr>
            <a:ln w="25400">
              <a:solidFill>
                <a:srgbClr val="FF00FF"/>
              </a:solidFill>
              <a:prstDash val="solid"/>
            </a:ln>
          </c:spPr>
          <c:marker>
            <c:symbol val="none"/>
          </c:marker>
          <c:cat>
            <c:numRef>
              <c:f>'W (No HO)'!$A$12:$A$57</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6205.5970060675982</c:v>
                </c:pt>
                <c:pt idx="1">
                  <c:v>12398.357534068038</c:v>
                </c:pt>
                <c:pt idx="2">
                  <c:v>18578.30813667105</c:v>
                </c:pt>
                <c:pt idx="3">
                  <c:v>24745.475311621969</c:v>
                </c:pt>
                <c:pt idx="4">
                  <c:v>30899.885501853631</c:v>
                </c:pt>
                <c:pt idx="5">
                  <c:v>37041.565095601967</c:v>
                </c:pt>
                <c:pt idx="6">
                  <c:v>43170.540426517247</c:v>
                </c:pt>
                <c:pt idx="7">
                  <c:v>49286.837773777959</c:v>
                </c:pt>
                <c:pt idx="8">
                  <c:v>55390.483362203093</c:v>
                </c:pt>
                <c:pt idx="9">
                  <c:v>61481.503362365023</c:v>
                </c:pt>
                <c:pt idx="10">
                  <c:v>67559.923890701422</c:v>
                </c:pt>
                <c:pt idx="11">
                  <c:v>73625.771009626857</c:v>
                </c:pt>
                <c:pt idx="12">
                  <c:v>79679.070727645681</c:v>
                </c:pt>
                <c:pt idx="13">
                  <c:v>85719.848999461945</c:v>
                </c:pt>
                <c:pt idx="14">
                  <c:v>91748.13172609231</c:v>
                </c:pt>
                <c:pt idx="15">
                  <c:v>97763.944754976299</c:v>
                </c:pt>
                <c:pt idx="16">
                  <c:v>103767.31388008619</c:v>
                </c:pt>
                <c:pt idx="17">
                  <c:v>109758.26484203999</c:v>
                </c:pt>
                <c:pt idx="18">
                  <c:v>115736.82332820923</c:v>
                </c:pt>
                <c:pt idx="19">
                  <c:v>121703.01497283098</c:v>
                </c:pt>
                <c:pt idx="20">
                  <c:v>127656.86535711707</c:v>
                </c:pt>
                <c:pt idx="21">
                  <c:v>133598.40000936363</c:v>
                </c:pt>
                <c:pt idx="22">
                  <c:v>139527.64440506004</c:v>
                </c:pt>
                <c:pt idx="23">
                  <c:v>145444.62396699988</c:v>
                </c:pt>
                <c:pt idx="24">
                  <c:v>151349.36406538801</c:v>
                </c:pt>
                <c:pt idx="25">
                  <c:v>157241.89001795073</c:v>
                </c:pt>
                <c:pt idx="26">
                  <c:v>163122.22709004386</c:v>
                </c:pt>
                <c:pt idx="27">
                  <c:v>168990.40049476034</c:v>
                </c:pt>
                <c:pt idx="28">
                  <c:v>174846.43539304013</c:v>
                </c:pt>
                <c:pt idx="29">
                  <c:v>180690.35689377555</c:v>
                </c:pt>
                <c:pt idx="30">
                  <c:v>186522.19005392145</c:v>
                </c:pt>
                <c:pt idx="31">
                  <c:v>192341.95987860113</c:v>
                </c:pt>
                <c:pt idx="32">
                  <c:v>198149.69132121396</c:v>
                </c:pt>
                <c:pt idx="33">
                  <c:v>203945.40928354289</c:v>
                </c:pt>
                <c:pt idx="34">
                  <c:v>209729.1386158604</c:v>
                </c:pt>
                <c:pt idx="35">
                  <c:v>215500.90411703481</c:v>
                </c:pt>
                <c:pt idx="36">
                  <c:v>221260.73053463778</c:v>
                </c:pt>
                <c:pt idx="37">
                  <c:v>227008.64256505028</c:v>
                </c:pt>
                <c:pt idx="38">
                  <c:v>232744.6648535667</c:v>
                </c:pt>
                <c:pt idx="39">
                  <c:v>238468.82199450338</c:v>
                </c:pt>
                <c:pt idx="40">
                  <c:v>244181.1385313012</c:v>
                </c:pt>
                <c:pt idx="41">
                  <c:v>249881.63895663273</c:v>
                </c:pt>
                <c:pt idx="42">
                  <c:v>255570.34771250674</c:v>
                </c:pt>
                <c:pt idx="43">
                  <c:v>261247.28919037309</c:v>
                </c:pt>
                <c:pt idx="44">
                  <c:v>266912.48773122631</c:v>
                </c:pt>
                <c:pt idx="45">
                  <c:v>272565.96762571164</c:v>
                </c:pt>
                <c:pt idx="46">
                  <c:v>278207.75311422796</c:v>
                </c:pt>
                <c:pt idx="47">
                  <c:v>283837.86838703218</c:v>
                </c:pt>
                <c:pt idx="48">
                  <c:v>289456.33758434275</c:v>
                </c:pt>
                <c:pt idx="49">
                  <c:v>295063.18479644344</c:v>
                </c:pt>
                <c:pt idx="50">
                  <c:v>300658.43406378658</c:v>
                </c:pt>
                <c:pt idx="51">
                  <c:v>306242.10937709583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3E09-40FC-B7AA-58C962A2E3A8}"/>
            </c:ext>
          </c:extLst>
        </c:ser>
        <c:ser>
          <c:idx val="2"/>
          <c:order val="2"/>
          <c:spPr>
            <a:ln w="25400">
              <a:solidFill>
                <a:srgbClr val="008000"/>
              </a:solidFill>
              <a:prstDash val="solid"/>
            </a:ln>
          </c:spPr>
          <c:marker>
            <c:symbol val="none"/>
          </c:marker>
          <c:cat>
            <c:numRef>
              <c:f>'W (No HO)'!$A$12:$A$57</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6236.3185158423876</c:v>
                </c:pt>
                <c:pt idx="1">
                  <c:v>12456.105476353119</c:v>
                </c:pt>
                <c:pt idx="2">
                  <c:v>18659.414150744902</c:v>
                </c:pt>
                <c:pt idx="3">
                  <c:v>24846.297606183398</c:v>
                </c:pt>
                <c:pt idx="4">
                  <c:v>31016.80870865786</c:v>
                </c:pt>
                <c:pt idx="5">
                  <c:v>37171.000123869424</c:v>
                </c:pt>
                <c:pt idx="6">
                  <c:v>43308.924318095407</c:v>
                </c:pt>
                <c:pt idx="7">
                  <c:v>49430.63355905997</c:v>
                </c:pt>
                <c:pt idx="8">
                  <c:v>55536.179916802372</c:v>
                </c:pt>
                <c:pt idx="9">
                  <c:v>61625.615264532033</c:v>
                </c:pt>
                <c:pt idx="10">
                  <c:v>67698.991279486756</c:v>
                </c:pt>
                <c:pt idx="11">
                  <c:v>73756.359443787107</c:v>
                </c:pt>
                <c:pt idx="12">
                  <c:v>79797.771045275076</c:v>
                </c:pt>
                <c:pt idx="13">
                  <c:v>85823.277178370685</c:v>
                </c:pt>
                <c:pt idx="14">
                  <c:v>91832.928744896344</c:v>
                </c:pt>
                <c:pt idx="15">
                  <c:v>97826.776454923878</c:v>
                </c:pt>
                <c:pt idx="16">
                  <c:v>103804.87082759848</c:v>
                </c:pt>
                <c:pt idx="17">
                  <c:v>109767.26219197208</c:v>
                </c:pt>
                <c:pt idx="18">
                  <c:v>115714.00068781502</c:v>
                </c:pt>
                <c:pt idx="19">
                  <c:v>121645.13626644868</c:v>
                </c:pt>
                <c:pt idx="20">
                  <c:v>127560.71869154894</c:v>
                </c:pt>
                <c:pt idx="21">
                  <c:v>133460.79753996443</c:v>
                </c:pt>
                <c:pt idx="22">
                  <c:v>139345.42220251821</c:v>
                </c:pt>
                <c:pt idx="23">
                  <c:v>145214.64188481527</c:v>
                </c:pt>
                <c:pt idx="24">
                  <c:v>151068.50560803665</c:v>
                </c:pt>
                <c:pt idx="25">
                  <c:v>156907.06220974037</c:v>
                </c:pt>
                <c:pt idx="26">
                  <c:v>162730.36034464737</c:v>
                </c:pt>
                <c:pt idx="27">
                  <c:v>168538.44848542986</c:v>
                </c:pt>
                <c:pt idx="28">
                  <c:v>174331.37492349805</c:v>
                </c:pt>
                <c:pt idx="29">
                  <c:v>180109.18776977746</c:v>
                </c:pt>
                <c:pt idx="30">
                  <c:v>185871.93495548383</c:v>
                </c:pt>
                <c:pt idx="31">
                  <c:v>191619.66423289722</c:v>
                </c:pt>
                <c:pt idx="32">
                  <c:v>197352.42317613267</c:v>
                </c:pt>
                <c:pt idx="33">
                  <c:v>203070.25918189669</c:v>
                </c:pt>
                <c:pt idx="34">
                  <c:v>208773.21947025752</c:v>
                </c:pt>
                <c:pt idx="35">
                  <c:v>214461.35108539666</c:v>
                </c:pt>
                <c:pt idx="36">
                  <c:v>220134.70089636612</c:v>
                </c:pt>
                <c:pt idx="37">
                  <c:v>225793.31559783532</c:v>
                </c:pt>
                <c:pt idx="38">
                  <c:v>231437.24171083735</c:v>
                </c:pt>
                <c:pt idx="39">
                  <c:v>237066.52558351649</c:v>
                </c:pt>
                <c:pt idx="40">
                  <c:v>242681.21339185978</c:v>
                </c:pt>
                <c:pt idx="41">
                  <c:v>248281.35114044035</c:v>
                </c:pt>
                <c:pt idx="42">
                  <c:v>253866.98466314361</c:v>
                </c:pt>
                <c:pt idx="43">
                  <c:v>259438.15962389749</c:v>
                </c:pt>
                <c:pt idx="44">
                  <c:v>264994.92151739931</c:v>
                </c:pt>
                <c:pt idx="45">
                  <c:v>270537.31566983397</c:v>
                </c:pt>
                <c:pt idx="46">
                  <c:v>276065.38723959605</c:v>
                </c:pt>
                <c:pt idx="47">
                  <c:v>281579.18121799931</c:v>
                </c:pt>
                <c:pt idx="48">
                  <c:v>287078.74242999242</c:v>
                </c:pt>
                <c:pt idx="49">
                  <c:v>292564.11553486239</c:v>
                </c:pt>
                <c:pt idx="50">
                  <c:v>298035.34502694273</c:v>
                </c:pt>
                <c:pt idx="51">
                  <c:v>303492.47523631272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3E09-40FC-B7AA-58C962A2E3A8}"/>
            </c:ext>
          </c:extLst>
        </c:ser>
        <c:dLbls>
          <c:showLegendKey val="0"/>
          <c:showVal val="0"/>
          <c:showCatName val="0"/>
          <c:showSerName val="0"/>
          <c:showPercent val="0"/>
          <c:showBubbleSize val="0"/>
        </c:dLbls>
        <c:marker val="1"/>
        <c:smooth val="0"/>
        <c:axId val="175012480"/>
        <c:axId val="175014656"/>
      </c:lineChart>
      <c:catAx>
        <c:axId val="17501248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14656"/>
        <c:crosses val="autoZero"/>
        <c:auto val="0"/>
        <c:lblAlgn val="ctr"/>
        <c:lblOffset val="100"/>
        <c:tickLblSkip val="153"/>
        <c:tickMarkSkip val="1"/>
        <c:noMultiLvlLbl val="0"/>
      </c:catAx>
      <c:valAx>
        <c:axId val="17501465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1248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model fit and validated forecast</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'W (No HO)'!$A$12:$A$57</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DA2C-4831-B311-EE9769BD39C9}"/>
            </c:ext>
          </c:extLst>
        </c:ser>
        <c:ser>
          <c:idx val="1"/>
          <c:order val="1"/>
          <c:spPr>
            <a:ln w="25400">
              <a:solidFill>
                <a:srgbClr val="FF00FF"/>
              </a:solidFill>
              <a:prstDash val="solid"/>
            </a:ln>
          </c:spPr>
          <c:marker>
            <c:symbol val="none"/>
          </c:marker>
          <c:cat>
            <c:numRef>
              <c:f>'W (No HO)'!$A$12:$A$57</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7344.335729028825</c:v>
                </c:pt>
                <c:pt idx="1">
                  <c:v>14436.551199097725</c:v>
                </c:pt>
                <c:pt idx="2">
                  <c:v>21285.301328408012</c:v>
                </c:pt>
                <c:pt idx="3">
                  <c:v>27898.943924530697</c:v>
                </c:pt>
                <c:pt idx="4">
                  <c:v>34285.549883777916</c:v>
                </c:pt>
                <c:pt idx="5">
                  <c:v>40452.913040445157</c:v>
                </c:pt>
                <c:pt idx="6">
                  <c:v>46408.559677943333</c:v>
                </c:pt>
                <c:pt idx="7">
                  <c:v>52159.757713427702</c:v>
                </c:pt>
                <c:pt idx="8">
                  <c:v>57713.525567131976</c:v>
                </c:pt>
                <c:pt idx="9">
                  <c:v>63076.64072723117</c:v>
                </c:pt>
                <c:pt idx="10">
                  <c:v>68255.648020685359</c:v>
                </c:pt>
                <c:pt idx="11">
                  <c:v>73256.86760015742</c:v>
                </c:pt>
                <c:pt idx="12">
                  <c:v>78086.402656751801</c:v>
                </c:pt>
                <c:pt idx="13">
                  <c:v>82750.146867985968</c:v>
                </c:pt>
                <c:pt idx="14">
                  <c:v>87253.791590084365</c:v>
                </c:pt>
                <c:pt idx="15">
                  <c:v>91602.832803371042</c:v>
                </c:pt>
                <c:pt idx="16">
                  <c:v>95802.577819237515</c:v>
                </c:pt>
                <c:pt idx="17">
                  <c:v>99858.151756870066</c:v>
                </c:pt>
                <c:pt idx="18">
                  <c:v>103774.50379764057</c:v>
                </c:pt>
                <c:pt idx="19">
                  <c:v>107556.41322479326</c:v>
                </c:pt>
                <c:pt idx="20">
                  <c:v>111208.4952557979</c:v>
                </c:pt>
                <c:pt idx="21">
                  <c:v>114735.20667448692</c:v>
                </c:pt>
                <c:pt idx="22">
                  <c:v>118140.85126984945</c:v>
                </c:pt>
                <c:pt idx="23">
                  <c:v>121429.58508811954</c:v>
                </c:pt>
                <c:pt idx="24">
                  <c:v>124605.42150456809</c:v>
                </c:pt>
                <c:pt idx="25">
                  <c:v>127672.23612118732</c:v>
                </c:pt>
                <c:pt idx="26">
                  <c:v>130633.77149624519</c:v>
                </c:pt>
                <c:pt idx="27">
                  <c:v>133493.641711481</c:v>
                </c:pt>
                <c:pt idx="28">
                  <c:v>136255.33678251592</c:v>
                </c:pt>
                <c:pt idx="29">
                  <c:v>138922.22691786065</c:v>
                </c:pt>
                <c:pt idx="30">
                  <c:v>141497.56663171755</c:v>
                </c:pt>
                <c:pt idx="31">
                  <c:v>143984.49871559627</c:v>
                </c:pt>
                <c:pt idx="32">
                  <c:v>146386.05807358978</c:v>
                </c:pt>
                <c:pt idx="33">
                  <c:v>148705.17542599089</c:v>
                </c:pt>
                <c:pt idx="34">
                  <c:v>150944.68088576914</c:v>
                </c:pt>
                <c:pt idx="35">
                  <c:v>153128.47144011562</c:v>
                </c:pt>
                <c:pt idx="36">
                  <c:v>155236.56203205764</c:v>
                </c:pt>
                <c:pt idx="37">
                  <c:v>157271.57676137282</c:v>
                </c:pt>
                <c:pt idx="38">
                  <c:v>159236.04876478645</c:v>
                </c:pt>
                <c:pt idx="39">
                  <c:v>161114.04480952566</c:v>
                </c:pt>
                <c:pt idx="40">
                  <c:v>162927.57200825959</c:v>
                </c:pt>
                <c:pt idx="41">
                  <c:v>164678.8434817864</c:v>
                </c:pt>
                <c:pt idx="42">
                  <c:v>166369.99637771747</c:v>
                </c:pt>
                <c:pt idx="43">
                  <c:v>168003.09447852554</c:v>
                </c:pt>
                <c:pt idx="44">
                  <c:v>169580.13072006224</c:v>
                </c:pt>
                <c:pt idx="45">
                  <c:v>171103.02962361835</c:v>
                </c:pt>
                <c:pt idx="46">
                  <c:v>172573.64964449525</c:v>
                </c:pt>
                <c:pt idx="47">
                  <c:v>173993.78543995344</c:v>
                </c:pt>
                <c:pt idx="48">
                  <c:v>175365.17005930538</c:v>
                </c:pt>
                <c:pt idx="49">
                  <c:v>176689.47705882601</c:v>
                </c:pt>
                <c:pt idx="50">
                  <c:v>177968.32254406132</c:v>
                </c:pt>
                <c:pt idx="51">
                  <c:v>179203.26714202741</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DA2C-4831-B311-EE9769BD39C9}"/>
            </c:ext>
          </c:extLst>
        </c:ser>
        <c:ser>
          <c:idx val="2"/>
          <c:order val="2"/>
          <c:spPr>
            <a:ln w="25400">
              <a:solidFill>
                <a:srgbClr val="008000"/>
              </a:solidFill>
              <a:prstDash val="solid"/>
            </a:ln>
          </c:spPr>
          <c:marker>
            <c:symbol val="none"/>
          </c:marker>
          <c:cat>
            <c:numRef>
              <c:f>'W (No HO)'!$A$12:$A$57</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8499.3219409211779</c:v>
                </c:pt>
                <c:pt idx="1">
                  <c:v>16404.804123137495</c:v>
                </c:pt>
                <c:pt idx="2">
                  <c:v>23792.754684577423</c:v>
                </c:pt>
                <c:pt idx="3">
                  <c:v>30725.730351800816</c:v>
                </c:pt>
                <c:pt idx="4">
                  <c:v>37255.646350869756</c:v>
                </c:pt>
                <c:pt idx="5">
                  <c:v>43426.055223524942</c:v>
                </c:pt>
                <c:pt idx="6">
                  <c:v>49273.847370987503</c:v>
                </c:pt>
                <c:pt idx="7">
                  <c:v>54830.540786694248</c:v>
                </c:pt>
                <c:pt idx="8">
                  <c:v>60123.273491882399</c:v>
                </c:pt>
                <c:pt idx="9">
                  <c:v>65175.577222763903</c:v>
                </c:pt>
                <c:pt idx="10">
                  <c:v>70007.987739005519</c:v>
                </c:pt>
                <c:pt idx="11">
                  <c:v>74638.53144247079</c:v>
                </c:pt>
                <c:pt idx="12">
                  <c:v>79083.117190512858</c:v>
                </c:pt>
                <c:pt idx="13">
                  <c:v>83355.854617961581</c:v>
                </c:pt>
                <c:pt idx="14">
                  <c:v>87469.314896583499</c:v>
                </c:pt>
                <c:pt idx="15">
                  <c:v>91434.745975696569</c:v>
                </c:pt>
                <c:pt idx="16">
                  <c:v>95262.251508608126</c:v>
                </c:pt>
                <c:pt idx="17">
                  <c:v>98960.940570115621</c:v>
                </c:pt>
                <c:pt idx="18">
                  <c:v>102539.05370062744</c:v>
                </c:pt>
                <c:pt idx="19">
                  <c:v>106004.06962679887</c:v>
                </c:pt>
                <c:pt idx="20">
                  <c:v>109362.7961043987</c:v>
                </c:pt>
                <c:pt idx="21">
                  <c:v>112621.44763344251</c:v>
                </c:pt>
                <c:pt idx="22">
                  <c:v>115785.71225590339</c:v>
                </c:pt>
                <c:pt idx="23">
                  <c:v>118860.80922427788</c:v>
                </c:pt>
                <c:pt idx="24">
                  <c:v>121851.53899685852</c:v>
                </c:pt>
                <c:pt idx="25">
                  <c:v>124762.32675190546</c:v>
                </c:pt>
                <c:pt idx="26">
                  <c:v>127597.26040240616</c:v>
                </c:pt>
                <c:pt idx="27">
                  <c:v>130360.12392403407</c:v>
                </c:pt>
                <c:pt idx="28">
                  <c:v>133054.42667229407</c:v>
                </c:pt>
                <c:pt idx="29">
                  <c:v>135683.42925384446</c:v>
                </c:pt>
                <c:pt idx="30">
                  <c:v>138250.16642633482</c:v>
                </c:pt>
                <c:pt idx="31">
                  <c:v>140757.46742667383</c:v>
                </c:pt>
                <c:pt idx="32">
                  <c:v>143207.97406628681</c:v>
                </c:pt>
                <c:pt idx="33">
                  <c:v>145604.15688106132</c:v>
                </c:pt>
                <c:pt idx="34">
                  <c:v>147948.3295813876</c:v>
                </c:pt>
                <c:pt idx="35">
                  <c:v>154519.3973396708</c:v>
                </c:pt>
                <c:pt idx="36">
                  <c:v>160712.39594842569</c:v>
                </c:pt>
                <c:pt idx="37">
                  <c:v>166567.77713775184</c:v>
                </c:pt>
                <c:pt idx="38">
                  <c:v>172119.86247883536</c:v>
                </c:pt>
                <c:pt idx="39">
                  <c:v>173955.8060925912</c:v>
                </c:pt>
                <c:pt idx="40">
                  <c:v>175760.75892452724</c:v>
                </c:pt>
                <c:pt idx="41">
                  <c:v>177535.73104752653</c:v>
                </c:pt>
                <c:pt idx="42">
                  <c:v>179281.68424125924</c:v>
                </c:pt>
                <c:pt idx="43">
                  <c:v>180999.53501339117</c:v>
                </c:pt>
                <c:pt idx="44">
                  <c:v>182690.15738858763</c:v>
                </c:pt>
                <c:pt idx="45">
                  <c:v>184354.38548637839</c:v>
                </c:pt>
                <c:pt idx="46">
                  <c:v>185993.01590675808</c:v>
                </c:pt>
                <c:pt idx="47">
                  <c:v>187606.80994045688</c:v>
                </c:pt>
                <c:pt idx="48">
                  <c:v>189196.49561910034</c:v>
                </c:pt>
                <c:pt idx="49">
                  <c:v>190762.76961896522</c:v>
                </c:pt>
                <c:pt idx="50">
                  <c:v>192306.29903068152</c:v>
                </c:pt>
                <c:pt idx="51">
                  <c:v>193827.72300604312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DA2C-4831-B311-EE9769BD39C9}"/>
            </c:ext>
          </c:extLst>
        </c:ser>
        <c:dLbls>
          <c:showLegendKey val="0"/>
          <c:showVal val="0"/>
          <c:showCatName val="0"/>
          <c:showSerName val="0"/>
          <c:showPercent val="0"/>
          <c:showBubbleSize val="0"/>
        </c:dLbls>
        <c:marker val="1"/>
        <c:smooth val="0"/>
        <c:axId val="175063424"/>
        <c:axId val="175065344"/>
      </c:lineChart>
      <c:catAx>
        <c:axId val="17506342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65344"/>
        <c:crosses val="autoZero"/>
        <c:auto val="0"/>
        <c:lblAlgn val="ctr"/>
        <c:lblOffset val="100"/>
        <c:tickLblSkip val="153"/>
        <c:tickMarkSkip val="1"/>
        <c:noMultiLvlLbl val="0"/>
      </c:catAx>
      <c:valAx>
        <c:axId val="175065344"/>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63424"/>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weekly sales and airplay</a:t>
            </a:r>
          </a:p>
        </c:rich>
      </c:tx>
      <c:overlay val="0"/>
      <c:spPr>
        <a:noFill/>
        <a:ln w="25400">
          <a:noFill/>
        </a:ln>
      </c:spPr>
    </c:title>
    <c:autoTitleDeleted val="0"/>
    <c:plotArea>
      <c:layout/>
      <c:lineChart>
        <c:grouping val="standard"/>
        <c:varyColors val="0"/>
        <c:ser>
          <c:idx val="0"/>
          <c:order val="0"/>
          <c:tx>
            <c:strRef>
              <c:f>'W (1)'!$D$11</c:f>
              <c:strCache>
                <c:ptCount val="1"/>
                <c:pt idx="0">
                  <c:v>Incr_Sales</c:v>
                </c:pt>
              </c:strCache>
            </c:strRef>
          </c:tx>
          <c:spPr>
            <a:ln w="25400">
              <a:solidFill>
                <a:srgbClr val="000080"/>
              </a:solidFill>
              <a:prstDash val="solid"/>
            </a:ln>
          </c:spPr>
          <c:marker>
            <c:symbol val="none"/>
          </c:marker>
          <c:cat>
            <c:numRef>
              <c:f>'W (1)'!$A$12:$A$57</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'W (1)'!$D$12:$D$57</c:f>
              <c:numCache>
                <c:formatCode>General</c:formatCode>
                <c:ptCount val="46"/>
                <c:pt idx="0">
                  <c:v>1375</c:v>
                </c:pt>
                <c:pt idx="1">
                  <c:v>1102</c:v>
                </c:pt>
                <c:pt idx="2">
                  <c:v>1152</c:v>
                </c:pt>
                <c:pt idx="3">
                  <c:v>1247</c:v>
                </c:pt>
                <c:pt idx="4">
                  <c:v>1639</c:v>
                </c:pt>
                <c:pt idx="5">
                  <c:v>2576</c:v>
                </c:pt>
                <c:pt idx="6">
                  <c:v>2976</c:v>
                </c:pt>
                <c:pt idx="7">
                  <c:v>2529</c:v>
                </c:pt>
                <c:pt idx="8">
                  <c:v>2421</c:v>
                </c:pt>
                <c:pt idx="9">
                  <c:v>2385</c:v>
                </c:pt>
                <c:pt idx="10">
                  <c:v>2630</c:v>
                </c:pt>
                <c:pt idx="11">
                  <c:v>2794</c:v>
                </c:pt>
                <c:pt idx="12">
                  <c:v>2700</c:v>
                </c:pt>
                <c:pt idx="13">
                  <c:v>3170</c:v>
                </c:pt>
                <c:pt idx="14">
                  <c:v>2567</c:v>
                </c:pt>
                <c:pt idx="15">
                  <c:v>3409</c:v>
                </c:pt>
                <c:pt idx="16">
                  <c:v>3070</c:v>
                </c:pt>
                <c:pt idx="17">
                  <c:v>3182</c:v>
                </c:pt>
                <c:pt idx="18">
                  <c:v>2706</c:v>
                </c:pt>
                <c:pt idx="19">
                  <c:v>1890</c:v>
                </c:pt>
                <c:pt idx="20">
                  <c:v>1623</c:v>
                </c:pt>
                <c:pt idx="21">
                  <c:v>1587</c:v>
                </c:pt>
                <c:pt idx="22">
                  <c:v>1507</c:v>
                </c:pt>
                <c:pt idx="23">
                  <c:v>1300</c:v>
                </c:pt>
                <c:pt idx="24">
                  <c:v>1127</c:v>
                </c:pt>
                <c:pt idx="25">
                  <c:v>997</c:v>
                </c:pt>
                <c:pt idx="26">
                  <c:v>834</c:v>
                </c:pt>
              </c:numCache>
            </c:numRef>
          </c:val>
          <c:smooth val="0"/>
          <c:extLst>
            <c:ext xmlns:c16="http://schemas.microsoft.com/office/drawing/2014/chart" uri="{C3380CC4-5D6E-409C-BE32-E72D297353CC}">
              <c16:uniqueId val="{00000000-2C12-432E-8ADB-AFBF5F8C226E}"/>
            </c:ext>
          </c:extLst>
        </c:ser>
        <c:ser>
          <c:idx val="1"/>
          <c:order val="1"/>
          <c:tx>
            <c:strRef>
              <c:f>'W+cov (1)'!#REF!</c:f>
              <c:strCache>
                <c:ptCount val="1"/>
                <c:pt idx="0">
                  <c:v>#REF!</c:v>
                </c:pt>
              </c:strCache>
            </c:strRef>
          </c:tx>
          <c:spPr>
            <a:ln w="25400">
              <a:solidFill>
                <a:srgbClr val="FF00FF"/>
              </a:solidFill>
              <a:prstDash val="solid"/>
            </a:ln>
          </c:spPr>
          <c:marker>
            <c:symbol val="none"/>
          </c:marker>
          <c:cat>
            <c:numRef>
              <c:f>'W (1)'!$A$12:$A$57</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W!#REF!</c:f>
              <c:numCache>
                <c:formatCode>General</c:formatCode>
                <c:ptCount val="1"/>
                <c:pt idx="0">
                  <c:v>1</c:v>
                </c:pt>
              </c:numCache>
            </c:numRef>
          </c:val>
          <c:smooth val="0"/>
          <c:extLst>
            <c:ext xmlns:c16="http://schemas.microsoft.com/office/drawing/2014/chart" uri="{C3380CC4-5D6E-409C-BE32-E72D297353CC}">
              <c16:uniqueId val="{00000001-2C12-432E-8ADB-AFBF5F8C226E}"/>
            </c:ext>
          </c:extLst>
        </c:ser>
        <c:dLbls>
          <c:showLegendKey val="0"/>
          <c:showVal val="0"/>
          <c:showCatName val="0"/>
          <c:showSerName val="0"/>
          <c:showPercent val="0"/>
          <c:showBubbleSize val="0"/>
        </c:dLbls>
        <c:smooth val="0"/>
        <c:axId val="175171840"/>
        <c:axId val="175174016"/>
      </c:lineChart>
      <c:catAx>
        <c:axId val="17517184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174016"/>
        <c:crosses val="autoZero"/>
        <c:auto val="0"/>
        <c:lblAlgn val="ctr"/>
        <c:lblOffset val="100"/>
        <c:tickLblSkip val="132"/>
        <c:tickMarkSkip val="1"/>
        <c:noMultiLvlLbl val="0"/>
      </c:catAx>
      <c:valAx>
        <c:axId val="17517401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sales/airplay</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17184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genuine forecasts</a:t>
            </a:r>
          </a:p>
        </c:rich>
      </c:tx>
      <c:overlay val="0"/>
      <c:spPr>
        <a:noFill/>
        <a:ln w="25400">
          <a:noFill/>
        </a:ln>
      </c:spPr>
    </c:title>
    <c:autoTitleDeleted val="0"/>
    <c:plotArea>
      <c:layout/>
      <c:lineChart>
        <c:grouping val="standard"/>
        <c:varyColors val="0"/>
        <c:ser>
          <c:idx val="0"/>
          <c:order val="0"/>
          <c:spPr>
            <a:ln w="25400">
              <a:solidFill>
                <a:srgbClr val="FF00FF"/>
              </a:solidFill>
              <a:prstDash val="solid"/>
            </a:ln>
          </c:spPr>
          <c:marker>
            <c:symbol val="none"/>
          </c:marker>
          <c:cat>
            <c:numRef>
              <c:f>'W (1)'!$A$12:$A$57</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65"/>
                <c:pt idx="0">
                  <c:v>5224.4217589694226</c:v>
                </c:pt>
                <c:pt idx="1">
                  <c:v>10420.095805764095</c:v>
                </c:pt>
                <c:pt idx="2">
                  <c:v>15587.180326494108</c:v>
                </c:pt>
                <c:pt idx="3">
                  <c:v>20725.832636840245</c:v>
                </c:pt>
                <c:pt idx="4">
                  <c:v>25836.209186844131</c:v>
                </c:pt>
                <c:pt idx="5">
                  <c:v>30918.465565670696</c:v>
                </c:pt>
                <c:pt idx="6">
                  <c:v>35972.756506346028</c:v>
                </c:pt>
                <c:pt idx="7">
                  <c:v>40999.235890467557</c:v>
                </c:pt>
                <c:pt idx="8">
                  <c:v>45998.05675288973</c:v>
                </c:pt>
                <c:pt idx="9">
                  <c:v>50969.371286382971</c:v>
                </c:pt>
                <c:pt idx="10">
                  <c:v>55913.330846267076</c:v>
                </c:pt>
                <c:pt idx="11">
                  <c:v>60830.085955019866</c:v>
                </c:pt>
                <c:pt idx="12">
                  <c:v>65719.786306859693</c:v>
                </c:pt>
                <c:pt idx="13">
                  <c:v>70582.580772302666</c:v>
                </c:pt>
                <c:pt idx="14">
                  <c:v>75418.617402695774</c:v>
                </c:pt>
                <c:pt idx="15">
                  <c:v>80228.043434723877</c:v>
                </c:pt>
                <c:pt idx="16">
                  <c:v>85011.005294892748</c:v>
                </c:pt>
                <c:pt idx="17">
                  <c:v>89767.648603987065</c:v>
                </c:pt>
                <c:pt idx="18">
                  <c:v>94498.118181503552</c:v>
                </c:pt>
                <c:pt idx="19">
                  <c:v>99202.558050060892</c:v>
                </c:pt>
                <c:pt idx="20">
                  <c:v>103881.11143978406</c:v>
                </c:pt>
                <c:pt idx="21">
                  <c:v>108533.920792665</c:v>
                </c:pt>
                <c:pt idx="22">
                  <c:v>113161.12776689969</c:v>
                </c:pt>
                <c:pt idx="23">
                  <c:v>117762.87324120097</c:v>
                </c:pt>
                <c:pt idx="24">
                  <c:v>122339.29731908746</c:v>
                </c:pt>
                <c:pt idx="25">
                  <c:v>126890.53933314937</c:v>
                </c:pt>
                <c:pt idx="26">
                  <c:v>131416.73784929057</c:v>
                </c:pt>
                <c:pt idx="27">
                  <c:v>135918.03067094708</c:v>
                </c:pt>
                <c:pt idx="28">
                  <c:v>140394.55484328285</c:v>
                </c:pt>
                <c:pt idx="29">
                  <c:v>144846.44665736225</c:v>
                </c:pt>
                <c:pt idx="30">
                  <c:v>149273.84165429918</c:v>
                </c:pt>
                <c:pt idx="31">
                  <c:v>153676.87462938423</c:v>
                </c:pt>
                <c:pt idx="32">
                  <c:v>158055.67963618806</c:v>
                </c:pt>
                <c:pt idx="33">
                  <c:v>162410.38999064319</c:v>
                </c:pt>
                <c:pt idx="34">
                  <c:v>166741.13827510292</c:v>
                </c:pt>
                <c:pt idx="35">
                  <c:v>171048.05634237741</c:v>
                </c:pt>
                <c:pt idx="36">
                  <c:v>175331.2753197487</c:v>
                </c:pt>
                <c:pt idx="37">
                  <c:v>179590.92561296254</c:v>
                </c:pt>
                <c:pt idx="38">
                  <c:v>183827.13691019849</c:v>
                </c:pt>
                <c:pt idx="39">
                  <c:v>188040.03818601923</c:v>
                </c:pt>
                <c:pt idx="40">
                  <c:v>192229.75770529616</c:v>
                </c:pt>
                <c:pt idx="41">
                  <c:v>196396.42302711552</c:v>
                </c:pt>
                <c:pt idx="42">
                  <c:v>200540.16100866138</c:v>
                </c:pt>
                <c:pt idx="43">
                  <c:v>204661.09780907811</c:v>
                </c:pt>
                <c:pt idx="44">
                  <c:v>208759.35889331135</c:v>
                </c:pt>
                <c:pt idx="45">
                  <c:v>212835.0690359282</c:v>
                </c:pt>
                <c:pt idx="46">
                  <c:v>216888.35232491541</c:v>
                </c:pt>
                <c:pt idx="47">
                  <c:v>220919.33216545792</c:v>
                </c:pt>
                <c:pt idx="48">
                  <c:v>224928.13128369578</c:v>
                </c:pt>
                <c:pt idx="49">
                  <c:v>228914.87173046058</c:v>
                </c:pt>
                <c:pt idx="50">
                  <c:v>232879.67488499157</c:v>
                </c:pt>
                <c:pt idx="51">
                  <c:v>236822.66145863105</c:v>
                </c:pt>
                <c:pt idx="52">
                  <c:v>240743.95149849943</c:v>
                </c:pt>
                <c:pt idx="53">
                  <c:v>244643.6643911502</c:v>
                </c:pt>
                <c:pt idx="54">
                  <c:v>248521.91886620491</c:v>
                </c:pt>
                <c:pt idx="55">
                  <c:v>252378.83299996777</c:v>
                </c:pt>
                <c:pt idx="56">
                  <c:v>256214.52421902039</c:v>
                </c:pt>
                <c:pt idx="57">
                  <c:v>260029.10930379757</c:v>
                </c:pt>
                <c:pt idx="58">
                  <c:v>263822.70439214213</c:v>
                </c:pt>
                <c:pt idx="59">
                  <c:v>267595.42498284113</c:v>
                </c:pt>
                <c:pt idx="60">
                  <c:v>271347.38593914203</c:v>
                </c:pt>
                <c:pt idx="61">
                  <c:v>275078.7014922502</c:v>
                </c:pt>
                <c:pt idx="62">
                  <c:v>278789.48524480656</c:v>
                </c:pt>
                <c:pt idx="63">
                  <c:v>282479.85017434612</c:v>
                </c:pt>
                <c:pt idx="64">
                  <c:v>286149.90863673808</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0-5DFA-439E-80FF-67B948634750}"/>
            </c:ext>
          </c:extLst>
        </c:ser>
        <c:ser>
          <c:idx val="1"/>
          <c:order val="1"/>
          <c:spPr>
            <a:ln w="25400">
              <a:solidFill>
                <a:srgbClr val="008000"/>
              </a:solidFill>
              <a:prstDash val="solid"/>
            </a:ln>
          </c:spPr>
          <c:marker>
            <c:symbol val="none"/>
          </c:marker>
          <c:cat>
            <c:numRef>
              <c:f>'W (1)'!$A$12:$A$57</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65"/>
                <c:pt idx="0">
                  <c:v>5337.8599834530414</c:v>
                </c:pt>
                <c:pt idx="1">
                  <c:v>10635.213722550718</c:v>
                </c:pt>
                <c:pt idx="2">
                  <c:v>15892.601184708477</c:v>
                </c:pt>
                <c:pt idx="3">
                  <c:v>21110.55207449153</c:v>
                </c:pt>
                <c:pt idx="4">
                  <c:v>26289.58608625942</c:v>
                </c:pt>
                <c:pt idx="5">
                  <c:v>31430.213149191033</c:v>
                </c:pt>
                <c:pt idx="6">
                  <c:v>36532.933664959797</c:v>
                </c:pt>
                <c:pt idx="7">
                  <c:v>41598.238738319917</c:v>
                </c:pt>
                <c:pt idx="8">
                  <c:v>46626.610400853031</c:v>
                </c:pt>
                <c:pt idx="9">
                  <c:v>51618.521828118544</c:v>
                </c:pt>
                <c:pt idx="10">
                  <c:v>56574.437550431008</c:v>
                </c:pt>
                <c:pt idx="11">
                  <c:v>61494.813657491432</c:v>
                </c:pt>
                <c:pt idx="12">
                  <c:v>66380.097997082339</c:v>
                </c:pt>
                <c:pt idx="13">
                  <c:v>71230.730368030068</c:v>
                </c:pt>
                <c:pt idx="14">
                  <c:v>76047.142707627907</c:v>
                </c:pt>
                <c:pt idx="15">
                  <c:v>80829.759273713717</c:v>
                </c:pt>
                <c:pt idx="16">
                  <c:v>85578.996821573106</c:v>
                </c:pt>
                <c:pt idx="17">
                  <c:v>90295.264775854594</c:v>
                </c:pt>
                <c:pt idx="18">
                  <c:v>94978.965397647946</c:v>
                </c:pt>
                <c:pt idx="19">
                  <c:v>99630.493946900606</c:v>
                </c:pt>
                <c:pt idx="20">
                  <c:v>104250.23884031737</c:v>
                </c:pt>
                <c:pt idx="21">
                  <c:v>108838.58180489393</c:v>
                </c:pt>
                <c:pt idx="22">
                  <c:v>113395.89802722905</c:v>
                </c:pt>
                <c:pt idx="23">
                  <c:v>117922.55629874914</c:v>
                </c:pt>
                <c:pt idx="24">
                  <c:v>122418.91915698122</c:v>
                </c:pt>
                <c:pt idx="25">
                  <c:v>126885.34302299759</c:v>
                </c:pt>
                <c:pt idx="26">
                  <c:v>131322.17833515958</c:v>
                </c:pt>
                <c:pt idx="27">
                  <c:v>135729.76967927342</c:v>
                </c:pt>
                <c:pt idx="28">
                  <c:v>140108.45591527323</c:v>
                </c:pt>
                <c:pt idx="29">
                  <c:v>144458.57030054598</c:v>
                </c:pt>
                <c:pt idx="30">
                  <c:v>148780.44060999496</c:v>
                </c:pt>
                <c:pt idx="31">
                  <c:v>153074.38925294904</c:v>
                </c:pt>
                <c:pt idx="32">
                  <c:v>157340.73338701771</c:v>
                </c:pt>
                <c:pt idx="33">
                  <c:v>161579.78502897974</c:v>
                </c:pt>
                <c:pt idx="34">
                  <c:v>165791.85116280272</c:v>
                </c:pt>
                <c:pt idx="35">
                  <c:v>170644.09835148463</c:v>
                </c:pt>
                <c:pt idx="36">
                  <c:v>175460.90841741636</c:v>
                </c:pt>
                <c:pt idx="37">
                  <c:v>180242.73609641616</c:v>
                </c:pt>
                <c:pt idx="38">
                  <c:v>184990.02780267669</c:v>
                </c:pt>
                <c:pt idx="39">
                  <c:v>189055.42271100107</c:v>
                </c:pt>
                <c:pt idx="40">
                  <c:v>193095.75015619418</c:v>
                </c:pt>
                <c:pt idx="41">
                  <c:v>197111.28195723804</c:v>
                </c:pt>
                <c:pt idx="42">
                  <c:v>201102.28572613787</c:v>
                </c:pt>
                <c:pt idx="43">
                  <c:v>205069.02495234559</c:v>
                </c:pt>
                <c:pt idx="44">
                  <c:v>209011.75908510594</c:v>
                </c:pt>
                <c:pt idx="45">
                  <c:v>212930.74361378362</c:v>
                </c:pt>
                <c:pt idx="46">
                  <c:v>216826.23014623381</c:v>
                </c:pt>
                <c:pt idx="47">
                  <c:v>220698.46648526614</c:v>
                </c:pt>
                <c:pt idx="48">
                  <c:v>224547.6967032649</c:v>
                </c:pt>
                <c:pt idx="49">
                  <c:v>228374.16121501286</c:v>
                </c:pt>
                <c:pt idx="50">
                  <c:v>232178.09684876766</c:v>
                </c:pt>
                <c:pt idx="51">
                  <c:v>235959.73691564874</c:v>
                </c:pt>
                <c:pt idx="52">
                  <c:v>239719.31127737579</c:v>
                </c:pt>
                <c:pt idx="53">
                  <c:v>243457.0464124034</c:v>
                </c:pt>
                <c:pt idx="54">
                  <c:v>247173.16548050562</c:v>
                </c:pt>
                <c:pt idx="55">
                  <c:v>250867.88838584229</c:v>
                </c:pt>
                <c:pt idx="56">
                  <c:v>254541.43183855992</c:v>
                </c:pt>
                <c:pt idx="57">
                  <c:v>258194.00941495819</c:v>
                </c:pt>
                <c:pt idx="58">
                  <c:v>261825.83161626881</c:v>
                </c:pt>
                <c:pt idx="59">
                  <c:v>265437.10592608119</c:v>
                </c:pt>
                <c:pt idx="60">
                  <c:v>269028.03686644981</c:v>
                </c:pt>
                <c:pt idx="61">
                  <c:v>272598.82605272526</c:v>
                </c:pt>
                <c:pt idx="62">
                  <c:v>276149.67224713636</c:v>
                </c:pt>
                <c:pt idx="63">
                  <c:v>279680.77141116234</c:v>
                </c:pt>
                <c:pt idx="64">
                  <c:v>283192.31675672519</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1-5DFA-439E-80FF-67B948634750}"/>
            </c:ext>
          </c:extLst>
        </c:ser>
        <c:ser>
          <c:idx val="2"/>
          <c:order val="2"/>
          <c:spPr>
            <a:ln w="12700">
              <a:solidFill>
                <a:srgbClr val="000080"/>
              </a:solidFill>
              <a:prstDash val="solid"/>
            </a:ln>
          </c:spPr>
          <c:marker>
            <c:symbol val="diamond"/>
            <c:size val="5"/>
            <c:spPr>
              <a:solidFill>
                <a:srgbClr val="000080"/>
              </a:solidFill>
              <a:ln>
                <a:solidFill>
                  <a:srgbClr val="000080"/>
                </a:solidFill>
                <a:prstDash val="solid"/>
              </a:ln>
            </c:spPr>
          </c:marker>
          <c:cat>
            <c:numRef>
              <c:f>'W (1)'!$A$12:$A$57</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2-5DFA-439E-80FF-67B948634750}"/>
            </c:ext>
          </c:extLst>
        </c:ser>
        <c:dLbls>
          <c:showLegendKey val="0"/>
          <c:showVal val="0"/>
          <c:showCatName val="0"/>
          <c:showSerName val="0"/>
          <c:showPercent val="0"/>
          <c:showBubbleSize val="0"/>
        </c:dLbls>
        <c:smooth val="0"/>
        <c:axId val="174883968"/>
        <c:axId val="174899200"/>
      </c:lineChart>
      <c:catAx>
        <c:axId val="17488396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899200"/>
        <c:crosses val="autoZero"/>
        <c:auto val="0"/>
        <c:lblAlgn val="ctr"/>
        <c:lblOffset val="100"/>
        <c:tickLblSkip val="192"/>
        <c:tickMarkSkip val="1"/>
        <c:noMultiLvlLbl val="0"/>
      </c:catAx>
      <c:valAx>
        <c:axId val="174899200"/>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883968"/>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early projections</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'W (1)'!$A$12:$A$57</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9D9A-40F1-A171-D6C058B34021}"/>
            </c:ext>
          </c:extLst>
        </c:ser>
        <c:ser>
          <c:idx val="1"/>
          <c:order val="1"/>
          <c:spPr>
            <a:ln w="25400">
              <a:solidFill>
                <a:srgbClr val="FF00FF"/>
              </a:solidFill>
              <a:prstDash val="solid"/>
            </a:ln>
          </c:spPr>
          <c:marker>
            <c:symbol val="none"/>
          </c:marker>
          <c:cat>
            <c:numRef>
              <c:f>'W (1)'!$A$12:$A$57</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6205.5970060675982</c:v>
                </c:pt>
                <c:pt idx="1">
                  <c:v>12398.357534068038</c:v>
                </c:pt>
                <c:pt idx="2">
                  <c:v>18578.30813667105</c:v>
                </c:pt>
                <c:pt idx="3">
                  <c:v>24745.475311621969</c:v>
                </c:pt>
                <c:pt idx="4">
                  <c:v>30899.885501853631</c:v>
                </c:pt>
                <c:pt idx="5">
                  <c:v>37041.565095601967</c:v>
                </c:pt>
                <c:pt idx="6">
                  <c:v>43170.540426517247</c:v>
                </c:pt>
                <c:pt idx="7">
                  <c:v>49286.837773777959</c:v>
                </c:pt>
                <c:pt idx="8">
                  <c:v>55390.483362203093</c:v>
                </c:pt>
                <c:pt idx="9">
                  <c:v>61481.503362365023</c:v>
                </c:pt>
                <c:pt idx="10">
                  <c:v>67559.923890701422</c:v>
                </c:pt>
                <c:pt idx="11">
                  <c:v>73625.771009626857</c:v>
                </c:pt>
                <c:pt idx="12">
                  <c:v>79679.070727645681</c:v>
                </c:pt>
                <c:pt idx="13">
                  <c:v>85719.848999461945</c:v>
                </c:pt>
                <c:pt idx="14">
                  <c:v>91748.13172609231</c:v>
                </c:pt>
                <c:pt idx="15">
                  <c:v>97763.944754976299</c:v>
                </c:pt>
                <c:pt idx="16">
                  <c:v>103767.31388008619</c:v>
                </c:pt>
                <c:pt idx="17">
                  <c:v>109758.26484203999</c:v>
                </c:pt>
                <c:pt idx="18">
                  <c:v>115736.82332820923</c:v>
                </c:pt>
                <c:pt idx="19">
                  <c:v>121703.01497283098</c:v>
                </c:pt>
                <c:pt idx="20">
                  <c:v>127656.86535711707</c:v>
                </c:pt>
                <c:pt idx="21">
                  <c:v>133598.40000936363</c:v>
                </c:pt>
                <c:pt idx="22">
                  <c:v>139527.64440506004</c:v>
                </c:pt>
                <c:pt idx="23">
                  <c:v>145444.62396699988</c:v>
                </c:pt>
                <c:pt idx="24">
                  <c:v>151349.36406538801</c:v>
                </c:pt>
                <c:pt idx="25">
                  <c:v>157241.89001795073</c:v>
                </c:pt>
                <c:pt idx="26">
                  <c:v>163122.22709004386</c:v>
                </c:pt>
                <c:pt idx="27">
                  <c:v>168990.40049476034</c:v>
                </c:pt>
                <c:pt idx="28">
                  <c:v>174846.43539304013</c:v>
                </c:pt>
                <c:pt idx="29">
                  <c:v>180690.35689377555</c:v>
                </c:pt>
                <c:pt idx="30">
                  <c:v>186522.19005392145</c:v>
                </c:pt>
                <c:pt idx="31">
                  <c:v>192341.95987860113</c:v>
                </c:pt>
                <c:pt idx="32">
                  <c:v>198149.69132121396</c:v>
                </c:pt>
                <c:pt idx="33">
                  <c:v>203945.40928354289</c:v>
                </c:pt>
                <c:pt idx="34">
                  <c:v>209729.1386158604</c:v>
                </c:pt>
                <c:pt idx="35">
                  <c:v>215500.90411703481</c:v>
                </c:pt>
                <c:pt idx="36">
                  <c:v>221260.73053463778</c:v>
                </c:pt>
                <c:pt idx="37">
                  <c:v>227008.64256505028</c:v>
                </c:pt>
                <c:pt idx="38">
                  <c:v>232744.6648535667</c:v>
                </c:pt>
                <c:pt idx="39">
                  <c:v>238468.82199450338</c:v>
                </c:pt>
                <c:pt idx="40">
                  <c:v>244181.1385313012</c:v>
                </c:pt>
                <c:pt idx="41">
                  <c:v>249881.63895663273</c:v>
                </c:pt>
                <c:pt idx="42">
                  <c:v>255570.34771250674</c:v>
                </c:pt>
                <c:pt idx="43">
                  <c:v>261247.28919037309</c:v>
                </c:pt>
                <c:pt idx="44">
                  <c:v>266912.48773122631</c:v>
                </c:pt>
                <c:pt idx="45">
                  <c:v>272565.96762571164</c:v>
                </c:pt>
                <c:pt idx="46">
                  <c:v>278207.75311422796</c:v>
                </c:pt>
                <c:pt idx="47">
                  <c:v>283837.86838703218</c:v>
                </c:pt>
                <c:pt idx="48">
                  <c:v>289456.33758434275</c:v>
                </c:pt>
                <c:pt idx="49">
                  <c:v>295063.18479644344</c:v>
                </c:pt>
                <c:pt idx="50">
                  <c:v>300658.43406378658</c:v>
                </c:pt>
                <c:pt idx="51">
                  <c:v>306242.10937709583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9D9A-40F1-A171-D6C058B34021}"/>
            </c:ext>
          </c:extLst>
        </c:ser>
        <c:ser>
          <c:idx val="2"/>
          <c:order val="2"/>
          <c:spPr>
            <a:ln w="25400">
              <a:solidFill>
                <a:srgbClr val="008000"/>
              </a:solidFill>
              <a:prstDash val="solid"/>
            </a:ln>
          </c:spPr>
          <c:marker>
            <c:symbol val="none"/>
          </c:marker>
          <c:cat>
            <c:numRef>
              <c:f>'W (1)'!$A$12:$A$57</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6236.3185158423876</c:v>
                </c:pt>
                <c:pt idx="1">
                  <c:v>12456.105476353119</c:v>
                </c:pt>
                <c:pt idx="2">
                  <c:v>18659.414150744902</c:v>
                </c:pt>
                <c:pt idx="3">
                  <c:v>24846.297606183398</c:v>
                </c:pt>
                <c:pt idx="4">
                  <c:v>31016.80870865786</c:v>
                </c:pt>
                <c:pt idx="5">
                  <c:v>37171.000123869424</c:v>
                </c:pt>
                <c:pt idx="6">
                  <c:v>43308.924318095407</c:v>
                </c:pt>
                <c:pt idx="7">
                  <c:v>49430.63355905997</c:v>
                </c:pt>
                <c:pt idx="8">
                  <c:v>55536.179916802372</c:v>
                </c:pt>
                <c:pt idx="9">
                  <c:v>61625.615264532033</c:v>
                </c:pt>
                <c:pt idx="10">
                  <c:v>67698.991279486756</c:v>
                </c:pt>
                <c:pt idx="11">
                  <c:v>73756.359443787107</c:v>
                </c:pt>
                <c:pt idx="12">
                  <c:v>79797.771045275076</c:v>
                </c:pt>
                <c:pt idx="13">
                  <c:v>85823.277178370685</c:v>
                </c:pt>
                <c:pt idx="14">
                  <c:v>91832.928744896344</c:v>
                </c:pt>
                <c:pt idx="15">
                  <c:v>97826.776454923878</c:v>
                </c:pt>
                <c:pt idx="16">
                  <c:v>103804.87082759848</c:v>
                </c:pt>
                <c:pt idx="17">
                  <c:v>109767.26219197208</c:v>
                </c:pt>
                <c:pt idx="18">
                  <c:v>115714.00068781502</c:v>
                </c:pt>
                <c:pt idx="19">
                  <c:v>121645.13626644868</c:v>
                </c:pt>
                <c:pt idx="20">
                  <c:v>127560.71869154894</c:v>
                </c:pt>
                <c:pt idx="21">
                  <c:v>133460.79753996443</c:v>
                </c:pt>
                <c:pt idx="22">
                  <c:v>139345.42220251821</c:v>
                </c:pt>
                <c:pt idx="23">
                  <c:v>145214.64188481527</c:v>
                </c:pt>
                <c:pt idx="24">
                  <c:v>151068.50560803665</c:v>
                </c:pt>
                <c:pt idx="25">
                  <c:v>156907.06220974037</c:v>
                </c:pt>
                <c:pt idx="26">
                  <c:v>162730.36034464737</c:v>
                </c:pt>
                <c:pt idx="27">
                  <c:v>168538.44848542986</c:v>
                </c:pt>
                <c:pt idx="28">
                  <c:v>174331.37492349805</c:v>
                </c:pt>
                <c:pt idx="29">
                  <c:v>180109.18776977746</c:v>
                </c:pt>
                <c:pt idx="30">
                  <c:v>185871.93495548383</c:v>
                </c:pt>
                <c:pt idx="31">
                  <c:v>191619.66423289722</c:v>
                </c:pt>
                <c:pt idx="32">
                  <c:v>197352.42317613267</c:v>
                </c:pt>
                <c:pt idx="33">
                  <c:v>203070.25918189669</c:v>
                </c:pt>
                <c:pt idx="34">
                  <c:v>208773.21947025752</c:v>
                </c:pt>
                <c:pt idx="35">
                  <c:v>214461.35108539666</c:v>
                </c:pt>
                <c:pt idx="36">
                  <c:v>220134.70089636612</c:v>
                </c:pt>
                <c:pt idx="37">
                  <c:v>225793.31559783532</c:v>
                </c:pt>
                <c:pt idx="38">
                  <c:v>231437.24171083735</c:v>
                </c:pt>
                <c:pt idx="39">
                  <c:v>237066.52558351649</c:v>
                </c:pt>
                <c:pt idx="40">
                  <c:v>242681.21339185978</c:v>
                </c:pt>
                <c:pt idx="41">
                  <c:v>248281.35114044035</c:v>
                </c:pt>
                <c:pt idx="42">
                  <c:v>253866.98466314361</c:v>
                </c:pt>
                <c:pt idx="43">
                  <c:v>259438.15962389749</c:v>
                </c:pt>
                <c:pt idx="44">
                  <c:v>264994.92151739931</c:v>
                </c:pt>
                <c:pt idx="45">
                  <c:v>270537.31566983397</c:v>
                </c:pt>
                <c:pt idx="46">
                  <c:v>276065.38723959605</c:v>
                </c:pt>
                <c:pt idx="47">
                  <c:v>281579.18121799931</c:v>
                </c:pt>
                <c:pt idx="48">
                  <c:v>287078.74242999242</c:v>
                </c:pt>
                <c:pt idx="49">
                  <c:v>292564.11553486239</c:v>
                </c:pt>
                <c:pt idx="50">
                  <c:v>298035.34502694273</c:v>
                </c:pt>
                <c:pt idx="51">
                  <c:v>303492.47523631272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9D9A-40F1-A171-D6C058B34021}"/>
            </c:ext>
          </c:extLst>
        </c:ser>
        <c:dLbls>
          <c:showLegendKey val="0"/>
          <c:showVal val="0"/>
          <c:showCatName val="0"/>
          <c:showSerName val="0"/>
          <c:showPercent val="0"/>
          <c:showBubbleSize val="0"/>
        </c:dLbls>
        <c:marker val="1"/>
        <c:smooth val="0"/>
        <c:axId val="175012480"/>
        <c:axId val="175014656"/>
      </c:lineChart>
      <c:catAx>
        <c:axId val="17501248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14656"/>
        <c:crosses val="autoZero"/>
        <c:auto val="0"/>
        <c:lblAlgn val="ctr"/>
        <c:lblOffset val="100"/>
        <c:tickLblSkip val="153"/>
        <c:tickMarkSkip val="1"/>
        <c:noMultiLvlLbl val="0"/>
      </c:catAx>
      <c:valAx>
        <c:axId val="17501465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1248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model fit and validated forecast</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'W (1)'!$A$12:$A$57</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B8C8-4703-9CB1-DA07649B5E60}"/>
            </c:ext>
          </c:extLst>
        </c:ser>
        <c:ser>
          <c:idx val="1"/>
          <c:order val="1"/>
          <c:spPr>
            <a:ln w="25400">
              <a:solidFill>
                <a:srgbClr val="FF00FF"/>
              </a:solidFill>
              <a:prstDash val="solid"/>
            </a:ln>
          </c:spPr>
          <c:marker>
            <c:symbol val="none"/>
          </c:marker>
          <c:cat>
            <c:numRef>
              <c:f>'W (1)'!$A$12:$A$57</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7344.335729028825</c:v>
                </c:pt>
                <c:pt idx="1">
                  <c:v>14436.551199097725</c:v>
                </c:pt>
                <c:pt idx="2">
                  <c:v>21285.301328408012</c:v>
                </c:pt>
                <c:pt idx="3">
                  <c:v>27898.943924530697</c:v>
                </c:pt>
                <c:pt idx="4">
                  <c:v>34285.549883777916</c:v>
                </c:pt>
                <c:pt idx="5">
                  <c:v>40452.913040445157</c:v>
                </c:pt>
                <c:pt idx="6">
                  <c:v>46408.559677943333</c:v>
                </c:pt>
                <c:pt idx="7">
                  <c:v>52159.757713427702</c:v>
                </c:pt>
                <c:pt idx="8">
                  <c:v>57713.525567131976</c:v>
                </c:pt>
                <c:pt idx="9">
                  <c:v>63076.64072723117</c:v>
                </c:pt>
                <c:pt idx="10">
                  <c:v>68255.648020685359</c:v>
                </c:pt>
                <c:pt idx="11">
                  <c:v>73256.86760015742</c:v>
                </c:pt>
                <c:pt idx="12">
                  <c:v>78086.402656751801</c:v>
                </c:pt>
                <c:pt idx="13">
                  <c:v>82750.146867985968</c:v>
                </c:pt>
                <c:pt idx="14">
                  <c:v>87253.791590084365</c:v>
                </c:pt>
                <c:pt idx="15">
                  <c:v>91602.832803371042</c:v>
                </c:pt>
                <c:pt idx="16">
                  <c:v>95802.577819237515</c:v>
                </c:pt>
                <c:pt idx="17">
                  <c:v>99858.151756870066</c:v>
                </c:pt>
                <c:pt idx="18">
                  <c:v>103774.50379764057</c:v>
                </c:pt>
                <c:pt idx="19">
                  <c:v>107556.41322479326</c:v>
                </c:pt>
                <c:pt idx="20">
                  <c:v>111208.4952557979</c:v>
                </c:pt>
                <c:pt idx="21">
                  <c:v>114735.20667448692</c:v>
                </c:pt>
                <c:pt idx="22">
                  <c:v>118140.85126984945</c:v>
                </c:pt>
                <c:pt idx="23">
                  <c:v>121429.58508811954</c:v>
                </c:pt>
                <c:pt idx="24">
                  <c:v>124605.42150456809</c:v>
                </c:pt>
                <c:pt idx="25">
                  <c:v>127672.23612118732</c:v>
                </c:pt>
                <c:pt idx="26">
                  <c:v>130633.77149624519</c:v>
                </c:pt>
                <c:pt idx="27">
                  <c:v>133493.641711481</c:v>
                </c:pt>
                <c:pt idx="28">
                  <c:v>136255.33678251592</c:v>
                </c:pt>
                <c:pt idx="29">
                  <c:v>138922.22691786065</c:v>
                </c:pt>
                <c:pt idx="30">
                  <c:v>141497.56663171755</c:v>
                </c:pt>
                <c:pt idx="31">
                  <c:v>143984.49871559627</c:v>
                </c:pt>
                <c:pt idx="32">
                  <c:v>146386.05807358978</c:v>
                </c:pt>
                <c:pt idx="33">
                  <c:v>148705.17542599089</c:v>
                </c:pt>
                <c:pt idx="34">
                  <c:v>150944.68088576914</c:v>
                </c:pt>
                <c:pt idx="35">
                  <c:v>153128.47144011562</c:v>
                </c:pt>
                <c:pt idx="36">
                  <c:v>155236.56203205764</c:v>
                </c:pt>
                <c:pt idx="37">
                  <c:v>157271.57676137282</c:v>
                </c:pt>
                <c:pt idx="38">
                  <c:v>159236.04876478645</c:v>
                </c:pt>
                <c:pt idx="39">
                  <c:v>161114.04480952566</c:v>
                </c:pt>
                <c:pt idx="40">
                  <c:v>162927.57200825959</c:v>
                </c:pt>
                <c:pt idx="41">
                  <c:v>164678.8434817864</c:v>
                </c:pt>
                <c:pt idx="42">
                  <c:v>166369.99637771747</c:v>
                </c:pt>
                <c:pt idx="43">
                  <c:v>168003.09447852554</c:v>
                </c:pt>
                <c:pt idx="44">
                  <c:v>169580.13072006224</c:v>
                </c:pt>
                <c:pt idx="45">
                  <c:v>171103.02962361835</c:v>
                </c:pt>
                <c:pt idx="46">
                  <c:v>172573.64964449525</c:v>
                </c:pt>
                <c:pt idx="47">
                  <c:v>173993.78543995344</c:v>
                </c:pt>
                <c:pt idx="48">
                  <c:v>175365.17005930538</c:v>
                </c:pt>
                <c:pt idx="49">
                  <c:v>176689.47705882601</c:v>
                </c:pt>
                <c:pt idx="50">
                  <c:v>177968.32254406132</c:v>
                </c:pt>
                <c:pt idx="51">
                  <c:v>179203.26714202741</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B8C8-4703-9CB1-DA07649B5E60}"/>
            </c:ext>
          </c:extLst>
        </c:ser>
        <c:ser>
          <c:idx val="2"/>
          <c:order val="2"/>
          <c:spPr>
            <a:ln w="25400">
              <a:solidFill>
                <a:srgbClr val="008000"/>
              </a:solidFill>
              <a:prstDash val="solid"/>
            </a:ln>
          </c:spPr>
          <c:marker>
            <c:symbol val="none"/>
          </c:marker>
          <c:cat>
            <c:numRef>
              <c:f>'W (1)'!$A$12:$A$57</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8499.3219409211779</c:v>
                </c:pt>
                <c:pt idx="1">
                  <c:v>16404.804123137495</c:v>
                </c:pt>
                <c:pt idx="2">
                  <c:v>23792.754684577423</c:v>
                </c:pt>
                <c:pt idx="3">
                  <c:v>30725.730351800816</c:v>
                </c:pt>
                <c:pt idx="4">
                  <c:v>37255.646350869756</c:v>
                </c:pt>
                <c:pt idx="5">
                  <c:v>43426.055223524942</c:v>
                </c:pt>
                <c:pt idx="6">
                  <c:v>49273.847370987503</c:v>
                </c:pt>
                <c:pt idx="7">
                  <c:v>54830.540786694248</c:v>
                </c:pt>
                <c:pt idx="8">
                  <c:v>60123.273491882399</c:v>
                </c:pt>
                <c:pt idx="9">
                  <c:v>65175.577222763903</c:v>
                </c:pt>
                <c:pt idx="10">
                  <c:v>70007.987739005519</c:v>
                </c:pt>
                <c:pt idx="11">
                  <c:v>74638.53144247079</c:v>
                </c:pt>
                <c:pt idx="12">
                  <c:v>79083.117190512858</c:v>
                </c:pt>
                <c:pt idx="13">
                  <c:v>83355.854617961581</c:v>
                </c:pt>
                <c:pt idx="14">
                  <c:v>87469.314896583499</c:v>
                </c:pt>
                <c:pt idx="15">
                  <c:v>91434.745975696569</c:v>
                </c:pt>
                <c:pt idx="16">
                  <c:v>95262.251508608126</c:v>
                </c:pt>
                <c:pt idx="17">
                  <c:v>98960.940570115621</c:v>
                </c:pt>
                <c:pt idx="18">
                  <c:v>102539.05370062744</c:v>
                </c:pt>
                <c:pt idx="19">
                  <c:v>106004.06962679887</c:v>
                </c:pt>
                <c:pt idx="20">
                  <c:v>109362.7961043987</c:v>
                </c:pt>
                <c:pt idx="21">
                  <c:v>112621.44763344251</c:v>
                </c:pt>
                <c:pt idx="22">
                  <c:v>115785.71225590339</c:v>
                </c:pt>
                <c:pt idx="23">
                  <c:v>118860.80922427788</c:v>
                </c:pt>
                <c:pt idx="24">
                  <c:v>121851.53899685852</c:v>
                </c:pt>
                <c:pt idx="25">
                  <c:v>124762.32675190546</c:v>
                </c:pt>
                <c:pt idx="26">
                  <c:v>127597.26040240616</c:v>
                </c:pt>
                <c:pt idx="27">
                  <c:v>130360.12392403407</c:v>
                </c:pt>
                <c:pt idx="28">
                  <c:v>133054.42667229407</c:v>
                </c:pt>
                <c:pt idx="29">
                  <c:v>135683.42925384446</c:v>
                </c:pt>
                <c:pt idx="30">
                  <c:v>138250.16642633482</c:v>
                </c:pt>
                <c:pt idx="31">
                  <c:v>140757.46742667383</c:v>
                </c:pt>
                <c:pt idx="32">
                  <c:v>143207.97406628681</c:v>
                </c:pt>
                <c:pt idx="33">
                  <c:v>145604.15688106132</c:v>
                </c:pt>
                <c:pt idx="34">
                  <c:v>147948.3295813876</c:v>
                </c:pt>
                <c:pt idx="35">
                  <c:v>154519.3973396708</c:v>
                </c:pt>
                <c:pt idx="36">
                  <c:v>160712.39594842569</c:v>
                </c:pt>
                <c:pt idx="37">
                  <c:v>166567.77713775184</c:v>
                </c:pt>
                <c:pt idx="38">
                  <c:v>172119.86247883536</c:v>
                </c:pt>
                <c:pt idx="39">
                  <c:v>173955.8060925912</c:v>
                </c:pt>
                <c:pt idx="40">
                  <c:v>175760.75892452724</c:v>
                </c:pt>
                <c:pt idx="41">
                  <c:v>177535.73104752653</c:v>
                </c:pt>
                <c:pt idx="42">
                  <c:v>179281.68424125924</c:v>
                </c:pt>
                <c:pt idx="43">
                  <c:v>180999.53501339117</c:v>
                </c:pt>
                <c:pt idx="44">
                  <c:v>182690.15738858763</c:v>
                </c:pt>
                <c:pt idx="45">
                  <c:v>184354.38548637839</c:v>
                </c:pt>
                <c:pt idx="46">
                  <c:v>185993.01590675808</c:v>
                </c:pt>
                <c:pt idx="47">
                  <c:v>187606.80994045688</c:v>
                </c:pt>
                <c:pt idx="48">
                  <c:v>189196.49561910034</c:v>
                </c:pt>
                <c:pt idx="49">
                  <c:v>190762.76961896522</c:v>
                </c:pt>
                <c:pt idx="50">
                  <c:v>192306.29903068152</c:v>
                </c:pt>
                <c:pt idx="51">
                  <c:v>193827.72300604312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B8C8-4703-9CB1-DA07649B5E60}"/>
            </c:ext>
          </c:extLst>
        </c:ser>
        <c:dLbls>
          <c:showLegendKey val="0"/>
          <c:showVal val="0"/>
          <c:showCatName val="0"/>
          <c:showSerName val="0"/>
          <c:showPercent val="0"/>
          <c:showBubbleSize val="0"/>
        </c:dLbls>
        <c:marker val="1"/>
        <c:smooth val="0"/>
        <c:axId val="175063424"/>
        <c:axId val="175065344"/>
      </c:lineChart>
      <c:catAx>
        <c:axId val="17506342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65344"/>
        <c:crosses val="autoZero"/>
        <c:auto val="0"/>
        <c:lblAlgn val="ctr"/>
        <c:lblOffset val="100"/>
        <c:tickLblSkip val="153"/>
        <c:tickMarkSkip val="1"/>
        <c:noMultiLvlLbl val="0"/>
      </c:catAx>
      <c:valAx>
        <c:axId val="175065344"/>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63424"/>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weekly sales and airplay</a:t>
            </a:r>
          </a:p>
        </c:rich>
      </c:tx>
      <c:overlay val="0"/>
      <c:spPr>
        <a:noFill/>
        <a:ln w="25400">
          <a:noFill/>
        </a:ln>
      </c:spPr>
    </c:title>
    <c:autoTitleDeleted val="0"/>
    <c:plotArea>
      <c:layout/>
      <c:lineChart>
        <c:grouping val="standard"/>
        <c:varyColors val="0"/>
        <c:ser>
          <c:idx val="0"/>
          <c:order val="0"/>
          <c:tx>
            <c:strRef>
              <c:f>'W+cov (AP)'!$D$12</c:f>
              <c:strCache>
                <c:ptCount val="1"/>
                <c:pt idx="0">
                  <c:v>Incr_Sales</c:v>
                </c:pt>
              </c:strCache>
            </c:strRef>
          </c:tx>
          <c:spPr>
            <a:ln w="25400">
              <a:solidFill>
                <a:srgbClr val="000080"/>
              </a:solidFill>
              <a:prstDash val="solid"/>
            </a:ln>
          </c:spPr>
          <c:marker>
            <c:symbol val="none"/>
          </c:marker>
          <c:cat>
            <c:numRef>
              <c:f>'W+cov (AP)'!$A$13:$A$58</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'W+cov (AP)'!$D$13:$D$58</c:f>
              <c:numCache>
                <c:formatCode>General</c:formatCode>
                <c:ptCount val="46"/>
                <c:pt idx="0">
                  <c:v>1375</c:v>
                </c:pt>
                <c:pt idx="1">
                  <c:v>1102</c:v>
                </c:pt>
                <c:pt idx="2">
                  <c:v>1152</c:v>
                </c:pt>
                <c:pt idx="3">
                  <c:v>1247</c:v>
                </c:pt>
                <c:pt idx="4">
                  <c:v>1639</c:v>
                </c:pt>
                <c:pt idx="5">
                  <c:v>2576</c:v>
                </c:pt>
                <c:pt idx="6">
                  <c:v>2976</c:v>
                </c:pt>
                <c:pt idx="7">
                  <c:v>2529</c:v>
                </c:pt>
                <c:pt idx="8">
                  <c:v>2421</c:v>
                </c:pt>
                <c:pt idx="9">
                  <c:v>2385</c:v>
                </c:pt>
                <c:pt idx="10">
                  <c:v>2630</c:v>
                </c:pt>
                <c:pt idx="11">
                  <c:v>2794</c:v>
                </c:pt>
                <c:pt idx="12">
                  <c:v>2700</c:v>
                </c:pt>
                <c:pt idx="13">
                  <c:v>3170</c:v>
                </c:pt>
                <c:pt idx="14">
                  <c:v>2567</c:v>
                </c:pt>
                <c:pt idx="15">
                  <c:v>3409</c:v>
                </c:pt>
                <c:pt idx="16">
                  <c:v>3070</c:v>
                </c:pt>
                <c:pt idx="17">
                  <c:v>3182</c:v>
                </c:pt>
                <c:pt idx="18">
                  <c:v>2706</c:v>
                </c:pt>
                <c:pt idx="19">
                  <c:v>1890</c:v>
                </c:pt>
                <c:pt idx="20">
                  <c:v>1623</c:v>
                </c:pt>
                <c:pt idx="21">
                  <c:v>1587</c:v>
                </c:pt>
                <c:pt idx="22">
                  <c:v>1507</c:v>
                </c:pt>
                <c:pt idx="23">
                  <c:v>1300</c:v>
                </c:pt>
                <c:pt idx="24">
                  <c:v>1127</c:v>
                </c:pt>
                <c:pt idx="25">
                  <c:v>997</c:v>
                </c:pt>
                <c:pt idx="26">
                  <c:v>834</c:v>
                </c:pt>
              </c:numCache>
            </c:numRef>
          </c:val>
          <c:smooth val="0"/>
          <c:extLst>
            <c:ext xmlns:c16="http://schemas.microsoft.com/office/drawing/2014/chart" uri="{C3380CC4-5D6E-409C-BE32-E72D297353CC}">
              <c16:uniqueId val="{00000000-4C81-41FA-B92F-D2D1CAE26410}"/>
            </c:ext>
          </c:extLst>
        </c:ser>
        <c:ser>
          <c:idx val="1"/>
          <c:order val="1"/>
          <c:tx>
            <c:strRef>
              <c:f>'W+cov (1)'!#REF!</c:f>
              <c:strCache>
                <c:ptCount val="1"/>
                <c:pt idx="0">
                  <c:v>#REF!</c:v>
                </c:pt>
              </c:strCache>
            </c:strRef>
          </c:tx>
          <c:spPr>
            <a:ln w="25400">
              <a:solidFill>
                <a:srgbClr val="FF00FF"/>
              </a:solidFill>
              <a:prstDash val="solid"/>
            </a:ln>
          </c:spPr>
          <c:marker>
            <c:symbol val="none"/>
          </c:marker>
          <c:cat>
            <c:numRef>
              <c:f>'W+cov (AP)'!$A$13:$A$58</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W!#REF!</c:f>
              <c:numCache>
                <c:formatCode>General</c:formatCode>
                <c:ptCount val="1"/>
                <c:pt idx="0">
                  <c:v>1</c:v>
                </c:pt>
              </c:numCache>
            </c:numRef>
          </c:val>
          <c:smooth val="0"/>
          <c:extLst>
            <c:ext xmlns:c16="http://schemas.microsoft.com/office/drawing/2014/chart" uri="{C3380CC4-5D6E-409C-BE32-E72D297353CC}">
              <c16:uniqueId val="{00000001-4C81-41FA-B92F-D2D1CAE26410}"/>
            </c:ext>
          </c:extLst>
        </c:ser>
        <c:dLbls>
          <c:showLegendKey val="0"/>
          <c:showVal val="0"/>
          <c:showCatName val="0"/>
          <c:showSerName val="0"/>
          <c:showPercent val="0"/>
          <c:showBubbleSize val="0"/>
        </c:dLbls>
        <c:smooth val="0"/>
        <c:axId val="175171840"/>
        <c:axId val="175174016"/>
      </c:lineChart>
      <c:catAx>
        <c:axId val="17517184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174016"/>
        <c:crosses val="autoZero"/>
        <c:auto val="0"/>
        <c:lblAlgn val="ctr"/>
        <c:lblOffset val="100"/>
        <c:tickLblSkip val="132"/>
        <c:tickMarkSkip val="1"/>
        <c:noMultiLvlLbl val="0"/>
      </c:catAx>
      <c:valAx>
        <c:axId val="17517401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sales/airplay</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17184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genuine forecasts</a:t>
            </a:r>
          </a:p>
        </c:rich>
      </c:tx>
      <c:overlay val="0"/>
      <c:spPr>
        <a:noFill/>
        <a:ln w="25400">
          <a:noFill/>
        </a:ln>
      </c:spPr>
    </c:title>
    <c:autoTitleDeleted val="0"/>
    <c:plotArea>
      <c:layout/>
      <c:lineChart>
        <c:grouping val="standard"/>
        <c:varyColors val="0"/>
        <c:ser>
          <c:idx val="0"/>
          <c:order val="0"/>
          <c:spPr>
            <a:ln w="25400">
              <a:solidFill>
                <a:srgbClr val="FF00FF"/>
              </a:solidFill>
              <a:prstDash val="solid"/>
            </a:ln>
          </c:spPr>
          <c:marker>
            <c:symbol val="none"/>
          </c:marker>
          <c:cat>
            <c:numRef>
              <c:f>'W+cov (AP)'!$A$13:$A$58</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65"/>
                <c:pt idx="0">
                  <c:v>5224.4217589694226</c:v>
                </c:pt>
                <c:pt idx="1">
                  <c:v>10420.095805764095</c:v>
                </c:pt>
                <c:pt idx="2">
                  <c:v>15587.180326494108</c:v>
                </c:pt>
                <c:pt idx="3">
                  <c:v>20725.832636840245</c:v>
                </c:pt>
                <c:pt idx="4">
                  <c:v>25836.209186844131</c:v>
                </c:pt>
                <c:pt idx="5">
                  <c:v>30918.465565670696</c:v>
                </c:pt>
                <c:pt idx="6">
                  <c:v>35972.756506346028</c:v>
                </c:pt>
                <c:pt idx="7">
                  <c:v>40999.235890467557</c:v>
                </c:pt>
                <c:pt idx="8">
                  <c:v>45998.05675288973</c:v>
                </c:pt>
                <c:pt idx="9">
                  <c:v>50969.371286382971</c:v>
                </c:pt>
                <c:pt idx="10">
                  <c:v>55913.330846267076</c:v>
                </c:pt>
                <c:pt idx="11">
                  <c:v>60830.085955019866</c:v>
                </c:pt>
                <c:pt idx="12">
                  <c:v>65719.786306859693</c:v>
                </c:pt>
                <c:pt idx="13">
                  <c:v>70582.580772302666</c:v>
                </c:pt>
                <c:pt idx="14">
                  <c:v>75418.617402695774</c:v>
                </c:pt>
                <c:pt idx="15">
                  <c:v>80228.043434723877</c:v>
                </c:pt>
                <c:pt idx="16">
                  <c:v>85011.005294892748</c:v>
                </c:pt>
                <c:pt idx="17">
                  <c:v>89767.648603987065</c:v>
                </c:pt>
                <c:pt idx="18">
                  <c:v>94498.118181503552</c:v>
                </c:pt>
                <c:pt idx="19">
                  <c:v>99202.558050060892</c:v>
                </c:pt>
                <c:pt idx="20">
                  <c:v>103881.11143978406</c:v>
                </c:pt>
                <c:pt idx="21">
                  <c:v>108533.920792665</c:v>
                </c:pt>
                <c:pt idx="22">
                  <c:v>113161.12776689969</c:v>
                </c:pt>
                <c:pt idx="23">
                  <c:v>117762.87324120097</c:v>
                </c:pt>
                <c:pt idx="24">
                  <c:v>122339.29731908746</c:v>
                </c:pt>
                <c:pt idx="25">
                  <c:v>126890.53933314937</c:v>
                </c:pt>
                <c:pt idx="26">
                  <c:v>131416.73784929057</c:v>
                </c:pt>
                <c:pt idx="27">
                  <c:v>135918.03067094708</c:v>
                </c:pt>
                <c:pt idx="28">
                  <c:v>140394.55484328285</c:v>
                </c:pt>
                <c:pt idx="29">
                  <c:v>144846.44665736225</c:v>
                </c:pt>
                <c:pt idx="30">
                  <c:v>149273.84165429918</c:v>
                </c:pt>
                <c:pt idx="31">
                  <c:v>153676.87462938423</c:v>
                </c:pt>
                <c:pt idx="32">
                  <c:v>158055.67963618806</c:v>
                </c:pt>
                <c:pt idx="33">
                  <c:v>162410.38999064319</c:v>
                </c:pt>
                <c:pt idx="34">
                  <c:v>166741.13827510292</c:v>
                </c:pt>
                <c:pt idx="35">
                  <c:v>171048.05634237741</c:v>
                </c:pt>
                <c:pt idx="36">
                  <c:v>175331.2753197487</c:v>
                </c:pt>
                <c:pt idx="37">
                  <c:v>179590.92561296254</c:v>
                </c:pt>
                <c:pt idx="38">
                  <c:v>183827.13691019849</c:v>
                </c:pt>
                <c:pt idx="39">
                  <c:v>188040.03818601923</c:v>
                </c:pt>
                <c:pt idx="40">
                  <c:v>192229.75770529616</c:v>
                </c:pt>
                <c:pt idx="41">
                  <c:v>196396.42302711552</c:v>
                </c:pt>
                <c:pt idx="42">
                  <c:v>200540.16100866138</c:v>
                </c:pt>
                <c:pt idx="43">
                  <c:v>204661.09780907811</c:v>
                </c:pt>
                <c:pt idx="44">
                  <c:v>208759.35889331135</c:v>
                </c:pt>
                <c:pt idx="45">
                  <c:v>212835.0690359282</c:v>
                </c:pt>
                <c:pt idx="46">
                  <c:v>216888.35232491541</c:v>
                </c:pt>
                <c:pt idx="47">
                  <c:v>220919.33216545792</c:v>
                </c:pt>
                <c:pt idx="48">
                  <c:v>224928.13128369578</c:v>
                </c:pt>
                <c:pt idx="49">
                  <c:v>228914.87173046058</c:v>
                </c:pt>
                <c:pt idx="50">
                  <c:v>232879.67488499157</c:v>
                </c:pt>
                <c:pt idx="51">
                  <c:v>236822.66145863105</c:v>
                </c:pt>
                <c:pt idx="52">
                  <c:v>240743.95149849943</c:v>
                </c:pt>
                <c:pt idx="53">
                  <c:v>244643.6643911502</c:v>
                </c:pt>
                <c:pt idx="54">
                  <c:v>248521.91886620491</c:v>
                </c:pt>
                <c:pt idx="55">
                  <c:v>252378.83299996777</c:v>
                </c:pt>
                <c:pt idx="56">
                  <c:v>256214.52421902039</c:v>
                </c:pt>
                <c:pt idx="57">
                  <c:v>260029.10930379757</c:v>
                </c:pt>
                <c:pt idx="58">
                  <c:v>263822.70439214213</c:v>
                </c:pt>
                <c:pt idx="59">
                  <c:v>267595.42498284113</c:v>
                </c:pt>
                <c:pt idx="60">
                  <c:v>271347.38593914203</c:v>
                </c:pt>
                <c:pt idx="61">
                  <c:v>275078.7014922502</c:v>
                </c:pt>
                <c:pt idx="62">
                  <c:v>278789.48524480656</c:v>
                </c:pt>
                <c:pt idx="63">
                  <c:v>282479.85017434612</c:v>
                </c:pt>
                <c:pt idx="64">
                  <c:v>286149.90863673808</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0-FDC9-4A4D-88BD-9A4FC4C001C7}"/>
            </c:ext>
          </c:extLst>
        </c:ser>
        <c:ser>
          <c:idx val="1"/>
          <c:order val="1"/>
          <c:spPr>
            <a:ln w="25400">
              <a:solidFill>
                <a:srgbClr val="008000"/>
              </a:solidFill>
              <a:prstDash val="solid"/>
            </a:ln>
          </c:spPr>
          <c:marker>
            <c:symbol val="none"/>
          </c:marker>
          <c:cat>
            <c:numRef>
              <c:f>'W+cov (AP)'!$A$13:$A$58</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65"/>
                <c:pt idx="0">
                  <c:v>5337.8599834530414</c:v>
                </c:pt>
                <c:pt idx="1">
                  <c:v>10635.213722550718</c:v>
                </c:pt>
                <c:pt idx="2">
                  <c:v>15892.601184708477</c:v>
                </c:pt>
                <c:pt idx="3">
                  <c:v>21110.55207449153</c:v>
                </c:pt>
                <c:pt idx="4">
                  <c:v>26289.58608625942</c:v>
                </c:pt>
                <c:pt idx="5">
                  <c:v>31430.213149191033</c:v>
                </c:pt>
                <c:pt idx="6">
                  <c:v>36532.933664959797</c:v>
                </c:pt>
                <c:pt idx="7">
                  <c:v>41598.238738319917</c:v>
                </c:pt>
                <c:pt idx="8">
                  <c:v>46626.610400853031</c:v>
                </c:pt>
                <c:pt idx="9">
                  <c:v>51618.521828118544</c:v>
                </c:pt>
                <c:pt idx="10">
                  <c:v>56574.437550431008</c:v>
                </c:pt>
                <c:pt idx="11">
                  <c:v>61494.813657491432</c:v>
                </c:pt>
                <c:pt idx="12">
                  <c:v>66380.097997082339</c:v>
                </c:pt>
                <c:pt idx="13">
                  <c:v>71230.730368030068</c:v>
                </c:pt>
                <c:pt idx="14">
                  <c:v>76047.142707627907</c:v>
                </c:pt>
                <c:pt idx="15">
                  <c:v>80829.759273713717</c:v>
                </c:pt>
                <c:pt idx="16">
                  <c:v>85578.996821573106</c:v>
                </c:pt>
                <c:pt idx="17">
                  <c:v>90295.264775854594</c:v>
                </c:pt>
                <c:pt idx="18">
                  <c:v>94978.965397647946</c:v>
                </c:pt>
                <c:pt idx="19">
                  <c:v>99630.493946900606</c:v>
                </c:pt>
                <c:pt idx="20">
                  <c:v>104250.23884031737</c:v>
                </c:pt>
                <c:pt idx="21">
                  <c:v>108838.58180489393</c:v>
                </c:pt>
                <c:pt idx="22">
                  <c:v>113395.89802722905</c:v>
                </c:pt>
                <c:pt idx="23">
                  <c:v>117922.55629874914</c:v>
                </c:pt>
                <c:pt idx="24">
                  <c:v>122418.91915698122</c:v>
                </c:pt>
                <c:pt idx="25">
                  <c:v>126885.34302299759</c:v>
                </c:pt>
                <c:pt idx="26">
                  <c:v>131322.17833515958</c:v>
                </c:pt>
                <c:pt idx="27">
                  <c:v>135729.76967927342</c:v>
                </c:pt>
                <c:pt idx="28">
                  <c:v>140108.45591527323</c:v>
                </c:pt>
                <c:pt idx="29">
                  <c:v>144458.57030054598</c:v>
                </c:pt>
                <c:pt idx="30">
                  <c:v>148780.44060999496</c:v>
                </c:pt>
                <c:pt idx="31">
                  <c:v>153074.38925294904</c:v>
                </c:pt>
                <c:pt idx="32">
                  <c:v>157340.73338701771</c:v>
                </c:pt>
                <c:pt idx="33">
                  <c:v>161579.78502897974</c:v>
                </c:pt>
                <c:pt idx="34">
                  <c:v>165791.85116280272</c:v>
                </c:pt>
                <c:pt idx="35">
                  <c:v>170644.09835148463</c:v>
                </c:pt>
                <c:pt idx="36">
                  <c:v>175460.90841741636</c:v>
                </c:pt>
                <c:pt idx="37">
                  <c:v>180242.73609641616</c:v>
                </c:pt>
                <c:pt idx="38">
                  <c:v>184990.02780267669</c:v>
                </c:pt>
                <c:pt idx="39">
                  <c:v>189055.42271100107</c:v>
                </c:pt>
                <c:pt idx="40">
                  <c:v>193095.75015619418</c:v>
                </c:pt>
                <c:pt idx="41">
                  <c:v>197111.28195723804</c:v>
                </c:pt>
                <c:pt idx="42">
                  <c:v>201102.28572613787</c:v>
                </c:pt>
                <c:pt idx="43">
                  <c:v>205069.02495234559</c:v>
                </c:pt>
                <c:pt idx="44">
                  <c:v>209011.75908510594</c:v>
                </c:pt>
                <c:pt idx="45">
                  <c:v>212930.74361378362</c:v>
                </c:pt>
                <c:pt idx="46">
                  <c:v>216826.23014623381</c:v>
                </c:pt>
                <c:pt idx="47">
                  <c:v>220698.46648526614</c:v>
                </c:pt>
                <c:pt idx="48">
                  <c:v>224547.6967032649</c:v>
                </c:pt>
                <c:pt idx="49">
                  <c:v>228374.16121501286</c:v>
                </c:pt>
                <c:pt idx="50">
                  <c:v>232178.09684876766</c:v>
                </c:pt>
                <c:pt idx="51">
                  <c:v>235959.73691564874</c:v>
                </c:pt>
                <c:pt idx="52">
                  <c:v>239719.31127737579</c:v>
                </c:pt>
                <c:pt idx="53">
                  <c:v>243457.0464124034</c:v>
                </c:pt>
                <c:pt idx="54">
                  <c:v>247173.16548050562</c:v>
                </c:pt>
                <c:pt idx="55">
                  <c:v>250867.88838584229</c:v>
                </c:pt>
                <c:pt idx="56">
                  <c:v>254541.43183855992</c:v>
                </c:pt>
                <c:pt idx="57">
                  <c:v>258194.00941495819</c:v>
                </c:pt>
                <c:pt idx="58">
                  <c:v>261825.83161626881</c:v>
                </c:pt>
                <c:pt idx="59">
                  <c:v>265437.10592608119</c:v>
                </c:pt>
                <c:pt idx="60">
                  <c:v>269028.03686644981</c:v>
                </c:pt>
                <c:pt idx="61">
                  <c:v>272598.82605272526</c:v>
                </c:pt>
                <c:pt idx="62">
                  <c:v>276149.67224713636</c:v>
                </c:pt>
                <c:pt idx="63">
                  <c:v>279680.77141116234</c:v>
                </c:pt>
                <c:pt idx="64">
                  <c:v>283192.31675672519</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1-FDC9-4A4D-88BD-9A4FC4C001C7}"/>
            </c:ext>
          </c:extLst>
        </c:ser>
        <c:ser>
          <c:idx val="2"/>
          <c:order val="2"/>
          <c:spPr>
            <a:ln w="12700">
              <a:solidFill>
                <a:srgbClr val="000080"/>
              </a:solidFill>
              <a:prstDash val="solid"/>
            </a:ln>
          </c:spPr>
          <c:marker>
            <c:symbol val="diamond"/>
            <c:size val="5"/>
            <c:spPr>
              <a:solidFill>
                <a:srgbClr val="000080"/>
              </a:solidFill>
              <a:ln>
                <a:solidFill>
                  <a:srgbClr val="000080"/>
                </a:solidFill>
                <a:prstDash val="solid"/>
              </a:ln>
            </c:spPr>
          </c:marker>
          <c:cat>
            <c:numRef>
              <c:f>'W+cov (AP)'!$A$13:$A$58</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2-FDC9-4A4D-88BD-9A4FC4C001C7}"/>
            </c:ext>
          </c:extLst>
        </c:ser>
        <c:dLbls>
          <c:showLegendKey val="0"/>
          <c:showVal val="0"/>
          <c:showCatName val="0"/>
          <c:showSerName val="0"/>
          <c:showPercent val="0"/>
          <c:showBubbleSize val="0"/>
        </c:dLbls>
        <c:smooth val="0"/>
        <c:axId val="174883968"/>
        <c:axId val="174899200"/>
      </c:lineChart>
      <c:catAx>
        <c:axId val="17488396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899200"/>
        <c:crosses val="autoZero"/>
        <c:auto val="0"/>
        <c:lblAlgn val="ctr"/>
        <c:lblOffset val="100"/>
        <c:tickLblSkip val="192"/>
        <c:tickMarkSkip val="1"/>
        <c:noMultiLvlLbl val="0"/>
      </c:catAx>
      <c:valAx>
        <c:axId val="174899200"/>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883968"/>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early projections</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'W+cov (AP)'!$A$13:$A$58</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7A94-4611-92FF-672D8D2FFC99}"/>
            </c:ext>
          </c:extLst>
        </c:ser>
        <c:ser>
          <c:idx val="1"/>
          <c:order val="1"/>
          <c:spPr>
            <a:ln w="25400">
              <a:solidFill>
                <a:srgbClr val="FF00FF"/>
              </a:solidFill>
              <a:prstDash val="solid"/>
            </a:ln>
          </c:spPr>
          <c:marker>
            <c:symbol val="none"/>
          </c:marker>
          <c:cat>
            <c:numRef>
              <c:f>'W+cov (AP)'!$A$13:$A$58</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6205.5970060675982</c:v>
                </c:pt>
                <c:pt idx="1">
                  <c:v>12398.357534068038</c:v>
                </c:pt>
                <c:pt idx="2">
                  <c:v>18578.30813667105</c:v>
                </c:pt>
                <c:pt idx="3">
                  <c:v>24745.475311621969</c:v>
                </c:pt>
                <c:pt idx="4">
                  <c:v>30899.885501853631</c:v>
                </c:pt>
                <c:pt idx="5">
                  <c:v>37041.565095601967</c:v>
                </c:pt>
                <c:pt idx="6">
                  <c:v>43170.540426517247</c:v>
                </c:pt>
                <c:pt idx="7">
                  <c:v>49286.837773777959</c:v>
                </c:pt>
                <c:pt idx="8">
                  <c:v>55390.483362203093</c:v>
                </c:pt>
                <c:pt idx="9">
                  <c:v>61481.503362365023</c:v>
                </c:pt>
                <c:pt idx="10">
                  <c:v>67559.923890701422</c:v>
                </c:pt>
                <c:pt idx="11">
                  <c:v>73625.771009626857</c:v>
                </c:pt>
                <c:pt idx="12">
                  <c:v>79679.070727645681</c:v>
                </c:pt>
                <c:pt idx="13">
                  <c:v>85719.848999461945</c:v>
                </c:pt>
                <c:pt idx="14">
                  <c:v>91748.13172609231</c:v>
                </c:pt>
                <c:pt idx="15">
                  <c:v>97763.944754976299</c:v>
                </c:pt>
                <c:pt idx="16">
                  <c:v>103767.31388008619</c:v>
                </c:pt>
                <c:pt idx="17">
                  <c:v>109758.26484203999</c:v>
                </c:pt>
                <c:pt idx="18">
                  <c:v>115736.82332820923</c:v>
                </c:pt>
                <c:pt idx="19">
                  <c:v>121703.01497283098</c:v>
                </c:pt>
                <c:pt idx="20">
                  <c:v>127656.86535711707</c:v>
                </c:pt>
                <c:pt idx="21">
                  <c:v>133598.40000936363</c:v>
                </c:pt>
                <c:pt idx="22">
                  <c:v>139527.64440506004</c:v>
                </c:pt>
                <c:pt idx="23">
                  <c:v>145444.62396699988</c:v>
                </c:pt>
                <c:pt idx="24">
                  <c:v>151349.36406538801</c:v>
                </c:pt>
                <c:pt idx="25">
                  <c:v>157241.89001795073</c:v>
                </c:pt>
                <c:pt idx="26">
                  <c:v>163122.22709004386</c:v>
                </c:pt>
                <c:pt idx="27">
                  <c:v>168990.40049476034</c:v>
                </c:pt>
                <c:pt idx="28">
                  <c:v>174846.43539304013</c:v>
                </c:pt>
                <c:pt idx="29">
                  <c:v>180690.35689377555</c:v>
                </c:pt>
                <c:pt idx="30">
                  <c:v>186522.19005392145</c:v>
                </c:pt>
                <c:pt idx="31">
                  <c:v>192341.95987860113</c:v>
                </c:pt>
                <c:pt idx="32">
                  <c:v>198149.69132121396</c:v>
                </c:pt>
                <c:pt idx="33">
                  <c:v>203945.40928354289</c:v>
                </c:pt>
                <c:pt idx="34">
                  <c:v>209729.1386158604</c:v>
                </c:pt>
                <c:pt idx="35">
                  <c:v>215500.90411703481</c:v>
                </c:pt>
                <c:pt idx="36">
                  <c:v>221260.73053463778</c:v>
                </c:pt>
                <c:pt idx="37">
                  <c:v>227008.64256505028</c:v>
                </c:pt>
                <c:pt idx="38">
                  <c:v>232744.6648535667</c:v>
                </c:pt>
                <c:pt idx="39">
                  <c:v>238468.82199450338</c:v>
                </c:pt>
                <c:pt idx="40">
                  <c:v>244181.1385313012</c:v>
                </c:pt>
                <c:pt idx="41">
                  <c:v>249881.63895663273</c:v>
                </c:pt>
                <c:pt idx="42">
                  <c:v>255570.34771250674</c:v>
                </c:pt>
                <c:pt idx="43">
                  <c:v>261247.28919037309</c:v>
                </c:pt>
                <c:pt idx="44">
                  <c:v>266912.48773122631</c:v>
                </c:pt>
                <c:pt idx="45">
                  <c:v>272565.96762571164</c:v>
                </c:pt>
                <c:pt idx="46">
                  <c:v>278207.75311422796</c:v>
                </c:pt>
                <c:pt idx="47">
                  <c:v>283837.86838703218</c:v>
                </c:pt>
                <c:pt idx="48">
                  <c:v>289456.33758434275</c:v>
                </c:pt>
                <c:pt idx="49">
                  <c:v>295063.18479644344</c:v>
                </c:pt>
                <c:pt idx="50">
                  <c:v>300658.43406378658</c:v>
                </c:pt>
                <c:pt idx="51">
                  <c:v>306242.10937709583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7A94-4611-92FF-672D8D2FFC99}"/>
            </c:ext>
          </c:extLst>
        </c:ser>
        <c:ser>
          <c:idx val="2"/>
          <c:order val="2"/>
          <c:spPr>
            <a:ln w="25400">
              <a:solidFill>
                <a:srgbClr val="008000"/>
              </a:solidFill>
              <a:prstDash val="solid"/>
            </a:ln>
          </c:spPr>
          <c:marker>
            <c:symbol val="none"/>
          </c:marker>
          <c:cat>
            <c:numRef>
              <c:f>'W+cov (AP)'!$A$13:$A$58</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6236.3185158423876</c:v>
                </c:pt>
                <c:pt idx="1">
                  <c:v>12456.105476353119</c:v>
                </c:pt>
                <c:pt idx="2">
                  <c:v>18659.414150744902</c:v>
                </c:pt>
                <c:pt idx="3">
                  <c:v>24846.297606183398</c:v>
                </c:pt>
                <c:pt idx="4">
                  <c:v>31016.80870865786</c:v>
                </c:pt>
                <c:pt idx="5">
                  <c:v>37171.000123869424</c:v>
                </c:pt>
                <c:pt idx="6">
                  <c:v>43308.924318095407</c:v>
                </c:pt>
                <c:pt idx="7">
                  <c:v>49430.63355905997</c:v>
                </c:pt>
                <c:pt idx="8">
                  <c:v>55536.179916802372</c:v>
                </c:pt>
                <c:pt idx="9">
                  <c:v>61625.615264532033</c:v>
                </c:pt>
                <c:pt idx="10">
                  <c:v>67698.991279486756</c:v>
                </c:pt>
                <c:pt idx="11">
                  <c:v>73756.359443787107</c:v>
                </c:pt>
                <c:pt idx="12">
                  <c:v>79797.771045275076</c:v>
                </c:pt>
                <c:pt idx="13">
                  <c:v>85823.277178370685</c:v>
                </c:pt>
                <c:pt idx="14">
                  <c:v>91832.928744896344</c:v>
                </c:pt>
                <c:pt idx="15">
                  <c:v>97826.776454923878</c:v>
                </c:pt>
                <c:pt idx="16">
                  <c:v>103804.87082759848</c:v>
                </c:pt>
                <c:pt idx="17">
                  <c:v>109767.26219197208</c:v>
                </c:pt>
                <c:pt idx="18">
                  <c:v>115714.00068781502</c:v>
                </c:pt>
                <c:pt idx="19">
                  <c:v>121645.13626644868</c:v>
                </c:pt>
                <c:pt idx="20">
                  <c:v>127560.71869154894</c:v>
                </c:pt>
                <c:pt idx="21">
                  <c:v>133460.79753996443</c:v>
                </c:pt>
                <c:pt idx="22">
                  <c:v>139345.42220251821</c:v>
                </c:pt>
                <c:pt idx="23">
                  <c:v>145214.64188481527</c:v>
                </c:pt>
                <c:pt idx="24">
                  <c:v>151068.50560803665</c:v>
                </c:pt>
                <c:pt idx="25">
                  <c:v>156907.06220974037</c:v>
                </c:pt>
                <c:pt idx="26">
                  <c:v>162730.36034464737</c:v>
                </c:pt>
                <c:pt idx="27">
                  <c:v>168538.44848542986</c:v>
                </c:pt>
                <c:pt idx="28">
                  <c:v>174331.37492349805</c:v>
                </c:pt>
                <c:pt idx="29">
                  <c:v>180109.18776977746</c:v>
                </c:pt>
                <c:pt idx="30">
                  <c:v>185871.93495548383</c:v>
                </c:pt>
                <c:pt idx="31">
                  <c:v>191619.66423289722</c:v>
                </c:pt>
                <c:pt idx="32">
                  <c:v>197352.42317613267</c:v>
                </c:pt>
                <c:pt idx="33">
                  <c:v>203070.25918189669</c:v>
                </c:pt>
                <c:pt idx="34">
                  <c:v>208773.21947025752</c:v>
                </c:pt>
                <c:pt idx="35">
                  <c:v>214461.35108539666</c:v>
                </c:pt>
                <c:pt idx="36">
                  <c:v>220134.70089636612</c:v>
                </c:pt>
                <c:pt idx="37">
                  <c:v>225793.31559783532</c:v>
                </c:pt>
                <c:pt idx="38">
                  <c:v>231437.24171083735</c:v>
                </c:pt>
                <c:pt idx="39">
                  <c:v>237066.52558351649</c:v>
                </c:pt>
                <c:pt idx="40">
                  <c:v>242681.21339185978</c:v>
                </c:pt>
                <c:pt idx="41">
                  <c:v>248281.35114044035</c:v>
                </c:pt>
                <c:pt idx="42">
                  <c:v>253866.98466314361</c:v>
                </c:pt>
                <c:pt idx="43">
                  <c:v>259438.15962389749</c:v>
                </c:pt>
                <c:pt idx="44">
                  <c:v>264994.92151739931</c:v>
                </c:pt>
                <c:pt idx="45">
                  <c:v>270537.31566983397</c:v>
                </c:pt>
                <c:pt idx="46">
                  <c:v>276065.38723959605</c:v>
                </c:pt>
                <c:pt idx="47">
                  <c:v>281579.18121799931</c:v>
                </c:pt>
                <c:pt idx="48">
                  <c:v>287078.74242999242</c:v>
                </c:pt>
                <c:pt idx="49">
                  <c:v>292564.11553486239</c:v>
                </c:pt>
                <c:pt idx="50">
                  <c:v>298035.34502694273</c:v>
                </c:pt>
                <c:pt idx="51">
                  <c:v>303492.47523631272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7A94-4611-92FF-672D8D2FFC99}"/>
            </c:ext>
          </c:extLst>
        </c:ser>
        <c:dLbls>
          <c:showLegendKey val="0"/>
          <c:showVal val="0"/>
          <c:showCatName val="0"/>
          <c:showSerName val="0"/>
          <c:showPercent val="0"/>
          <c:showBubbleSize val="0"/>
        </c:dLbls>
        <c:marker val="1"/>
        <c:smooth val="0"/>
        <c:axId val="175012480"/>
        <c:axId val="175014656"/>
      </c:lineChart>
      <c:catAx>
        <c:axId val="17501248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14656"/>
        <c:crosses val="autoZero"/>
        <c:auto val="0"/>
        <c:lblAlgn val="ctr"/>
        <c:lblOffset val="100"/>
        <c:tickLblSkip val="153"/>
        <c:tickMarkSkip val="1"/>
        <c:noMultiLvlLbl val="0"/>
      </c:catAx>
      <c:valAx>
        <c:axId val="17501465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1248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genuine forecasts</a:t>
            </a:r>
          </a:p>
        </c:rich>
      </c:tx>
      <c:overlay val="0"/>
      <c:spPr>
        <a:noFill/>
        <a:ln w="25400">
          <a:noFill/>
        </a:ln>
      </c:spPr>
    </c:title>
    <c:autoTitleDeleted val="0"/>
    <c:plotArea>
      <c:layout/>
      <c:lineChart>
        <c:grouping val="standard"/>
        <c:varyColors val="0"/>
        <c:ser>
          <c:idx val="0"/>
          <c:order val="0"/>
          <c:spPr>
            <a:ln w="25400">
              <a:solidFill>
                <a:srgbClr val="FF00FF"/>
              </a:solidFill>
              <a:prstDash val="solid"/>
            </a:ln>
          </c:spPr>
          <c:marker>
            <c:symbol val="none"/>
          </c:marker>
          <c:cat>
            <c:numRef>
              <c:f>'Dink (D)'!$A$2:$A$45</c:f>
              <c:numCache>
                <c:formatCode>m/d/yyyy</c:formatCode>
                <c:ptCount val="44"/>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65"/>
                <c:pt idx="0">
                  <c:v>5224.4217589694226</c:v>
                </c:pt>
                <c:pt idx="1">
                  <c:v>10420.095805764095</c:v>
                </c:pt>
                <c:pt idx="2">
                  <c:v>15587.180326494108</c:v>
                </c:pt>
                <c:pt idx="3">
                  <c:v>20725.832636840245</c:v>
                </c:pt>
                <c:pt idx="4">
                  <c:v>25836.209186844131</c:v>
                </c:pt>
                <c:pt idx="5">
                  <c:v>30918.465565670696</c:v>
                </c:pt>
                <c:pt idx="6">
                  <c:v>35972.756506346028</c:v>
                </c:pt>
                <c:pt idx="7">
                  <c:v>40999.235890467557</c:v>
                </c:pt>
                <c:pt idx="8">
                  <c:v>45998.05675288973</c:v>
                </c:pt>
                <c:pt idx="9">
                  <c:v>50969.371286382971</c:v>
                </c:pt>
                <c:pt idx="10">
                  <c:v>55913.330846267076</c:v>
                </c:pt>
                <c:pt idx="11">
                  <c:v>60830.085955019866</c:v>
                </c:pt>
                <c:pt idx="12">
                  <c:v>65719.786306859693</c:v>
                </c:pt>
                <c:pt idx="13">
                  <c:v>70582.580772302666</c:v>
                </c:pt>
                <c:pt idx="14">
                  <c:v>75418.617402695774</c:v>
                </c:pt>
                <c:pt idx="15">
                  <c:v>80228.043434723877</c:v>
                </c:pt>
                <c:pt idx="16">
                  <c:v>85011.005294892748</c:v>
                </c:pt>
                <c:pt idx="17">
                  <c:v>89767.648603987065</c:v>
                </c:pt>
                <c:pt idx="18">
                  <c:v>94498.118181503552</c:v>
                </c:pt>
                <c:pt idx="19">
                  <c:v>99202.558050060892</c:v>
                </c:pt>
                <c:pt idx="20">
                  <c:v>103881.11143978406</c:v>
                </c:pt>
                <c:pt idx="21">
                  <c:v>108533.920792665</c:v>
                </c:pt>
                <c:pt idx="22">
                  <c:v>113161.12776689969</c:v>
                </c:pt>
                <c:pt idx="23">
                  <c:v>117762.87324120097</c:v>
                </c:pt>
                <c:pt idx="24">
                  <c:v>122339.29731908746</c:v>
                </c:pt>
                <c:pt idx="25">
                  <c:v>126890.53933314937</c:v>
                </c:pt>
                <c:pt idx="26">
                  <c:v>131416.73784929057</c:v>
                </c:pt>
                <c:pt idx="27">
                  <c:v>135918.03067094708</c:v>
                </c:pt>
                <c:pt idx="28">
                  <c:v>140394.55484328285</c:v>
                </c:pt>
                <c:pt idx="29">
                  <c:v>144846.44665736225</c:v>
                </c:pt>
                <c:pt idx="30">
                  <c:v>149273.84165429918</c:v>
                </c:pt>
                <c:pt idx="31">
                  <c:v>153676.87462938423</c:v>
                </c:pt>
                <c:pt idx="32">
                  <c:v>158055.67963618806</c:v>
                </c:pt>
                <c:pt idx="33">
                  <c:v>162410.38999064319</c:v>
                </c:pt>
                <c:pt idx="34">
                  <c:v>166741.13827510292</c:v>
                </c:pt>
                <c:pt idx="35">
                  <c:v>171048.05634237741</c:v>
                </c:pt>
                <c:pt idx="36">
                  <c:v>175331.2753197487</c:v>
                </c:pt>
                <c:pt idx="37">
                  <c:v>179590.92561296254</c:v>
                </c:pt>
                <c:pt idx="38">
                  <c:v>183827.13691019849</c:v>
                </c:pt>
                <c:pt idx="39">
                  <c:v>188040.03818601923</c:v>
                </c:pt>
                <c:pt idx="40">
                  <c:v>192229.75770529616</c:v>
                </c:pt>
                <c:pt idx="41">
                  <c:v>196396.42302711552</c:v>
                </c:pt>
                <c:pt idx="42">
                  <c:v>200540.16100866138</c:v>
                </c:pt>
                <c:pt idx="43">
                  <c:v>204661.09780907811</c:v>
                </c:pt>
                <c:pt idx="44">
                  <c:v>208759.35889331135</c:v>
                </c:pt>
                <c:pt idx="45">
                  <c:v>212835.0690359282</c:v>
                </c:pt>
                <c:pt idx="46">
                  <c:v>216888.35232491541</c:v>
                </c:pt>
                <c:pt idx="47">
                  <c:v>220919.33216545792</c:v>
                </c:pt>
                <c:pt idx="48">
                  <c:v>224928.13128369578</c:v>
                </c:pt>
                <c:pt idx="49">
                  <c:v>228914.87173046058</c:v>
                </c:pt>
                <c:pt idx="50">
                  <c:v>232879.67488499157</c:v>
                </c:pt>
                <c:pt idx="51">
                  <c:v>236822.66145863105</c:v>
                </c:pt>
                <c:pt idx="52">
                  <c:v>240743.95149849943</c:v>
                </c:pt>
                <c:pt idx="53">
                  <c:v>244643.6643911502</c:v>
                </c:pt>
                <c:pt idx="54">
                  <c:v>248521.91886620491</c:v>
                </c:pt>
                <c:pt idx="55">
                  <c:v>252378.83299996777</c:v>
                </c:pt>
                <c:pt idx="56">
                  <c:v>256214.52421902039</c:v>
                </c:pt>
                <c:pt idx="57">
                  <c:v>260029.10930379757</c:v>
                </c:pt>
                <c:pt idx="58">
                  <c:v>263822.70439214213</c:v>
                </c:pt>
                <c:pt idx="59">
                  <c:v>267595.42498284113</c:v>
                </c:pt>
                <c:pt idx="60">
                  <c:v>271347.38593914203</c:v>
                </c:pt>
                <c:pt idx="61">
                  <c:v>275078.7014922502</c:v>
                </c:pt>
                <c:pt idx="62">
                  <c:v>278789.48524480656</c:v>
                </c:pt>
                <c:pt idx="63">
                  <c:v>282479.85017434612</c:v>
                </c:pt>
                <c:pt idx="64">
                  <c:v>286149.90863673808</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0-732E-4D69-829D-6EBD58D7FC79}"/>
            </c:ext>
          </c:extLst>
        </c:ser>
        <c:ser>
          <c:idx val="1"/>
          <c:order val="1"/>
          <c:spPr>
            <a:ln w="25400">
              <a:solidFill>
                <a:srgbClr val="008000"/>
              </a:solidFill>
              <a:prstDash val="solid"/>
            </a:ln>
          </c:spPr>
          <c:marker>
            <c:symbol val="none"/>
          </c:marker>
          <c:cat>
            <c:numRef>
              <c:f>'Dink (D)'!$A$2:$A$45</c:f>
              <c:numCache>
                <c:formatCode>m/d/yyyy</c:formatCode>
                <c:ptCount val="44"/>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65"/>
                <c:pt idx="0">
                  <c:v>5337.8599834530414</c:v>
                </c:pt>
                <c:pt idx="1">
                  <c:v>10635.213722550718</c:v>
                </c:pt>
                <c:pt idx="2">
                  <c:v>15892.601184708477</c:v>
                </c:pt>
                <c:pt idx="3">
                  <c:v>21110.55207449153</c:v>
                </c:pt>
                <c:pt idx="4">
                  <c:v>26289.58608625942</c:v>
                </c:pt>
                <c:pt idx="5">
                  <c:v>31430.213149191033</c:v>
                </c:pt>
                <c:pt idx="6">
                  <c:v>36532.933664959797</c:v>
                </c:pt>
                <c:pt idx="7">
                  <c:v>41598.238738319917</c:v>
                </c:pt>
                <c:pt idx="8">
                  <c:v>46626.610400853031</c:v>
                </c:pt>
                <c:pt idx="9">
                  <c:v>51618.521828118544</c:v>
                </c:pt>
                <c:pt idx="10">
                  <c:v>56574.437550431008</c:v>
                </c:pt>
                <c:pt idx="11">
                  <c:v>61494.813657491432</c:v>
                </c:pt>
                <c:pt idx="12">
                  <c:v>66380.097997082339</c:v>
                </c:pt>
                <c:pt idx="13">
                  <c:v>71230.730368030068</c:v>
                </c:pt>
                <c:pt idx="14">
                  <c:v>76047.142707627907</c:v>
                </c:pt>
                <c:pt idx="15">
                  <c:v>80829.759273713717</c:v>
                </c:pt>
                <c:pt idx="16">
                  <c:v>85578.996821573106</c:v>
                </c:pt>
                <c:pt idx="17">
                  <c:v>90295.264775854594</c:v>
                </c:pt>
                <c:pt idx="18">
                  <c:v>94978.965397647946</c:v>
                </c:pt>
                <c:pt idx="19">
                  <c:v>99630.493946900606</c:v>
                </c:pt>
                <c:pt idx="20">
                  <c:v>104250.23884031737</c:v>
                </c:pt>
                <c:pt idx="21">
                  <c:v>108838.58180489393</c:v>
                </c:pt>
                <c:pt idx="22">
                  <c:v>113395.89802722905</c:v>
                </c:pt>
                <c:pt idx="23">
                  <c:v>117922.55629874914</c:v>
                </c:pt>
                <c:pt idx="24">
                  <c:v>122418.91915698122</c:v>
                </c:pt>
                <c:pt idx="25">
                  <c:v>126885.34302299759</c:v>
                </c:pt>
                <c:pt idx="26">
                  <c:v>131322.17833515958</c:v>
                </c:pt>
                <c:pt idx="27">
                  <c:v>135729.76967927342</c:v>
                </c:pt>
                <c:pt idx="28">
                  <c:v>140108.45591527323</c:v>
                </c:pt>
                <c:pt idx="29">
                  <c:v>144458.57030054598</c:v>
                </c:pt>
                <c:pt idx="30">
                  <c:v>148780.44060999496</c:v>
                </c:pt>
                <c:pt idx="31">
                  <c:v>153074.38925294904</c:v>
                </c:pt>
                <c:pt idx="32">
                  <c:v>157340.73338701771</c:v>
                </c:pt>
                <c:pt idx="33">
                  <c:v>161579.78502897974</c:v>
                </c:pt>
                <c:pt idx="34">
                  <c:v>165791.85116280272</c:v>
                </c:pt>
                <c:pt idx="35">
                  <c:v>170644.09835148463</c:v>
                </c:pt>
                <c:pt idx="36">
                  <c:v>175460.90841741636</c:v>
                </c:pt>
                <c:pt idx="37">
                  <c:v>180242.73609641616</c:v>
                </c:pt>
                <c:pt idx="38">
                  <c:v>184990.02780267669</c:v>
                </c:pt>
                <c:pt idx="39">
                  <c:v>189055.42271100107</c:v>
                </c:pt>
                <c:pt idx="40">
                  <c:v>193095.75015619418</c:v>
                </c:pt>
                <c:pt idx="41">
                  <c:v>197111.28195723804</c:v>
                </c:pt>
                <c:pt idx="42">
                  <c:v>201102.28572613787</c:v>
                </c:pt>
                <c:pt idx="43">
                  <c:v>205069.02495234559</c:v>
                </c:pt>
                <c:pt idx="44">
                  <c:v>209011.75908510594</c:v>
                </c:pt>
                <c:pt idx="45">
                  <c:v>212930.74361378362</c:v>
                </c:pt>
                <c:pt idx="46">
                  <c:v>216826.23014623381</c:v>
                </c:pt>
                <c:pt idx="47">
                  <c:v>220698.46648526614</c:v>
                </c:pt>
                <c:pt idx="48">
                  <c:v>224547.6967032649</c:v>
                </c:pt>
                <c:pt idx="49">
                  <c:v>228374.16121501286</c:v>
                </c:pt>
                <c:pt idx="50">
                  <c:v>232178.09684876766</c:v>
                </c:pt>
                <c:pt idx="51">
                  <c:v>235959.73691564874</c:v>
                </c:pt>
                <c:pt idx="52">
                  <c:v>239719.31127737579</c:v>
                </c:pt>
                <c:pt idx="53">
                  <c:v>243457.0464124034</c:v>
                </c:pt>
                <c:pt idx="54">
                  <c:v>247173.16548050562</c:v>
                </c:pt>
                <c:pt idx="55">
                  <c:v>250867.88838584229</c:v>
                </c:pt>
                <c:pt idx="56">
                  <c:v>254541.43183855992</c:v>
                </c:pt>
                <c:pt idx="57">
                  <c:v>258194.00941495819</c:v>
                </c:pt>
                <c:pt idx="58">
                  <c:v>261825.83161626881</c:v>
                </c:pt>
                <c:pt idx="59">
                  <c:v>265437.10592608119</c:v>
                </c:pt>
                <c:pt idx="60">
                  <c:v>269028.03686644981</c:v>
                </c:pt>
                <c:pt idx="61">
                  <c:v>272598.82605272526</c:v>
                </c:pt>
                <c:pt idx="62">
                  <c:v>276149.67224713636</c:v>
                </c:pt>
                <c:pt idx="63">
                  <c:v>279680.77141116234</c:v>
                </c:pt>
                <c:pt idx="64">
                  <c:v>283192.31675672519</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1-732E-4D69-829D-6EBD58D7FC79}"/>
            </c:ext>
          </c:extLst>
        </c:ser>
        <c:ser>
          <c:idx val="2"/>
          <c:order val="2"/>
          <c:spPr>
            <a:ln w="12700">
              <a:solidFill>
                <a:srgbClr val="000080"/>
              </a:solidFill>
              <a:prstDash val="solid"/>
            </a:ln>
          </c:spPr>
          <c:marker>
            <c:symbol val="diamond"/>
            <c:size val="5"/>
            <c:spPr>
              <a:solidFill>
                <a:srgbClr val="000080"/>
              </a:solidFill>
              <a:ln>
                <a:solidFill>
                  <a:srgbClr val="000080"/>
                </a:solidFill>
                <a:prstDash val="solid"/>
              </a:ln>
            </c:spPr>
          </c:marker>
          <c:cat>
            <c:numRef>
              <c:f>'Dink (D)'!$A$2:$A$45</c:f>
              <c:numCache>
                <c:formatCode>m/d/yyyy</c:formatCode>
                <c:ptCount val="44"/>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2-732E-4D69-829D-6EBD58D7FC79}"/>
            </c:ext>
          </c:extLst>
        </c:ser>
        <c:dLbls>
          <c:showLegendKey val="0"/>
          <c:showVal val="0"/>
          <c:showCatName val="0"/>
          <c:showSerName val="0"/>
          <c:showPercent val="0"/>
          <c:showBubbleSize val="0"/>
        </c:dLbls>
        <c:smooth val="0"/>
        <c:axId val="174637824"/>
        <c:axId val="174640512"/>
      </c:lineChart>
      <c:catAx>
        <c:axId val="17463782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640512"/>
        <c:crosses val="autoZero"/>
        <c:auto val="0"/>
        <c:lblAlgn val="ctr"/>
        <c:lblOffset val="100"/>
        <c:tickLblSkip val="192"/>
        <c:tickMarkSkip val="1"/>
        <c:noMultiLvlLbl val="0"/>
      </c:catAx>
      <c:valAx>
        <c:axId val="174640512"/>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637824"/>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model fit and validated forecast</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'W+cov (AP)'!$A$13:$A$58</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2C91-44D1-A2AA-214F5732232C}"/>
            </c:ext>
          </c:extLst>
        </c:ser>
        <c:ser>
          <c:idx val="1"/>
          <c:order val="1"/>
          <c:spPr>
            <a:ln w="25400">
              <a:solidFill>
                <a:srgbClr val="FF00FF"/>
              </a:solidFill>
              <a:prstDash val="solid"/>
            </a:ln>
          </c:spPr>
          <c:marker>
            <c:symbol val="none"/>
          </c:marker>
          <c:cat>
            <c:numRef>
              <c:f>'W+cov (AP)'!$A$13:$A$58</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7344.335729028825</c:v>
                </c:pt>
                <c:pt idx="1">
                  <c:v>14436.551199097725</c:v>
                </c:pt>
                <c:pt idx="2">
                  <c:v>21285.301328408012</c:v>
                </c:pt>
                <c:pt idx="3">
                  <c:v>27898.943924530697</c:v>
                </c:pt>
                <c:pt idx="4">
                  <c:v>34285.549883777916</c:v>
                </c:pt>
                <c:pt idx="5">
                  <c:v>40452.913040445157</c:v>
                </c:pt>
                <c:pt idx="6">
                  <c:v>46408.559677943333</c:v>
                </c:pt>
                <c:pt idx="7">
                  <c:v>52159.757713427702</c:v>
                </c:pt>
                <c:pt idx="8">
                  <c:v>57713.525567131976</c:v>
                </c:pt>
                <c:pt idx="9">
                  <c:v>63076.64072723117</c:v>
                </c:pt>
                <c:pt idx="10">
                  <c:v>68255.648020685359</c:v>
                </c:pt>
                <c:pt idx="11">
                  <c:v>73256.86760015742</c:v>
                </c:pt>
                <c:pt idx="12">
                  <c:v>78086.402656751801</c:v>
                </c:pt>
                <c:pt idx="13">
                  <c:v>82750.146867985968</c:v>
                </c:pt>
                <c:pt idx="14">
                  <c:v>87253.791590084365</c:v>
                </c:pt>
                <c:pt idx="15">
                  <c:v>91602.832803371042</c:v>
                </c:pt>
                <c:pt idx="16">
                  <c:v>95802.577819237515</c:v>
                </c:pt>
                <c:pt idx="17">
                  <c:v>99858.151756870066</c:v>
                </c:pt>
                <c:pt idx="18">
                  <c:v>103774.50379764057</c:v>
                </c:pt>
                <c:pt idx="19">
                  <c:v>107556.41322479326</c:v>
                </c:pt>
                <c:pt idx="20">
                  <c:v>111208.4952557979</c:v>
                </c:pt>
                <c:pt idx="21">
                  <c:v>114735.20667448692</c:v>
                </c:pt>
                <c:pt idx="22">
                  <c:v>118140.85126984945</c:v>
                </c:pt>
                <c:pt idx="23">
                  <c:v>121429.58508811954</c:v>
                </c:pt>
                <c:pt idx="24">
                  <c:v>124605.42150456809</c:v>
                </c:pt>
                <c:pt idx="25">
                  <c:v>127672.23612118732</c:v>
                </c:pt>
                <c:pt idx="26">
                  <c:v>130633.77149624519</c:v>
                </c:pt>
                <c:pt idx="27">
                  <c:v>133493.641711481</c:v>
                </c:pt>
                <c:pt idx="28">
                  <c:v>136255.33678251592</c:v>
                </c:pt>
                <c:pt idx="29">
                  <c:v>138922.22691786065</c:v>
                </c:pt>
                <c:pt idx="30">
                  <c:v>141497.56663171755</c:v>
                </c:pt>
                <c:pt idx="31">
                  <c:v>143984.49871559627</c:v>
                </c:pt>
                <c:pt idx="32">
                  <c:v>146386.05807358978</c:v>
                </c:pt>
                <c:pt idx="33">
                  <c:v>148705.17542599089</c:v>
                </c:pt>
                <c:pt idx="34">
                  <c:v>150944.68088576914</c:v>
                </c:pt>
                <c:pt idx="35">
                  <c:v>153128.47144011562</c:v>
                </c:pt>
                <c:pt idx="36">
                  <c:v>155236.56203205764</c:v>
                </c:pt>
                <c:pt idx="37">
                  <c:v>157271.57676137282</c:v>
                </c:pt>
                <c:pt idx="38">
                  <c:v>159236.04876478645</c:v>
                </c:pt>
                <c:pt idx="39">
                  <c:v>161114.04480952566</c:v>
                </c:pt>
                <c:pt idx="40">
                  <c:v>162927.57200825959</c:v>
                </c:pt>
                <c:pt idx="41">
                  <c:v>164678.8434817864</c:v>
                </c:pt>
                <c:pt idx="42">
                  <c:v>166369.99637771747</c:v>
                </c:pt>
                <c:pt idx="43">
                  <c:v>168003.09447852554</c:v>
                </c:pt>
                <c:pt idx="44">
                  <c:v>169580.13072006224</c:v>
                </c:pt>
                <c:pt idx="45">
                  <c:v>171103.02962361835</c:v>
                </c:pt>
                <c:pt idx="46">
                  <c:v>172573.64964449525</c:v>
                </c:pt>
                <c:pt idx="47">
                  <c:v>173993.78543995344</c:v>
                </c:pt>
                <c:pt idx="48">
                  <c:v>175365.17005930538</c:v>
                </c:pt>
                <c:pt idx="49">
                  <c:v>176689.47705882601</c:v>
                </c:pt>
                <c:pt idx="50">
                  <c:v>177968.32254406132</c:v>
                </c:pt>
                <c:pt idx="51">
                  <c:v>179203.26714202741</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2C91-44D1-A2AA-214F5732232C}"/>
            </c:ext>
          </c:extLst>
        </c:ser>
        <c:ser>
          <c:idx val="2"/>
          <c:order val="2"/>
          <c:spPr>
            <a:ln w="25400">
              <a:solidFill>
                <a:srgbClr val="008000"/>
              </a:solidFill>
              <a:prstDash val="solid"/>
            </a:ln>
          </c:spPr>
          <c:marker>
            <c:symbol val="none"/>
          </c:marker>
          <c:cat>
            <c:numRef>
              <c:f>'W+cov (AP)'!$A$13:$A$58</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8499.3219409211779</c:v>
                </c:pt>
                <c:pt idx="1">
                  <c:v>16404.804123137495</c:v>
                </c:pt>
                <c:pt idx="2">
                  <c:v>23792.754684577423</c:v>
                </c:pt>
                <c:pt idx="3">
                  <c:v>30725.730351800816</c:v>
                </c:pt>
                <c:pt idx="4">
                  <c:v>37255.646350869756</c:v>
                </c:pt>
                <c:pt idx="5">
                  <c:v>43426.055223524942</c:v>
                </c:pt>
                <c:pt idx="6">
                  <c:v>49273.847370987503</c:v>
                </c:pt>
                <c:pt idx="7">
                  <c:v>54830.540786694248</c:v>
                </c:pt>
                <c:pt idx="8">
                  <c:v>60123.273491882399</c:v>
                </c:pt>
                <c:pt idx="9">
                  <c:v>65175.577222763903</c:v>
                </c:pt>
                <c:pt idx="10">
                  <c:v>70007.987739005519</c:v>
                </c:pt>
                <c:pt idx="11">
                  <c:v>74638.53144247079</c:v>
                </c:pt>
                <c:pt idx="12">
                  <c:v>79083.117190512858</c:v>
                </c:pt>
                <c:pt idx="13">
                  <c:v>83355.854617961581</c:v>
                </c:pt>
                <c:pt idx="14">
                  <c:v>87469.314896583499</c:v>
                </c:pt>
                <c:pt idx="15">
                  <c:v>91434.745975696569</c:v>
                </c:pt>
                <c:pt idx="16">
                  <c:v>95262.251508608126</c:v>
                </c:pt>
                <c:pt idx="17">
                  <c:v>98960.940570115621</c:v>
                </c:pt>
                <c:pt idx="18">
                  <c:v>102539.05370062744</c:v>
                </c:pt>
                <c:pt idx="19">
                  <c:v>106004.06962679887</c:v>
                </c:pt>
                <c:pt idx="20">
                  <c:v>109362.7961043987</c:v>
                </c:pt>
                <c:pt idx="21">
                  <c:v>112621.44763344251</c:v>
                </c:pt>
                <c:pt idx="22">
                  <c:v>115785.71225590339</c:v>
                </c:pt>
                <c:pt idx="23">
                  <c:v>118860.80922427788</c:v>
                </c:pt>
                <c:pt idx="24">
                  <c:v>121851.53899685852</c:v>
                </c:pt>
                <c:pt idx="25">
                  <c:v>124762.32675190546</c:v>
                </c:pt>
                <c:pt idx="26">
                  <c:v>127597.26040240616</c:v>
                </c:pt>
                <c:pt idx="27">
                  <c:v>130360.12392403407</c:v>
                </c:pt>
                <c:pt idx="28">
                  <c:v>133054.42667229407</c:v>
                </c:pt>
                <c:pt idx="29">
                  <c:v>135683.42925384446</c:v>
                </c:pt>
                <c:pt idx="30">
                  <c:v>138250.16642633482</c:v>
                </c:pt>
                <c:pt idx="31">
                  <c:v>140757.46742667383</c:v>
                </c:pt>
                <c:pt idx="32">
                  <c:v>143207.97406628681</c:v>
                </c:pt>
                <c:pt idx="33">
                  <c:v>145604.15688106132</c:v>
                </c:pt>
                <c:pt idx="34">
                  <c:v>147948.3295813876</c:v>
                </c:pt>
                <c:pt idx="35">
                  <c:v>154519.3973396708</c:v>
                </c:pt>
                <c:pt idx="36">
                  <c:v>160712.39594842569</c:v>
                </c:pt>
                <c:pt idx="37">
                  <c:v>166567.77713775184</c:v>
                </c:pt>
                <c:pt idx="38">
                  <c:v>172119.86247883536</c:v>
                </c:pt>
                <c:pt idx="39">
                  <c:v>173955.8060925912</c:v>
                </c:pt>
                <c:pt idx="40">
                  <c:v>175760.75892452724</c:v>
                </c:pt>
                <c:pt idx="41">
                  <c:v>177535.73104752653</c:v>
                </c:pt>
                <c:pt idx="42">
                  <c:v>179281.68424125924</c:v>
                </c:pt>
                <c:pt idx="43">
                  <c:v>180999.53501339117</c:v>
                </c:pt>
                <c:pt idx="44">
                  <c:v>182690.15738858763</c:v>
                </c:pt>
                <c:pt idx="45">
                  <c:v>184354.38548637839</c:v>
                </c:pt>
                <c:pt idx="46">
                  <c:v>185993.01590675808</c:v>
                </c:pt>
                <c:pt idx="47">
                  <c:v>187606.80994045688</c:v>
                </c:pt>
                <c:pt idx="48">
                  <c:v>189196.49561910034</c:v>
                </c:pt>
                <c:pt idx="49">
                  <c:v>190762.76961896522</c:v>
                </c:pt>
                <c:pt idx="50">
                  <c:v>192306.29903068152</c:v>
                </c:pt>
                <c:pt idx="51">
                  <c:v>193827.72300604312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2C91-44D1-A2AA-214F5732232C}"/>
            </c:ext>
          </c:extLst>
        </c:ser>
        <c:dLbls>
          <c:showLegendKey val="0"/>
          <c:showVal val="0"/>
          <c:showCatName val="0"/>
          <c:showSerName val="0"/>
          <c:showPercent val="0"/>
          <c:showBubbleSize val="0"/>
        </c:dLbls>
        <c:marker val="1"/>
        <c:smooth val="0"/>
        <c:axId val="175063424"/>
        <c:axId val="175065344"/>
      </c:lineChart>
      <c:catAx>
        <c:axId val="17506342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65344"/>
        <c:crosses val="autoZero"/>
        <c:auto val="0"/>
        <c:lblAlgn val="ctr"/>
        <c:lblOffset val="100"/>
        <c:tickLblSkip val="153"/>
        <c:tickMarkSkip val="1"/>
        <c:noMultiLvlLbl val="0"/>
      </c:catAx>
      <c:valAx>
        <c:axId val="175065344"/>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63424"/>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Actual</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'W+cov (AP)'!$D$13:$D$39</c:f>
              <c:numCache>
                <c:formatCode>General</c:formatCode>
                <c:ptCount val="27"/>
                <c:pt idx="0">
                  <c:v>1375</c:v>
                </c:pt>
                <c:pt idx="1">
                  <c:v>1102</c:v>
                </c:pt>
                <c:pt idx="2">
                  <c:v>1152</c:v>
                </c:pt>
                <c:pt idx="3">
                  <c:v>1247</c:v>
                </c:pt>
                <c:pt idx="4">
                  <c:v>1639</c:v>
                </c:pt>
                <c:pt idx="5">
                  <c:v>2576</c:v>
                </c:pt>
                <c:pt idx="6">
                  <c:v>2976</c:v>
                </c:pt>
                <c:pt idx="7">
                  <c:v>2529</c:v>
                </c:pt>
                <c:pt idx="8">
                  <c:v>2421</c:v>
                </c:pt>
                <c:pt idx="9">
                  <c:v>2385</c:v>
                </c:pt>
                <c:pt idx="10">
                  <c:v>2630</c:v>
                </c:pt>
                <c:pt idx="11">
                  <c:v>2794</c:v>
                </c:pt>
                <c:pt idx="12">
                  <c:v>2700</c:v>
                </c:pt>
                <c:pt idx="13">
                  <c:v>3170</c:v>
                </c:pt>
                <c:pt idx="14">
                  <c:v>2567</c:v>
                </c:pt>
                <c:pt idx="15">
                  <c:v>3409</c:v>
                </c:pt>
                <c:pt idx="16">
                  <c:v>3070</c:v>
                </c:pt>
                <c:pt idx="17">
                  <c:v>3182</c:v>
                </c:pt>
                <c:pt idx="18">
                  <c:v>2706</c:v>
                </c:pt>
                <c:pt idx="19">
                  <c:v>1890</c:v>
                </c:pt>
                <c:pt idx="20">
                  <c:v>1623</c:v>
                </c:pt>
                <c:pt idx="21">
                  <c:v>1587</c:v>
                </c:pt>
                <c:pt idx="22">
                  <c:v>1507</c:v>
                </c:pt>
                <c:pt idx="23">
                  <c:v>1300</c:v>
                </c:pt>
                <c:pt idx="24">
                  <c:v>1127</c:v>
                </c:pt>
                <c:pt idx="25">
                  <c:v>997</c:v>
                </c:pt>
                <c:pt idx="26">
                  <c:v>834</c:v>
                </c:pt>
              </c:numCache>
            </c:numRef>
          </c:val>
          <c:smooth val="0"/>
          <c:extLst>
            <c:ext xmlns:c16="http://schemas.microsoft.com/office/drawing/2014/chart" uri="{C3380CC4-5D6E-409C-BE32-E72D297353CC}">
              <c16:uniqueId val="{00000000-68EC-450B-8506-FE201BDCD10C}"/>
            </c:ext>
          </c:extLst>
        </c:ser>
        <c:ser>
          <c:idx val="1"/>
          <c:order val="1"/>
          <c:tx>
            <c:v>Expected</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'W+cov (AP)'!$K$13:$K$39</c:f>
              <c:numCache>
                <c:formatCode>_(* #,##0_);_(* \(#,##0\);_(* "-"??_);_(@_)</c:formatCode>
                <c:ptCount val="27"/>
                <c:pt idx="0">
                  <c:v>1116.1104061659378</c:v>
                </c:pt>
                <c:pt idx="1">
                  <c:v>1650.9736610398675</c:v>
                </c:pt>
                <c:pt idx="2">
                  <c:v>2003.8320446316588</c:v>
                </c:pt>
                <c:pt idx="3">
                  <c:v>2164.9845805481127</c:v>
                </c:pt>
                <c:pt idx="4">
                  <c:v>2285.8158790021853</c:v>
                </c:pt>
                <c:pt idx="5">
                  <c:v>2425.1611190049025</c:v>
                </c:pt>
                <c:pt idx="6">
                  <c:v>2544.0621573133994</c:v>
                </c:pt>
                <c:pt idx="7">
                  <c:v>2561.5568185258235</c:v>
                </c:pt>
                <c:pt idx="8">
                  <c:v>2627.7552023235439</c:v>
                </c:pt>
                <c:pt idx="9">
                  <c:v>2692.6480002163116</c:v>
                </c:pt>
                <c:pt idx="10">
                  <c:v>2655.6789380309492</c:v>
                </c:pt>
                <c:pt idx="11">
                  <c:v>2513.211855875008</c:v>
                </c:pt>
                <c:pt idx="12">
                  <c:v>2463.5940685311289</c:v>
                </c:pt>
                <c:pt idx="13">
                  <c:v>2435.5519859904343</c:v>
                </c:pt>
                <c:pt idx="14">
                  <c:v>2322.4407501211463</c:v>
                </c:pt>
                <c:pt idx="15">
                  <c:v>2228.9853313111598</c:v>
                </c:pt>
                <c:pt idx="16">
                  <c:v>2173.8341285756032</c:v>
                </c:pt>
                <c:pt idx="17" formatCode="0">
                  <c:v>2126.9069484395222</c:v>
                </c:pt>
                <c:pt idx="18">
                  <c:v>2105.3422000042774</c:v>
                </c:pt>
                <c:pt idx="19">
                  <c:v>2055.2819241139659</c:v>
                </c:pt>
                <c:pt idx="20">
                  <c:v>1996.9565400773063</c:v>
                </c:pt>
                <c:pt idx="21">
                  <c:v>1943.5996721581032</c:v>
                </c:pt>
                <c:pt idx="22">
                  <c:v>1902.8890931983842</c:v>
                </c:pt>
                <c:pt idx="23">
                  <c:v>1853.2773073757489</c:v>
                </c:pt>
                <c:pt idx="24">
                  <c:v>1812.3238471697114</c:v>
                </c:pt>
                <c:pt idx="25">
                  <c:v>1762.2636947225183</c:v>
                </c:pt>
                <c:pt idx="26">
                  <c:v>1697.7733456226633</c:v>
                </c:pt>
              </c:numCache>
            </c:numRef>
          </c:val>
          <c:smooth val="0"/>
          <c:extLst>
            <c:ext xmlns:c16="http://schemas.microsoft.com/office/drawing/2014/chart" uri="{C3380CC4-5D6E-409C-BE32-E72D297353CC}">
              <c16:uniqueId val="{00000001-68EC-450B-8506-FE201BDCD10C}"/>
            </c:ext>
          </c:extLst>
        </c:ser>
        <c:dLbls>
          <c:showLegendKey val="0"/>
          <c:showVal val="0"/>
          <c:showCatName val="0"/>
          <c:showSerName val="0"/>
          <c:showPercent val="0"/>
          <c:showBubbleSize val="0"/>
        </c:dLbls>
        <c:marker val="1"/>
        <c:smooth val="0"/>
        <c:axId val="897117944"/>
        <c:axId val="897115648"/>
      </c:lineChart>
      <c:catAx>
        <c:axId val="8971179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115648"/>
        <c:crosses val="autoZero"/>
        <c:auto val="1"/>
        <c:lblAlgn val="ctr"/>
        <c:lblOffset val="100"/>
        <c:noMultiLvlLbl val="0"/>
      </c:catAx>
      <c:valAx>
        <c:axId val="89711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117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weekly sales and airplay</a:t>
            </a:r>
          </a:p>
        </c:rich>
      </c:tx>
      <c:overlay val="0"/>
      <c:spPr>
        <a:noFill/>
        <a:ln w="25400">
          <a:noFill/>
        </a:ln>
      </c:spPr>
    </c:title>
    <c:autoTitleDeleted val="0"/>
    <c:plotArea>
      <c:layout/>
      <c:lineChart>
        <c:grouping val="standard"/>
        <c:varyColors val="0"/>
        <c:ser>
          <c:idx val="0"/>
          <c:order val="0"/>
          <c:tx>
            <c:strRef>
              <c:f>'W+cov (AP+R+BB)'!$D$15</c:f>
              <c:strCache>
                <c:ptCount val="1"/>
                <c:pt idx="0">
                  <c:v>Incr_Sales</c:v>
                </c:pt>
              </c:strCache>
            </c:strRef>
          </c:tx>
          <c:spPr>
            <a:ln w="25400">
              <a:solidFill>
                <a:srgbClr val="000080"/>
              </a:solidFill>
              <a:prstDash val="solid"/>
            </a:ln>
          </c:spPr>
          <c:marker>
            <c:symbol val="none"/>
          </c:marker>
          <c:cat>
            <c:numRef>
              <c:f>'W+cov (AP+R+BB)'!$A$16:$A$61</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'W+cov (AP+R+BB)'!$D$16:$D$61</c:f>
              <c:numCache>
                <c:formatCode>General</c:formatCode>
                <c:ptCount val="46"/>
                <c:pt idx="0">
                  <c:v>1375</c:v>
                </c:pt>
                <c:pt idx="1">
                  <c:v>1102</c:v>
                </c:pt>
                <c:pt idx="2">
                  <c:v>1152</c:v>
                </c:pt>
                <c:pt idx="3">
                  <c:v>1247</c:v>
                </c:pt>
                <c:pt idx="4">
                  <c:v>1639</c:v>
                </c:pt>
                <c:pt idx="5">
                  <c:v>2576</c:v>
                </c:pt>
                <c:pt idx="6">
                  <c:v>2976</c:v>
                </c:pt>
                <c:pt idx="7">
                  <c:v>2529</c:v>
                </c:pt>
                <c:pt idx="8">
                  <c:v>2421</c:v>
                </c:pt>
                <c:pt idx="9">
                  <c:v>2385</c:v>
                </c:pt>
                <c:pt idx="10">
                  <c:v>2630</c:v>
                </c:pt>
                <c:pt idx="11">
                  <c:v>2794</c:v>
                </c:pt>
                <c:pt idx="12">
                  <c:v>2700</c:v>
                </c:pt>
                <c:pt idx="13">
                  <c:v>3170</c:v>
                </c:pt>
                <c:pt idx="14">
                  <c:v>2567</c:v>
                </c:pt>
                <c:pt idx="15">
                  <c:v>3409</c:v>
                </c:pt>
                <c:pt idx="16">
                  <c:v>3070</c:v>
                </c:pt>
                <c:pt idx="17">
                  <c:v>3182</c:v>
                </c:pt>
                <c:pt idx="18">
                  <c:v>2706</c:v>
                </c:pt>
                <c:pt idx="19">
                  <c:v>1890</c:v>
                </c:pt>
                <c:pt idx="20">
                  <c:v>1623</c:v>
                </c:pt>
                <c:pt idx="21">
                  <c:v>1587</c:v>
                </c:pt>
                <c:pt idx="22">
                  <c:v>1507</c:v>
                </c:pt>
                <c:pt idx="23">
                  <c:v>1300</c:v>
                </c:pt>
                <c:pt idx="24">
                  <c:v>1127</c:v>
                </c:pt>
                <c:pt idx="25">
                  <c:v>997</c:v>
                </c:pt>
                <c:pt idx="26">
                  <c:v>834</c:v>
                </c:pt>
              </c:numCache>
            </c:numRef>
          </c:val>
          <c:smooth val="0"/>
          <c:extLst>
            <c:ext xmlns:c16="http://schemas.microsoft.com/office/drawing/2014/chart" uri="{C3380CC4-5D6E-409C-BE32-E72D297353CC}">
              <c16:uniqueId val="{00000000-1C52-4EF1-8E9A-871D0C7417F4}"/>
            </c:ext>
          </c:extLst>
        </c:ser>
        <c:ser>
          <c:idx val="1"/>
          <c:order val="1"/>
          <c:tx>
            <c:strRef>
              <c:f>'W+cov (1)'!#REF!</c:f>
              <c:strCache>
                <c:ptCount val="1"/>
                <c:pt idx="0">
                  <c:v>#REF!</c:v>
                </c:pt>
              </c:strCache>
            </c:strRef>
          </c:tx>
          <c:spPr>
            <a:ln w="25400">
              <a:solidFill>
                <a:srgbClr val="FF00FF"/>
              </a:solidFill>
              <a:prstDash val="solid"/>
            </a:ln>
          </c:spPr>
          <c:marker>
            <c:symbol val="none"/>
          </c:marker>
          <c:cat>
            <c:numRef>
              <c:f>'W+cov (AP+R+BB)'!$A$16:$A$61</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W!#REF!</c:f>
              <c:numCache>
                <c:formatCode>General</c:formatCode>
                <c:ptCount val="1"/>
                <c:pt idx="0">
                  <c:v>1</c:v>
                </c:pt>
              </c:numCache>
            </c:numRef>
          </c:val>
          <c:smooth val="0"/>
          <c:extLst>
            <c:ext xmlns:c16="http://schemas.microsoft.com/office/drawing/2014/chart" uri="{C3380CC4-5D6E-409C-BE32-E72D297353CC}">
              <c16:uniqueId val="{00000001-1C52-4EF1-8E9A-871D0C7417F4}"/>
            </c:ext>
          </c:extLst>
        </c:ser>
        <c:dLbls>
          <c:showLegendKey val="0"/>
          <c:showVal val="0"/>
          <c:showCatName val="0"/>
          <c:showSerName val="0"/>
          <c:showPercent val="0"/>
          <c:showBubbleSize val="0"/>
        </c:dLbls>
        <c:smooth val="0"/>
        <c:axId val="175171840"/>
        <c:axId val="175174016"/>
      </c:lineChart>
      <c:catAx>
        <c:axId val="17517184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174016"/>
        <c:crosses val="autoZero"/>
        <c:auto val="0"/>
        <c:lblAlgn val="ctr"/>
        <c:lblOffset val="100"/>
        <c:tickLblSkip val="132"/>
        <c:tickMarkSkip val="1"/>
        <c:noMultiLvlLbl val="0"/>
      </c:catAx>
      <c:valAx>
        <c:axId val="17517401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sales/airplay</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17184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genuine forecasts</a:t>
            </a:r>
          </a:p>
        </c:rich>
      </c:tx>
      <c:overlay val="0"/>
      <c:spPr>
        <a:noFill/>
        <a:ln w="25400">
          <a:noFill/>
        </a:ln>
      </c:spPr>
    </c:title>
    <c:autoTitleDeleted val="0"/>
    <c:plotArea>
      <c:layout/>
      <c:lineChart>
        <c:grouping val="standard"/>
        <c:varyColors val="0"/>
        <c:ser>
          <c:idx val="0"/>
          <c:order val="0"/>
          <c:spPr>
            <a:ln w="25400">
              <a:solidFill>
                <a:srgbClr val="FF00FF"/>
              </a:solidFill>
              <a:prstDash val="solid"/>
            </a:ln>
          </c:spPr>
          <c:marker>
            <c:symbol val="none"/>
          </c:marker>
          <c:cat>
            <c:numRef>
              <c:f>'W+cov (AP+R+BB)'!$A$16:$A$61</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65"/>
                <c:pt idx="0">
                  <c:v>5224.4217589694226</c:v>
                </c:pt>
                <c:pt idx="1">
                  <c:v>10420.095805764095</c:v>
                </c:pt>
                <c:pt idx="2">
                  <c:v>15587.180326494108</c:v>
                </c:pt>
                <c:pt idx="3">
                  <c:v>20725.832636840245</c:v>
                </c:pt>
                <c:pt idx="4">
                  <c:v>25836.209186844131</c:v>
                </c:pt>
                <c:pt idx="5">
                  <c:v>30918.465565670696</c:v>
                </c:pt>
                <c:pt idx="6">
                  <c:v>35972.756506346028</c:v>
                </c:pt>
                <c:pt idx="7">
                  <c:v>40999.235890467557</c:v>
                </c:pt>
                <c:pt idx="8">
                  <c:v>45998.05675288973</c:v>
                </c:pt>
                <c:pt idx="9">
                  <c:v>50969.371286382971</c:v>
                </c:pt>
                <c:pt idx="10">
                  <c:v>55913.330846267076</c:v>
                </c:pt>
                <c:pt idx="11">
                  <c:v>60830.085955019866</c:v>
                </c:pt>
                <c:pt idx="12">
                  <c:v>65719.786306859693</c:v>
                </c:pt>
                <c:pt idx="13">
                  <c:v>70582.580772302666</c:v>
                </c:pt>
                <c:pt idx="14">
                  <c:v>75418.617402695774</c:v>
                </c:pt>
                <c:pt idx="15">
                  <c:v>80228.043434723877</c:v>
                </c:pt>
                <c:pt idx="16">
                  <c:v>85011.005294892748</c:v>
                </c:pt>
                <c:pt idx="17">
                  <c:v>89767.648603987065</c:v>
                </c:pt>
                <c:pt idx="18">
                  <c:v>94498.118181503552</c:v>
                </c:pt>
                <c:pt idx="19">
                  <c:v>99202.558050060892</c:v>
                </c:pt>
                <c:pt idx="20">
                  <c:v>103881.11143978406</c:v>
                </c:pt>
                <c:pt idx="21">
                  <c:v>108533.920792665</c:v>
                </c:pt>
                <c:pt idx="22">
                  <c:v>113161.12776689969</c:v>
                </c:pt>
                <c:pt idx="23">
                  <c:v>117762.87324120097</c:v>
                </c:pt>
                <c:pt idx="24">
                  <c:v>122339.29731908746</c:v>
                </c:pt>
                <c:pt idx="25">
                  <c:v>126890.53933314937</c:v>
                </c:pt>
                <c:pt idx="26">
                  <c:v>131416.73784929057</c:v>
                </c:pt>
                <c:pt idx="27">
                  <c:v>135918.03067094708</c:v>
                </c:pt>
                <c:pt idx="28">
                  <c:v>140394.55484328285</c:v>
                </c:pt>
                <c:pt idx="29">
                  <c:v>144846.44665736225</c:v>
                </c:pt>
                <c:pt idx="30">
                  <c:v>149273.84165429918</c:v>
                </c:pt>
                <c:pt idx="31">
                  <c:v>153676.87462938423</c:v>
                </c:pt>
                <c:pt idx="32">
                  <c:v>158055.67963618806</c:v>
                </c:pt>
                <c:pt idx="33">
                  <c:v>162410.38999064319</c:v>
                </c:pt>
                <c:pt idx="34">
                  <c:v>166741.13827510292</c:v>
                </c:pt>
                <c:pt idx="35">
                  <c:v>171048.05634237741</c:v>
                </c:pt>
                <c:pt idx="36">
                  <c:v>175331.2753197487</c:v>
                </c:pt>
                <c:pt idx="37">
                  <c:v>179590.92561296254</c:v>
                </c:pt>
                <c:pt idx="38">
                  <c:v>183827.13691019849</c:v>
                </c:pt>
                <c:pt idx="39">
                  <c:v>188040.03818601923</c:v>
                </c:pt>
                <c:pt idx="40">
                  <c:v>192229.75770529616</c:v>
                </c:pt>
                <c:pt idx="41">
                  <c:v>196396.42302711552</c:v>
                </c:pt>
                <c:pt idx="42">
                  <c:v>200540.16100866138</c:v>
                </c:pt>
                <c:pt idx="43">
                  <c:v>204661.09780907811</c:v>
                </c:pt>
                <c:pt idx="44">
                  <c:v>208759.35889331135</c:v>
                </c:pt>
                <c:pt idx="45">
                  <c:v>212835.0690359282</c:v>
                </c:pt>
                <c:pt idx="46">
                  <c:v>216888.35232491541</c:v>
                </c:pt>
                <c:pt idx="47">
                  <c:v>220919.33216545792</c:v>
                </c:pt>
                <c:pt idx="48">
                  <c:v>224928.13128369578</c:v>
                </c:pt>
                <c:pt idx="49">
                  <c:v>228914.87173046058</c:v>
                </c:pt>
                <c:pt idx="50">
                  <c:v>232879.67488499157</c:v>
                </c:pt>
                <c:pt idx="51">
                  <c:v>236822.66145863105</c:v>
                </c:pt>
                <c:pt idx="52">
                  <c:v>240743.95149849943</c:v>
                </c:pt>
                <c:pt idx="53">
                  <c:v>244643.6643911502</c:v>
                </c:pt>
                <c:pt idx="54">
                  <c:v>248521.91886620491</c:v>
                </c:pt>
                <c:pt idx="55">
                  <c:v>252378.83299996777</c:v>
                </c:pt>
                <c:pt idx="56">
                  <c:v>256214.52421902039</c:v>
                </c:pt>
                <c:pt idx="57">
                  <c:v>260029.10930379757</c:v>
                </c:pt>
                <c:pt idx="58">
                  <c:v>263822.70439214213</c:v>
                </c:pt>
                <c:pt idx="59">
                  <c:v>267595.42498284113</c:v>
                </c:pt>
                <c:pt idx="60">
                  <c:v>271347.38593914203</c:v>
                </c:pt>
                <c:pt idx="61">
                  <c:v>275078.7014922502</c:v>
                </c:pt>
                <c:pt idx="62">
                  <c:v>278789.48524480656</c:v>
                </c:pt>
                <c:pt idx="63">
                  <c:v>282479.85017434612</c:v>
                </c:pt>
                <c:pt idx="64">
                  <c:v>286149.90863673808</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0-36E1-4744-B166-7C765BC1E8F6}"/>
            </c:ext>
          </c:extLst>
        </c:ser>
        <c:ser>
          <c:idx val="1"/>
          <c:order val="1"/>
          <c:spPr>
            <a:ln w="25400">
              <a:solidFill>
                <a:srgbClr val="008000"/>
              </a:solidFill>
              <a:prstDash val="solid"/>
            </a:ln>
          </c:spPr>
          <c:marker>
            <c:symbol val="none"/>
          </c:marker>
          <c:cat>
            <c:numRef>
              <c:f>'W+cov (AP+R+BB)'!$A$16:$A$61</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65"/>
                <c:pt idx="0">
                  <c:v>5337.8599834530414</c:v>
                </c:pt>
                <c:pt idx="1">
                  <c:v>10635.213722550718</c:v>
                </c:pt>
                <c:pt idx="2">
                  <c:v>15892.601184708477</c:v>
                </c:pt>
                <c:pt idx="3">
                  <c:v>21110.55207449153</c:v>
                </c:pt>
                <c:pt idx="4">
                  <c:v>26289.58608625942</c:v>
                </c:pt>
                <c:pt idx="5">
                  <c:v>31430.213149191033</c:v>
                </c:pt>
                <c:pt idx="6">
                  <c:v>36532.933664959797</c:v>
                </c:pt>
                <c:pt idx="7">
                  <c:v>41598.238738319917</c:v>
                </c:pt>
                <c:pt idx="8">
                  <c:v>46626.610400853031</c:v>
                </c:pt>
                <c:pt idx="9">
                  <c:v>51618.521828118544</c:v>
                </c:pt>
                <c:pt idx="10">
                  <c:v>56574.437550431008</c:v>
                </c:pt>
                <c:pt idx="11">
                  <c:v>61494.813657491432</c:v>
                </c:pt>
                <c:pt idx="12">
                  <c:v>66380.097997082339</c:v>
                </c:pt>
                <c:pt idx="13">
                  <c:v>71230.730368030068</c:v>
                </c:pt>
                <c:pt idx="14">
                  <c:v>76047.142707627907</c:v>
                </c:pt>
                <c:pt idx="15">
                  <c:v>80829.759273713717</c:v>
                </c:pt>
                <c:pt idx="16">
                  <c:v>85578.996821573106</c:v>
                </c:pt>
                <c:pt idx="17">
                  <c:v>90295.264775854594</c:v>
                </c:pt>
                <c:pt idx="18">
                  <c:v>94978.965397647946</c:v>
                </c:pt>
                <c:pt idx="19">
                  <c:v>99630.493946900606</c:v>
                </c:pt>
                <c:pt idx="20">
                  <c:v>104250.23884031737</c:v>
                </c:pt>
                <c:pt idx="21">
                  <c:v>108838.58180489393</c:v>
                </c:pt>
                <c:pt idx="22">
                  <c:v>113395.89802722905</c:v>
                </c:pt>
                <c:pt idx="23">
                  <c:v>117922.55629874914</c:v>
                </c:pt>
                <c:pt idx="24">
                  <c:v>122418.91915698122</c:v>
                </c:pt>
                <c:pt idx="25">
                  <c:v>126885.34302299759</c:v>
                </c:pt>
                <c:pt idx="26">
                  <c:v>131322.17833515958</c:v>
                </c:pt>
                <c:pt idx="27">
                  <c:v>135729.76967927342</c:v>
                </c:pt>
                <c:pt idx="28">
                  <c:v>140108.45591527323</c:v>
                </c:pt>
                <c:pt idx="29">
                  <c:v>144458.57030054598</c:v>
                </c:pt>
                <c:pt idx="30">
                  <c:v>148780.44060999496</c:v>
                </c:pt>
                <c:pt idx="31">
                  <c:v>153074.38925294904</c:v>
                </c:pt>
                <c:pt idx="32">
                  <c:v>157340.73338701771</c:v>
                </c:pt>
                <c:pt idx="33">
                  <c:v>161579.78502897974</c:v>
                </c:pt>
                <c:pt idx="34">
                  <c:v>165791.85116280272</c:v>
                </c:pt>
                <c:pt idx="35">
                  <c:v>170644.09835148463</c:v>
                </c:pt>
                <c:pt idx="36">
                  <c:v>175460.90841741636</c:v>
                </c:pt>
                <c:pt idx="37">
                  <c:v>180242.73609641616</c:v>
                </c:pt>
                <c:pt idx="38">
                  <c:v>184990.02780267669</c:v>
                </c:pt>
                <c:pt idx="39">
                  <c:v>189055.42271100107</c:v>
                </c:pt>
                <c:pt idx="40">
                  <c:v>193095.75015619418</c:v>
                </c:pt>
                <c:pt idx="41">
                  <c:v>197111.28195723804</c:v>
                </c:pt>
                <c:pt idx="42">
                  <c:v>201102.28572613787</c:v>
                </c:pt>
                <c:pt idx="43">
                  <c:v>205069.02495234559</c:v>
                </c:pt>
                <c:pt idx="44">
                  <c:v>209011.75908510594</c:v>
                </c:pt>
                <c:pt idx="45">
                  <c:v>212930.74361378362</c:v>
                </c:pt>
                <c:pt idx="46">
                  <c:v>216826.23014623381</c:v>
                </c:pt>
                <c:pt idx="47">
                  <c:v>220698.46648526614</c:v>
                </c:pt>
                <c:pt idx="48">
                  <c:v>224547.6967032649</c:v>
                </c:pt>
                <c:pt idx="49">
                  <c:v>228374.16121501286</c:v>
                </c:pt>
                <c:pt idx="50">
                  <c:v>232178.09684876766</c:v>
                </c:pt>
                <c:pt idx="51">
                  <c:v>235959.73691564874</c:v>
                </c:pt>
                <c:pt idx="52">
                  <c:v>239719.31127737579</c:v>
                </c:pt>
                <c:pt idx="53">
                  <c:v>243457.0464124034</c:v>
                </c:pt>
                <c:pt idx="54">
                  <c:v>247173.16548050562</c:v>
                </c:pt>
                <c:pt idx="55">
                  <c:v>250867.88838584229</c:v>
                </c:pt>
                <c:pt idx="56">
                  <c:v>254541.43183855992</c:v>
                </c:pt>
                <c:pt idx="57">
                  <c:v>258194.00941495819</c:v>
                </c:pt>
                <c:pt idx="58">
                  <c:v>261825.83161626881</c:v>
                </c:pt>
                <c:pt idx="59">
                  <c:v>265437.10592608119</c:v>
                </c:pt>
                <c:pt idx="60">
                  <c:v>269028.03686644981</c:v>
                </c:pt>
                <c:pt idx="61">
                  <c:v>272598.82605272526</c:v>
                </c:pt>
                <c:pt idx="62">
                  <c:v>276149.67224713636</c:v>
                </c:pt>
                <c:pt idx="63">
                  <c:v>279680.77141116234</c:v>
                </c:pt>
                <c:pt idx="64">
                  <c:v>283192.31675672519</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1-36E1-4744-B166-7C765BC1E8F6}"/>
            </c:ext>
          </c:extLst>
        </c:ser>
        <c:ser>
          <c:idx val="2"/>
          <c:order val="2"/>
          <c:spPr>
            <a:ln w="12700">
              <a:solidFill>
                <a:srgbClr val="000080"/>
              </a:solidFill>
              <a:prstDash val="solid"/>
            </a:ln>
          </c:spPr>
          <c:marker>
            <c:symbol val="diamond"/>
            <c:size val="5"/>
            <c:spPr>
              <a:solidFill>
                <a:srgbClr val="000080"/>
              </a:solidFill>
              <a:ln>
                <a:solidFill>
                  <a:srgbClr val="000080"/>
                </a:solidFill>
                <a:prstDash val="solid"/>
              </a:ln>
            </c:spPr>
          </c:marker>
          <c:cat>
            <c:numRef>
              <c:f>'W+cov (AP+R+BB)'!$A$16:$A$61</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2-36E1-4744-B166-7C765BC1E8F6}"/>
            </c:ext>
          </c:extLst>
        </c:ser>
        <c:dLbls>
          <c:showLegendKey val="0"/>
          <c:showVal val="0"/>
          <c:showCatName val="0"/>
          <c:showSerName val="0"/>
          <c:showPercent val="0"/>
          <c:showBubbleSize val="0"/>
        </c:dLbls>
        <c:smooth val="0"/>
        <c:axId val="174883968"/>
        <c:axId val="174899200"/>
      </c:lineChart>
      <c:catAx>
        <c:axId val="17488396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899200"/>
        <c:crosses val="autoZero"/>
        <c:auto val="0"/>
        <c:lblAlgn val="ctr"/>
        <c:lblOffset val="100"/>
        <c:tickLblSkip val="192"/>
        <c:tickMarkSkip val="1"/>
        <c:noMultiLvlLbl val="0"/>
      </c:catAx>
      <c:valAx>
        <c:axId val="174899200"/>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883968"/>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userShapes r:id="rId1"/>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early projections</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'W+cov (AP+R+BB)'!$A$16:$A$61</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0102-4A64-9121-F0222B58646A}"/>
            </c:ext>
          </c:extLst>
        </c:ser>
        <c:ser>
          <c:idx val="1"/>
          <c:order val="1"/>
          <c:spPr>
            <a:ln w="25400">
              <a:solidFill>
                <a:srgbClr val="FF00FF"/>
              </a:solidFill>
              <a:prstDash val="solid"/>
            </a:ln>
          </c:spPr>
          <c:marker>
            <c:symbol val="none"/>
          </c:marker>
          <c:cat>
            <c:numRef>
              <c:f>'W+cov (AP+R+BB)'!$A$16:$A$61</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6205.5970060675982</c:v>
                </c:pt>
                <c:pt idx="1">
                  <c:v>12398.357534068038</c:v>
                </c:pt>
                <c:pt idx="2">
                  <c:v>18578.30813667105</c:v>
                </c:pt>
                <c:pt idx="3">
                  <c:v>24745.475311621969</c:v>
                </c:pt>
                <c:pt idx="4">
                  <c:v>30899.885501853631</c:v>
                </c:pt>
                <c:pt idx="5">
                  <c:v>37041.565095601967</c:v>
                </c:pt>
                <c:pt idx="6">
                  <c:v>43170.540426517247</c:v>
                </c:pt>
                <c:pt idx="7">
                  <c:v>49286.837773777959</c:v>
                </c:pt>
                <c:pt idx="8">
                  <c:v>55390.483362203093</c:v>
                </c:pt>
                <c:pt idx="9">
                  <c:v>61481.503362365023</c:v>
                </c:pt>
                <c:pt idx="10">
                  <c:v>67559.923890701422</c:v>
                </c:pt>
                <c:pt idx="11">
                  <c:v>73625.771009626857</c:v>
                </c:pt>
                <c:pt idx="12">
                  <c:v>79679.070727645681</c:v>
                </c:pt>
                <c:pt idx="13">
                  <c:v>85719.848999461945</c:v>
                </c:pt>
                <c:pt idx="14">
                  <c:v>91748.13172609231</c:v>
                </c:pt>
                <c:pt idx="15">
                  <c:v>97763.944754976299</c:v>
                </c:pt>
                <c:pt idx="16">
                  <c:v>103767.31388008619</c:v>
                </c:pt>
                <c:pt idx="17">
                  <c:v>109758.26484203999</c:v>
                </c:pt>
                <c:pt idx="18">
                  <c:v>115736.82332820923</c:v>
                </c:pt>
                <c:pt idx="19">
                  <c:v>121703.01497283098</c:v>
                </c:pt>
                <c:pt idx="20">
                  <c:v>127656.86535711707</c:v>
                </c:pt>
                <c:pt idx="21">
                  <c:v>133598.40000936363</c:v>
                </c:pt>
                <c:pt idx="22">
                  <c:v>139527.64440506004</c:v>
                </c:pt>
                <c:pt idx="23">
                  <c:v>145444.62396699988</c:v>
                </c:pt>
                <c:pt idx="24">
                  <c:v>151349.36406538801</c:v>
                </c:pt>
                <c:pt idx="25">
                  <c:v>157241.89001795073</c:v>
                </c:pt>
                <c:pt idx="26">
                  <c:v>163122.22709004386</c:v>
                </c:pt>
                <c:pt idx="27">
                  <c:v>168990.40049476034</c:v>
                </c:pt>
                <c:pt idx="28">
                  <c:v>174846.43539304013</c:v>
                </c:pt>
                <c:pt idx="29">
                  <c:v>180690.35689377555</c:v>
                </c:pt>
                <c:pt idx="30">
                  <c:v>186522.19005392145</c:v>
                </c:pt>
                <c:pt idx="31">
                  <c:v>192341.95987860113</c:v>
                </c:pt>
                <c:pt idx="32">
                  <c:v>198149.69132121396</c:v>
                </c:pt>
                <c:pt idx="33">
                  <c:v>203945.40928354289</c:v>
                </c:pt>
                <c:pt idx="34">
                  <c:v>209729.1386158604</c:v>
                </c:pt>
                <c:pt idx="35">
                  <c:v>215500.90411703481</c:v>
                </c:pt>
                <c:pt idx="36">
                  <c:v>221260.73053463778</c:v>
                </c:pt>
                <c:pt idx="37">
                  <c:v>227008.64256505028</c:v>
                </c:pt>
                <c:pt idx="38">
                  <c:v>232744.6648535667</c:v>
                </c:pt>
                <c:pt idx="39">
                  <c:v>238468.82199450338</c:v>
                </c:pt>
                <c:pt idx="40">
                  <c:v>244181.1385313012</c:v>
                </c:pt>
                <c:pt idx="41">
                  <c:v>249881.63895663273</c:v>
                </c:pt>
                <c:pt idx="42">
                  <c:v>255570.34771250674</c:v>
                </c:pt>
                <c:pt idx="43">
                  <c:v>261247.28919037309</c:v>
                </c:pt>
                <c:pt idx="44">
                  <c:v>266912.48773122631</c:v>
                </c:pt>
                <c:pt idx="45">
                  <c:v>272565.96762571164</c:v>
                </c:pt>
                <c:pt idx="46">
                  <c:v>278207.75311422796</c:v>
                </c:pt>
                <c:pt idx="47">
                  <c:v>283837.86838703218</c:v>
                </c:pt>
                <c:pt idx="48">
                  <c:v>289456.33758434275</c:v>
                </c:pt>
                <c:pt idx="49">
                  <c:v>295063.18479644344</c:v>
                </c:pt>
                <c:pt idx="50">
                  <c:v>300658.43406378658</c:v>
                </c:pt>
                <c:pt idx="51">
                  <c:v>306242.10937709583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0102-4A64-9121-F0222B58646A}"/>
            </c:ext>
          </c:extLst>
        </c:ser>
        <c:ser>
          <c:idx val="2"/>
          <c:order val="2"/>
          <c:spPr>
            <a:ln w="25400">
              <a:solidFill>
                <a:srgbClr val="008000"/>
              </a:solidFill>
              <a:prstDash val="solid"/>
            </a:ln>
          </c:spPr>
          <c:marker>
            <c:symbol val="none"/>
          </c:marker>
          <c:cat>
            <c:numRef>
              <c:f>'W+cov (AP+R+BB)'!$A$16:$A$61</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6236.3185158423876</c:v>
                </c:pt>
                <c:pt idx="1">
                  <c:v>12456.105476353119</c:v>
                </c:pt>
                <c:pt idx="2">
                  <c:v>18659.414150744902</c:v>
                </c:pt>
                <c:pt idx="3">
                  <c:v>24846.297606183398</c:v>
                </c:pt>
                <c:pt idx="4">
                  <c:v>31016.80870865786</c:v>
                </c:pt>
                <c:pt idx="5">
                  <c:v>37171.000123869424</c:v>
                </c:pt>
                <c:pt idx="6">
                  <c:v>43308.924318095407</c:v>
                </c:pt>
                <c:pt idx="7">
                  <c:v>49430.63355905997</c:v>
                </c:pt>
                <c:pt idx="8">
                  <c:v>55536.179916802372</c:v>
                </c:pt>
                <c:pt idx="9">
                  <c:v>61625.615264532033</c:v>
                </c:pt>
                <c:pt idx="10">
                  <c:v>67698.991279486756</c:v>
                </c:pt>
                <c:pt idx="11">
                  <c:v>73756.359443787107</c:v>
                </c:pt>
                <c:pt idx="12">
                  <c:v>79797.771045275076</c:v>
                </c:pt>
                <c:pt idx="13">
                  <c:v>85823.277178370685</c:v>
                </c:pt>
                <c:pt idx="14">
                  <c:v>91832.928744896344</c:v>
                </c:pt>
                <c:pt idx="15">
                  <c:v>97826.776454923878</c:v>
                </c:pt>
                <c:pt idx="16">
                  <c:v>103804.87082759848</c:v>
                </c:pt>
                <c:pt idx="17">
                  <c:v>109767.26219197208</c:v>
                </c:pt>
                <c:pt idx="18">
                  <c:v>115714.00068781502</c:v>
                </c:pt>
                <c:pt idx="19">
                  <c:v>121645.13626644868</c:v>
                </c:pt>
                <c:pt idx="20">
                  <c:v>127560.71869154894</c:v>
                </c:pt>
                <c:pt idx="21">
                  <c:v>133460.79753996443</c:v>
                </c:pt>
                <c:pt idx="22">
                  <c:v>139345.42220251821</c:v>
                </c:pt>
                <c:pt idx="23">
                  <c:v>145214.64188481527</c:v>
                </c:pt>
                <c:pt idx="24">
                  <c:v>151068.50560803665</c:v>
                </c:pt>
                <c:pt idx="25">
                  <c:v>156907.06220974037</c:v>
                </c:pt>
                <c:pt idx="26">
                  <c:v>162730.36034464737</c:v>
                </c:pt>
                <c:pt idx="27">
                  <c:v>168538.44848542986</c:v>
                </c:pt>
                <c:pt idx="28">
                  <c:v>174331.37492349805</c:v>
                </c:pt>
                <c:pt idx="29">
                  <c:v>180109.18776977746</c:v>
                </c:pt>
                <c:pt idx="30">
                  <c:v>185871.93495548383</c:v>
                </c:pt>
                <c:pt idx="31">
                  <c:v>191619.66423289722</c:v>
                </c:pt>
                <c:pt idx="32">
                  <c:v>197352.42317613267</c:v>
                </c:pt>
                <c:pt idx="33">
                  <c:v>203070.25918189669</c:v>
                </c:pt>
                <c:pt idx="34">
                  <c:v>208773.21947025752</c:v>
                </c:pt>
                <c:pt idx="35">
                  <c:v>214461.35108539666</c:v>
                </c:pt>
                <c:pt idx="36">
                  <c:v>220134.70089636612</c:v>
                </c:pt>
                <c:pt idx="37">
                  <c:v>225793.31559783532</c:v>
                </c:pt>
                <c:pt idx="38">
                  <c:v>231437.24171083735</c:v>
                </c:pt>
                <c:pt idx="39">
                  <c:v>237066.52558351649</c:v>
                </c:pt>
                <c:pt idx="40">
                  <c:v>242681.21339185978</c:v>
                </c:pt>
                <c:pt idx="41">
                  <c:v>248281.35114044035</c:v>
                </c:pt>
                <c:pt idx="42">
                  <c:v>253866.98466314361</c:v>
                </c:pt>
                <c:pt idx="43">
                  <c:v>259438.15962389749</c:v>
                </c:pt>
                <c:pt idx="44">
                  <c:v>264994.92151739931</c:v>
                </c:pt>
                <c:pt idx="45">
                  <c:v>270537.31566983397</c:v>
                </c:pt>
                <c:pt idx="46">
                  <c:v>276065.38723959605</c:v>
                </c:pt>
                <c:pt idx="47">
                  <c:v>281579.18121799931</c:v>
                </c:pt>
                <c:pt idx="48">
                  <c:v>287078.74242999242</c:v>
                </c:pt>
                <c:pt idx="49">
                  <c:v>292564.11553486239</c:v>
                </c:pt>
                <c:pt idx="50">
                  <c:v>298035.34502694273</c:v>
                </c:pt>
                <c:pt idx="51">
                  <c:v>303492.47523631272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0102-4A64-9121-F0222B58646A}"/>
            </c:ext>
          </c:extLst>
        </c:ser>
        <c:dLbls>
          <c:showLegendKey val="0"/>
          <c:showVal val="0"/>
          <c:showCatName val="0"/>
          <c:showSerName val="0"/>
          <c:showPercent val="0"/>
          <c:showBubbleSize val="0"/>
        </c:dLbls>
        <c:marker val="1"/>
        <c:smooth val="0"/>
        <c:axId val="175012480"/>
        <c:axId val="175014656"/>
      </c:lineChart>
      <c:catAx>
        <c:axId val="17501248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14656"/>
        <c:crosses val="autoZero"/>
        <c:auto val="0"/>
        <c:lblAlgn val="ctr"/>
        <c:lblOffset val="100"/>
        <c:tickLblSkip val="153"/>
        <c:tickMarkSkip val="1"/>
        <c:noMultiLvlLbl val="0"/>
      </c:catAx>
      <c:valAx>
        <c:axId val="17501465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1248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model fit and validated forecast</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'W+cov (AP+R+BB)'!$A$16:$A$61</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8C63-4C55-B912-6F5E80DC3A37}"/>
            </c:ext>
          </c:extLst>
        </c:ser>
        <c:ser>
          <c:idx val="1"/>
          <c:order val="1"/>
          <c:spPr>
            <a:ln w="25400">
              <a:solidFill>
                <a:srgbClr val="FF00FF"/>
              </a:solidFill>
              <a:prstDash val="solid"/>
            </a:ln>
          </c:spPr>
          <c:marker>
            <c:symbol val="none"/>
          </c:marker>
          <c:cat>
            <c:numRef>
              <c:f>'W+cov (AP+R+BB)'!$A$16:$A$61</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7344.335729028825</c:v>
                </c:pt>
                <c:pt idx="1">
                  <c:v>14436.551199097725</c:v>
                </c:pt>
                <c:pt idx="2">
                  <c:v>21285.301328408012</c:v>
                </c:pt>
                <c:pt idx="3">
                  <c:v>27898.943924530697</c:v>
                </c:pt>
                <c:pt idx="4">
                  <c:v>34285.549883777916</c:v>
                </c:pt>
                <c:pt idx="5">
                  <c:v>40452.913040445157</c:v>
                </c:pt>
                <c:pt idx="6">
                  <c:v>46408.559677943333</c:v>
                </c:pt>
                <c:pt idx="7">
                  <c:v>52159.757713427702</c:v>
                </c:pt>
                <c:pt idx="8">
                  <c:v>57713.525567131976</c:v>
                </c:pt>
                <c:pt idx="9">
                  <c:v>63076.64072723117</c:v>
                </c:pt>
                <c:pt idx="10">
                  <c:v>68255.648020685359</c:v>
                </c:pt>
                <c:pt idx="11">
                  <c:v>73256.86760015742</c:v>
                </c:pt>
                <c:pt idx="12">
                  <c:v>78086.402656751801</c:v>
                </c:pt>
                <c:pt idx="13">
                  <c:v>82750.146867985968</c:v>
                </c:pt>
                <c:pt idx="14">
                  <c:v>87253.791590084365</c:v>
                </c:pt>
                <c:pt idx="15">
                  <c:v>91602.832803371042</c:v>
                </c:pt>
                <c:pt idx="16">
                  <c:v>95802.577819237515</c:v>
                </c:pt>
                <c:pt idx="17">
                  <c:v>99858.151756870066</c:v>
                </c:pt>
                <c:pt idx="18">
                  <c:v>103774.50379764057</c:v>
                </c:pt>
                <c:pt idx="19">
                  <c:v>107556.41322479326</c:v>
                </c:pt>
                <c:pt idx="20">
                  <c:v>111208.4952557979</c:v>
                </c:pt>
                <c:pt idx="21">
                  <c:v>114735.20667448692</c:v>
                </c:pt>
                <c:pt idx="22">
                  <c:v>118140.85126984945</c:v>
                </c:pt>
                <c:pt idx="23">
                  <c:v>121429.58508811954</c:v>
                </c:pt>
                <c:pt idx="24">
                  <c:v>124605.42150456809</c:v>
                </c:pt>
                <c:pt idx="25">
                  <c:v>127672.23612118732</c:v>
                </c:pt>
                <c:pt idx="26">
                  <c:v>130633.77149624519</c:v>
                </c:pt>
                <c:pt idx="27">
                  <c:v>133493.641711481</c:v>
                </c:pt>
                <c:pt idx="28">
                  <c:v>136255.33678251592</c:v>
                </c:pt>
                <c:pt idx="29">
                  <c:v>138922.22691786065</c:v>
                </c:pt>
                <c:pt idx="30">
                  <c:v>141497.56663171755</c:v>
                </c:pt>
                <c:pt idx="31">
                  <c:v>143984.49871559627</c:v>
                </c:pt>
                <c:pt idx="32">
                  <c:v>146386.05807358978</c:v>
                </c:pt>
                <c:pt idx="33">
                  <c:v>148705.17542599089</c:v>
                </c:pt>
                <c:pt idx="34">
                  <c:v>150944.68088576914</c:v>
                </c:pt>
                <c:pt idx="35">
                  <c:v>153128.47144011562</c:v>
                </c:pt>
                <c:pt idx="36">
                  <c:v>155236.56203205764</c:v>
                </c:pt>
                <c:pt idx="37">
                  <c:v>157271.57676137282</c:v>
                </c:pt>
                <c:pt idx="38">
                  <c:v>159236.04876478645</c:v>
                </c:pt>
                <c:pt idx="39">
                  <c:v>161114.04480952566</c:v>
                </c:pt>
                <c:pt idx="40">
                  <c:v>162927.57200825959</c:v>
                </c:pt>
                <c:pt idx="41">
                  <c:v>164678.8434817864</c:v>
                </c:pt>
                <c:pt idx="42">
                  <c:v>166369.99637771747</c:v>
                </c:pt>
                <c:pt idx="43">
                  <c:v>168003.09447852554</c:v>
                </c:pt>
                <c:pt idx="44">
                  <c:v>169580.13072006224</c:v>
                </c:pt>
                <c:pt idx="45">
                  <c:v>171103.02962361835</c:v>
                </c:pt>
                <c:pt idx="46">
                  <c:v>172573.64964449525</c:v>
                </c:pt>
                <c:pt idx="47">
                  <c:v>173993.78543995344</c:v>
                </c:pt>
                <c:pt idx="48">
                  <c:v>175365.17005930538</c:v>
                </c:pt>
                <c:pt idx="49">
                  <c:v>176689.47705882601</c:v>
                </c:pt>
                <c:pt idx="50">
                  <c:v>177968.32254406132</c:v>
                </c:pt>
                <c:pt idx="51">
                  <c:v>179203.26714202741</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8C63-4C55-B912-6F5E80DC3A37}"/>
            </c:ext>
          </c:extLst>
        </c:ser>
        <c:ser>
          <c:idx val="2"/>
          <c:order val="2"/>
          <c:spPr>
            <a:ln w="25400">
              <a:solidFill>
                <a:srgbClr val="008000"/>
              </a:solidFill>
              <a:prstDash val="solid"/>
            </a:ln>
          </c:spPr>
          <c:marker>
            <c:symbol val="none"/>
          </c:marker>
          <c:cat>
            <c:numRef>
              <c:f>'W+cov (AP+R+BB)'!$A$16:$A$61</c:f>
              <c:numCache>
                <c:formatCode>m/d/yyyy</c:formatCode>
                <c:ptCount val="46"/>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8499.3219409211779</c:v>
                </c:pt>
                <c:pt idx="1">
                  <c:v>16404.804123137495</c:v>
                </c:pt>
                <c:pt idx="2">
                  <c:v>23792.754684577423</c:v>
                </c:pt>
                <c:pt idx="3">
                  <c:v>30725.730351800816</c:v>
                </c:pt>
                <c:pt idx="4">
                  <c:v>37255.646350869756</c:v>
                </c:pt>
                <c:pt idx="5">
                  <c:v>43426.055223524942</c:v>
                </c:pt>
                <c:pt idx="6">
                  <c:v>49273.847370987503</c:v>
                </c:pt>
                <c:pt idx="7">
                  <c:v>54830.540786694248</c:v>
                </c:pt>
                <c:pt idx="8">
                  <c:v>60123.273491882399</c:v>
                </c:pt>
                <c:pt idx="9">
                  <c:v>65175.577222763903</c:v>
                </c:pt>
                <c:pt idx="10">
                  <c:v>70007.987739005519</c:v>
                </c:pt>
                <c:pt idx="11">
                  <c:v>74638.53144247079</c:v>
                </c:pt>
                <c:pt idx="12">
                  <c:v>79083.117190512858</c:v>
                </c:pt>
                <c:pt idx="13">
                  <c:v>83355.854617961581</c:v>
                </c:pt>
                <c:pt idx="14">
                  <c:v>87469.314896583499</c:v>
                </c:pt>
                <c:pt idx="15">
                  <c:v>91434.745975696569</c:v>
                </c:pt>
                <c:pt idx="16">
                  <c:v>95262.251508608126</c:v>
                </c:pt>
                <c:pt idx="17">
                  <c:v>98960.940570115621</c:v>
                </c:pt>
                <c:pt idx="18">
                  <c:v>102539.05370062744</c:v>
                </c:pt>
                <c:pt idx="19">
                  <c:v>106004.06962679887</c:v>
                </c:pt>
                <c:pt idx="20">
                  <c:v>109362.7961043987</c:v>
                </c:pt>
                <c:pt idx="21">
                  <c:v>112621.44763344251</c:v>
                </c:pt>
                <c:pt idx="22">
                  <c:v>115785.71225590339</c:v>
                </c:pt>
                <c:pt idx="23">
                  <c:v>118860.80922427788</c:v>
                </c:pt>
                <c:pt idx="24">
                  <c:v>121851.53899685852</c:v>
                </c:pt>
                <c:pt idx="25">
                  <c:v>124762.32675190546</c:v>
                </c:pt>
                <c:pt idx="26">
                  <c:v>127597.26040240616</c:v>
                </c:pt>
                <c:pt idx="27">
                  <c:v>130360.12392403407</c:v>
                </c:pt>
                <c:pt idx="28">
                  <c:v>133054.42667229407</c:v>
                </c:pt>
                <c:pt idx="29">
                  <c:v>135683.42925384446</c:v>
                </c:pt>
                <c:pt idx="30">
                  <c:v>138250.16642633482</c:v>
                </c:pt>
                <c:pt idx="31">
                  <c:v>140757.46742667383</c:v>
                </c:pt>
                <c:pt idx="32">
                  <c:v>143207.97406628681</c:v>
                </c:pt>
                <c:pt idx="33">
                  <c:v>145604.15688106132</c:v>
                </c:pt>
                <c:pt idx="34">
                  <c:v>147948.3295813876</c:v>
                </c:pt>
                <c:pt idx="35">
                  <c:v>154519.3973396708</c:v>
                </c:pt>
                <c:pt idx="36">
                  <c:v>160712.39594842569</c:v>
                </c:pt>
                <c:pt idx="37">
                  <c:v>166567.77713775184</c:v>
                </c:pt>
                <c:pt idx="38">
                  <c:v>172119.86247883536</c:v>
                </c:pt>
                <c:pt idx="39">
                  <c:v>173955.8060925912</c:v>
                </c:pt>
                <c:pt idx="40">
                  <c:v>175760.75892452724</c:v>
                </c:pt>
                <c:pt idx="41">
                  <c:v>177535.73104752653</c:v>
                </c:pt>
                <c:pt idx="42">
                  <c:v>179281.68424125924</c:v>
                </c:pt>
                <c:pt idx="43">
                  <c:v>180999.53501339117</c:v>
                </c:pt>
                <c:pt idx="44">
                  <c:v>182690.15738858763</c:v>
                </c:pt>
                <c:pt idx="45">
                  <c:v>184354.38548637839</c:v>
                </c:pt>
                <c:pt idx="46">
                  <c:v>185993.01590675808</c:v>
                </c:pt>
                <c:pt idx="47">
                  <c:v>187606.80994045688</c:v>
                </c:pt>
                <c:pt idx="48">
                  <c:v>189196.49561910034</c:v>
                </c:pt>
                <c:pt idx="49">
                  <c:v>190762.76961896522</c:v>
                </c:pt>
                <c:pt idx="50">
                  <c:v>192306.29903068152</c:v>
                </c:pt>
                <c:pt idx="51">
                  <c:v>193827.72300604312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8C63-4C55-B912-6F5E80DC3A37}"/>
            </c:ext>
          </c:extLst>
        </c:ser>
        <c:dLbls>
          <c:showLegendKey val="0"/>
          <c:showVal val="0"/>
          <c:showCatName val="0"/>
          <c:showSerName val="0"/>
          <c:showPercent val="0"/>
          <c:showBubbleSize val="0"/>
        </c:dLbls>
        <c:marker val="1"/>
        <c:smooth val="0"/>
        <c:axId val="175063424"/>
        <c:axId val="175065344"/>
      </c:lineChart>
      <c:catAx>
        <c:axId val="17506342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65344"/>
        <c:crosses val="autoZero"/>
        <c:auto val="0"/>
        <c:lblAlgn val="ctr"/>
        <c:lblOffset val="100"/>
        <c:tickLblSkip val="153"/>
        <c:tickMarkSkip val="1"/>
        <c:noMultiLvlLbl val="0"/>
      </c:catAx>
      <c:valAx>
        <c:axId val="175065344"/>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63424"/>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h(t)/h0(t)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'W+cov (AP+R+BB)'!$B$16:$B$42</c:f>
              <c:numCache>
                <c:formatCode>0</c:formatCode>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numCache>
            </c:numRef>
          </c:cat>
          <c:val>
            <c:numRef>
              <c:f>'W+cov (AP+R+BB)'!$P$16:$P$42</c:f>
              <c:numCache>
                <c:formatCode>_(* #,##0.000_);_(* \(#,##0.000\);_(* "-"??_);_(@_)</c:formatCode>
                <c:ptCount val="27"/>
                <c:pt idx="0">
                  <c:v>1.9847887434958442</c:v>
                </c:pt>
                <c:pt idx="1">
                  <c:v>0.32659277085542743</c:v>
                </c:pt>
                <c:pt idx="2">
                  <c:v>0.15294624644000837</c:v>
                </c:pt>
                <c:pt idx="3">
                  <c:v>0.12516824703829321</c:v>
                </c:pt>
                <c:pt idx="4">
                  <c:v>0.11173404599890759</c:v>
                </c:pt>
                <c:pt idx="5">
                  <c:v>0.1067442685853527</c:v>
                </c:pt>
                <c:pt idx="6">
                  <c:v>0.1022674789565749</c:v>
                </c:pt>
                <c:pt idx="7">
                  <c:v>6.4715130376005139E-2</c:v>
                </c:pt>
                <c:pt idx="8">
                  <c:v>5.9123308875693947E-2</c:v>
                </c:pt>
                <c:pt idx="9">
                  <c:v>5.3304356707675513E-2</c:v>
                </c:pt>
                <c:pt idx="10">
                  <c:v>5.032972593220375E-2</c:v>
                </c:pt>
                <c:pt idx="11">
                  <c:v>5.0998582301993403E-2</c:v>
                </c:pt>
                <c:pt idx="12">
                  <c:v>4.7762162301515677E-2</c:v>
                </c:pt>
                <c:pt idx="13">
                  <c:v>4.296545508768123E-2</c:v>
                </c:pt>
                <c:pt idx="14">
                  <c:v>4.2653911966868227E-2</c:v>
                </c:pt>
                <c:pt idx="15">
                  <c:v>4.2806229941018722E-2</c:v>
                </c:pt>
                <c:pt idx="16">
                  <c:v>3.962967581878496E-2</c:v>
                </c:pt>
                <c:pt idx="17">
                  <c:v>3.5075357471985071E-2</c:v>
                </c:pt>
                <c:pt idx="18">
                  <c:v>2.6729613150869642E-2</c:v>
                </c:pt>
                <c:pt idx="19">
                  <c:v>2.2222499797661385E-2</c:v>
                </c:pt>
                <c:pt idx="20">
                  <c:v>1.8859142770732258E-2</c:v>
                </c:pt>
                <c:pt idx="21">
                  <c:v>1.5321812481068384E-2</c:v>
                </c:pt>
                <c:pt idx="22">
                  <c:v>1.0761465596017301E-2</c:v>
                </c:pt>
                <c:pt idx="23">
                  <c:v>7.7556733769254971E-3</c:v>
                </c:pt>
                <c:pt idx="24">
                  <c:v>4.9012548903185583E-3</c:v>
                </c:pt>
                <c:pt idx="25">
                  <c:v>3.162811405475887E-3</c:v>
                </c:pt>
                <c:pt idx="26">
                  <c:v>2.3915451887059139E-3</c:v>
                </c:pt>
              </c:numCache>
            </c:numRef>
          </c:val>
          <c:smooth val="0"/>
          <c:extLst>
            <c:ext xmlns:c16="http://schemas.microsoft.com/office/drawing/2014/chart" uri="{C3380CC4-5D6E-409C-BE32-E72D297353CC}">
              <c16:uniqueId val="{00000000-97E4-4E29-97A5-664774E98ECC}"/>
            </c:ext>
          </c:extLst>
        </c:ser>
        <c:dLbls>
          <c:showLegendKey val="0"/>
          <c:showVal val="0"/>
          <c:showCatName val="0"/>
          <c:showSerName val="0"/>
          <c:showPercent val="0"/>
          <c:showBubbleSize val="0"/>
        </c:dLbls>
        <c:marker val="1"/>
        <c:smooth val="0"/>
        <c:axId val="798823680"/>
        <c:axId val="798821056"/>
      </c:lineChart>
      <c:catAx>
        <c:axId val="79882368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21056"/>
        <c:crosses val="autoZero"/>
        <c:auto val="1"/>
        <c:lblAlgn val="ctr"/>
        <c:lblOffset val="100"/>
        <c:noMultiLvlLbl val="0"/>
      </c:catAx>
      <c:valAx>
        <c:axId val="7988210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2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Actual</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'W+cov (AP+R+BB)'!$D$16:$D$42</c:f>
              <c:numCache>
                <c:formatCode>General</c:formatCode>
                <c:ptCount val="27"/>
                <c:pt idx="0">
                  <c:v>1375</c:v>
                </c:pt>
                <c:pt idx="1">
                  <c:v>1102</c:v>
                </c:pt>
                <c:pt idx="2">
                  <c:v>1152</c:v>
                </c:pt>
                <c:pt idx="3">
                  <c:v>1247</c:v>
                </c:pt>
                <c:pt idx="4">
                  <c:v>1639</c:v>
                </c:pt>
                <c:pt idx="5">
                  <c:v>2576</c:v>
                </c:pt>
                <c:pt idx="6">
                  <c:v>2976</c:v>
                </c:pt>
                <c:pt idx="7">
                  <c:v>2529</c:v>
                </c:pt>
                <c:pt idx="8">
                  <c:v>2421</c:v>
                </c:pt>
                <c:pt idx="9">
                  <c:v>2385</c:v>
                </c:pt>
                <c:pt idx="10">
                  <c:v>2630</c:v>
                </c:pt>
                <c:pt idx="11">
                  <c:v>2794</c:v>
                </c:pt>
                <c:pt idx="12">
                  <c:v>2700</c:v>
                </c:pt>
                <c:pt idx="13">
                  <c:v>3170</c:v>
                </c:pt>
                <c:pt idx="14">
                  <c:v>2567</c:v>
                </c:pt>
                <c:pt idx="15">
                  <c:v>3409</c:v>
                </c:pt>
                <c:pt idx="16">
                  <c:v>3070</c:v>
                </c:pt>
                <c:pt idx="17">
                  <c:v>3182</c:v>
                </c:pt>
                <c:pt idx="18">
                  <c:v>2706</c:v>
                </c:pt>
                <c:pt idx="19">
                  <c:v>1890</c:v>
                </c:pt>
                <c:pt idx="20">
                  <c:v>1623</c:v>
                </c:pt>
                <c:pt idx="21">
                  <c:v>1587</c:v>
                </c:pt>
                <c:pt idx="22">
                  <c:v>1507</c:v>
                </c:pt>
                <c:pt idx="23">
                  <c:v>1300</c:v>
                </c:pt>
                <c:pt idx="24">
                  <c:v>1127</c:v>
                </c:pt>
                <c:pt idx="25">
                  <c:v>997</c:v>
                </c:pt>
                <c:pt idx="26">
                  <c:v>834</c:v>
                </c:pt>
              </c:numCache>
            </c:numRef>
          </c:val>
          <c:smooth val="0"/>
          <c:extLst>
            <c:ext xmlns:c16="http://schemas.microsoft.com/office/drawing/2014/chart" uri="{C3380CC4-5D6E-409C-BE32-E72D297353CC}">
              <c16:uniqueId val="{00000000-6B3A-48B4-8168-C68D041A8080}"/>
            </c:ext>
          </c:extLst>
        </c:ser>
        <c:ser>
          <c:idx val="1"/>
          <c:order val="1"/>
          <c:tx>
            <c:v>Expected</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'W+cov (AP+R+BB)'!$K$16:$K$42</c:f>
              <c:numCache>
                <c:formatCode>_(* #,##0_);_(* \(#,##0\);_(* "-"??_);_(@_)</c:formatCode>
                <c:ptCount val="27"/>
                <c:pt idx="0">
                  <c:v>1384.1597888750057</c:v>
                </c:pt>
                <c:pt idx="1">
                  <c:v>1075.879594270024</c:v>
                </c:pt>
                <c:pt idx="2">
                  <c:v>1079.3294934111073</c:v>
                </c:pt>
                <c:pt idx="3">
                  <c:v>1455.7260465324794</c:v>
                </c:pt>
                <c:pt idx="4">
                  <c:v>1874.3816618921883</c:v>
                </c:pt>
                <c:pt idx="5">
                  <c:v>2378.6647952343646</c:v>
                </c:pt>
                <c:pt idx="6">
                  <c:v>2858.6393717865194</c:v>
                </c:pt>
                <c:pt idx="7">
                  <c:v>2188.3023205596874</c:v>
                </c:pt>
                <c:pt idx="8">
                  <c:v>2357.9643787141522</c:v>
                </c:pt>
                <c:pt idx="9">
                  <c:v>2448.8497285629965</c:v>
                </c:pt>
                <c:pt idx="10">
                  <c:v>2612.0176890461844</c:v>
                </c:pt>
                <c:pt idx="11">
                  <c:v>2936.2013018277357</c:v>
                </c:pt>
                <c:pt idx="12">
                  <c:v>3003.5441762237606</c:v>
                </c:pt>
                <c:pt idx="13">
                  <c:v>2917.9814339114419</c:v>
                </c:pt>
                <c:pt idx="14">
                  <c:v>3094.676717897506</c:v>
                </c:pt>
                <c:pt idx="15">
                  <c:v>3278.1097575827007</c:v>
                </c:pt>
                <c:pt idx="16">
                  <c:v>3173.2605149843366</c:v>
                </c:pt>
                <c:pt idx="17">
                  <c:v>2921.1238826676636</c:v>
                </c:pt>
                <c:pt idx="18">
                  <c:v>2315.3607683071241</c:v>
                </c:pt>
                <c:pt idx="19">
                  <c:v>2005.8503521051316</c:v>
                </c:pt>
                <c:pt idx="20">
                  <c:v>1773.080936989405</c:v>
                </c:pt>
                <c:pt idx="21">
                  <c:v>1500.5516099674132</c:v>
                </c:pt>
                <c:pt idx="22">
                  <c:v>1100.64716301304</c:v>
                </c:pt>
                <c:pt idx="23">
                  <c:v>831.09530975753296</c:v>
                </c:pt>
                <c:pt idx="24">
                  <c:v>551.75226958616986</c:v>
                </c:pt>
                <c:pt idx="25">
                  <c:v>374.83223085277132</c:v>
                </c:pt>
                <c:pt idx="26">
                  <c:v>298.46187963935517</c:v>
                </c:pt>
              </c:numCache>
            </c:numRef>
          </c:val>
          <c:smooth val="0"/>
          <c:extLst>
            <c:ext xmlns:c16="http://schemas.microsoft.com/office/drawing/2014/chart" uri="{C3380CC4-5D6E-409C-BE32-E72D297353CC}">
              <c16:uniqueId val="{00000001-6B3A-48B4-8168-C68D041A8080}"/>
            </c:ext>
          </c:extLst>
        </c:ser>
        <c:dLbls>
          <c:showLegendKey val="0"/>
          <c:showVal val="0"/>
          <c:showCatName val="0"/>
          <c:showSerName val="0"/>
          <c:showPercent val="0"/>
          <c:showBubbleSize val="0"/>
        </c:dLbls>
        <c:marker val="1"/>
        <c:smooth val="0"/>
        <c:axId val="968114920"/>
        <c:axId val="968117872"/>
      </c:lineChart>
      <c:catAx>
        <c:axId val="9681149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117872"/>
        <c:crosses val="autoZero"/>
        <c:auto val="1"/>
        <c:lblAlgn val="ctr"/>
        <c:lblOffset val="100"/>
        <c:noMultiLvlLbl val="0"/>
      </c:catAx>
      <c:valAx>
        <c:axId val="9681178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114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weekly sales and airplay</a:t>
            </a:r>
          </a:p>
        </c:rich>
      </c:tx>
      <c:overlay val="0"/>
      <c:spPr>
        <a:noFill/>
        <a:ln w="25400">
          <a:noFill/>
        </a:ln>
      </c:spPr>
    </c:title>
    <c:autoTitleDeleted val="0"/>
    <c:plotArea>
      <c:layout/>
      <c:lineChart>
        <c:grouping val="standard"/>
        <c:varyColors val="0"/>
        <c:ser>
          <c:idx val="0"/>
          <c:order val="0"/>
          <c:tx>
            <c:strRef>
              <c:f>'W (Jan 1)'!$D$15</c:f>
              <c:strCache>
                <c:ptCount val="1"/>
                <c:pt idx="0">
                  <c:v>Incr_Sales</c:v>
                </c:pt>
              </c:strCache>
            </c:strRef>
          </c:tx>
          <c:spPr>
            <a:ln w="25400">
              <a:solidFill>
                <a:srgbClr val="000080"/>
              </a:solidFill>
              <a:prstDash val="solid"/>
            </a:ln>
          </c:spPr>
          <c:marker>
            <c:symbol val="none"/>
          </c:marker>
          <c:cat>
            <c:numRef>
              <c:f>'W (Jan 1)'!$A$17:$A$62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'W (Jan 1)'!$D$37:$D$62</c:f>
              <c:numCache>
                <c:formatCode>General</c:formatCode>
                <c:ptCount val="26"/>
              </c:numCache>
            </c:numRef>
          </c:val>
          <c:smooth val="0"/>
          <c:extLst>
            <c:ext xmlns:c16="http://schemas.microsoft.com/office/drawing/2014/chart" uri="{C3380CC4-5D6E-409C-BE32-E72D297353CC}">
              <c16:uniqueId val="{00000000-B871-4D01-B2CF-A924039C33DA}"/>
            </c:ext>
          </c:extLst>
        </c:ser>
        <c:ser>
          <c:idx val="1"/>
          <c:order val="1"/>
          <c:tx>
            <c:strRef>
              <c:f>'W+cov (1)'!#REF!</c:f>
              <c:strCache>
                <c:ptCount val="1"/>
                <c:pt idx="0">
                  <c:v>#REF!</c:v>
                </c:pt>
              </c:strCache>
            </c:strRef>
          </c:tx>
          <c:spPr>
            <a:ln w="25400">
              <a:solidFill>
                <a:srgbClr val="FF00FF"/>
              </a:solidFill>
              <a:prstDash val="solid"/>
            </a:ln>
          </c:spPr>
          <c:marker>
            <c:symbol val="none"/>
          </c:marker>
          <c:cat>
            <c:numRef>
              <c:f>'W (Jan 1)'!$A$17:$A$62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W!#REF!</c:f>
              <c:numCache>
                <c:formatCode>General</c:formatCode>
                <c:ptCount val="1"/>
                <c:pt idx="0">
                  <c:v>1</c:v>
                </c:pt>
              </c:numCache>
            </c:numRef>
          </c:val>
          <c:smooth val="0"/>
          <c:extLst>
            <c:ext xmlns:c16="http://schemas.microsoft.com/office/drawing/2014/chart" uri="{C3380CC4-5D6E-409C-BE32-E72D297353CC}">
              <c16:uniqueId val="{00000001-B871-4D01-B2CF-A924039C33DA}"/>
            </c:ext>
          </c:extLst>
        </c:ser>
        <c:dLbls>
          <c:showLegendKey val="0"/>
          <c:showVal val="0"/>
          <c:showCatName val="0"/>
          <c:showSerName val="0"/>
          <c:showPercent val="0"/>
          <c:showBubbleSize val="0"/>
        </c:dLbls>
        <c:smooth val="0"/>
        <c:axId val="175171840"/>
        <c:axId val="175174016"/>
      </c:lineChart>
      <c:catAx>
        <c:axId val="17517184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174016"/>
        <c:crosses val="autoZero"/>
        <c:auto val="0"/>
        <c:lblAlgn val="ctr"/>
        <c:lblOffset val="100"/>
        <c:tickLblSkip val="132"/>
        <c:tickMarkSkip val="1"/>
        <c:noMultiLvlLbl val="0"/>
      </c:catAx>
      <c:valAx>
        <c:axId val="17517401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sales/airplay</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17184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genuine forecasts</a:t>
            </a:r>
          </a:p>
        </c:rich>
      </c:tx>
      <c:overlay val="0"/>
      <c:spPr>
        <a:noFill/>
        <a:ln w="25400">
          <a:noFill/>
        </a:ln>
      </c:spPr>
    </c:title>
    <c:autoTitleDeleted val="0"/>
    <c:plotArea>
      <c:layout/>
      <c:lineChart>
        <c:grouping val="standard"/>
        <c:varyColors val="0"/>
        <c:ser>
          <c:idx val="0"/>
          <c:order val="0"/>
          <c:spPr>
            <a:ln w="25400">
              <a:solidFill>
                <a:srgbClr val="FF00FF"/>
              </a:solidFill>
              <a:prstDash val="solid"/>
            </a:ln>
          </c:spPr>
          <c:marker>
            <c:symbol val="none"/>
          </c:marker>
          <c:cat>
            <c:numRef>
              <c:f>'W (Jan 1)'!$A$17:$A$62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65"/>
                <c:pt idx="0">
                  <c:v>5224.4217589694226</c:v>
                </c:pt>
                <c:pt idx="1">
                  <c:v>10420.095805764095</c:v>
                </c:pt>
                <c:pt idx="2">
                  <c:v>15587.180326494108</c:v>
                </c:pt>
                <c:pt idx="3">
                  <c:v>20725.832636840245</c:v>
                </c:pt>
                <c:pt idx="4">
                  <c:v>25836.209186844131</c:v>
                </c:pt>
                <c:pt idx="5">
                  <c:v>30918.465565670696</c:v>
                </c:pt>
                <c:pt idx="6">
                  <c:v>35972.756506346028</c:v>
                </c:pt>
                <c:pt idx="7">
                  <c:v>40999.235890467557</c:v>
                </c:pt>
                <c:pt idx="8">
                  <c:v>45998.05675288973</c:v>
                </c:pt>
                <c:pt idx="9">
                  <c:v>50969.371286382971</c:v>
                </c:pt>
                <c:pt idx="10">
                  <c:v>55913.330846267076</c:v>
                </c:pt>
                <c:pt idx="11">
                  <c:v>60830.085955019866</c:v>
                </c:pt>
                <c:pt idx="12">
                  <c:v>65719.786306859693</c:v>
                </c:pt>
                <c:pt idx="13">
                  <c:v>70582.580772302666</c:v>
                </c:pt>
                <c:pt idx="14">
                  <c:v>75418.617402695774</c:v>
                </c:pt>
                <c:pt idx="15">
                  <c:v>80228.043434723877</c:v>
                </c:pt>
                <c:pt idx="16">
                  <c:v>85011.005294892748</c:v>
                </c:pt>
                <c:pt idx="17">
                  <c:v>89767.648603987065</c:v>
                </c:pt>
                <c:pt idx="18">
                  <c:v>94498.118181503552</c:v>
                </c:pt>
                <c:pt idx="19">
                  <c:v>99202.558050060892</c:v>
                </c:pt>
                <c:pt idx="20">
                  <c:v>103881.11143978406</c:v>
                </c:pt>
                <c:pt idx="21">
                  <c:v>108533.920792665</c:v>
                </c:pt>
                <c:pt idx="22">
                  <c:v>113161.12776689969</c:v>
                </c:pt>
                <c:pt idx="23">
                  <c:v>117762.87324120097</c:v>
                </c:pt>
                <c:pt idx="24">
                  <c:v>122339.29731908746</c:v>
                </c:pt>
                <c:pt idx="25">
                  <c:v>126890.53933314937</c:v>
                </c:pt>
                <c:pt idx="26">
                  <c:v>131416.73784929057</c:v>
                </c:pt>
                <c:pt idx="27">
                  <c:v>135918.03067094708</c:v>
                </c:pt>
                <c:pt idx="28">
                  <c:v>140394.55484328285</c:v>
                </c:pt>
                <c:pt idx="29">
                  <c:v>144846.44665736225</c:v>
                </c:pt>
                <c:pt idx="30">
                  <c:v>149273.84165429918</c:v>
                </c:pt>
                <c:pt idx="31">
                  <c:v>153676.87462938423</c:v>
                </c:pt>
                <c:pt idx="32">
                  <c:v>158055.67963618806</c:v>
                </c:pt>
                <c:pt idx="33">
                  <c:v>162410.38999064319</c:v>
                </c:pt>
                <c:pt idx="34">
                  <c:v>166741.13827510292</c:v>
                </c:pt>
                <c:pt idx="35">
                  <c:v>171048.05634237741</c:v>
                </c:pt>
                <c:pt idx="36">
                  <c:v>175331.2753197487</c:v>
                </c:pt>
                <c:pt idx="37">
                  <c:v>179590.92561296254</c:v>
                </c:pt>
                <c:pt idx="38">
                  <c:v>183827.13691019849</c:v>
                </c:pt>
                <c:pt idx="39">
                  <c:v>188040.03818601923</c:v>
                </c:pt>
                <c:pt idx="40">
                  <c:v>192229.75770529616</c:v>
                </c:pt>
                <c:pt idx="41">
                  <c:v>196396.42302711552</c:v>
                </c:pt>
                <c:pt idx="42">
                  <c:v>200540.16100866138</c:v>
                </c:pt>
                <c:pt idx="43">
                  <c:v>204661.09780907811</c:v>
                </c:pt>
                <c:pt idx="44">
                  <c:v>208759.35889331135</c:v>
                </c:pt>
                <c:pt idx="45">
                  <c:v>212835.0690359282</c:v>
                </c:pt>
                <c:pt idx="46">
                  <c:v>216888.35232491541</c:v>
                </c:pt>
                <c:pt idx="47">
                  <c:v>220919.33216545792</c:v>
                </c:pt>
                <c:pt idx="48">
                  <c:v>224928.13128369578</c:v>
                </c:pt>
                <c:pt idx="49">
                  <c:v>228914.87173046058</c:v>
                </c:pt>
                <c:pt idx="50">
                  <c:v>232879.67488499157</c:v>
                </c:pt>
                <c:pt idx="51">
                  <c:v>236822.66145863105</c:v>
                </c:pt>
                <c:pt idx="52">
                  <c:v>240743.95149849943</c:v>
                </c:pt>
                <c:pt idx="53">
                  <c:v>244643.6643911502</c:v>
                </c:pt>
                <c:pt idx="54">
                  <c:v>248521.91886620491</c:v>
                </c:pt>
                <c:pt idx="55">
                  <c:v>252378.83299996777</c:v>
                </c:pt>
                <c:pt idx="56">
                  <c:v>256214.52421902039</c:v>
                </c:pt>
                <c:pt idx="57">
                  <c:v>260029.10930379757</c:v>
                </c:pt>
                <c:pt idx="58">
                  <c:v>263822.70439214213</c:v>
                </c:pt>
                <c:pt idx="59">
                  <c:v>267595.42498284113</c:v>
                </c:pt>
                <c:pt idx="60">
                  <c:v>271347.38593914203</c:v>
                </c:pt>
                <c:pt idx="61">
                  <c:v>275078.7014922502</c:v>
                </c:pt>
                <c:pt idx="62">
                  <c:v>278789.48524480656</c:v>
                </c:pt>
                <c:pt idx="63">
                  <c:v>282479.85017434612</c:v>
                </c:pt>
                <c:pt idx="64">
                  <c:v>286149.90863673808</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0-DCC9-4F87-AEEB-922AB39BA4FF}"/>
            </c:ext>
          </c:extLst>
        </c:ser>
        <c:ser>
          <c:idx val="1"/>
          <c:order val="1"/>
          <c:spPr>
            <a:ln w="25400">
              <a:solidFill>
                <a:srgbClr val="008000"/>
              </a:solidFill>
              <a:prstDash val="solid"/>
            </a:ln>
          </c:spPr>
          <c:marker>
            <c:symbol val="none"/>
          </c:marker>
          <c:cat>
            <c:numRef>
              <c:f>'W (Jan 1)'!$A$17:$A$62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65"/>
                <c:pt idx="0">
                  <c:v>5337.8599834530414</c:v>
                </c:pt>
                <c:pt idx="1">
                  <c:v>10635.213722550718</c:v>
                </c:pt>
                <c:pt idx="2">
                  <c:v>15892.601184708477</c:v>
                </c:pt>
                <c:pt idx="3">
                  <c:v>21110.55207449153</c:v>
                </c:pt>
                <c:pt idx="4">
                  <c:v>26289.58608625942</c:v>
                </c:pt>
                <c:pt idx="5">
                  <c:v>31430.213149191033</c:v>
                </c:pt>
                <c:pt idx="6">
                  <c:v>36532.933664959797</c:v>
                </c:pt>
                <c:pt idx="7">
                  <c:v>41598.238738319917</c:v>
                </c:pt>
                <c:pt idx="8">
                  <c:v>46626.610400853031</c:v>
                </c:pt>
                <c:pt idx="9">
                  <c:v>51618.521828118544</c:v>
                </c:pt>
                <c:pt idx="10">
                  <c:v>56574.437550431008</c:v>
                </c:pt>
                <c:pt idx="11">
                  <c:v>61494.813657491432</c:v>
                </c:pt>
                <c:pt idx="12">
                  <c:v>66380.097997082339</c:v>
                </c:pt>
                <c:pt idx="13">
                  <c:v>71230.730368030068</c:v>
                </c:pt>
                <c:pt idx="14">
                  <c:v>76047.142707627907</c:v>
                </c:pt>
                <c:pt idx="15">
                  <c:v>80829.759273713717</c:v>
                </c:pt>
                <c:pt idx="16">
                  <c:v>85578.996821573106</c:v>
                </c:pt>
                <c:pt idx="17">
                  <c:v>90295.264775854594</c:v>
                </c:pt>
                <c:pt idx="18">
                  <c:v>94978.965397647946</c:v>
                </c:pt>
                <c:pt idx="19">
                  <c:v>99630.493946900606</c:v>
                </c:pt>
                <c:pt idx="20">
                  <c:v>104250.23884031737</c:v>
                </c:pt>
                <c:pt idx="21">
                  <c:v>108838.58180489393</c:v>
                </c:pt>
                <c:pt idx="22">
                  <c:v>113395.89802722905</c:v>
                </c:pt>
                <c:pt idx="23">
                  <c:v>117922.55629874914</c:v>
                </c:pt>
                <c:pt idx="24">
                  <c:v>122418.91915698122</c:v>
                </c:pt>
                <c:pt idx="25">
                  <c:v>126885.34302299759</c:v>
                </c:pt>
                <c:pt idx="26">
                  <c:v>131322.17833515958</c:v>
                </c:pt>
                <c:pt idx="27">
                  <c:v>135729.76967927342</c:v>
                </c:pt>
                <c:pt idx="28">
                  <c:v>140108.45591527323</c:v>
                </c:pt>
                <c:pt idx="29">
                  <c:v>144458.57030054598</c:v>
                </c:pt>
                <c:pt idx="30">
                  <c:v>148780.44060999496</c:v>
                </c:pt>
                <c:pt idx="31">
                  <c:v>153074.38925294904</c:v>
                </c:pt>
                <c:pt idx="32">
                  <c:v>157340.73338701771</c:v>
                </c:pt>
                <c:pt idx="33">
                  <c:v>161579.78502897974</c:v>
                </c:pt>
                <c:pt idx="34">
                  <c:v>165791.85116280272</c:v>
                </c:pt>
                <c:pt idx="35">
                  <c:v>170644.09835148463</c:v>
                </c:pt>
                <c:pt idx="36">
                  <c:v>175460.90841741636</c:v>
                </c:pt>
                <c:pt idx="37">
                  <c:v>180242.73609641616</c:v>
                </c:pt>
                <c:pt idx="38">
                  <c:v>184990.02780267669</c:v>
                </c:pt>
                <c:pt idx="39">
                  <c:v>189055.42271100107</c:v>
                </c:pt>
                <c:pt idx="40">
                  <c:v>193095.75015619418</c:v>
                </c:pt>
                <c:pt idx="41">
                  <c:v>197111.28195723804</c:v>
                </c:pt>
                <c:pt idx="42">
                  <c:v>201102.28572613787</c:v>
                </c:pt>
                <c:pt idx="43">
                  <c:v>205069.02495234559</c:v>
                </c:pt>
                <c:pt idx="44">
                  <c:v>209011.75908510594</c:v>
                </c:pt>
                <c:pt idx="45">
                  <c:v>212930.74361378362</c:v>
                </c:pt>
                <c:pt idx="46">
                  <c:v>216826.23014623381</c:v>
                </c:pt>
                <c:pt idx="47">
                  <c:v>220698.46648526614</c:v>
                </c:pt>
                <c:pt idx="48">
                  <c:v>224547.6967032649</c:v>
                </c:pt>
                <c:pt idx="49">
                  <c:v>228374.16121501286</c:v>
                </c:pt>
                <c:pt idx="50">
                  <c:v>232178.09684876766</c:v>
                </c:pt>
                <c:pt idx="51">
                  <c:v>235959.73691564874</c:v>
                </c:pt>
                <c:pt idx="52">
                  <c:v>239719.31127737579</c:v>
                </c:pt>
                <c:pt idx="53">
                  <c:v>243457.0464124034</c:v>
                </c:pt>
                <c:pt idx="54">
                  <c:v>247173.16548050562</c:v>
                </c:pt>
                <c:pt idx="55">
                  <c:v>250867.88838584229</c:v>
                </c:pt>
                <c:pt idx="56">
                  <c:v>254541.43183855992</c:v>
                </c:pt>
                <c:pt idx="57">
                  <c:v>258194.00941495819</c:v>
                </c:pt>
                <c:pt idx="58">
                  <c:v>261825.83161626881</c:v>
                </c:pt>
                <c:pt idx="59">
                  <c:v>265437.10592608119</c:v>
                </c:pt>
                <c:pt idx="60">
                  <c:v>269028.03686644981</c:v>
                </c:pt>
                <c:pt idx="61">
                  <c:v>272598.82605272526</c:v>
                </c:pt>
                <c:pt idx="62">
                  <c:v>276149.67224713636</c:v>
                </c:pt>
                <c:pt idx="63">
                  <c:v>279680.77141116234</c:v>
                </c:pt>
                <c:pt idx="64">
                  <c:v>283192.31675672519</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1-DCC9-4F87-AEEB-922AB39BA4FF}"/>
            </c:ext>
          </c:extLst>
        </c:ser>
        <c:ser>
          <c:idx val="2"/>
          <c:order val="2"/>
          <c:spPr>
            <a:ln w="12700">
              <a:solidFill>
                <a:srgbClr val="000080"/>
              </a:solidFill>
              <a:prstDash val="solid"/>
            </a:ln>
          </c:spPr>
          <c:marker>
            <c:symbol val="diamond"/>
            <c:size val="5"/>
            <c:spPr>
              <a:solidFill>
                <a:srgbClr val="000080"/>
              </a:solidFill>
              <a:ln>
                <a:solidFill>
                  <a:srgbClr val="000080"/>
                </a:solidFill>
                <a:prstDash val="solid"/>
              </a:ln>
            </c:spPr>
          </c:marker>
          <c:cat>
            <c:numRef>
              <c:f>'W (Jan 1)'!$A$17:$A$62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2-DCC9-4F87-AEEB-922AB39BA4FF}"/>
            </c:ext>
          </c:extLst>
        </c:ser>
        <c:dLbls>
          <c:showLegendKey val="0"/>
          <c:showVal val="0"/>
          <c:showCatName val="0"/>
          <c:showSerName val="0"/>
          <c:showPercent val="0"/>
          <c:showBubbleSize val="0"/>
        </c:dLbls>
        <c:smooth val="0"/>
        <c:axId val="174883968"/>
        <c:axId val="174899200"/>
      </c:lineChart>
      <c:catAx>
        <c:axId val="17488396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899200"/>
        <c:crosses val="autoZero"/>
        <c:auto val="0"/>
        <c:lblAlgn val="ctr"/>
        <c:lblOffset val="100"/>
        <c:tickLblSkip val="192"/>
        <c:tickMarkSkip val="1"/>
        <c:noMultiLvlLbl val="0"/>
      </c:catAx>
      <c:valAx>
        <c:axId val="174899200"/>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883968"/>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early projections</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'Dink (D)'!$A$2:$A$45</c:f>
              <c:numCache>
                <c:formatCode>m/d/yyyy</c:formatCode>
                <c:ptCount val="44"/>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2704-4156-8F7E-A2EF900ADD93}"/>
            </c:ext>
          </c:extLst>
        </c:ser>
        <c:ser>
          <c:idx val="1"/>
          <c:order val="1"/>
          <c:spPr>
            <a:ln w="25400">
              <a:solidFill>
                <a:srgbClr val="FF00FF"/>
              </a:solidFill>
              <a:prstDash val="solid"/>
            </a:ln>
          </c:spPr>
          <c:marker>
            <c:symbol val="none"/>
          </c:marker>
          <c:cat>
            <c:numRef>
              <c:f>'Dink (D)'!$A$2:$A$45</c:f>
              <c:numCache>
                <c:formatCode>m/d/yyyy</c:formatCode>
                <c:ptCount val="44"/>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6205.5970060675982</c:v>
                </c:pt>
                <c:pt idx="1">
                  <c:v>12398.357534068038</c:v>
                </c:pt>
                <c:pt idx="2">
                  <c:v>18578.30813667105</c:v>
                </c:pt>
                <c:pt idx="3">
                  <c:v>24745.475311621969</c:v>
                </c:pt>
                <c:pt idx="4">
                  <c:v>30899.885501853631</c:v>
                </c:pt>
                <c:pt idx="5">
                  <c:v>37041.565095601967</c:v>
                </c:pt>
                <c:pt idx="6">
                  <c:v>43170.540426517247</c:v>
                </c:pt>
                <c:pt idx="7">
                  <c:v>49286.837773777959</c:v>
                </c:pt>
                <c:pt idx="8">
                  <c:v>55390.483362203093</c:v>
                </c:pt>
                <c:pt idx="9">
                  <c:v>61481.503362365023</c:v>
                </c:pt>
                <c:pt idx="10">
                  <c:v>67559.923890701422</c:v>
                </c:pt>
                <c:pt idx="11">
                  <c:v>73625.771009626857</c:v>
                </c:pt>
                <c:pt idx="12">
                  <c:v>79679.070727645681</c:v>
                </c:pt>
                <c:pt idx="13">
                  <c:v>85719.848999461945</c:v>
                </c:pt>
                <c:pt idx="14">
                  <c:v>91748.13172609231</c:v>
                </c:pt>
                <c:pt idx="15">
                  <c:v>97763.944754976299</c:v>
                </c:pt>
                <c:pt idx="16">
                  <c:v>103767.31388008619</c:v>
                </c:pt>
                <c:pt idx="17">
                  <c:v>109758.26484203999</c:v>
                </c:pt>
                <c:pt idx="18">
                  <c:v>115736.82332820923</c:v>
                </c:pt>
                <c:pt idx="19">
                  <c:v>121703.01497283098</c:v>
                </c:pt>
                <c:pt idx="20">
                  <c:v>127656.86535711707</c:v>
                </c:pt>
                <c:pt idx="21">
                  <c:v>133598.40000936363</c:v>
                </c:pt>
                <c:pt idx="22">
                  <c:v>139527.64440506004</c:v>
                </c:pt>
                <c:pt idx="23">
                  <c:v>145444.62396699988</c:v>
                </c:pt>
                <c:pt idx="24">
                  <c:v>151349.36406538801</c:v>
                </c:pt>
                <c:pt idx="25">
                  <c:v>157241.89001795073</c:v>
                </c:pt>
                <c:pt idx="26">
                  <c:v>163122.22709004386</c:v>
                </c:pt>
                <c:pt idx="27">
                  <c:v>168990.40049476034</c:v>
                </c:pt>
                <c:pt idx="28">
                  <c:v>174846.43539304013</c:v>
                </c:pt>
                <c:pt idx="29">
                  <c:v>180690.35689377555</c:v>
                </c:pt>
                <c:pt idx="30">
                  <c:v>186522.19005392145</c:v>
                </c:pt>
                <c:pt idx="31">
                  <c:v>192341.95987860113</c:v>
                </c:pt>
                <c:pt idx="32">
                  <c:v>198149.69132121396</c:v>
                </c:pt>
                <c:pt idx="33">
                  <c:v>203945.40928354289</c:v>
                </c:pt>
                <c:pt idx="34">
                  <c:v>209729.1386158604</c:v>
                </c:pt>
                <c:pt idx="35">
                  <c:v>215500.90411703481</c:v>
                </c:pt>
                <c:pt idx="36">
                  <c:v>221260.73053463778</c:v>
                </c:pt>
                <c:pt idx="37">
                  <c:v>227008.64256505028</c:v>
                </c:pt>
                <c:pt idx="38">
                  <c:v>232744.6648535667</c:v>
                </c:pt>
                <c:pt idx="39">
                  <c:v>238468.82199450338</c:v>
                </c:pt>
                <c:pt idx="40">
                  <c:v>244181.1385313012</c:v>
                </c:pt>
                <c:pt idx="41">
                  <c:v>249881.63895663273</c:v>
                </c:pt>
                <c:pt idx="42">
                  <c:v>255570.34771250674</c:v>
                </c:pt>
                <c:pt idx="43">
                  <c:v>261247.28919037309</c:v>
                </c:pt>
                <c:pt idx="44">
                  <c:v>266912.48773122631</c:v>
                </c:pt>
                <c:pt idx="45">
                  <c:v>272565.96762571164</c:v>
                </c:pt>
                <c:pt idx="46">
                  <c:v>278207.75311422796</c:v>
                </c:pt>
                <c:pt idx="47">
                  <c:v>283837.86838703218</c:v>
                </c:pt>
                <c:pt idx="48">
                  <c:v>289456.33758434275</c:v>
                </c:pt>
                <c:pt idx="49">
                  <c:v>295063.18479644344</c:v>
                </c:pt>
                <c:pt idx="50">
                  <c:v>300658.43406378658</c:v>
                </c:pt>
                <c:pt idx="51">
                  <c:v>306242.10937709583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2704-4156-8F7E-A2EF900ADD93}"/>
            </c:ext>
          </c:extLst>
        </c:ser>
        <c:ser>
          <c:idx val="2"/>
          <c:order val="2"/>
          <c:spPr>
            <a:ln w="25400">
              <a:solidFill>
                <a:srgbClr val="008000"/>
              </a:solidFill>
              <a:prstDash val="solid"/>
            </a:ln>
          </c:spPr>
          <c:marker>
            <c:symbol val="none"/>
          </c:marker>
          <c:cat>
            <c:numRef>
              <c:f>'Dink (D)'!$A$2:$A$45</c:f>
              <c:numCache>
                <c:formatCode>m/d/yyyy</c:formatCode>
                <c:ptCount val="44"/>
                <c:pt idx="0">
                  <c:v>34658</c:v>
                </c:pt>
                <c:pt idx="1">
                  <c:v>34665</c:v>
                </c:pt>
                <c:pt idx="2">
                  <c:v>34672</c:v>
                </c:pt>
                <c:pt idx="3">
                  <c:v>34679</c:v>
                </c:pt>
                <c:pt idx="4">
                  <c:v>34686</c:v>
                </c:pt>
                <c:pt idx="5">
                  <c:v>34693</c:v>
                </c:pt>
                <c:pt idx="6">
                  <c:v>34700</c:v>
                </c:pt>
                <c:pt idx="7">
                  <c:v>34707</c:v>
                </c:pt>
                <c:pt idx="8">
                  <c:v>34714</c:v>
                </c:pt>
                <c:pt idx="9">
                  <c:v>34721</c:v>
                </c:pt>
                <c:pt idx="10">
                  <c:v>34728</c:v>
                </c:pt>
                <c:pt idx="11">
                  <c:v>34735</c:v>
                </c:pt>
                <c:pt idx="12">
                  <c:v>34742</c:v>
                </c:pt>
                <c:pt idx="13">
                  <c:v>34749</c:v>
                </c:pt>
                <c:pt idx="14">
                  <c:v>34756</c:v>
                </c:pt>
                <c:pt idx="15">
                  <c:v>34763</c:v>
                </c:pt>
                <c:pt idx="16">
                  <c:v>34770</c:v>
                </c:pt>
                <c:pt idx="17">
                  <c:v>34777</c:v>
                </c:pt>
                <c:pt idx="18">
                  <c:v>34784</c:v>
                </c:pt>
                <c:pt idx="19">
                  <c:v>34791</c:v>
                </c:pt>
                <c:pt idx="20">
                  <c:v>34798</c:v>
                </c:pt>
                <c:pt idx="21">
                  <c:v>34805</c:v>
                </c:pt>
                <c:pt idx="22">
                  <c:v>34812</c:v>
                </c:pt>
                <c:pt idx="23">
                  <c:v>34819</c:v>
                </c:pt>
                <c:pt idx="24">
                  <c:v>34826</c:v>
                </c:pt>
                <c:pt idx="25">
                  <c:v>34833</c:v>
                </c:pt>
                <c:pt idx="26">
                  <c:v>34840</c:v>
                </c:pt>
              </c:numCache>
            </c:numRef>
          </c:cat>
          <c:val>
            <c:numRef>
              <c:f>'Everclear -- Sparkle and Fade'!#REF!</c:f>
              <c:numCache>
                <c:formatCode>General</c:formatCode>
                <c:ptCount val="52"/>
                <c:pt idx="0">
                  <c:v>6236.3185158423876</c:v>
                </c:pt>
                <c:pt idx="1">
                  <c:v>12456.105476353119</c:v>
                </c:pt>
                <c:pt idx="2">
                  <c:v>18659.414150744902</c:v>
                </c:pt>
                <c:pt idx="3">
                  <c:v>24846.297606183398</c:v>
                </c:pt>
                <c:pt idx="4">
                  <c:v>31016.80870865786</c:v>
                </c:pt>
                <c:pt idx="5">
                  <c:v>37171.000123869424</c:v>
                </c:pt>
                <c:pt idx="6">
                  <c:v>43308.924318095407</c:v>
                </c:pt>
                <c:pt idx="7">
                  <c:v>49430.63355905997</c:v>
                </c:pt>
                <c:pt idx="8">
                  <c:v>55536.179916802372</c:v>
                </c:pt>
                <c:pt idx="9">
                  <c:v>61625.615264532033</c:v>
                </c:pt>
                <c:pt idx="10">
                  <c:v>67698.991279486756</c:v>
                </c:pt>
                <c:pt idx="11">
                  <c:v>73756.359443787107</c:v>
                </c:pt>
                <c:pt idx="12">
                  <c:v>79797.771045275076</c:v>
                </c:pt>
                <c:pt idx="13">
                  <c:v>85823.277178370685</c:v>
                </c:pt>
                <c:pt idx="14">
                  <c:v>91832.928744896344</c:v>
                </c:pt>
                <c:pt idx="15">
                  <c:v>97826.776454923878</c:v>
                </c:pt>
                <c:pt idx="16">
                  <c:v>103804.87082759848</c:v>
                </c:pt>
                <c:pt idx="17">
                  <c:v>109767.26219197208</c:v>
                </c:pt>
                <c:pt idx="18">
                  <c:v>115714.00068781502</c:v>
                </c:pt>
                <c:pt idx="19">
                  <c:v>121645.13626644868</c:v>
                </c:pt>
                <c:pt idx="20">
                  <c:v>127560.71869154894</c:v>
                </c:pt>
                <c:pt idx="21">
                  <c:v>133460.79753996443</c:v>
                </c:pt>
                <c:pt idx="22">
                  <c:v>139345.42220251821</c:v>
                </c:pt>
                <c:pt idx="23">
                  <c:v>145214.64188481527</c:v>
                </c:pt>
                <c:pt idx="24">
                  <c:v>151068.50560803665</c:v>
                </c:pt>
                <c:pt idx="25">
                  <c:v>156907.06220974037</c:v>
                </c:pt>
                <c:pt idx="26">
                  <c:v>162730.36034464737</c:v>
                </c:pt>
                <c:pt idx="27">
                  <c:v>168538.44848542986</c:v>
                </c:pt>
                <c:pt idx="28">
                  <c:v>174331.37492349805</c:v>
                </c:pt>
                <c:pt idx="29">
                  <c:v>180109.18776977746</c:v>
                </c:pt>
                <c:pt idx="30">
                  <c:v>185871.93495548383</c:v>
                </c:pt>
                <c:pt idx="31">
                  <c:v>191619.66423289722</c:v>
                </c:pt>
                <c:pt idx="32">
                  <c:v>197352.42317613267</c:v>
                </c:pt>
                <c:pt idx="33">
                  <c:v>203070.25918189669</c:v>
                </c:pt>
                <c:pt idx="34">
                  <c:v>208773.21947025752</c:v>
                </c:pt>
                <c:pt idx="35">
                  <c:v>214461.35108539666</c:v>
                </c:pt>
                <c:pt idx="36">
                  <c:v>220134.70089636612</c:v>
                </c:pt>
                <c:pt idx="37">
                  <c:v>225793.31559783532</c:v>
                </c:pt>
                <c:pt idx="38">
                  <c:v>231437.24171083735</c:v>
                </c:pt>
                <c:pt idx="39">
                  <c:v>237066.52558351649</c:v>
                </c:pt>
                <c:pt idx="40">
                  <c:v>242681.21339185978</c:v>
                </c:pt>
                <c:pt idx="41">
                  <c:v>248281.35114044035</c:v>
                </c:pt>
                <c:pt idx="42">
                  <c:v>253866.98466314361</c:v>
                </c:pt>
                <c:pt idx="43">
                  <c:v>259438.15962389749</c:v>
                </c:pt>
                <c:pt idx="44">
                  <c:v>264994.92151739931</c:v>
                </c:pt>
                <c:pt idx="45">
                  <c:v>270537.31566983397</c:v>
                </c:pt>
                <c:pt idx="46">
                  <c:v>276065.38723959605</c:v>
                </c:pt>
                <c:pt idx="47">
                  <c:v>281579.18121799931</c:v>
                </c:pt>
                <c:pt idx="48">
                  <c:v>287078.74242999242</c:v>
                </c:pt>
                <c:pt idx="49">
                  <c:v>292564.11553486239</c:v>
                </c:pt>
                <c:pt idx="50">
                  <c:v>298035.34502694273</c:v>
                </c:pt>
                <c:pt idx="51">
                  <c:v>303492.47523631272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2704-4156-8F7E-A2EF900ADD93}"/>
            </c:ext>
          </c:extLst>
        </c:ser>
        <c:dLbls>
          <c:showLegendKey val="0"/>
          <c:showVal val="0"/>
          <c:showCatName val="0"/>
          <c:showSerName val="0"/>
          <c:showPercent val="0"/>
          <c:showBubbleSize val="0"/>
        </c:dLbls>
        <c:marker val="1"/>
        <c:smooth val="0"/>
        <c:axId val="174699264"/>
        <c:axId val="174701184"/>
      </c:lineChart>
      <c:catAx>
        <c:axId val="17469926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701184"/>
        <c:crosses val="autoZero"/>
        <c:auto val="0"/>
        <c:lblAlgn val="ctr"/>
        <c:lblOffset val="100"/>
        <c:tickLblSkip val="153"/>
        <c:tickMarkSkip val="1"/>
        <c:noMultiLvlLbl val="0"/>
      </c:catAx>
      <c:valAx>
        <c:axId val="174701184"/>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699264"/>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early projections</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'W (Jan 1)'!$A$17:$A$62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A6DB-45E1-9B6E-CF4428AA22BA}"/>
            </c:ext>
          </c:extLst>
        </c:ser>
        <c:ser>
          <c:idx val="1"/>
          <c:order val="1"/>
          <c:spPr>
            <a:ln w="25400">
              <a:solidFill>
                <a:srgbClr val="FF00FF"/>
              </a:solidFill>
              <a:prstDash val="solid"/>
            </a:ln>
          </c:spPr>
          <c:marker>
            <c:symbol val="none"/>
          </c:marker>
          <c:cat>
            <c:numRef>
              <c:f>'W (Jan 1)'!$A$17:$A$62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6205.5970060675982</c:v>
                </c:pt>
                <c:pt idx="1">
                  <c:v>12398.357534068038</c:v>
                </c:pt>
                <c:pt idx="2">
                  <c:v>18578.30813667105</c:v>
                </c:pt>
                <c:pt idx="3">
                  <c:v>24745.475311621969</c:v>
                </c:pt>
                <c:pt idx="4">
                  <c:v>30899.885501853631</c:v>
                </c:pt>
                <c:pt idx="5">
                  <c:v>37041.565095601967</c:v>
                </c:pt>
                <c:pt idx="6">
                  <c:v>43170.540426517247</c:v>
                </c:pt>
                <c:pt idx="7">
                  <c:v>49286.837773777959</c:v>
                </c:pt>
                <c:pt idx="8">
                  <c:v>55390.483362203093</c:v>
                </c:pt>
                <c:pt idx="9">
                  <c:v>61481.503362365023</c:v>
                </c:pt>
                <c:pt idx="10">
                  <c:v>67559.923890701422</c:v>
                </c:pt>
                <c:pt idx="11">
                  <c:v>73625.771009626857</c:v>
                </c:pt>
                <c:pt idx="12">
                  <c:v>79679.070727645681</c:v>
                </c:pt>
                <c:pt idx="13">
                  <c:v>85719.848999461945</c:v>
                </c:pt>
                <c:pt idx="14">
                  <c:v>91748.13172609231</c:v>
                </c:pt>
                <c:pt idx="15">
                  <c:v>97763.944754976299</c:v>
                </c:pt>
                <c:pt idx="16">
                  <c:v>103767.31388008619</c:v>
                </c:pt>
                <c:pt idx="17">
                  <c:v>109758.26484203999</c:v>
                </c:pt>
                <c:pt idx="18">
                  <c:v>115736.82332820923</c:v>
                </c:pt>
                <c:pt idx="19">
                  <c:v>121703.01497283098</c:v>
                </c:pt>
                <c:pt idx="20">
                  <c:v>127656.86535711707</c:v>
                </c:pt>
                <c:pt idx="21">
                  <c:v>133598.40000936363</c:v>
                </c:pt>
                <c:pt idx="22">
                  <c:v>139527.64440506004</c:v>
                </c:pt>
                <c:pt idx="23">
                  <c:v>145444.62396699988</c:v>
                </c:pt>
                <c:pt idx="24">
                  <c:v>151349.36406538801</c:v>
                </c:pt>
                <c:pt idx="25">
                  <c:v>157241.89001795073</c:v>
                </c:pt>
                <c:pt idx="26">
                  <c:v>163122.22709004386</c:v>
                </c:pt>
                <c:pt idx="27">
                  <c:v>168990.40049476034</c:v>
                </c:pt>
                <c:pt idx="28">
                  <c:v>174846.43539304013</c:v>
                </c:pt>
                <c:pt idx="29">
                  <c:v>180690.35689377555</c:v>
                </c:pt>
                <c:pt idx="30">
                  <c:v>186522.19005392145</c:v>
                </c:pt>
                <c:pt idx="31">
                  <c:v>192341.95987860113</c:v>
                </c:pt>
                <c:pt idx="32">
                  <c:v>198149.69132121396</c:v>
                </c:pt>
                <c:pt idx="33">
                  <c:v>203945.40928354289</c:v>
                </c:pt>
                <c:pt idx="34">
                  <c:v>209729.1386158604</c:v>
                </c:pt>
                <c:pt idx="35">
                  <c:v>215500.90411703481</c:v>
                </c:pt>
                <c:pt idx="36">
                  <c:v>221260.73053463778</c:v>
                </c:pt>
                <c:pt idx="37">
                  <c:v>227008.64256505028</c:v>
                </c:pt>
                <c:pt idx="38">
                  <c:v>232744.6648535667</c:v>
                </c:pt>
                <c:pt idx="39">
                  <c:v>238468.82199450338</c:v>
                </c:pt>
                <c:pt idx="40">
                  <c:v>244181.1385313012</c:v>
                </c:pt>
                <c:pt idx="41">
                  <c:v>249881.63895663273</c:v>
                </c:pt>
                <c:pt idx="42">
                  <c:v>255570.34771250674</c:v>
                </c:pt>
                <c:pt idx="43">
                  <c:v>261247.28919037309</c:v>
                </c:pt>
                <c:pt idx="44">
                  <c:v>266912.48773122631</c:v>
                </c:pt>
                <c:pt idx="45">
                  <c:v>272565.96762571164</c:v>
                </c:pt>
                <c:pt idx="46">
                  <c:v>278207.75311422796</c:v>
                </c:pt>
                <c:pt idx="47">
                  <c:v>283837.86838703218</c:v>
                </c:pt>
                <c:pt idx="48">
                  <c:v>289456.33758434275</c:v>
                </c:pt>
                <c:pt idx="49">
                  <c:v>295063.18479644344</c:v>
                </c:pt>
                <c:pt idx="50">
                  <c:v>300658.43406378658</c:v>
                </c:pt>
                <c:pt idx="51">
                  <c:v>306242.10937709583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A6DB-45E1-9B6E-CF4428AA22BA}"/>
            </c:ext>
          </c:extLst>
        </c:ser>
        <c:ser>
          <c:idx val="2"/>
          <c:order val="2"/>
          <c:spPr>
            <a:ln w="25400">
              <a:solidFill>
                <a:srgbClr val="008000"/>
              </a:solidFill>
              <a:prstDash val="solid"/>
            </a:ln>
          </c:spPr>
          <c:marker>
            <c:symbol val="none"/>
          </c:marker>
          <c:cat>
            <c:numRef>
              <c:f>'W (Jan 1)'!$A$17:$A$62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6236.3185158423876</c:v>
                </c:pt>
                <c:pt idx="1">
                  <c:v>12456.105476353119</c:v>
                </c:pt>
                <c:pt idx="2">
                  <c:v>18659.414150744902</c:v>
                </c:pt>
                <c:pt idx="3">
                  <c:v>24846.297606183398</c:v>
                </c:pt>
                <c:pt idx="4">
                  <c:v>31016.80870865786</c:v>
                </c:pt>
                <c:pt idx="5">
                  <c:v>37171.000123869424</c:v>
                </c:pt>
                <c:pt idx="6">
                  <c:v>43308.924318095407</c:v>
                </c:pt>
                <c:pt idx="7">
                  <c:v>49430.63355905997</c:v>
                </c:pt>
                <c:pt idx="8">
                  <c:v>55536.179916802372</c:v>
                </c:pt>
                <c:pt idx="9">
                  <c:v>61625.615264532033</c:v>
                </c:pt>
                <c:pt idx="10">
                  <c:v>67698.991279486756</c:v>
                </c:pt>
                <c:pt idx="11">
                  <c:v>73756.359443787107</c:v>
                </c:pt>
                <c:pt idx="12">
                  <c:v>79797.771045275076</c:v>
                </c:pt>
                <c:pt idx="13">
                  <c:v>85823.277178370685</c:v>
                </c:pt>
                <c:pt idx="14">
                  <c:v>91832.928744896344</c:v>
                </c:pt>
                <c:pt idx="15">
                  <c:v>97826.776454923878</c:v>
                </c:pt>
                <c:pt idx="16">
                  <c:v>103804.87082759848</c:v>
                </c:pt>
                <c:pt idx="17">
                  <c:v>109767.26219197208</c:v>
                </c:pt>
                <c:pt idx="18">
                  <c:v>115714.00068781502</c:v>
                </c:pt>
                <c:pt idx="19">
                  <c:v>121645.13626644868</c:v>
                </c:pt>
                <c:pt idx="20">
                  <c:v>127560.71869154894</c:v>
                </c:pt>
                <c:pt idx="21">
                  <c:v>133460.79753996443</c:v>
                </c:pt>
                <c:pt idx="22">
                  <c:v>139345.42220251821</c:v>
                </c:pt>
                <c:pt idx="23">
                  <c:v>145214.64188481527</c:v>
                </c:pt>
                <c:pt idx="24">
                  <c:v>151068.50560803665</c:v>
                </c:pt>
                <c:pt idx="25">
                  <c:v>156907.06220974037</c:v>
                </c:pt>
                <c:pt idx="26">
                  <c:v>162730.36034464737</c:v>
                </c:pt>
                <c:pt idx="27">
                  <c:v>168538.44848542986</c:v>
                </c:pt>
                <c:pt idx="28">
                  <c:v>174331.37492349805</c:v>
                </c:pt>
                <c:pt idx="29">
                  <c:v>180109.18776977746</c:v>
                </c:pt>
                <c:pt idx="30">
                  <c:v>185871.93495548383</c:v>
                </c:pt>
                <c:pt idx="31">
                  <c:v>191619.66423289722</c:v>
                </c:pt>
                <c:pt idx="32">
                  <c:v>197352.42317613267</c:v>
                </c:pt>
                <c:pt idx="33">
                  <c:v>203070.25918189669</c:v>
                </c:pt>
                <c:pt idx="34">
                  <c:v>208773.21947025752</c:v>
                </c:pt>
                <c:pt idx="35">
                  <c:v>214461.35108539666</c:v>
                </c:pt>
                <c:pt idx="36">
                  <c:v>220134.70089636612</c:v>
                </c:pt>
                <c:pt idx="37">
                  <c:v>225793.31559783532</c:v>
                </c:pt>
                <c:pt idx="38">
                  <c:v>231437.24171083735</c:v>
                </c:pt>
                <c:pt idx="39">
                  <c:v>237066.52558351649</c:v>
                </c:pt>
                <c:pt idx="40">
                  <c:v>242681.21339185978</c:v>
                </c:pt>
                <c:pt idx="41">
                  <c:v>248281.35114044035</c:v>
                </c:pt>
                <c:pt idx="42">
                  <c:v>253866.98466314361</c:v>
                </c:pt>
                <c:pt idx="43">
                  <c:v>259438.15962389749</c:v>
                </c:pt>
                <c:pt idx="44">
                  <c:v>264994.92151739931</c:v>
                </c:pt>
                <c:pt idx="45">
                  <c:v>270537.31566983397</c:v>
                </c:pt>
                <c:pt idx="46">
                  <c:v>276065.38723959605</c:v>
                </c:pt>
                <c:pt idx="47">
                  <c:v>281579.18121799931</c:v>
                </c:pt>
                <c:pt idx="48">
                  <c:v>287078.74242999242</c:v>
                </c:pt>
                <c:pt idx="49">
                  <c:v>292564.11553486239</c:v>
                </c:pt>
                <c:pt idx="50">
                  <c:v>298035.34502694273</c:v>
                </c:pt>
                <c:pt idx="51">
                  <c:v>303492.47523631272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A6DB-45E1-9B6E-CF4428AA22BA}"/>
            </c:ext>
          </c:extLst>
        </c:ser>
        <c:dLbls>
          <c:showLegendKey val="0"/>
          <c:showVal val="0"/>
          <c:showCatName val="0"/>
          <c:showSerName val="0"/>
          <c:showPercent val="0"/>
          <c:showBubbleSize val="0"/>
        </c:dLbls>
        <c:marker val="1"/>
        <c:smooth val="0"/>
        <c:axId val="175012480"/>
        <c:axId val="175014656"/>
      </c:lineChart>
      <c:catAx>
        <c:axId val="17501248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14656"/>
        <c:crosses val="autoZero"/>
        <c:auto val="0"/>
        <c:lblAlgn val="ctr"/>
        <c:lblOffset val="100"/>
        <c:tickLblSkip val="153"/>
        <c:tickMarkSkip val="1"/>
        <c:noMultiLvlLbl val="0"/>
      </c:catAx>
      <c:valAx>
        <c:axId val="17501465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1248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model fit and validated forecast</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'W (Jan 1)'!$A$17:$A$62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810C-463D-863E-56A7473ACCA7}"/>
            </c:ext>
          </c:extLst>
        </c:ser>
        <c:ser>
          <c:idx val="1"/>
          <c:order val="1"/>
          <c:spPr>
            <a:ln w="25400">
              <a:solidFill>
                <a:srgbClr val="FF00FF"/>
              </a:solidFill>
              <a:prstDash val="solid"/>
            </a:ln>
          </c:spPr>
          <c:marker>
            <c:symbol val="none"/>
          </c:marker>
          <c:cat>
            <c:numRef>
              <c:f>'W (Jan 1)'!$A$17:$A$62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7344.335729028825</c:v>
                </c:pt>
                <c:pt idx="1">
                  <c:v>14436.551199097725</c:v>
                </c:pt>
                <c:pt idx="2">
                  <c:v>21285.301328408012</c:v>
                </c:pt>
                <c:pt idx="3">
                  <c:v>27898.943924530697</c:v>
                </c:pt>
                <c:pt idx="4">
                  <c:v>34285.549883777916</c:v>
                </c:pt>
                <c:pt idx="5">
                  <c:v>40452.913040445157</c:v>
                </c:pt>
                <c:pt idx="6">
                  <c:v>46408.559677943333</c:v>
                </c:pt>
                <c:pt idx="7">
                  <c:v>52159.757713427702</c:v>
                </c:pt>
                <c:pt idx="8">
                  <c:v>57713.525567131976</c:v>
                </c:pt>
                <c:pt idx="9">
                  <c:v>63076.64072723117</c:v>
                </c:pt>
                <c:pt idx="10">
                  <c:v>68255.648020685359</c:v>
                </c:pt>
                <c:pt idx="11">
                  <c:v>73256.86760015742</c:v>
                </c:pt>
                <c:pt idx="12">
                  <c:v>78086.402656751801</c:v>
                </c:pt>
                <c:pt idx="13">
                  <c:v>82750.146867985968</c:v>
                </c:pt>
                <c:pt idx="14">
                  <c:v>87253.791590084365</c:v>
                </c:pt>
                <c:pt idx="15">
                  <c:v>91602.832803371042</c:v>
                </c:pt>
                <c:pt idx="16">
                  <c:v>95802.577819237515</c:v>
                </c:pt>
                <c:pt idx="17">
                  <c:v>99858.151756870066</c:v>
                </c:pt>
                <c:pt idx="18">
                  <c:v>103774.50379764057</c:v>
                </c:pt>
                <c:pt idx="19">
                  <c:v>107556.41322479326</c:v>
                </c:pt>
                <c:pt idx="20">
                  <c:v>111208.4952557979</c:v>
                </c:pt>
                <c:pt idx="21">
                  <c:v>114735.20667448692</c:v>
                </c:pt>
                <c:pt idx="22">
                  <c:v>118140.85126984945</c:v>
                </c:pt>
                <c:pt idx="23">
                  <c:v>121429.58508811954</c:v>
                </c:pt>
                <c:pt idx="24">
                  <c:v>124605.42150456809</c:v>
                </c:pt>
                <c:pt idx="25">
                  <c:v>127672.23612118732</c:v>
                </c:pt>
                <c:pt idx="26">
                  <c:v>130633.77149624519</c:v>
                </c:pt>
                <c:pt idx="27">
                  <c:v>133493.641711481</c:v>
                </c:pt>
                <c:pt idx="28">
                  <c:v>136255.33678251592</c:v>
                </c:pt>
                <c:pt idx="29">
                  <c:v>138922.22691786065</c:v>
                </c:pt>
                <c:pt idx="30">
                  <c:v>141497.56663171755</c:v>
                </c:pt>
                <c:pt idx="31">
                  <c:v>143984.49871559627</c:v>
                </c:pt>
                <c:pt idx="32">
                  <c:v>146386.05807358978</c:v>
                </c:pt>
                <c:pt idx="33">
                  <c:v>148705.17542599089</c:v>
                </c:pt>
                <c:pt idx="34">
                  <c:v>150944.68088576914</c:v>
                </c:pt>
                <c:pt idx="35">
                  <c:v>153128.47144011562</c:v>
                </c:pt>
                <c:pt idx="36">
                  <c:v>155236.56203205764</c:v>
                </c:pt>
                <c:pt idx="37">
                  <c:v>157271.57676137282</c:v>
                </c:pt>
                <c:pt idx="38">
                  <c:v>159236.04876478645</c:v>
                </c:pt>
                <c:pt idx="39">
                  <c:v>161114.04480952566</c:v>
                </c:pt>
                <c:pt idx="40">
                  <c:v>162927.57200825959</c:v>
                </c:pt>
                <c:pt idx="41">
                  <c:v>164678.8434817864</c:v>
                </c:pt>
                <c:pt idx="42">
                  <c:v>166369.99637771747</c:v>
                </c:pt>
                <c:pt idx="43">
                  <c:v>168003.09447852554</c:v>
                </c:pt>
                <c:pt idx="44">
                  <c:v>169580.13072006224</c:v>
                </c:pt>
                <c:pt idx="45">
                  <c:v>171103.02962361835</c:v>
                </c:pt>
                <c:pt idx="46">
                  <c:v>172573.64964449525</c:v>
                </c:pt>
                <c:pt idx="47">
                  <c:v>173993.78543995344</c:v>
                </c:pt>
                <c:pt idx="48">
                  <c:v>175365.17005930538</c:v>
                </c:pt>
                <c:pt idx="49">
                  <c:v>176689.47705882601</c:v>
                </c:pt>
                <c:pt idx="50">
                  <c:v>177968.32254406132</c:v>
                </c:pt>
                <c:pt idx="51">
                  <c:v>179203.26714202741</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810C-463D-863E-56A7473ACCA7}"/>
            </c:ext>
          </c:extLst>
        </c:ser>
        <c:ser>
          <c:idx val="2"/>
          <c:order val="2"/>
          <c:spPr>
            <a:ln w="25400">
              <a:solidFill>
                <a:srgbClr val="008000"/>
              </a:solidFill>
              <a:prstDash val="solid"/>
            </a:ln>
          </c:spPr>
          <c:marker>
            <c:symbol val="none"/>
          </c:marker>
          <c:cat>
            <c:numRef>
              <c:f>'W (Jan 1)'!$A$17:$A$62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8499.3219409211779</c:v>
                </c:pt>
                <c:pt idx="1">
                  <c:v>16404.804123137495</c:v>
                </c:pt>
                <c:pt idx="2">
                  <c:v>23792.754684577423</c:v>
                </c:pt>
                <c:pt idx="3">
                  <c:v>30725.730351800816</c:v>
                </c:pt>
                <c:pt idx="4">
                  <c:v>37255.646350869756</c:v>
                </c:pt>
                <c:pt idx="5">
                  <c:v>43426.055223524942</c:v>
                </c:pt>
                <c:pt idx="6">
                  <c:v>49273.847370987503</c:v>
                </c:pt>
                <c:pt idx="7">
                  <c:v>54830.540786694248</c:v>
                </c:pt>
                <c:pt idx="8">
                  <c:v>60123.273491882399</c:v>
                </c:pt>
                <c:pt idx="9">
                  <c:v>65175.577222763903</c:v>
                </c:pt>
                <c:pt idx="10">
                  <c:v>70007.987739005519</c:v>
                </c:pt>
                <c:pt idx="11">
                  <c:v>74638.53144247079</c:v>
                </c:pt>
                <c:pt idx="12">
                  <c:v>79083.117190512858</c:v>
                </c:pt>
                <c:pt idx="13">
                  <c:v>83355.854617961581</c:v>
                </c:pt>
                <c:pt idx="14">
                  <c:v>87469.314896583499</c:v>
                </c:pt>
                <c:pt idx="15">
                  <c:v>91434.745975696569</c:v>
                </c:pt>
                <c:pt idx="16">
                  <c:v>95262.251508608126</c:v>
                </c:pt>
                <c:pt idx="17">
                  <c:v>98960.940570115621</c:v>
                </c:pt>
                <c:pt idx="18">
                  <c:v>102539.05370062744</c:v>
                </c:pt>
                <c:pt idx="19">
                  <c:v>106004.06962679887</c:v>
                </c:pt>
                <c:pt idx="20">
                  <c:v>109362.7961043987</c:v>
                </c:pt>
                <c:pt idx="21">
                  <c:v>112621.44763344251</c:v>
                </c:pt>
                <c:pt idx="22">
                  <c:v>115785.71225590339</c:v>
                </c:pt>
                <c:pt idx="23">
                  <c:v>118860.80922427788</c:v>
                </c:pt>
                <c:pt idx="24">
                  <c:v>121851.53899685852</c:v>
                </c:pt>
                <c:pt idx="25">
                  <c:v>124762.32675190546</c:v>
                </c:pt>
                <c:pt idx="26">
                  <c:v>127597.26040240616</c:v>
                </c:pt>
                <c:pt idx="27">
                  <c:v>130360.12392403407</c:v>
                </c:pt>
                <c:pt idx="28">
                  <c:v>133054.42667229407</c:v>
                </c:pt>
                <c:pt idx="29">
                  <c:v>135683.42925384446</c:v>
                </c:pt>
                <c:pt idx="30">
                  <c:v>138250.16642633482</c:v>
                </c:pt>
                <c:pt idx="31">
                  <c:v>140757.46742667383</c:v>
                </c:pt>
                <c:pt idx="32">
                  <c:v>143207.97406628681</c:v>
                </c:pt>
                <c:pt idx="33">
                  <c:v>145604.15688106132</c:v>
                </c:pt>
                <c:pt idx="34">
                  <c:v>147948.3295813876</c:v>
                </c:pt>
                <c:pt idx="35">
                  <c:v>154519.3973396708</c:v>
                </c:pt>
                <c:pt idx="36">
                  <c:v>160712.39594842569</c:v>
                </c:pt>
                <c:pt idx="37">
                  <c:v>166567.77713775184</c:v>
                </c:pt>
                <c:pt idx="38">
                  <c:v>172119.86247883536</c:v>
                </c:pt>
                <c:pt idx="39">
                  <c:v>173955.8060925912</c:v>
                </c:pt>
                <c:pt idx="40">
                  <c:v>175760.75892452724</c:v>
                </c:pt>
                <c:pt idx="41">
                  <c:v>177535.73104752653</c:v>
                </c:pt>
                <c:pt idx="42">
                  <c:v>179281.68424125924</c:v>
                </c:pt>
                <c:pt idx="43">
                  <c:v>180999.53501339117</c:v>
                </c:pt>
                <c:pt idx="44">
                  <c:v>182690.15738858763</c:v>
                </c:pt>
                <c:pt idx="45">
                  <c:v>184354.38548637839</c:v>
                </c:pt>
                <c:pt idx="46">
                  <c:v>185993.01590675808</c:v>
                </c:pt>
                <c:pt idx="47">
                  <c:v>187606.80994045688</c:v>
                </c:pt>
                <c:pt idx="48">
                  <c:v>189196.49561910034</c:v>
                </c:pt>
                <c:pt idx="49">
                  <c:v>190762.76961896522</c:v>
                </c:pt>
                <c:pt idx="50">
                  <c:v>192306.29903068152</c:v>
                </c:pt>
                <c:pt idx="51">
                  <c:v>193827.72300604312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810C-463D-863E-56A7473ACCA7}"/>
            </c:ext>
          </c:extLst>
        </c:ser>
        <c:dLbls>
          <c:showLegendKey val="0"/>
          <c:showVal val="0"/>
          <c:showCatName val="0"/>
          <c:showSerName val="0"/>
          <c:showPercent val="0"/>
          <c:showBubbleSize val="0"/>
        </c:dLbls>
        <c:marker val="1"/>
        <c:smooth val="0"/>
        <c:axId val="175063424"/>
        <c:axId val="175065344"/>
      </c:lineChart>
      <c:catAx>
        <c:axId val="17506342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65344"/>
        <c:crosses val="autoZero"/>
        <c:auto val="0"/>
        <c:lblAlgn val="ctr"/>
        <c:lblOffset val="100"/>
        <c:tickLblSkip val="153"/>
        <c:tickMarkSkip val="1"/>
        <c:noMultiLvlLbl val="0"/>
      </c:catAx>
      <c:valAx>
        <c:axId val="175065344"/>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63424"/>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h(t)/h0(t)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'W (Jan 1)'!$B$17:$B$38</c:f>
              <c:numCache>
                <c:formatCode>0</c:formatCode>
                <c:ptCount val="22"/>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numCache>
            </c:numRef>
          </c:cat>
          <c:val>
            <c:numRef>
              <c:f>'W (Jan 1)'!$P$17:$P$38</c:f>
              <c:numCache>
                <c:formatCode>_(* #,##0.000_);_(* \(#,##0.000\);_(* "-"??_);_(@_)</c:formatCode>
                <c:ptCount val="2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Cache>
            </c:numRef>
          </c:val>
          <c:smooth val="0"/>
          <c:extLst>
            <c:ext xmlns:c16="http://schemas.microsoft.com/office/drawing/2014/chart" uri="{C3380CC4-5D6E-409C-BE32-E72D297353CC}">
              <c16:uniqueId val="{00000000-6ADA-4DB6-9B32-06FA3976683E}"/>
            </c:ext>
          </c:extLst>
        </c:ser>
        <c:dLbls>
          <c:showLegendKey val="0"/>
          <c:showVal val="0"/>
          <c:showCatName val="0"/>
          <c:showSerName val="0"/>
          <c:showPercent val="0"/>
          <c:showBubbleSize val="0"/>
        </c:dLbls>
        <c:marker val="1"/>
        <c:smooth val="0"/>
        <c:axId val="798823680"/>
        <c:axId val="798821056"/>
      </c:lineChart>
      <c:catAx>
        <c:axId val="79882368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21056"/>
        <c:crosses val="autoZero"/>
        <c:auto val="1"/>
        <c:lblAlgn val="ctr"/>
        <c:lblOffset val="100"/>
        <c:noMultiLvlLbl val="0"/>
      </c:catAx>
      <c:valAx>
        <c:axId val="7988210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2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Actual</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'W (Jan 1)'!$D$16:$D$36</c:f>
              <c:numCache>
                <c:formatCode>General</c:formatCode>
                <c:ptCount val="21"/>
                <c:pt idx="0">
                  <c:v>2976</c:v>
                </c:pt>
                <c:pt idx="1">
                  <c:v>2529</c:v>
                </c:pt>
                <c:pt idx="2">
                  <c:v>2421</c:v>
                </c:pt>
                <c:pt idx="3">
                  <c:v>2385</c:v>
                </c:pt>
                <c:pt idx="4">
                  <c:v>2630</c:v>
                </c:pt>
                <c:pt idx="5">
                  <c:v>2794</c:v>
                </c:pt>
                <c:pt idx="6">
                  <c:v>2700</c:v>
                </c:pt>
                <c:pt idx="7">
                  <c:v>3170</c:v>
                </c:pt>
                <c:pt idx="8">
                  <c:v>2567</c:v>
                </c:pt>
                <c:pt idx="9">
                  <c:v>3409</c:v>
                </c:pt>
                <c:pt idx="10">
                  <c:v>3070</c:v>
                </c:pt>
                <c:pt idx="11">
                  <c:v>3182</c:v>
                </c:pt>
                <c:pt idx="12">
                  <c:v>2706</c:v>
                </c:pt>
                <c:pt idx="13">
                  <c:v>1890</c:v>
                </c:pt>
                <c:pt idx="14">
                  <c:v>1623</c:v>
                </c:pt>
                <c:pt idx="15">
                  <c:v>1587</c:v>
                </c:pt>
                <c:pt idx="16">
                  <c:v>1507</c:v>
                </c:pt>
                <c:pt idx="17">
                  <c:v>1300</c:v>
                </c:pt>
                <c:pt idx="18">
                  <c:v>1127</c:v>
                </c:pt>
                <c:pt idx="19">
                  <c:v>997</c:v>
                </c:pt>
                <c:pt idx="20">
                  <c:v>834</c:v>
                </c:pt>
              </c:numCache>
            </c:numRef>
          </c:val>
          <c:smooth val="0"/>
          <c:extLst>
            <c:ext xmlns:c16="http://schemas.microsoft.com/office/drawing/2014/chart" uri="{C3380CC4-5D6E-409C-BE32-E72D297353CC}">
              <c16:uniqueId val="{00000000-85B4-4BA9-A730-73519369D2B4}"/>
            </c:ext>
          </c:extLst>
        </c:ser>
        <c:ser>
          <c:idx val="1"/>
          <c:order val="1"/>
          <c:tx>
            <c:v>Expected</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'W (Jan 1)'!$K$16:$K$36</c:f>
              <c:numCache>
                <c:formatCode>_(* #,##0_);_(* \(#,##0\);_(* "-"??_);_(@_)</c:formatCode>
                <c:ptCount val="21"/>
                <c:pt idx="0">
                  <c:v>2897.2856515154799</c:v>
                </c:pt>
                <c:pt idx="1">
                  <c:v>2938.8357964662773</c:v>
                </c:pt>
                <c:pt idx="2">
                  <c:v>2897.6904631093039</c:v>
                </c:pt>
                <c:pt idx="3">
                  <c:v>2839.0289196637659</c:v>
                </c:pt>
                <c:pt idx="4">
                  <c:v>2772.9030169876714</c:v>
                </c:pt>
                <c:pt idx="5">
                  <c:v>2703.2006906831593</c:v>
                </c:pt>
                <c:pt idx="6">
                  <c:v>2631.8627790043465</c:v>
                </c:pt>
                <c:pt idx="7">
                  <c:v>2559.9988483898778</c:v>
                </c:pt>
                <c:pt idx="8">
                  <c:v>2488.298112964414</c:v>
                </c:pt>
                <c:pt idx="9">
                  <c:v>2417.2122858464827</c:v>
                </c:pt>
                <c:pt idx="10">
                  <c:v>2347.0479001157619</c:v>
                </c:pt>
                <c:pt idx="11">
                  <c:v>2278.017382623344</c:v>
                </c:pt>
                <c:pt idx="12">
                  <c:v>2210.2693454241671</c:v>
                </c:pt>
                <c:pt idx="13">
                  <c:v>2143.9075651559833</c:v>
                </c:pt>
                <c:pt idx="14">
                  <c:v>2079.0034151412037</c:v>
                </c:pt>
                <c:pt idx="15">
                  <c:v>2015.6043131694387</c:v>
                </c:pt>
                <c:pt idx="16">
                  <c:v>1953.7396412112503</c:v>
                </c:pt>
                <c:pt idx="17">
                  <c:v>1893.4250032963973</c:v>
                </c:pt>
                <c:pt idx="18">
                  <c:v>1834.6653573026924</c:v>
                </c:pt>
                <c:pt idx="19">
                  <c:v>1777.4573633117616</c:v>
                </c:pt>
                <c:pt idx="20">
                  <c:v>1721.7911741994394</c:v>
                </c:pt>
              </c:numCache>
            </c:numRef>
          </c:val>
          <c:smooth val="0"/>
          <c:extLst>
            <c:ext xmlns:c16="http://schemas.microsoft.com/office/drawing/2014/chart" uri="{C3380CC4-5D6E-409C-BE32-E72D297353CC}">
              <c16:uniqueId val="{00000001-85B4-4BA9-A730-73519369D2B4}"/>
            </c:ext>
          </c:extLst>
        </c:ser>
        <c:dLbls>
          <c:showLegendKey val="0"/>
          <c:showVal val="0"/>
          <c:showCatName val="0"/>
          <c:showSerName val="0"/>
          <c:showPercent val="0"/>
          <c:showBubbleSize val="0"/>
        </c:dLbls>
        <c:marker val="1"/>
        <c:smooth val="0"/>
        <c:axId val="968114920"/>
        <c:axId val="968117872"/>
      </c:lineChart>
      <c:catAx>
        <c:axId val="9681149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117872"/>
        <c:crosses val="autoZero"/>
        <c:auto val="1"/>
        <c:lblAlgn val="ctr"/>
        <c:lblOffset val="100"/>
        <c:noMultiLvlLbl val="0"/>
      </c:catAx>
      <c:valAx>
        <c:axId val="9681178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114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weekly sales and airplay</a:t>
            </a:r>
          </a:p>
        </c:rich>
      </c:tx>
      <c:overlay val="0"/>
      <c:spPr>
        <a:noFill/>
        <a:ln w="25400">
          <a:noFill/>
        </a:ln>
      </c:spPr>
    </c:title>
    <c:autoTitleDeleted val="0"/>
    <c:plotArea>
      <c:layout/>
      <c:lineChart>
        <c:grouping val="standard"/>
        <c:varyColors val="0"/>
        <c:ser>
          <c:idx val="0"/>
          <c:order val="0"/>
          <c:tx>
            <c:strRef>
              <c:f>'W+cov (Lag6 AP)'!$D$15</c:f>
              <c:strCache>
                <c:ptCount val="1"/>
                <c:pt idx="0">
                  <c:v>Incr_Sales</c:v>
                </c:pt>
              </c:strCache>
            </c:strRef>
          </c:tx>
          <c:spPr>
            <a:ln w="25400">
              <a:solidFill>
                <a:srgbClr val="000080"/>
              </a:solidFill>
              <a:prstDash val="solid"/>
            </a:ln>
          </c:spPr>
          <c:marker>
            <c:symbol val="none"/>
          </c:marker>
          <c:cat>
            <c:numRef>
              <c:f>'W+cov (Lag6 AP)'!$A$17:$A$62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'W+cov (Lag6 AP)'!$D$37:$D$62</c:f>
              <c:numCache>
                <c:formatCode>General</c:formatCode>
                <c:ptCount val="26"/>
              </c:numCache>
            </c:numRef>
          </c:val>
          <c:smooth val="0"/>
          <c:extLst>
            <c:ext xmlns:c16="http://schemas.microsoft.com/office/drawing/2014/chart" uri="{C3380CC4-5D6E-409C-BE32-E72D297353CC}">
              <c16:uniqueId val="{00000000-9BDA-41E9-9665-823F0D3D7628}"/>
            </c:ext>
          </c:extLst>
        </c:ser>
        <c:ser>
          <c:idx val="1"/>
          <c:order val="1"/>
          <c:tx>
            <c:strRef>
              <c:f>'W+cov (1)'!#REF!</c:f>
              <c:strCache>
                <c:ptCount val="1"/>
                <c:pt idx="0">
                  <c:v>#REF!</c:v>
                </c:pt>
              </c:strCache>
            </c:strRef>
          </c:tx>
          <c:spPr>
            <a:ln w="25400">
              <a:solidFill>
                <a:srgbClr val="FF00FF"/>
              </a:solidFill>
              <a:prstDash val="solid"/>
            </a:ln>
          </c:spPr>
          <c:marker>
            <c:symbol val="none"/>
          </c:marker>
          <c:cat>
            <c:numRef>
              <c:f>'W+cov (Lag6 AP)'!$A$17:$A$62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W!#REF!</c:f>
              <c:numCache>
                <c:formatCode>General</c:formatCode>
                <c:ptCount val="1"/>
                <c:pt idx="0">
                  <c:v>1</c:v>
                </c:pt>
              </c:numCache>
            </c:numRef>
          </c:val>
          <c:smooth val="0"/>
          <c:extLst>
            <c:ext xmlns:c16="http://schemas.microsoft.com/office/drawing/2014/chart" uri="{C3380CC4-5D6E-409C-BE32-E72D297353CC}">
              <c16:uniqueId val="{00000001-9BDA-41E9-9665-823F0D3D7628}"/>
            </c:ext>
          </c:extLst>
        </c:ser>
        <c:dLbls>
          <c:showLegendKey val="0"/>
          <c:showVal val="0"/>
          <c:showCatName val="0"/>
          <c:showSerName val="0"/>
          <c:showPercent val="0"/>
          <c:showBubbleSize val="0"/>
        </c:dLbls>
        <c:smooth val="0"/>
        <c:axId val="175171840"/>
        <c:axId val="175174016"/>
      </c:lineChart>
      <c:catAx>
        <c:axId val="17517184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174016"/>
        <c:crosses val="autoZero"/>
        <c:auto val="0"/>
        <c:lblAlgn val="ctr"/>
        <c:lblOffset val="100"/>
        <c:tickLblSkip val="132"/>
        <c:tickMarkSkip val="1"/>
        <c:noMultiLvlLbl val="0"/>
      </c:catAx>
      <c:valAx>
        <c:axId val="17517401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sales/airplay</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17184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genuine forecasts</a:t>
            </a:r>
          </a:p>
        </c:rich>
      </c:tx>
      <c:overlay val="0"/>
      <c:spPr>
        <a:noFill/>
        <a:ln w="25400">
          <a:noFill/>
        </a:ln>
      </c:spPr>
    </c:title>
    <c:autoTitleDeleted val="0"/>
    <c:plotArea>
      <c:layout/>
      <c:lineChart>
        <c:grouping val="standard"/>
        <c:varyColors val="0"/>
        <c:ser>
          <c:idx val="0"/>
          <c:order val="0"/>
          <c:spPr>
            <a:ln w="25400">
              <a:solidFill>
                <a:srgbClr val="FF00FF"/>
              </a:solidFill>
              <a:prstDash val="solid"/>
            </a:ln>
          </c:spPr>
          <c:marker>
            <c:symbol val="none"/>
          </c:marker>
          <c:cat>
            <c:numRef>
              <c:f>'W+cov (Lag6 AP)'!$A$17:$A$62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65"/>
                <c:pt idx="0">
                  <c:v>5224.4217589694226</c:v>
                </c:pt>
                <c:pt idx="1">
                  <c:v>10420.095805764095</c:v>
                </c:pt>
                <c:pt idx="2">
                  <c:v>15587.180326494108</c:v>
                </c:pt>
                <c:pt idx="3">
                  <c:v>20725.832636840245</c:v>
                </c:pt>
                <c:pt idx="4">
                  <c:v>25836.209186844131</c:v>
                </c:pt>
                <c:pt idx="5">
                  <c:v>30918.465565670696</c:v>
                </c:pt>
                <c:pt idx="6">
                  <c:v>35972.756506346028</c:v>
                </c:pt>
                <c:pt idx="7">
                  <c:v>40999.235890467557</c:v>
                </c:pt>
                <c:pt idx="8">
                  <c:v>45998.05675288973</c:v>
                </c:pt>
                <c:pt idx="9">
                  <c:v>50969.371286382971</c:v>
                </c:pt>
                <c:pt idx="10">
                  <c:v>55913.330846267076</c:v>
                </c:pt>
                <c:pt idx="11">
                  <c:v>60830.085955019866</c:v>
                </c:pt>
                <c:pt idx="12">
                  <c:v>65719.786306859693</c:v>
                </c:pt>
                <c:pt idx="13">
                  <c:v>70582.580772302666</c:v>
                </c:pt>
                <c:pt idx="14">
                  <c:v>75418.617402695774</c:v>
                </c:pt>
                <c:pt idx="15">
                  <c:v>80228.043434723877</c:v>
                </c:pt>
                <c:pt idx="16">
                  <c:v>85011.005294892748</c:v>
                </c:pt>
                <c:pt idx="17">
                  <c:v>89767.648603987065</c:v>
                </c:pt>
                <c:pt idx="18">
                  <c:v>94498.118181503552</c:v>
                </c:pt>
                <c:pt idx="19">
                  <c:v>99202.558050060892</c:v>
                </c:pt>
                <c:pt idx="20">
                  <c:v>103881.11143978406</c:v>
                </c:pt>
                <c:pt idx="21">
                  <c:v>108533.920792665</c:v>
                </c:pt>
                <c:pt idx="22">
                  <c:v>113161.12776689969</c:v>
                </c:pt>
                <c:pt idx="23">
                  <c:v>117762.87324120097</c:v>
                </c:pt>
                <c:pt idx="24">
                  <c:v>122339.29731908746</c:v>
                </c:pt>
                <c:pt idx="25">
                  <c:v>126890.53933314937</c:v>
                </c:pt>
                <c:pt idx="26">
                  <c:v>131416.73784929057</c:v>
                </c:pt>
                <c:pt idx="27">
                  <c:v>135918.03067094708</c:v>
                </c:pt>
                <c:pt idx="28">
                  <c:v>140394.55484328285</c:v>
                </c:pt>
                <c:pt idx="29">
                  <c:v>144846.44665736225</c:v>
                </c:pt>
                <c:pt idx="30">
                  <c:v>149273.84165429918</c:v>
                </c:pt>
                <c:pt idx="31">
                  <c:v>153676.87462938423</c:v>
                </c:pt>
                <c:pt idx="32">
                  <c:v>158055.67963618806</c:v>
                </c:pt>
                <c:pt idx="33">
                  <c:v>162410.38999064319</c:v>
                </c:pt>
                <c:pt idx="34">
                  <c:v>166741.13827510292</c:v>
                </c:pt>
                <c:pt idx="35">
                  <c:v>171048.05634237741</c:v>
                </c:pt>
                <c:pt idx="36">
                  <c:v>175331.2753197487</c:v>
                </c:pt>
                <c:pt idx="37">
                  <c:v>179590.92561296254</c:v>
                </c:pt>
                <c:pt idx="38">
                  <c:v>183827.13691019849</c:v>
                </c:pt>
                <c:pt idx="39">
                  <c:v>188040.03818601923</c:v>
                </c:pt>
                <c:pt idx="40">
                  <c:v>192229.75770529616</c:v>
                </c:pt>
                <c:pt idx="41">
                  <c:v>196396.42302711552</c:v>
                </c:pt>
                <c:pt idx="42">
                  <c:v>200540.16100866138</c:v>
                </c:pt>
                <c:pt idx="43">
                  <c:v>204661.09780907811</c:v>
                </c:pt>
                <c:pt idx="44">
                  <c:v>208759.35889331135</c:v>
                </c:pt>
                <c:pt idx="45">
                  <c:v>212835.0690359282</c:v>
                </c:pt>
                <c:pt idx="46">
                  <c:v>216888.35232491541</c:v>
                </c:pt>
                <c:pt idx="47">
                  <c:v>220919.33216545792</c:v>
                </c:pt>
                <c:pt idx="48">
                  <c:v>224928.13128369578</c:v>
                </c:pt>
                <c:pt idx="49">
                  <c:v>228914.87173046058</c:v>
                </c:pt>
                <c:pt idx="50">
                  <c:v>232879.67488499157</c:v>
                </c:pt>
                <c:pt idx="51">
                  <c:v>236822.66145863105</c:v>
                </c:pt>
                <c:pt idx="52">
                  <c:v>240743.95149849943</c:v>
                </c:pt>
                <c:pt idx="53">
                  <c:v>244643.6643911502</c:v>
                </c:pt>
                <c:pt idx="54">
                  <c:v>248521.91886620491</c:v>
                </c:pt>
                <c:pt idx="55">
                  <c:v>252378.83299996777</c:v>
                </c:pt>
                <c:pt idx="56">
                  <c:v>256214.52421902039</c:v>
                </c:pt>
                <c:pt idx="57">
                  <c:v>260029.10930379757</c:v>
                </c:pt>
                <c:pt idx="58">
                  <c:v>263822.70439214213</c:v>
                </c:pt>
                <c:pt idx="59">
                  <c:v>267595.42498284113</c:v>
                </c:pt>
                <c:pt idx="60">
                  <c:v>271347.38593914203</c:v>
                </c:pt>
                <c:pt idx="61">
                  <c:v>275078.7014922502</c:v>
                </c:pt>
                <c:pt idx="62">
                  <c:v>278789.48524480656</c:v>
                </c:pt>
                <c:pt idx="63">
                  <c:v>282479.85017434612</c:v>
                </c:pt>
                <c:pt idx="64">
                  <c:v>286149.90863673808</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0-CDF5-49B1-A6CC-328EA25775B9}"/>
            </c:ext>
          </c:extLst>
        </c:ser>
        <c:ser>
          <c:idx val="1"/>
          <c:order val="1"/>
          <c:spPr>
            <a:ln w="25400">
              <a:solidFill>
                <a:srgbClr val="008000"/>
              </a:solidFill>
              <a:prstDash val="solid"/>
            </a:ln>
          </c:spPr>
          <c:marker>
            <c:symbol val="none"/>
          </c:marker>
          <c:cat>
            <c:numRef>
              <c:f>'W+cov (Lag6 AP)'!$A$17:$A$62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65"/>
                <c:pt idx="0">
                  <c:v>5337.8599834530414</c:v>
                </c:pt>
                <c:pt idx="1">
                  <c:v>10635.213722550718</c:v>
                </c:pt>
                <c:pt idx="2">
                  <c:v>15892.601184708477</c:v>
                </c:pt>
                <c:pt idx="3">
                  <c:v>21110.55207449153</c:v>
                </c:pt>
                <c:pt idx="4">
                  <c:v>26289.58608625942</c:v>
                </c:pt>
                <c:pt idx="5">
                  <c:v>31430.213149191033</c:v>
                </c:pt>
                <c:pt idx="6">
                  <c:v>36532.933664959797</c:v>
                </c:pt>
                <c:pt idx="7">
                  <c:v>41598.238738319917</c:v>
                </c:pt>
                <c:pt idx="8">
                  <c:v>46626.610400853031</c:v>
                </c:pt>
                <c:pt idx="9">
                  <c:v>51618.521828118544</c:v>
                </c:pt>
                <c:pt idx="10">
                  <c:v>56574.437550431008</c:v>
                </c:pt>
                <c:pt idx="11">
                  <c:v>61494.813657491432</c:v>
                </c:pt>
                <c:pt idx="12">
                  <c:v>66380.097997082339</c:v>
                </c:pt>
                <c:pt idx="13">
                  <c:v>71230.730368030068</c:v>
                </c:pt>
                <c:pt idx="14">
                  <c:v>76047.142707627907</c:v>
                </c:pt>
                <c:pt idx="15">
                  <c:v>80829.759273713717</c:v>
                </c:pt>
                <c:pt idx="16">
                  <c:v>85578.996821573106</c:v>
                </c:pt>
                <c:pt idx="17">
                  <c:v>90295.264775854594</c:v>
                </c:pt>
                <c:pt idx="18">
                  <c:v>94978.965397647946</c:v>
                </c:pt>
                <c:pt idx="19">
                  <c:v>99630.493946900606</c:v>
                </c:pt>
                <c:pt idx="20">
                  <c:v>104250.23884031737</c:v>
                </c:pt>
                <c:pt idx="21">
                  <c:v>108838.58180489393</c:v>
                </c:pt>
                <c:pt idx="22">
                  <c:v>113395.89802722905</c:v>
                </c:pt>
                <c:pt idx="23">
                  <c:v>117922.55629874914</c:v>
                </c:pt>
                <c:pt idx="24">
                  <c:v>122418.91915698122</c:v>
                </c:pt>
                <c:pt idx="25">
                  <c:v>126885.34302299759</c:v>
                </c:pt>
                <c:pt idx="26">
                  <c:v>131322.17833515958</c:v>
                </c:pt>
                <c:pt idx="27">
                  <c:v>135729.76967927342</c:v>
                </c:pt>
                <c:pt idx="28">
                  <c:v>140108.45591527323</c:v>
                </c:pt>
                <c:pt idx="29">
                  <c:v>144458.57030054598</c:v>
                </c:pt>
                <c:pt idx="30">
                  <c:v>148780.44060999496</c:v>
                </c:pt>
                <c:pt idx="31">
                  <c:v>153074.38925294904</c:v>
                </c:pt>
                <c:pt idx="32">
                  <c:v>157340.73338701771</c:v>
                </c:pt>
                <c:pt idx="33">
                  <c:v>161579.78502897974</c:v>
                </c:pt>
                <c:pt idx="34">
                  <c:v>165791.85116280272</c:v>
                </c:pt>
                <c:pt idx="35">
                  <c:v>170644.09835148463</c:v>
                </c:pt>
                <c:pt idx="36">
                  <c:v>175460.90841741636</c:v>
                </c:pt>
                <c:pt idx="37">
                  <c:v>180242.73609641616</c:v>
                </c:pt>
                <c:pt idx="38">
                  <c:v>184990.02780267669</c:v>
                </c:pt>
                <c:pt idx="39">
                  <c:v>189055.42271100107</c:v>
                </c:pt>
                <c:pt idx="40">
                  <c:v>193095.75015619418</c:v>
                </c:pt>
                <c:pt idx="41">
                  <c:v>197111.28195723804</c:v>
                </c:pt>
                <c:pt idx="42">
                  <c:v>201102.28572613787</c:v>
                </c:pt>
                <c:pt idx="43">
                  <c:v>205069.02495234559</c:v>
                </c:pt>
                <c:pt idx="44">
                  <c:v>209011.75908510594</c:v>
                </c:pt>
                <c:pt idx="45">
                  <c:v>212930.74361378362</c:v>
                </c:pt>
                <c:pt idx="46">
                  <c:v>216826.23014623381</c:v>
                </c:pt>
                <c:pt idx="47">
                  <c:v>220698.46648526614</c:v>
                </c:pt>
                <c:pt idx="48">
                  <c:v>224547.6967032649</c:v>
                </c:pt>
                <c:pt idx="49">
                  <c:v>228374.16121501286</c:v>
                </c:pt>
                <c:pt idx="50">
                  <c:v>232178.09684876766</c:v>
                </c:pt>
                <c:pt idx="51">
                  <c:v>235959.73691564874</c:v>
                </c:pt>
                <c:pt idx="52">
                  <c:v>239719.31127737579</c:v>
                </c:pt>
                <c:pt idx="53">
                  <c:v>243457.0464124034</c:v>
                </c:pt>
                <c:pt idx="54">
                  <c:v>247173.16548050562</c:v>
                </c:pt>
                <c:pt idx="55">
                  <c:v>250867.88838584229</c:v>
                </c:pt>
                <c:pt idx="56">
                  <c:v>254541.43183855992</c:v>
                </c:pt>
                <c:pt idx="57">
                  <c:v>258194.00941495819</c:v>
                </c:pt>
                <c:pt idx="58">
                  <c:v>261825.83161626881</c:v>
                </c:pt>
                <c:pt idx="59">
                  <c:v>265437.10592608119</c:v>
                </c:pt>
                <c:pt idx="60">
                  <c:v>269028.03686644981</c:v>
                </c:pt>
                <c:pt idx="61">
                  <c:v>272598.82605272526</c:v>
                </c:pt>
                <c:pt idx="62">
                  <c:v>276149.67224713636</c:v>
                </c:pt>
                <c:pt idx="63">
                  <c:v>279680.77141116234</c:v>
                </c:pt>
                <c:pt idx="64">
                  <c:v>283192.31675672519</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1-CDF5-49B1-A6CC-328EA25775B9}"/>
            </c:ext>
          </c:extLst>
        </c:ser>
        <c:ser>
          <c:idx val="2"/>
          <c:order val="2"/>
          <c:spPr>
            <a:ln w="12700">
              <a:solidFill>
                <a:srgbClr val="000080"/>
              </a:solidFill>
              <a:prstDash val="solid"/>
            </a:ln>
          </c:spPr>
          <c:marker>
            <c:symbol val="diamond"/>
            <c:size val="5"/>
            <c:spPr>
              <a:solidFill>
                <a:srgbClr val="000080"/>
              </a:solidFill>
              <a:ln>
                <a:solidFill>
                  <a:srgbClr val="000080"/>
                </a:solidFill>
                <a:prstDash val="solid"/>
              </a:ln>
            </c:spPr>
          </c:marker>
          <c:cat>
            <c:numRef>
              <c:f>'W+cov (Lag6 AP)'!$A$17:$A$62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2-CDF5-49B1-A6CC-328EA25775B9}"/>
            </c:ext>
          </c:extLst>
        </c:ser>
        <c:dLbls>
          <c:showLegendKey val="0"/>
          <c:showVal val="0"/>
          <c:showCatName val="0"/>
          <c:showSerName val="0"/>
          <c:showPercent val="0"/>
          <c:showBubbleSize val="0"/>
        </c:dLbls>
        <c:smooth val="0"/>
        <c:axId val="174883968"/>
        <c:axId val="174899200"/>
      </c:lineChart>
      <c:catAx>
        <c:axId val="17488396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4899200"/>
        <c:crosses val="autoZero"/>
        <c:auto val="0"/>
        <c:lblAlgn val="ctr"/>
        <c:lblOffset val="100"/>
        <c:tickLblSkip val="192"/>
        <c:tickMarkSkip val="1"/>
        <c:noMultiLvlLbl val="0"/>
      </c:catAx>
      <c:valAx>
        <c:axId val="174899200"/>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4883968"/>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c:printSettings>
  <c:userShapes r:id="rId1"/>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early projections</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'W+cov (Lag6 AP)'!$A$17:$A$62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453E-4C29-A626-9585E46CCD19}"/>
            </c:ext>
          </c:extLst>
        </c:ser>
        <c:ser>
          <c:idx val="1"/>
          <c:order val="1"/>
          <c:spPr>
            <a:ln w="25400">
              <a:solidFill>
                <a:srgbClr val="FF00FF"/>
              </a:solidFill>
              <a:prstDash val="solid"/>
            </a:ln>
          </c:spPr>
          <c:marker>
            <c:symbol val="none"/>
          </c:marker>
          <c:cat>
            <c:numRef>
              <c:f>'W+cov (Lag6 AP)'!$A$17:$A$62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6205.5970060675982</c:v>
                </c:pt>
                <c:pt idx="1">
                  <c:v>12398.357534068038</c:v>
                </c:pt>
                <c:pt idx="2">
                  <c:v>18578.30813667105</c:v>
                </c:pt>
                <c:pt idx="3">
                  <c:v>24745.475311621969</c:v>
                </c:pt>
                <c:pt idx="4">
                  <c:v>30899.885501853631</c:v>
                </c:pt>
                <c:pt idx="5">
                  <c:v>37041.565095601967</c:v>
                </c:pt>
                <c:pt idx="6">
                  <c:v>43170.540426517247</c:v>
                </c:pt>
                <c:pt idx="7">
                  <c:v>49286.837773777959</c:v>
                </c:pt>
                <c:pt idx="8">
                  <c:v>55390.483362203093</c:v>
                </c:pt>
                <c:pt idx="9">
                  <c:v>61481.503362365023</c:v>
                </c:pt>
                <c:pt idx="10">
                  <c:v>67559.923890701422</c:v>
                </c:pt>
                <c:pt idx="11">
                  <c:v>73625.771009626857</c:v>
                </c:pt>
                <c:pt idx="12">
                  <c:v>79679.070727645681</c:v>
                </c:pt>
                <c:pt idx="13">
                  <c:v>85719.848999461945</c:v>
                </c:pt>
                <c:pt idx="14">
                  <c:v>91748.13172609231</c:v>
                </c:pt>
                <c:pt idx="15">
                  <c:v>97763.944754976299</c:v>
                </c:pt>
                <c:pt idx="16">
                  <c:v>103767.31388008619</c:v>
                </c:pt>
                <c:pt idx="17">
                  <c:v>109758.26484203999</c:v>
                </c:pt>
                <c:pt idx="18">
                  <c:v>115736.82332820923</c:v>
                </c:pt>
                <c:pt idx="19">
                  <c:v>121703.01497283098</c:v>
                </c:pt>
                <c:pt idx="20">
                  <c:v>127656.86535711707</c:v>
                </c:pt>
                <c:pt idx="21">
                  <c:v>133598.40000936363</c:v>
                </c:pt>
                <c:pt idx="22">
                  <c:v>139527.64440506004</c:v>
                </c:pt>
                <c:pt idx="23">
                  <c:v>145444.62396699988</c:v>
                </c:pt>
                <c:pt idx="24">
                  <c:v>151349.36406538801</c:v>
                </c:pt>
                <c:pt idx="25">
                  <c:v>157241.89001795073</c:v>
                </c:pt>
                <c:pt idx="26">
                  <c:v>163122.22709004386</c:v>
                </c:pt>
                <c:pt idx="27">
                  <c:v>168990.40049476034</c:v>
                </c:pt>
                <c:pt idx="28">
                  <c:v>174846.43539304013</c:v>
                </c:pt>
                <c:pt idx="29">
                  <c:v>180690.35689377555</c:v>
                </c:pt>
                <c:pt idx="30">
                  <c:v>186522.19005392145</c:v>
                </c:pt>
                <c:pt idx="31">
                  <c:v>192341.95987860113</c:v>
                </c:pt>
                <c:pt idx="32">
                  <c:v>198149.69132121396</c:v>
                </c:pt>
                <c:pt idx="33">
                  <c:v>203945.40928354289</c:v>
                </c:pt>
                <c:pt idx="34">
                  <c:v>209729.1386158604</c:v>
                </c:pt>
                <c:pt idx="35">
                  <c:v>215500.90411703481</c:v>
                </c:pt>
                <c:pt idx="36">
                  <c:v>221260.73053463778</c:v>
                </c:pt>
                <c:pt idx="37">
                  <c:v>227008.64256505028</c:v>
                </c:pt>
                <c:pt idx="38">
                  <c:v>232744.6648535667</c:v>
                </c:pt>
                <c:pt idx="39">
                  <c:v>238468.82199450338</c:v>
                </c:pt>
                <c:pt idx="40">
                  <c:v>244181.1385313012</c:v>
                </c:pt>
                <c:pt idx="41">
                  <c:v>249881.63895663273</c:v>
                </c:pt>
                <c:pt idx="42">
                  <c:v>255570.34771250674</c:v>
                </c:pt>
                <c:pt idx="43">
                  <c:v>261247.28919037309</c:v>
                </c:pt>
                <c:pt idx="44">
                  <c:v>266912.48773122631</c:v>
                </c:pt>
                <c:pt idx="45">
                  <c:v>272565.96762571164</c:v>
                </c:pt>
                <c:pt idx="46">
                  <c:v>278207.75311422796</c:v>
                </c:pt>
                <c:pt idx="47">
                  <c:v>283837.86838703218</c:v>
                </c:pt>
                <c:pt idx="48">
                  <c:v>289456.33758434275</c:v>
                </c:pt>
                <c:pt idx="49">
                  <c:v>295063.18479644344</c:v>
                </c:pt>
                <c:pt idx="50">
                  <c:v>300658.43406378658</c:v>
                </c:pt>
                <c:pt idx="51">
                  <c:v>306242.10937709583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453E-4C29-A626-9585E46CCD19}"/>
            </c:ext>
          </c:extLst>
        </c:ser>
        <c:ser>
          <c:idx val="2"/>
          <c:order val="2"/>
          <c:spPr>
            <a:ln w="25400">
              <a:solidFill>
                <a:srgbClr val="008000"/>
              </a:solidFill>
              <a:prstDash val="solid"/>
            </a:ln>
          </c:spPr>
          <c:marker>
            <c:symbol val="none"/>
          </c:marker>
          <c:cat>
            <c:numRef>
              <c:f>'W+cov (Lag6 AP)'!$A$17:$A$62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6236.3185158423876</c:v>
                </c:pt>
                <c:pt idx="1">
                  <c:v>12456.105476353119</c:v>
                </c:pt>
                <c:pt idx="2">
                  <c:v>18659.414150744902</c:v>
                </c:pt>
                <c:pt idx="3">
                  <c:v>24846.297606183398</c:v>
                </c:pt>
                <c:pt idx="4">
                  <c:v>31016.80870865786</c:v>
                </c:pt>
                <c:pt idx="5">
                  <c:v>37171.000123869424</c:v>
                </c:pt>
                <c:pt idx="6">
                  <c:v>43308.924318095407</c:v>
                </c:pt>
                <c:pt idx="7">
                  <c:v>49430.63355905997</c:v>
                </c:pt>
                <c:pt idx="8">
                  <c:v>55536.179916802372</c:v>
                </c:pt>
                <c:pt idx="9">
                  <c:v>61625.615264532033</c:v>
                </c:pt>
                <c:pt idx="10">
                  <c:v>67698.991279486756</c:v>
                </c:pt>
                <c:pt idx="11">
                  <c:v>73756.359443787107</c:v>
                </c:pt>
                <c:pt idx="12">
                  <c:v>79797.771045275076</c:v>
                </c:pt>
                <c:pt idx="13">
                  <c:v>85823.277178370685</c:v>
                </c:pt>
                <c:pt idx="14">
                  <c:v>91832.928744896344</c:v>
                </c:pt>
                <c:pt idx="15">
                  <c:v>97826.776454923878</c:v>
                </c:pt>
                <c:pt idx="16">
                  <c:v>103804.87082759848</c:v>
                </c:pt>
                <c:pt idx="17">
                  <c:v>109767.26219197208</c:v>
                </c:pt>
                <c:pt idx="18">
                  <c:v>115714.00068781502</c:v>
                </c:pt>
                <c:pt idx="19">
                  <c:v>121645.13626644868</c:v>
                </c:pt>
                <c:pt idx="20">
                  <c:v>127560.71869154894</c:v>
                </c:pt>
                <c:pt idx="21">
                  <c:v>133460.79753996443</c:v>
                </c:pt>
                <c:pt idx="22">
                  <c:v>139345.42220251821</c:v>
                </c:pt>
                <c:pt idx="23">
                  <c:v>145214.64188481527</c:v>
                </c:pt>
                <c:pt idx="24">
                  <c:v>151068.50560803665</c:v>
                </c:pt>
                <c:pt idx="25">
                  <c:v>156907.06220974037</c:v>
                </c:pt>
                <c:pt idx="26">
                  <c:v>162730.36034464737</c:v>
                </c:pt>
                <c:pt idx="27">
                  <c:v>168538.44848542986</c:v>
                </c:pt>
                <c:pt idx="28">
                  <c:v>174331.37492349805</c:v>
                </c:pt>
                <c:pt idx="29">
                  <c:v>180109.18776977746</c:v>
                </c:pt>
                <c:pt idx="30">
                  <c:v>185871.93495548383</c:v>
                </c:pt>
                <c:pt idx="31">
                  <c:v>191619.66423289722</c:v>
                </c:pt>
                <c:pt idx="32">
                  <c:v>197352.42317613267</c:v>
                </c:pt>
                <c:pt idx="33">
                  <c:v>203070.25918189669</c:v>
                </c:pt>
                <c:pt idx="34">
                  <c:v>208773.21947025752</c:v>
                </c:pt>
                <c:pt idx="35">
                  <c:v>214461.35108539666</c:v>
                </c:pt>
                <c:pt idx="36">
                  <c:v>220134.70089636612</c:v>
                </c:pt>
                <c:pt idx="37">
                  <c:v>225793.31559783532</c:v>
                </c:pt>
                <c:pt idx="38">
                  <c:v>231437.24171083735</c:v>
                </c:pt>
                <c:pt idx="39">
                  <c:v>237066.52558351649</c:v>
                </c:pt>
                <c:pt idx="40">
                  <c:v>242681.21339185978</c:v>
                </c:pt>
                <c:pt idx="41">
                  <c:v>248281.35114044035</c:v>
                </c:pt>
                <c:pt idx="42">
                  <c:v>253866.98466314361</c:v>
                </c:pt>
                <c:pt idx="43">
                  <c:v>259438.15962389749</c:v>
                </c:pt>
                <c:pt idx="44">
                  <c:v>264994.92151739931</c:v>
                </c:pt>
                <c:pt idx="45">
                  <c:v>270537.31566983397</c:v>
                </c:pt>
                <c:pt idx="46">
                  <c:v>276065.38723959605</c:v>
                </c:pt>
                <c:pt idx="47">
                  <c:v>281579.18121799931</c:v>
                </c:pt>
                <c:pt idx="48">
                  <c:v>287078.74242999242</c:v>
                </c:pt>
                <c:pt idx="49">
                  <c:v>292564.11553486239</c:v>
                </c:pt>
                <c:pt idx="50">
                  <c:v>298035.34502694273</c:v>
                </c:pt>
                <c:pt idx="51">
                  <c:v>303492.47523631272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453E-4C29-A626-9585E46CCD19}"/>
            </c:ext>
          </c:extLst>
        </c:ser>
        <c:dLbls>
          <c:showLegendKey val="0"/>
          <c:showVal val="0"/>
          <c:showCatName val="0"/>
          <c:showSerName val="0"/>
          <c:showPercent val="0"/>
          <c:showBubbleSize val="0"/>
        </c:dLbls>
        <c:marker val="1"/>
        <c:smooth val="0"/>
        <c:axId val="175012480"/>
        <c:axId val="175014656"/>
      </c:lineChart>
      <c:catAx>
        <c:axId val="17501248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14656"/>
        <c:crosses val="autoZero"/>
        <c:auto val="0"/>
        <c:lblAlgn val="ctr"/>
        <c:lblOffset val="100"/>
        <c:tickLblSkip val="153"/>
        <c:tickMarkSkip val="1"/>
        <c:noMultiLvlLbl val="0"/>
      </c:catAx>
      <c:valAx>
        <c:axId val="175014656"/>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12480"/>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model fit and validated forecast</a:t>
            </a:r>
          </a:p>
        </c:rich>
      </c:tx>
      <c:overlay val="0"/>
      <c:spPr>
        <a:noFill/>
        <a:ln w="25400">
          <a:noFill/>
        </a:ln>
      </c:spPr>
    </c:title>
    <c:autoTitleDeleted val="0"/>
    <c:plotArea>
      <c:layout/>
      <c:lineChart>
        <c:grouping val="standard"/>
        <c:varyColors val="0"/>
        <c:ser>
          <c:idx val="0"/>
          <c:order val="0"/>
          <c:spPr>
            <a:ln w="25400">
              <a:solidFill>
                <a:srgbClr val="000080"/>
              </a:solidFill>
              <a:prstDash val="solid"/>
            </a:ln>
          </c:spPr>
          <c:marker>
            <c:symbol val="diamond"/>
            <c:size val="7"/>
            <c:spPr>
              <a:solidFill>
                <a:srgbClr val="000080"/>
              </a:solidFill>
              <a:ln>
                <a:solidFill>
                  <a:srgbClr val="000080"/>
                </a:solidFill>
                <a:prstDash val="solid"/>
              </a:ln>
            </c:spPr>
          </c:marker>
          <c:cat>
            <c:numRef>
              <c:f>'W+cov (Lag6 AP)'!$A$17:$A$62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5250</c:v>
                </c:pt>
                <c:pt idx="1">
                  <c:v>10732</c:v>
                </c:pt>
                <c:pt idx="2">
                  <c:v>15712</c:v>
                </c:pt>
                <c:pt idx="3">
                  <c:v>21229</c:v>
                </c:pt>
                <c:pt idx="4">
                  <c:v>27792</c:v>
                </c:pt>
                <c:pt idx="5">
                  <c:v>34347</c:v>
                </c:pt>
                <c:pt idx="6">
                  <c:v>40760</c:v>
                </c:pt>
                <c:pt idx="7">
                  <c:v>47291</c:v>
                </c:pt>
                <c:pt idx="8">
                  <c:v>54166</c:v>
                </c:pt>
                <c:pt idx="9">
                  <c:v>61731</c:v>
                </c:pt>
                <c:pt idx="10">
                  <c:v>69626</c:v>
                </c:pt>
                <c:pt idx="11">
                  <c:v>77164</c:v>
                </c:pt>
                <c:pt idx="12">
                  <c:v>82460</c:v>
                </c:pt>
                <c:pt idx="13">
                  <c:v>87269</c:v>
                </c:pt>
                <c:pt idx="14">
                  <c:v>91423</c:v>
                </c:pt>
                <c:pt idx="15">
                  <c:v>96153</c:v>
                </c:pt>
                <c:pt idx="16">
                  <c:v>100288</c:v>
                </c:pt>
                <c:pt idx="17">
                  <c:v>104203</c:v>
                </c:pt>
                <c:pt idx="18">
                  <c:v>107610</c:v>
                </c:pt>
                <c:pt idx="19">
                  <c:v>110925</c:v>
                </c:pt>
                <c:pt idx="20">
                  <c:v>114171</c:v>
                </c:pt>
                <c:pt idx="21">
                  <c:v>116827</c:v>
                </c:pt>
                <c:pt idx="22">
                  <c:v>119051</c:v>
                </c:pt>
                <c:pt idx="23">
                  <c:v>121375</c:v>
                </c:pt>
                <c:pt idx="24">
                  <c:v>123569</c:v>
                </c:pt>
                <c:pt idx="25">
                  <c:v>125746</c:v>
                </c:pt>
                <c:pt idx="26">
                  <c:v>128112</c:v>
                </c:pt>
                <c:pt idx="27">
                  <c:v>130514</c:v>
                </c:pt>
                <c:pt idx="28">
                  <c:v>132999</c:v>
                </c:pt>
                <c:pt idx="29">
                  <c:v>135587</c:v>
                </c:pt>
                <c:pt idx="30">
                  <c:v>138040</c:v>
                </c:pt>
                <c:pt idx="31">
                  <c:v>140209</c:v>
                </c:pt>
                <c:pt idx="32">
                  <c:v>142449</c:v>
                </c:pt>
                <c:pt idx="33">
                  <c:v>145039</c:v>
                </c:pt>
                <c:pt idx="34">
                  <c:v>147518</c:v>
                </c:pt>
                <c:pt idx="35">
                  <c:v>150496</c:v>
                </c:pt>
                <c:pt idx="36">
                  <c:v>154663</c:v>
                </c:pt>
                <c:pt idx="37">
                  <c:v>162888</c:v>
                </c:pt>
                <c:pt idx="38">
                  <c:v>170390</c:v>
                </c:pt>
                <c:pt idx="39">
                  <c:v>175357</c:v>
                </c:pt>
                <c:pt idx="40">
                  <c:v>179640</c:v>
                </c:pt>
                <c:pt idx="41">
                  <c:v>184334</c:v>
                </c:pt>
                <c:pt idx="42">
                  <c:v>189364</c:v>
                </c:pt>
                <c:pt idx="43">
                  <c:v>194944</c:v>
                </c:pt>
                <c:pt idx="44">
                  <c:v>201877</c:v>
                </c:pt>
                <c:pt idx="45">
                  <c:v>210844</c:v>
                </c:pt>
                <c:pt idx="46">
                  <c:v>220287</c:v>
                </c:pt>
                <c:pt idx="47">
                  <c:v>229298</c:v>
                </c:pt>
                <c:pt idx="48">
                  <c:v>239323</c:v>
                </c:pt>
                <c:pt idx="49">
                  <c:v>249924</c:v>
                </c:pt>
                <c:pt idx="50">
                  <c:v>261007</c:v>
                </c:pt>
                <c:pt idx="51">
                  <c:v>272143</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cum. sales</c:v>
                      </c:pt>
                    </c:strCache>
                  </c:strRef>
                </c15:tx>
              </c15:filteredSeriesTitle>
            </c:ext>
            <c:ext xmlns:c16="http://schemas.microsoft.com/office/drawing/2014/chart" uri="{C3380CC4-5D6E-409C-BE32-E72D297353CC}">
              <c16:uniqueId val="{00000000-B93A-4CBB-8470-803DA00E3534}"/>
            </c:ext>
          </c:extLst>
        </c:ser>
        <c:ser>
          <c:idx val="1"/>
          <c:order val="1"/>
          <c:spPr>
            <a:ln w="25400">
              <a:solidFill>
                <a:srgbClr val="FF00FF"/>
              </a:solidFill>
              <a:prstDash val="solid"/>
            </a:ln>
          </c:spPr>
          <c:marker>
            <c:symbol val="none"/>
          </c:marker>
          <c:cat>
            <c:numRef>
              <c:f>'W+cov (Lag6 AP)'!$A$17:$A$62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7344.335729028825</c:v>
                </c:pt>
                <c:pt idx="1">
                  <c:v>14436.551199097725</c:v>
                </c:pt>
                <c:pt idx="2">
                  <c:v>21285.301328408012</c:v>
                </c:pt>
                <c:pt idx="3">
                  <c:v>27898.943924530697</c:v>
                </c:pt>
                <c:pt idx="4">
                  <c:v>34285.549883777916</c:v>
                </c:pt>
                <c:pt idx="5">
                  <c:v>40452.913040445157</c:v>
                </c:pt>
                <c:pt idx="6">
                  <c:v>46408.559677943333</c:v>
                </c:pt>
                <c:pt idx="7">
                  <c:v>52159.757713427702</c:v>
                </c:pt>
                <c:pt idx="8">
                  <c:v>57713.525567131976</c:v>
                </c:pt>
                <c:pt idx="9">
                  <c:v>63076.64072723117</c:v>
                </c:pt>
                <c:pt idx="10">
                  <c:v>68255.648020685359</c:v>
                </c:pt>
                <c:pt idx="11">
                  <c:v>73256.86760015742</c:v>
                </c:pt>
                <c:pt idx="12">
                  <c:v>78086.402656751801</c:v>
                </c:pt>
                <c:pt idx="13">
                  <c:v>82750.146867985968</c:v>
                </c:pt>
                <c:pt idx="14">
                  <c:v>87253.791590084365</c:v>
                </c:pt>
                <c:pt idx="15">
                  <c:v>91602.832803371042</c:v>
                </c:pt>
                <c:pt idx="16">
                  <c:v>95802.577819237515</c:v>
                </c:pt>
                <c:pt idx="17">
                  <c:v>99858.151756870066</c:v>
                </c:pt>
                <c:pt idx="18">
                  <c:v>103774.50379764057</c:v>
                </c:pt>
                <c:pt idx="19">
                  <c:v>107556.41322479326</c:v>
                </c:pt>
                <c:pt idx="20">
                  <c:v>111208.4952557979</c:v>
                </c:pt>
                <c:pt idx="21">
                  <c:v>114735.20667448692</c:v>
                </c:pt>
                <c:pt idx="22">
                  <c:v>118140.85126984945</c:v>
                </c:pt>
                <c:pt idx="23">
                  <c:v>121429.58508811954</c:v>
                </c:pt>
                <c:pt idx="24">
                  <c:v>124605.42150456809</c:v>
                </c:pt>
                <c:pt idx="25">
                  <c:v>127672.23612118732</c:v>
                </c:pt>
                <c:pt idx="26">
                  <c:v>130633.77149624519</c:v>
                </c:pt>
                <c:pt idx="27">
                  <c:v>133493.641711481</c:v>
                </c:pt>
                <c:pt idx="28">
                  <c:v>136255.33678251592</c:v>
                </c:pt>
                <c:pt idx="29">
                  <c:v>138922.22691786065</c:v>
                </c:pt>
                <c:pt idx="30">
                  <c:v>141497.56663171755</c:v>
                </c:pt>
                <c:pt idx="31">
                  <c:v>143984.49871559627</c:v>
                </c:pt>
                <c:pt idx="32">
                  <c:v>146386.05807358978</c:v>
                </c:pt>
                <c:pt idx="33">
                  <c:v>148705.17542599089</c:v>
                </c:pt>
                <c:pt idx="34">
                  <c:v>150944.68088576914</c:v>
                </c:pt>
                <c:pt idx="35">
                  <c:v>153128.47144011562</c:v>
                </c:pt>
                <c:pt idx="36">
                  <c:v>155236.56203205764</c:v>
                </c:pt>
                <c:pt idx="37">
                  <c:v>157271.57676137282</c:v>
                </c:pt>
                <c:pt idx="38">
                  <c:v>159236.04876478645</c:v>
                </c:pt>
                <c:pt idx="39">
                  <c:v>161114.04480952566</c:v>
                </c:pt>
                <c:pt idx="40">
                  <c:v>162927.57200825959</c:v>
                </c:pt>
                <c:pt idx="41">
                  <c:v>164678.8434817864</c:v>
                </c:pt>
                <c:pt idx="42">
                  <c:v>166369.99637771747</c:v>
                </c:pt>
                <c:pt idx="43">
                  <c:v>168003.09447852554</c:v>
                </c:pt>
                <c:pt idx="44">
                  <c:v>169580.13072006224</c:v>
                </c:pt>
                <c:pt idx="45">
                  <c:v>171103.02962361835</c:v>
                </c:pt>
                <c:pt idx="46">
                  <c:v>172573.64964449525</c:v>
                </c:pt>
                <c:pt idx="47">
                  <c:v>173993.78543995344</c:v>
                </c:pt>
                <c:pt idx="48">
                  <c:v>175365.17005930538</c:v>
                </c:pt>
                <c:pt idx="49">
                  <c:v>176689.47705882601</c:v>
                </c:pt>
                <c:pt idx="50">
                  <c:v>177968.32254406132</c:v>
                </c:pt>
                <c:pt idx="51">
                  <c:v>179203.26714202741</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1</c:v>
                      </c:pt>
                    </c:strCache>
                  </c:strRef>
                </c15:tx>
              </c15:filteredSeriesTitle>
            </c:ext>
            <c:ext xmlns:c16="http://schemas.microsoft.com/office/drawing/2014/chart" uri="{C3380CC4-5D6E-409C-BE32-E72D297353CC}">
              <c16:uniqueId val="{00000001-B93A-4CBB-8470-803DA00E3534}"/>
            </c:ext>
          </c:extLst>
        </c:ser>
        <c:ser>
          <c:idx val="2"/>
          <c:order val="2"/>
          <c:spPr>
            <a:ln w="25400">
              <a:solidFill>
                <a:srgbClr val="008000"/>
              </a:solidFill>
              <a:prstDash val="solid"/>
            </a:ln>
          </c:spPr>
          <c:marker>
            <c:symbol val="none"/>
          </c:marker>
          <c:cat>
            <c:numRef>
              <c:f>'W+cov (Lag6 AP)'!$A$17:$A$62</c:f>
              <c:numCache>
                <c:formatCode>m/d/yyyy</c:formatCode>
                <c:ptCount val="46"/>
                <c:pt idx="0">
                  <c:v>34707</c:v>
                </c:pt>
                <c:pt idx="1">
                  <c:v>34714</c:v>
                </c:pt>
                <c:pt idx="2">
                  <c:v>34721</c:v>
                </c:pt>
                <c:pt idx="3">
                  <c:v>34728</c:v>
                </c:pt>
                <c:pt idx="4">
                  <c:v>34735</c:v>
                </c:pt>
                <c:pt idx="5">
                  <c:v>34742</c:v>
                </c:pt>
                <c:pt idx="6">
                  <c:v>34749</c:v>
                </c:pt>
                <c:pt idx="7">
                  <c:v>34756</c:v>
                </c:pt>
                <c:pt idx="8">
                  <c:v>34763</c:v>
                </c:pt>
                <c:pt idx="9">
                  <c:v>34770</c:v>
                </c:pt>
                <c:pt idx="10">
                  <c:v>34777</c:v>
                </c:pt>
                <c:pt idx="11">
                  <c:v>34784</c:v>
                </c:pt>
                <c:pt idx="12">
                  <c:v>34791</c:v>
                </c:pt>
                <c:pt idx="13">
                  <c:v>34798</c:v>
                </c:pt>
                <c:pt idx="14">
                  <c:v>34805</c:v>
                </c:pt>
                <c:pt idx="15">
                  <c:v>34812</c:v>
                </c:pt>
                <c:pt idx="16">
                  <c:v>34819</c:v>
                </c:pt>
                <c:pt idx="17">
                  <c:v>34826</c:v>
                </c:pt>
                <c:pt idx="18">
                  <c:v>34833</c:v>
                </c:pt>
                <c:pt idx="19">
                  <c:v>34840</c:v>
                </c:pt>
              </c:numCache>
            </c:numRef>
          </c:cat>
          <c:val>
            <c:numRef>
              <c:f>'Everclear -- Sparkle and Fade'!#REF!</c:f>
              <c:numCache>
                <c:formatCode>General</c:formatCode>
                <c:ptCount val="52"/>
                <c:pt idx="0">
                  <c:v>8499.3219409211779</c:v>
                </c:pt>
                <c:pt idx="1">
                  <c:v>16404.804123137495</c:v>
                </c:pt>
                <c:pt idx="2">
                  <c:v>23792.754684577423</c:v>
                </c:pt>
                <c:pt idx="3">
                  <c:v>30725.730351800816</c:v>
                </c:pt>
                <c:pt idx="4">
                  <c:v>37255.646350869756</c:v>
                </c:pt>
                <c:pt idx="5">
                  <c:v>43426.055223524942</c:v>
                </c:pt>
                <c:pt idx="6">
                  <c:v>49273.847370987503</c:v>
                </c:pt>
                <c:pt idx="7">
                  <c:v>54830.540786694248</c:v>
                </c:pt>
                <c:pt idx="8">
                  <c:v>60123.273491882399</c:v>
                </c:pt>
                <c:pt idx="9">
                  <c:v>65175.577222763903</c:v>
                </c:pt>
                <c:pt idx="10">
                  <c:v>70007.987739005519</c:v>
                </c:pt>
                <c:pt idx="11">
                  <c:v>74638.53144247079</c:v>
                </c:pt>
                <c:pt idx="12">
                  <c:v>79083.117190512858</c:v>
                </c:pt>
                <c:pt idx="13">
                  <c:v>83355.854617961581</c:v>
                </c:pt>
                <c:pt idx="14">
                  <c:v>87469.314896583499</c:v>
                </c:pt>
                <c:pt idx="15">
                  <c:v>91434.745975696569</c:v>
                </c:pt>
                <c:pt idx="16">
                  <c:v>95262.251508608126</c:v>
                </c:pt>
                <c:pt idx="17">
                  <c:v>98960.940570115621</c:v>
                </c:pt>
                <c:pt idx="18">
                  <c:v>102539.05370062744</c:v>
                </c:pt>
                <c:pt idx="19">
                  <c:v>106004.06962679887</c:v>
                </c:pt>
                <c:pt idx="20">
                  <c:v>109362.7961043987</c:v>
                </c:pt>
                <c:pt idx="21">
                  <c:v>112621.44763344251</c:v>
                </c:pt>
                <c:pt idx="22">
                  <c:v>115785.71225590339</c:v>
                </c:pt>
                <c:pt idx="23">
                  <c:v>118860.80922427788</c:v>
                </c:pt>
                <c:pt idx="24">
                  <c:v>121851.53899685852</c:v>
                </c:pt>
                <c:pt idx="25">
                  <c:v>124762.32675190546</c:v>
                </c:pt>
                <c:pt idx="26">
                  <c:v>127597.26040240616</c:v>
                </c:pt>
                <c:pt idx="27">
                  <c:v>130360.12392403407</c:v>
                </c:pt>
                <c:pt idx="28">
                  <c:v>133054.42667229407</c:v>
                </c:pt>
                <c:pt idx="29">
                  <c:v>135683.42925384446</c:v>
                </c:pt>
                <c:pt idx="30">
                  <c:v>138250.16642633482</c:v>
                </c:pt>
                <c:pt idx="31">
                  <c:v>140757.46742667383</c:v>
                </c:pt>
                <c:pt idx="32">
                  <c:v>143207.97406628681</c:v>
                </c:pt>
                <c:pt idx="33">
                  <c:v>145604.15688106132</c:v>
                </c:pt>
                <c:pt idx="34">
                  <c:v>147948.3295813876</c:v>
                </c:pt>
                <c:pt idx="35">
                  <c:v>154519.3973396708</c:v>
                </c:pt>
                <c:pt idx="36">
                  <c:v>160712.39594842569</c:v>
                </c:pt>
                <c:pt idx="37">
                  <c:v>166567.77713775184</c:v>
                </c:pt>
                <c:pt idx="38">
                  <c:v>172119.86247883536</c:v>
                </c:pt>
                <c:pt idx="39">
                  <c:v>173955.8060925912</c:v>
                </c:pt>
                <c:pt idx="40">
                  <c:v>175760.75892452724</c:v>
                </c:pt>
                <c:pt idx="41">
                  <c:v>177535.73104752653</c:v>
                </c:pt>
                <c:pt idx="42">
                  <c:v>179281.68424125924</c:v>
                </c:pt>
                <c:pt idx="43">
                  <c:v>180999.53501339117</c:v>
                </c:pt>
                <c:pt idx="44">
                  <c:v>182690.15738858763</c:v>
                </c:pt>
                <c:pt idx="45">
                  <c:v>184354.38548637839</c:v>
                </c:pt>
                <c:pt idx="46">
                  <c:v>185993.01590675808</c:v>
                </c:pt>
                <c:pt idx="47">
                  <c:v>187606.80994045688</c:v>
                </c:pt>
                <c:pt idx="48">
                  <c:v>189196.49561910034</c:v>
                </c:pt>
                <c:pt idx="49">
                  <c:v>190762.76961896522</c:v>
                </c:pt>
                <c:pt idx="50">
                  <c:v>192306.29903068152</c:v>
                </c:pt>
                <c:pt idx="51">
                  <c:v>193827.72300604312</c:v>
                </c:pt>
              </c:numCache>
            </c:numRef>
          </c:val>
          <c:smooth val="0"/>
          <c:extLst>
            <c:ext xmlns:c15="http://schemas.microsoft.com/office/drawing/2012/chart" uri="{02D57815-91ED-43cb-92C2-25804820EDAC}">
              <c15:filteredSeriesTitle>
                <c15:tx>
                  <c:strRef>
                    <c:extLst>
                      <c:ext uri="{02D57815-91ED-43cb-92C2-25804820EDAC}">
                        <c15:formulaRef>
                          <c15:sqref>'Everclear -- Sparkle and Fade'!#REF!</c15:sqref>
                        </c15:formulaRef>
                      </c:ext>
                    </c:extLst>
                    <c:strCache>
                      <c:ptCount val="1"/>
                      <c:pt idx="0">
                        <c:v>model 2</c:v>
                      </c:pt>
                    </c:strCache>
                  </c:strRef>
                </c15:tx>
              </c15:filteredSeriesTitle>
            </c:ext>
            <c:ext xmlns:c16="http://schemas.microsoft.com/office/drawing/2014/chart" uri="{C3380CC4-5D6E-409C-BE32-E72D297353CC}">
              <c16:uniqueId val="{00000002-B93A-4CBB-8470-803DA00E3534}"/>
            </c:ext>
          </c:extLst>
        </c:ser>
        <c:dLbls>
          <c:showLegendKey val="0"/>
          <c:showVal val="0"/>
          <c:showCatName val="0"/>
          <c:showSerName val="0"/>
          <c:showPercent val="0"/>
          <c:showBubbleSize val="0"/>
        </c:dLbls>
        <c:marker val="1"/>
        <c:smooth val="0"/>
        <c:axId val="175063424"/>
        <c:axId val="175065344"/>
      </c:lineChart>
      <c:catAx>
        <c:axId val="175063424"/>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week</a:t>
                </a:r>
              </a:p>
            </c:rich>
          </c:tx>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75065344"/>
        <c:crosses val="autoZero"/>
        <c:auto val="0"/>
        <c:lblAlgn val="ctr"/>
        <c:lblOffset val="100"/>
        <c:tickLblSkip val="153"/>
        <c:tickMarkSkip val="1"/>
        <c:noMultiLvlLbl val="0"/>
      </c:catAx>
      <c:valAx>
        <c:axId val="175065344"/>
        <c:scaling>
          <c:orientation val="minMax"/>
        </c:scaling>
        <c:delete val="0"/>
        <c:axPos val="l"/>
        <c:title>
          <c:tx>
            <c:rich>
              <a:bodyPr/>
              <a:lstStyle/>
              <a:p>
                <a:pPr>
                  <a:defRPr sz="800" b="1" i="0" u="none" strike="noStrike" baseline="0">
                    <a:solidFill>
                      <a:srgbClr val="000000"/>
                    </a:solidFill>
                    <a:latin typeface="Arial"/>
                    <a:ea typeface="Arial"/>
                    <a:cs typeface="Arial"/>
                  </a:defRPr>
                </a:pPr>
                <a:r>
                  <a:rPr lang="en-US"/>
                  <a:t>cum. sales</a:t>
                </a:r>
              </a:p>
            </c:rich>
          </c:tx>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5063424"/>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'W+cov (Lag6 AP)'!$B$16:$B$36</c:f>
              <c:numCache>
                <c:formatCode>0</c:formatCode>
                <c:ptCount val="21"/>
                <c:pt idx="0" formatCode="General">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'W+cov (Lag6 AP)'!$P$16:$P$36</c:f>
              <c:numCache>
                <c:formatCode>_(* #,##0.000_);_(* \(#,##0.000\);_(* "-"??_);_(@_)</c:formatCode>
                <c:ptCount val="21"/>
                <c:pt idx="0">
                  <c:v>1.5799849102353138</c:v>
                </c:pt>
                <c:pt idx="1">
                  <c:v>1.5533584780177072</c:v>
                </c:pt>
                <c:pt idx="2">
                  <c:v>1.9450566522246837</c:v>
                </c:pt>
                <c:pt idx="3">
                  <c:v>1.8405312771672777</c:v>
                </c:pt>
                <c:pt idx="4">
                  <c:v>1.8059402287436459</c:v>
                </c:pt>
                <c:pt idx="5">
                  <c:v>1.9988758478020454</c:v>
                </c:pt>
                <c:pt idx="6">
                  <c:v>2.2334784996127284</c:v>
                </c:pt>
                <c:pt idx="7">
                  <c:v>2.1226406584757962</c:v>
                </c:pt>
                <c:pt idx="8">
                  <c:v>2.3040995964611124</c:v>
                </c:pt>
                <c:pt idx="9">
                  <c:v>2.569289201615395</c:v>
                </c:pt>
                <c:pt idx="10">
                  <c:v>2.4155583169174015</c:v>
                </c:pt>
                <c:pt idx="11">
                  <c:v>1.8657384539571795</c:v>
                </c:pt>
                <c:pt idx="12">
                  <c:v>1.7469241930790853</c:v>
                </c:pt>
                <c:pt idx="13">
                  <c:v>1.7326018261931171</c:v>
                </c:pt>
                <c:pt idx="14">
                  <c:v>1.4426405697830673</c:v>
                </c:pt>
                <c:pt idx="15">
                  <c:v>1.2495784780252013</c:v>
                </c:pt>
                <c:pt idx="16">
                  <c:v>1.1835094718706984</c:v>
                </c:pt>
                <c:pt idx="17">
                  <c:v>1.149030200339874</c:v>
                </c:pt>
                <c:pt idx="18">
                  <c:v>1.1948078304939185</c:v>
                </c:pt>
                <c:pt idx="19">
                  <c:v>1.1668996603146171</c:v>
                </c:pt>
                <c:pt idx="20">
                  <c:v>1.1194463368642316</c:v>
                </c:pt>
              </c:numCache>
            </c:numRef>
          </c:val>
          <c:smooth val="0"/>
          <c:extLst>
            <c:ext xmlns:c16="http://schemas.microsoft.com/office/drawing/2014/chart" uri="{C3380CC4-5D6E-409C-BE32-E72D297353CC}">
              <c16:uniqueId val="{00000000-E9FE-4A2E-8080-71292C8BD91E}"/>
            </c:ext>
          </c:extLst>
        </c:ser>
        <c:dLbls>
          <c:showLegendKey val="0"/>
          <c:showVal val="0"/>
          <c:showCatName val="0"/>
          <c:showSerName val="0"/>
          <c:showPercent val="0"/>
          <c:showBubbleSize val="0"/>
        </c:dLbls>
        <c:marker val="1"/>
        <c:smooth val="0"/>
        <c:axId val="798823680"/>
        <c:axId val="798821056"/>
      </c:lineChart>
      <c:catAx>
        <c:axId val="79882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21056"/>
        <c:crosses val="autoZero"/>
        <c:auto val="1"/>
        <c:lblAlgn val="ctr"/>
        <c:lblOffset val="100"/>
        <c:noMultiLvlLbl val="0"/>
      </c:catAx>
      <c:valAx>
        <c:axId val="7988210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2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Actual</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'W+cov (Lag6 AP)'!$D$16:$D$36</c:f>
              <c:numCache>
                <c:formatCode>General</c:formatCode>
                <c:ptCount val="21"/>
                <c:pt idx="0">
                  <c:v>2976</c:v>
                </c:pt>
                <c:pt idx="1">
                  <c:v>2529</c:v>
                </c:pt>
                <c:pt idx="2">
                  <c:v>2421</c:v>
                </c:pt>
                <c:pt idx="3">
                  <c:v>2385</c:v>
                </c:pt>
                <c:pt idx="4">
                  <c:v>2630</c:v>
                </c:pt>
                <c:pt idx="5">
                  <c:v>2794</c:v>
                </c:pt>
                <c:pt idx="6">
                  <c:v>2700</c:v>
                </c:pt>
                <c:pt idx="7">
                  <c:v>3170</c:v>
                </c:pt>
                <c:pt idx="8">
                  <c:v>2567</c:v>
                </c:pt>
                <c:pt idx="9">
                  <c:v>3409</c:v>
                </c:pt>
                <c:pt idx="10">
                  <c:v>3070</c:v>
                </c:pt>
                <c:pt idx="11">
                  <c:v>3182</c:v>
                </c:pt>
                <c:pt idx="12">
                  <c:v>2706</c:v>
                </c:pt>
                <c:pt idx="13">
                  <c:v>1890</c:v>
                </c:pt>
                <c:pt idx="14">
                  <c:v>1623</c:v>
                </c:pt>
                <c:pt idx="15">
                  <c:v>1587</c:v>
                </c:pt>
                <c:pt idx="16">
                  <c:v>1507</c:v>
                </c:pt>
                <c:pt idx="17">
                  <c:v>1300</c:v>
                </c:pt>
                <c:pt idx="18">
                  <c:v>1127</c:v>
                </c:pt>
                <c:pt idx="19">
                  <c:v>997</c:v>
                </c:pt>
                <c:pt idx="20">
                  <c:v>834</c:v>
                </c:pt>
              </c:numCache>
            </c:numRef>
          </c:val>
          <c:smooth val="0"/>
          <c:extLst>
            <c:ext xmlns:c16="http://schemas.microsoft.com/office/drawing/2014/chart" uri="{C3380CC4-5D6E-409C-BE32-E72D297353CC}">
              <c16:uniqueId val="{00000000-54A5-4265-9238-4E082413F8B1}"/>
            </c:ext>
          </c:extLst>
        </c:ser>
        <c:ser>
          <c:idx val="1"/>
          <c:order val="1"/>
          <c:tx>
            <c:v>Expected</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'W+cov (Lag6 AP)'!$K$16:$K$36</c:f>
              <c:numCache>
                <c:formatCode>_(* #,##0_);_(* \(#,##0\);_(* "-"??_);_(@_)</c:formatCode>
                <c:ptCount val="21"/>
                <c:pt idx="0">
                  <c:v>2531.6768201602781</c:v>
                </c:pt>
                <c:pt idx="1">
                  <c:v>2512.1574156237393</c:v>
                </c:pt>
                <c:pt idx="2">
                  <c:v>3094.9610633878792</c:v>
                </c:pt>
                <c:pt idx="3">
                  <c:v>2860.0419100777608</c:v>
                </c:pt>
                <c:pt idx="4">
                  <c:v>2737.0710074126164</c:v>
                </c:pt>
                <c:pt idx="5">
                  <c:v>2946.3146623730845</c:v>
                </c:pt>
                <c:pt idx="6">
                  <c:v>3186.585296282261</c:v>
                </c:pt>
                <c:pt idx="7">
                  <c:v>2925.9296091568212</c:v>
                </c:pt>
                <c:pt idx="8">
                  <c:v>3064.865315806961</c:v>
                </c:pt>
                <c:pt idx="9">
                  <c:v>3283.4803226473705</c:v>
                </c:pt>
                <c:pt idx="10">
                  <c:v>2961.6866538776485</c:v>
                </c:pt>
                <c:pt idx="11">
                  <c:v>2207.600702540014</c:v>
                </c:pt>
                <c:pt idx="12">
                  <c:v>2006.1103950505349</c:v>
                </c:pt>
                <c:pt idx="13">
                  <c:v>1932.8853746155946</c:v>
                </c:pt>
                <c:pt idx="14">
                  <c:v>1567.392750813895</c:v>
                </c:pt>
                <c:pt idx="15">
                  <c:v>1327.6808686951626</c:v>
                </c:pt>
                <c:pt idx="16">
                  <c:v>1232.4115445585558</c:v>
                </c:pt>
                <c:pt idx="17">
                  <c:v>1173.5587452950349</c:v>
                </c:pt>
                <c:pt idx="18">
                  <c:v>1196.6526431026796</c:v>
                </c:pt>
                <c:pt idx="19">
                  <c:v>1145.7361812886811</c:v>
                </c:pt>
                <c:pt idx="20">
                  <c:v>1078.1718142272948</c:v>
                </c:pt>
              </c:numCache>
            </c:numRef>
          </c:val>
          <c:smooth val="0"/>
          <c:extLst>
            <c:ext xmlns:c16="http://schemas.microsoft.com/office/drawing/2014/chart" uri="{C3380CC4-5D6E-409C-BE32-E72D297353CC}">
              <c16:uniqueId val="{00000001-54A5-4265-9238-4E082413F8B1}"/>
            </c:ext>
          </c:extLst>
        </c:ser>
        <c:dLbls>
          <c:showLegendKey val="0"/>
          <c:showVal val="0"/>
          <c:showCatName val="0"/>
          <c:showSerName val="0"/>
          <c:showPercent val="0"/>
          <c:showBubbleSize val="0"/>
        </c:dLbls>
        <c:marker val="1"/>
        <c:smooth val="0"/>
        <c:axId val="968114920"/>
        <c:axId val="968117872"/>
      </c:lineChart>
      <c:catAx>
        <c:axId val="9681149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117872"/>
        <c:crosses val="autoZero"/>
        <c:auto val="1"/>
        <c:lblAlgn val="ctr"/>
        <c:lblOffset val="100"/>
        <c:noMultiLvlLbl val="0"/>
      </c:catAx>
      <c:valAx>
        <c:axId val="9681178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114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chart" Target="../charts/chart24.xml"/><Relationship Id="rId4" Type="http://schemas.openxmlformats.org/officeDocument/2006/relationships/chart" Target="../charts/chart23.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33.xml"/><Relationship Id="rId7" Type="http://schemas.openxmlformats.org/officeDocument/2006/relationships/chart" Target="../charts/chart37.xml"/><Relationship Id="rId2" Type="http://schemas.openxmlformats.org/officeDocument/2006/relationships/chart" Target="../charts/chart32.xml"/><Relationship Id="rId1" Type="http://schemas.openxmlformats.org/officeDocument/2006/relationships/chart" Target="../charts/chart31.xml"/><Relationship Id="rId6" Type="http://schemas.openxmlformats.org/officeDocument/2006/relationships/chart" Target="../charts/chart36.xml"/><Relationship Id="rId5" Type="http://schemas.openxmlformats.org/officeDocument/2006/relationships/chart" Target="../charts/chart35.xml"/><Relationship Id="rId4" Type="http://schemas.openxmlformats.org/officeDocument/2006/relationships/chart" Target="../charts/chart34.xml"/></Relationships>
</file>

<file path=xl/drawings/_rels/drawing29.xml.rels><?xml version="1.0" encoding="UTF-8" standalone="yes"?>
<Relationships xmlns="http://schemas.openxmlformats.org/package/2006/relationships"><Relationship Id="rId3" Type="http://schemas.openxmlformats.org/officeDocument/2006/relationships/chart" Target="../charts/chart40.xml"/><Relationship Id="rId7" Type="http://schemas.openxmlformats.org/officeDocument/2006/relationships/chart" Target="../charts/chart44.xml"/><Relationship Id="rId2" Type="http://schemas.openxmlformats.org/officeDocument/2006/relationships/chart" Target="../charts/chart39.xml"/><Relationship Id="rId1" Type="http://schemas.openxmlformats.org/officeDocument/2006/relationships/chart" Target="../charts/chart38.xml"/><Relationship Id="rId6" Type="http://schemas.openxmlformats.org/officeDocument/2006/relationships/chart" Target="../charts/chart43.xml"/><Relationship Id="rId5" Type="http://schemas.openxmlformats.org/officeDocument/2006/relationships/chart" Target="../charts/chart42.xml"/><Relationship Id="rId4" Type="http://schemas.openxmlformats.org/officeDocument/2006/relationships/chart" Target="../charts/chart41.xml"/></Relationships>
</file>

<file path=xl/drawings/_rels/drawing33.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5" Type="http://schemas.openxmlformats.org/officeDocument/2006/relationships/chart" Target="../charts/chart49.xml"/><Relationship Id="rId4" Type="http://schemas.openxmlformats.org/officeDocument/2006/relationships/chart" Target="../charts/chart48.xml"/></Relationships>
</file>

<file path=xl/drawings/_rels/drawing37.xml.rels><?xml version="1.0" encoding="UTF-8" standalone="yes"?>
<Relationships xmlns="http://schemas.openxmlformats.org/package/2006/relationships"><Relationship Id="rId3" Type="http://schemas.openxmlformats.org/officeDocument/2006/relationships/chart" Target="../charts/chart52.xml"/><Relationship Id="rId2" Type="http://schemas.openxmlformats.org/officeDocument/2006/relationships/chart" Target="../charts/chart51.xml"/><Relationship Id="rId1" Type="http://schemas.openxmlformats.org/officeDocument/2006/relationships/chart" Target="../charts/chart50.xml"/><Relationship Id="rId6" Type="http://schemas.openxmlformats.org/officeDocument/2006/relationships/chart" Target="../charts/chart55.xml"/><Relationship Id="rId5" Type="http://schemas.openxmlformats.org/officeDocument/2006/relationships/chart" Target="../charts/chart54.xml"/><Relationship Id="rId4" Type="http://schemas.openxmlformats.org/officeDocument/2006/relationships/chart" Target="../charts/chart53.xml"/></Relationships>
</file>

<file path=xl/drawings/_rels/drawing41.xml.rels><?xml version="1.0" encoding="UTF-8" standalone="yes"?>
<Relationships xmlns="http://schemas.openxmlformats.org/package/2006/relationships"><Relationship Id="rId3" Type="http://schemas.openxmlformats.org/officeDocument/2006/relationships/chart" Target="../charts/chart58.xml"/><Relationship Id="rId2" Type="http://schemas.openxmlformats.org/officeDocument/2006/relationships/chart" Target="../charts/chart57.xml"/><Relationship Id="rId1" Type="http://schemas.openxmlformats.org/officeDocument/2006/relationships/chart" Target="../charts/chart56.xml"/><Relationship Id="rId5" Type="http://schemas.openxmlformats.org/officeDocument/2006/relationships/chart" Target="../charts/chart60.xml"/><Relationship Id="rId4" Type="http://schemas.openxmlformats.org/officeDocument/2006/relationships/chart" Target="../charts/chart59.xml"/></Relationships>
</file>

<file path=xl/drawings/_rels/drawing45.xml.rels><?xml version="1.0" encoding="UTF-8" standalone="yes"?>
<Relationships xmlns="http://schemas.openxmlformats.org/package/2006/relationships"><Relationship Id="rId3" Type="http://schemas.openxmlformats.org/officeDocument/2006/relationships/chart" Target="../charts/chart63.xml"/><Relationship Id="rId2" Type="http://schemas.openxmlformats.org/officeDocument/2006/relationships/chart" Target="../charts/chart62.xml"/><Relationship Id="rId1" Type="http://schemas.openxmlformats.org/officeDocument/2006/relationships/chart" Target="../charts/chart61.xml"/><Relationship Id="rId4" Type="http://schemas.openxmlformats.org/officeDocument/2006/relationships/chart" Target="../charts/chart64.xml"/></Relationships>
</file>

<file path=xl/drawings/_rels/drawing49.xml.rels><?xml version="1.0" encoding="UTF-8" standalone="yes"?>
<Relationships xmlns="http://schemas.openxmlformats.org/package/2006/relationships"><Relationship Id="rId3" Type="http://schemas.openxmlformats.org/officeDocument/2006/relationships/chart" Target="../charts/chart67.xml"/><Relationship Id="rId2" Type="http://schemas.openxmlformats.org/officeDocument/2006/relationships/chart" Target="../charts/chart66.xml"/><Relationship Id="rId1" Type="http://schemas.openxmlformats.org/officeDocument/2006/relationships/chart" Target="../charts/chart65.xml"/><Relationship Id="rId4" Type="http://schemas.openxmlformats.org/officeDocument/2006/relationships/chart" Target="../charts/chart6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53.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 Id="rId4" Type="http://schemas.openxmlformats.org/officeDocument/2006/relationships/chart" Target="../charts/chart72.xml"/></Relationships>
</file>

<file path=xl/drawings/_rels/drawing57.xml.rels><?xml version="1.0" encoding="UTF-8" standalone="yes"?>
<Relationships xmlns="http://schemas.openxmlformats.org/package/2006/relationships"><Relationship Id="rId3" Type="http://schemas.openxmlformats.org/officeDocument/2006/relationships/chart" Target="../charts/chart75.xml"/><Relationship Id="rId2" Type="http://schemas.openxmlformats.org/officeDocument/2006/relationships/chart" Target="../charts/chart74.xml"/><Relationship Id="rId1" Type="http://schemas.openxmlformats.org/officeDocument/2006/relationships/chart" Target="../charts/chart73.xml"/><Relationship Id="rId4" Type="http://schemas.openxmlformats.org/officeDocument/2006/relationships/chart" Target="../charts/chart76.xml"/></Relationships>
</file>

<file path=xl/drawings/_rels/drawing61.xml.rels><?xml version="1.0" encoding="UTF-8" standalone="yes"?>
<Relationships xmlns="http://schemas.openxmlformats.org/package/2006/relationships"><Relationship Id="rId3" Type="http://schemas.openxmlformats.org/officeDocument/2006/relationships/chart" Target="../charts/chart79.xml"/><Relationship Id="rId2" Type="http://schemas.openxmlformats.org/officeDocument/2006/relationships/chart" Target="../charts/chart78.xml"/><Relationship Id="rId1" Type="http://schemas.openxmlformats.org/officeDocument/2006/relationships/chart" Target="../charts/chart77.xml"/><Relationship Id="rId5" Type="http://schemas.openxmlformats.org/officeDocument/2006/relationships/chart" Target="../charts/chart81.xml"/><Relationship Id="rId4" Type="http://schemas.openxmlformats.org/officeDocument/2006/relationships/chart" Target="../charts/chart80.xml"/></Relationships>
</file>

<file path=xl/drawings/_rels/drawing65.xml.rels><?xml version="1.0" encoding="UTF-8" standalone="yes"?>
<Relationships xmlns="http://schemas.openxmlformats.org/package/2006/relationships"><Relationship Id="rId3" Type="http://schemas.openxmlformats.org/officeDocument/2006/relationships/chart" Target="../charts/chart84.xml"/><Relationship Id="rId2" Type="http://schemas.openxmlformats.org/officeDocument/2006/relationships/chart" Target="../charts/chart83.xml"/><Relationship Id="rId1" Type="http://schemas.openxmlformats.org/officeDocument/2006/relationships/chart" Target="../charts/chart82.xml"/><Relationship Id="rId6" Type="http://schemas.openxmlformats.org/officeDocument/2006/relationships/chart" Target="../charts/chart87.xml"/><Relationship Id="rId5" Type="http://schemas.openxmlformats.org/officeDocument/2006/relationships/chart" Target="../charts/chart86.xml"/><Relationship Id="rId4" Type="http://schemas.openxmlformats.org/officeDocument/2006/relationships/chart" Target="../charts/chart85.xml"/></Relationships>
</file>

<file path=xl/drawings/_rels/drawing69.xml.rels><?xml version="1.0" encoding="UTF-8" standalone="yes"?>
<Relationships xmlns="http://schemas.openxmlformats.org/package/2006/relationships"><Relationship Id="rId3" Type="http://schemas.openxmlformats.org/officeDocument/2006/relationships/chart" Target="../charts/chart90.xml"/><Relationship Id="rId2" Type="http://schemas.openxmlformats.org/officeDocument/2006/relationships/chart" Target="../charts/chart89.xml"/><Relationship Id="rId1" Type="http://schemas.openxmlformats.org/officeDocument/2006/relationships/chart" Target="../charts/chart88.xml"/><Relationship Id="rId6" Type="http://schemas.openxmlformats.org/officeDocument/2006/relationships/chart" Target="../charts/chart93.xml"/><Relationship Id="rId5" Type="http://schemas.openxmlformats.org/officeDocument/2006/relationships/chart" Target="../charts/chart92.xml"/><Relationship Id="rId4" Type="http://schemas.openxmlformats.org/officeDocument/2006/relationships/chart" Target="../charts/chart91.xml"/></Relationships>
</file>

<file path=xl/drawings/_rels/drawing73.xml.rels><?xml version="1.0" encoding="UTF-8" standalone="yes"?>
<Relationships xmlns="http://schemas.openxmlformats.org/package/2006/relationships"><Relationship Id="rId3" Type="http://schemas.openxmlformats.org/officeDocument/2006/relationships/chart" Target="../charts/chart96.xml"/><Relationship Id="rId2" Type="http://schemas.openxmlformats.org/officeDocument/2006/relationships/chart" Target="../charts/chart95.xml"/><Relationship Id="rId1" Type="http://schemas.openxmlformats.org/officeDocument/2006/relationships/chart" Target="../charts/chart94.xml"/><Relationship Id="rId6" Type="http://schemas.openxmlformats.org/officeDocument/2006/relationships/chart" Target="../charts/chart99.xml"/><Relationship Id="rId5" Type="http://schemas.openxmlformats.org/officeDocument/2006/relationships/chart" Target="../charts/chart98.xml"/><Relationship Id="rId4" Type="http://schemas.openxmlformats.org/officeDocument/2006/relationships/chart" Target="../charts/chart97.xml"/></Relationships>
</file>

<file path=xl/drawings/_rels/drawing77.xml.rels><?xml version="1.0" encoding="UTF-8" standalone="yes"?>
<Relationships xmlns="http://schemas.openxmlformats.org/package/2006/relationships"><Relationship Id="rId3" Type="http://schemas.openxmlformats.org/officeDocument/2006/relationships/chart" Target="../charts/chart102.xml"/><Relationship Id="rId2" Type="http://schemas.openxmlformats.org/officeDocument/2006/relationships/chart" Target="../charts/chart101.xml"/><Relationship Id="rId1" Type="http://schemas.openxmlformats.org/officeDocument/2006/relationships/chart" Target="../charts/chart100.xml"/><Relationship Id="rId6" Type="http://schemas.openxmlformats.org/officeDocument/2006/relationships/chart" Target="../charts/chart105.xml"/><Relationship Id="rId5" Type="http://schemas.openxmlformats.org/officeDocument/2006/relationships/chart" Target="../charts/chart104.xml"/><Relationship Id="rId4" Type="http://schemas.openxmlformats.org/officeDocument/2006/relationships/chart" Target="../charts/chart103.xml"/></Relationships>
</file>

<file path=xl/drawings/_rels/drawing81.xml.rels><?xml version="1.0" encoding="UTF-8" standalone="yes"?>
<Relationships xmlns="http://schemas.openxmlformats.org/package/2006/relationships"><Relationship Id="rId3" Type="http://schemas.openxmlformats.org/officeDocument/2006/relationships/chart" Target="../charts/chart108.xml"/><Relationship Id="rId2" Type="http://schemas.openxmlformats.org/officeDocument/2006/relationships/chart" Target="../charts/chart107.xml"/><Relationship Id="rId1" Type="http://schemas.openxmlformats.org/officeDocument/2006/relationships/chart" Target="../charts/chart106.xml"/><Relationship Id="rId6" Type="http://schemas.openxmlformats.org/officeDocument/2006/relationships/chart" Target="../charts/chart111.xml"/><Relationship Id="rId5" Type="http://schemas.openxmlformats.org/officeDocument/2006/relationships/chart" Target="../charts/chart110.xml"/><Relationship Id="rId4" Type="http://schemas.openxmlformats.org/officeDocument/2006/relationships/chart" Target="../charts/chart109.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0</xdr:colOff>
      <xdr:row>0</xdr:row>
      <xdr:rowOff>0</xdr:rowOff>
    </xdr:to>
    <xdr:graphicFrame macro="">
      <xdr:nvGraphicFramePr>
        <xdr:cNvPr id="2" name="Chart 4">
          <a:extLst>
            <a:ext uri="{FF2B5EF4-FFF2-40B4-BE49-F238E27FC236}">
              <a16:creationId xmlns:a16="http://schemas.microsoft.com/office/drawing/2014/main" id="{C6B47068-5535-4574-952E-39E7833B9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xdr:col>
      <xdr:colOff>0</xdr:colOff>
      <xdr:row>0</xdr:row>
      <xdr:rowOff>0</xdr:rowOff>
    </xdr:to>
    <xdr:graphicFrame macro="">
      <xdr:nvGraphicFramePr>
        <xdr:cNvPr id="3" name="Chart 6">
          <a:extLst>
            <a:ext uri="{FF2B5EF4-FFF2-40B4-BE49-F238E27FC236}">
              <a16:creationId xmlns:a16="http://schemas.microsoft.com/office/drawing/2014/main" id="{3746C440-E7C6-425D-A1BB-C16F06801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2</xdr:col>
      <xdr:colOff>0</xdr:colOff>
      <xdr:row>0</xdr:row>
      <xdr:rowOff>0</xdr:rowOff>
    </xdr:to>
    <xdr:graphicFrame macro="">
      <xdr:nvGraphicFramePr>
        <xdr:cNvPr id="4" name="Chart 7">
          <a:extLst>
            <a:ext uri="{FF2B5EF4-FFF2-40B4-BE49-F238E27FC236}">
              <a16:creationId xmlns:a16="http://schemas.microsoft.com/office/drawing/2014/main" id="{F24C91A1-ABE3-4D23-BB88-A7DCC1A63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xdr:col>
      <xdr:colOff>0</xdr:colOff>
      <xdr:row>0</xdr:row>
      <xdr:rowOff>0</xdr:rowOff>
    </xdr:to>
    <xdr:graphicFrame macro="">
      <xdr:nvGraphicFramePr>
        <xdr:cNvPr id="5" name="Chart 5">
          <a:extLst>
            <a:ext uri="{FF2B5EF4-FFF2-40B4-BE49-F238E27FC236}">
              <a16:creationId xmlns:a16="http://schemas.microsoft.com/office/drawing/2014/main" id="{476C3E35-53CA-426A-85CE-03FCCC4515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533400</xdr:colOff>
      <xdr:row>9</xdr:row>
      <xdr:rowOff>47625</xdr:rowOff>
    </xdr:from>
    <xdr:to>
      <xdr:col>24</xdr:col>
      <xdr:colOff>219075</xdr:colOff>
      <xdr:row>32</xdr:row>
      <xdr:rowOff>9525</xdr:rowOff>
    </xdr:to>
    <xdr:graphicFrame macro="">
      <xdr:nvGraphicFramePr>
        <xdr:cNvPr id="6" name="Chart 5">
          <a:extLst>
            <a:ext uri="{FF2B5EF4-FFF2-40B4-BE49-F238E27FC236}">
              <a16:creationId xmlns:a16="http://schemas.microsoft.com/office/drawing/2014/main" id="{DD3B8351-BCF1-434F-9B30-2CD87DAD79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296333</xdr:colOff>
      <xdr:row>6</xdr:row>
      <xdr:rowOff>137583</xdr:rowOff>
    </xdr:from>
    <xdr:to>
      <xdr:col>16</xdr:col>
      <xdr:colOff>595841</xdr:colOff>
      <xdr:row>29</xdr:row>
      <xdr:rowOff>99483</xdr:rowOff>
    </xdr:to>
    <xdr:graphicFrame macro="">
      <xdr:nvGraphicFramePr>
        <xdr:cNvPr id="7" name="Chart 6">
          <a:extLst>
            <a:ext uri="{FF2B5EF4-FFF2-40B4-BE49-F238E27FC236}">
              <a16:creationId xmlns:a16="http://schemas.microsoft.com/office/drawing/2014/main" id="{76D859F4-26E6-40C1-80EB-9D115BC11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0.52076</cdr:x>
      <cdr:y>0.65401</cdr:y>
    </cdr:from>
    <cdr:to>
      <cdr:x>0.52076</cdr:x>
      <cdr:y>0.76561</cdr:y>
    </cdr:to>
    <cdr:sp macro="" textlink="">
      <cdr:nvSpPr>
        <cdr:cNvPr id="67585" name="Line 1"/>
        <cdr:cNvSpPr>
          <a:spLocks xmlns:a="http://schemas.openxmlformats.org/drawingml/2006/main" noChangeShapeType="1"/>
        </cdr:cNvSpPr>
      </cdr:nvSpPr>
      <cdr:spPr bwMode="auto">
        <a:xfrm xmlns:a="http://schemas.openxmlformats.org/drawingml/2006/main" flipV="1">
          <a:off x="742246" y="482844"/>
          <a:ext cx="0" cy="81846"/>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11.xml><?xml version="1.0" encoding="utf-8"?>
<c:userShapes xmlns:c="http://schemas.openxmlformats.org/drawingml/2006/chart">
  <cdr:relSizeAnchor xmlns:cdr="http://schemas.openxmlformats.org/drawingml/2006/chartDrawing">
    <cdr:from>
      <cdr:x>0.49417</cdr:x>
      <cdr:y>0.45454</cdr:y>
    </cdr:from>
    <cdr:to>
      <cdr:x>0.49417</cdr:x>
      <cdr:y>0.54829</cdr:y>
    </cdr:to>
    <cdr:sp macro="" textlink="">
      <cdr:nvSpPr>
        <cdr:cNvPr id="68609" name="Line 1"/>
        <cdr:cNvSpPr>
          <a:spLocks xmlns:a="http://schemas.openxmlformats.org/drawingml/2006/main" noChangeShapeType="1"/>
        </cdr:cNvSpPr>
      </cdr:nvSpPr>
      <cdr:spPr bwMode="auto">
        <a:xfrm xmlns:a="http://schemas.openxmlformats.org/drawingml/2006/main" flipV="1">
          <a:off x="704513" y="336543"/>
          <a:ext cx="0" cy="6876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12.xml><?xml version="1.0" encoding="utf-8"?>
<c:userShapes xmlns:c="http://schemas.openxmlformats.org/drawingml/2006/chart">
  <cdr:relSizeAnchor xmlns:cdr="http://schemas.openxmlformats.org/drawingml/2006/chartDrawing">
    <cdr:from>
      <cdr:x>0.51819</cdr:x>
      <cdr:y>0.65771</cdr:y>
    </cdr:from>
    <cdr:to>
      <cdr:x>0.51819</cdr:x>
      <cdr:y>0.76735</cdr:y>
    </cdr:to>
    <cdr:sp macro="" textlink="">
      <cdr:nvSpPr>
        <cdr:cNvPr id="69633" name="Line 1"/>
        <cdr:cNvSpPr>
          <a:spLocks xmlns:a="http://schemas.openxmlformats.org/drawingml/2006/main" noChangeShapeType="1"/>
        </cdr:cNvSpPr>
      </cdr:nvSpPr>
      <cdr:spPr bwMode="auto">
        <a:xfrm xmlns:a="http://schemas.openxmlformats.org/drawingml/2006/main" flipV="1">
          <a:off x="738605" y="485557"/>
          <a:ext cx="0" cy="8041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13.xml><?xml version="1.0" encoding="utf-8"?>
<xdr:wsDr xmlns:xdr="http://schemas.openxmlformats.org/drawingml/2006/spreadsheetDrawing" xmlns:a="http://schemas.openxmlformats.org/drawingml/2006/main">
  <xdr:twoCellAnchor>
    <xdr:from>
      <xdr:col>0</xdr:col>
      <xdr:colOff>0</xdr:colOff>
      <xdr:row>7</xdr:row>
      <xdr:rowOff>0</xdr:rowOff>
    </xdr:from>
    <xdr:to>
      <xdr:col>4</xdr:col>
      <xdr:colOff>0</xdr:colOff>
      <xdr:row>7</xdr:row>
      <xdr:rowOff>0</xdr:rowOff>
    </xdr:to>
    <xdr:graphicFrame macro="">
      <xdr:nvGraphicFramePr>
        <xdr:cNvPr id="2" name="Chart 4">
          <a:extLst>
            <a:ext uri="{FF2B5EF4-FFF2-40B4-BE49-F238E27FC236}">
              <a16:creationId xmlns:a16="http://schemas.microsoft.com/office/drawing/2014/main" id="{63749DFB-E862-4542-9884-95CC1559A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4</xdr:col>
      <xdr:colOff>0</xdr:colOff>
      <xdr:row>7</xdr:row>
      <xdr:rowOff>0</xdr:rowOff>
    </xdr:to>
    <xdr:graphicFrame macro="">
      <xdr:nvGraphicFramePr>
        <xdr:cNvPr id="3" name="Chart 6">
          <a:extLst>
            <a:ext uri="{FF2B5EF4-FFF2-40B4-BE49-F238E27FC236}">
              <a16:creationId xmlns:a16="http://schemas.microsoft.com/office/drawing/2014/main" id="{674092CE-14EE-4291-A27A-F78E240A5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xdr:row>
      <xdr:rowOff>0</xdr:rowOff>
    </xdr:from>
    <xdr:to>
      <xdr:col>4</xdr:col>
      <xdr:colOff>0</xdr:colOff>
      <xdr:row>7</xdr:row>
      <xdr:rowOff>0</xdr:rowOff>
    </xdr:to>
    <xdr:graphicFrame macro="">
      <xdr:nvGraphicFramePr>
        <xdr:cNvPr id="4" name="Chart 7">
          <a:extLst>
            <a:ext uri="{FF2B5EF4-FFF2-40B4-BE49-F238E27FC236}">
              <a16:creationId xmlns:a16="http://schemas.microsoft.com/office/drawing/2014/main" id="{99332A5E-933B-4C48-A55C-47FBE9ED6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xdr:row>
      <xdr:rowOff>0</xdr:rowOff>
    </xdr:from>
    <xdr:to>
      <xdr:col>4</xdr:col>
      <xdr:colOff>0</xdr:colOff>
      <xdr:row>7</xdr:row>
      <xdr:rowOff>0</xdr:rowOff>
    </xdr:to>
    <xdr:graphicFrame macro="">
      <xdr:nvGraphicFramePr>
        <xdr:cNvPr id="5" name="Chart 5">
          <a:extLst>
            <a:ext uri="{FF2B5EF4-FFF2-40B4-BE49-F238E27FC236}">
              <a16:creationId xmlns:a16="http://schemas.microsoft.com/office/drawing/2014/main" id="{E59D1BF7-503A-4475-B90B-2CDE57537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0.52076</cdr:x>
      <cdr:y>0.65401</cdr:y>
    </cdr:from>
    <cdr:to>
      <cdr:x>0.52076</cdr:x>
      <cdr:y>0.76561</cdr:y>
    </cdr:to>
    <cdr:sp macro="" textlink="">
      <cdr:nvSpPr>
        <cdr:cNvPr id="67585" name="Line 1"/>
        <cdr:cNvSpPr>
          <a:spLocks xmlns:a="http://schemas.openxmlformats.org/drawingml/2006/main" noChangeShapeType="1"/>
        </cdr:cNvSpPr>
      </cdr:nvSpPr>
      <cdr:spPr bwMode="auto">
        <a:xfrm xmlns:a="http://schemas.openxmlformats.org/drawingml/2006/main" flipV="1">
          <a:off x="742246" y="482844"/>
          <a:ext cx="0" cy="81846"/>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15.xml><?xml version="1.0" encoding="utf-8"?>
<c:userShapes xmlns:c="http://schemas.openxmlformats.org/drawingml/2006/chart">
  <cdr:relSizeAnchor xmlns:cdr="http://schemas.openxmlformats.org/drawingml/2006/chartDrawing">
    <cdr:from>
      <cdr:x>0.49417</cdr:x>
      <cdr:y>0.45454</cdr:y>
    </cdr:from>
    <cdr:to>
      <cdr:x>0.49417</cdr:x>
      <cdr:y>0.54829</cdr:y>
    </cdr:to>
    <cdr:sp macro="" textlink="">
      <cdr:nvSpPr>
        <cdr:cNvPr id="68609" name="Line 1"/>
        <cdr:cNvSpPr>
          <a:spLocks xmlns:a="http://schemas.openxmlformats.org/drawingml/2006/main" noChangeShapeType="1"/>
        </cdr:cNvSpPr>
      </cdr:nvSpPr>
      <cdr:spPr bwMode="auto">
        <a:xfrm xmlns:a="http://schemas.openxmlformats.org/drawingml/2006/main" flipV="1">
          <a:off x="704513" y="336543"/>
          <a:ext cx="0" cy="6876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16.xml><?xml version="1.0" encoding="utf-8"?>
<c:userShapes xmlns:c="http://schemas.openxmlformats.org/drawingml/2006/chart">
  <cdr:relSizeAnchor xmlns:cdr="http://schemas.openxmlformats.org/drawingml/2006/chartDrawing">
    <cdr:from>
      <cdr:x>0.51819</cdr:x>
      <cdr:y>0.65771</cdr:y>
    </cdr:from>
    <cdr:to>
      <cdr:x>0.51819</cdr:x>
      <cdr:y>0.76735</cdr:y>
    </cdr:to>
    <cdr:sp macro="" textlink="">
      <cdr:nvSpPr>
        <cdr:cNvPr id="69633" name="Line 1"/>
        <cdr:cNvSpPr>
          <a:spLocks xmlns:a="http://schemas.openxmlformats.org/drawingml/2006/main" noChangeShapeType="1"/>
        </cdr:cNvSpPr>
      </cdr:nvSpPr>
      <cdr:spPr bwMode="auto">
        <a:xfrm xmlns:a="http://schemas.openxmlformats.org/drawingml/2006/main" flipV="1">
          <a:off x="738605" y="485557"/>
          <a:ext cx="0" cy="8041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17.xml><?xml version="1.0" encoding="utf-8"?>
<xdr:wsDr xmlns:xdr="http://schemas.openxmlformats.org/drawingml/2006/spreadsheetDrawing" xmlns:a="http://schemas.openxmlformats.org/drawingml/2006/main">
  <xdr:twoCellAnchor>
    <xdr:from>
      <xdr:col>0</xdr:col>
      <xdr:colOff>0</xdr:colOff>
      <xdr:row>7</xdr:row>
      <xdr:rowOff>0</xdr:rowOff>
    </xdr:from>
    <xdr:to>
      <xdr:col>4</xdr:col>
      <xdr:colOff>0</xdr:colOff>
      <xdr:row>7</xdr:row>
      <xdr:rowOff>0</xdr:rowOff>
    </xdr:to>
    <xdr:graphicFrame macro="">
      <xdr:nvGraphicFramePr>
        <xdr:cNvPr id="2" name="Chart 4">
          <a:extLst>
            <a:ext uri="{FF2B5EF4-FFF2-40B4-BE49-F238E27FC236}">
              <a16:creationId xmlns:a16="http://schemas.microsoft.com/office/drawing/2014/main" id="{34963E67-B336-4A6B-8F82-4079F4AF3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4</xdr:col>
      <xdr:colOff>0</xdr:colOff>
      <xdr:row>7</xdr:row>
      <xdr:rowOff>0</xdr:rowOff>
    </xdr:to>
    <xdr:graphicFrame macro="">
      <xdr:nvGraphicFramePr>
        <xdr:cNvPr id="3" name="Chart 6">
          <a:extLst>
            <a:ext uri="{FF2B5EF4-FFF2-40B4-BE49-F238E27FC236}">
              <a16:creationId xmlns:a16="http://schemas.microsoft.com/office/drawing/2014/main" id="{95AD49EF-3D75-451A-A8DC-27F03601A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xdr:row>
      <xdr:rowOff>0</xdr:rowOff>
    </xdr:from>
    <xdr:to>
      <xdr:col>4</xdr:col>
      <xdr:colOff>0</xdr:colOff>
      <xdr:row>7</xdr:row>
      <xdr:rowOff>0</xdr:rowOff>
    </xdr:to>
    <xdr:graphicFrame macro="">
      <xdr:nvGraphicFramePr>
        <xdr:cNvPr id="4" name="Chart 7">
          <a:extLst>
            <a:ext uri="{FF2B5EF4-FFF2-40B4-BE49-F238E27FC236}">
              <a16:creationId xmlns:a16="http://schemas.microsoft.com/office/drawing/2014/main" id="{7D2EC3A8-7A3B-42F8-9464-F4C7D2255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xdr:row>
      <xdr:rowOff>0</xdr:rowOff>
    </xdr:from>
    <xdr:to>
      <xdr:col>4</xdr:col>
      <xdr:colOff>0</xdr:colOff>
      <xdr:row>7</xdr:row>
      <xdr:rowOff>0</xdr:rowOff>
    </xdr:to>
    <xdr:graphicFrame macro="">
      <xdr:nvGraphicFramePr>
        <xdr:cNvPr id="5" name="Chart 5">
          <a:extLst>
            <a:ext uri="{FF2B5EF4-FFF2-40B4-BE49-F238E27FC236}">
              <a16:creationId xmlns:a16="http://schemas.microsoft.com/office/drawing/2014/main" id="{0DBE76FE-FF7A-45DA-AB22-FEADBDC441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285748</xdr:colOff>
      <xdr:row>26</xdr:row>
      <xdr:rowOff>78440</xdr:rowOff>
    </xdr:from>
    <xdr:to>
      <xdr:col>26</xdr:col>
      <xdr:colOff>156882</xdr:colOff>
      <xdr:row>41</xdr:row>
      <xdr:rowOff>88526</xdr:rowOff>
    </xdr:to>
    <xdr:graphicFrame macro="">
      <xdr:nvGraphicFramePr>
        <xdr:cNvPr id="6" name="Chart 5">
          <a:extLst>
            <a:ext uri="{FF2B5EF4-FFF2-40B4-BE49-F238E27FC236}">
              <a16:creationId xmlns:a16="http://schemas.microsoft.com/office/drawing/2014/main" id="{7F0140BF-388E-4462-A892-7639065F26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0.52076</cdr:x>
      <cdr:y>0.65401</cdr:y>
    </cdr:from>
    <cdr:to>
      <cdr:x>0.52076</cdr:x>
      <cdr:y>0.76561</cdr:y>
    </cdr:to>
    <cdr:sp macro="" textlink="">
      <cdr:nvSpPr>
        <cdr:cNvPr id="67585" name="Line 1"/>
        <cdr:cNvSpPr>
          <a:spLocks xmlns:a="http://schemas.openxmlformats.org/drawingml/2006/main" noChangeShapeType="1"/>
        </cdr:cNvSpPr>
      </cdr:nvSpPr>
      <cdr:spPr bwMode="auto">
        <a:xfrm xmlns:a="http://schemas.openxmlformats.org/drawingml/2006/main" flipV="1">
          <a:off x="742246" y="482844"/>
          <a:ext cx="0" cy="81846"/>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19.xml><?xml version="1.0" encoding="utf-8"?>
<c:userShapes xmlns:c="http://schemas.openxmlformats.org/drawingml/2006/chart">
  <cdr:relSizeAnchor xmlns:cdr="http://schemas.openxmlformats.org/drawingml/2006/chartDrawing">
    <cdr:from>
      <cdr:x>0.49417</cdr:x>
      <cdr:y>0.45454</cdr:y>
    </cdr:from>
    <cdr:to>
      <cdr:x>0.49417</cdr:x>
      <cdr:y>0.54829</cdr:y>
    </cdr:to>
    <cdr:sp macro="" textlink="">
      <cdr:nvSpPr>
        <cdr:cNvPr id="68609" name="Line 1"/>
        <cdr:cNvSpPr>
          <a:spLocks xmlns:a="http://schemas.openxmlformats.org/drawingml/2006/main" noChangeShapeType="1"/>
        </cdr:cNvSpPr>
      </cdr:nvSpPr>
      <cdr:spPr bwMode="auto">
        <a:xfrm xmlns:a="http://schemas.openxmlformats.org/drawingml/2006/main" flipV="1">
          <a:off x="704513" y="336543"/>
          <a:ext cx="0" cy="6876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2.xml><?xml version="1.0" encoding="utf-8"?>
<c:userShapes xmlns:c="http://schemas.openxmlformats.org/drawingml/2006/chart">
  <cdr:relSizeAnchor xmlns:cdr="http://schemas.openxmlformats.org/drawingml/2006/chartDrawing">
    <cdr:from>
      <cdr:x>0.52076</cdr:x>
      <cdr:y>0.65401</cdr:y>
    </cdr:from>
    <cdr:to>
      <cdr:x>0.52076</cdr:x>
      <cdr:y>0.76561</cdr:y>
    </cdr:to>
    <cdr:sp macro="" textlink="">
      <cdr:nvSpPr>
        <cdr:cNvPr id="67585" name="Line 1"/>
        <cdr:cNvSpPr>
          <a:spLocks xmlns:a="http://schemas.openxmlformats.org/drawingml/2006/main" noChangeShapeType="1"/>
        </cdr:cNvSpPr>
      </cdr:nvSpPr>
      <cdr:spPr bwMode="auto">
        <a:xfrm xmlns:a="http://schemas.openxmlformats.org/drawingml/2006/main" flipV="1">
          <a:off x="742246" y="482844"/>
          <a:ext cx="0" cy="81846"/>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20.xml><?xml version="1.0" encoding="utf-8"?>
<c:userShapes xmlns:c="http://schemas.openxmlformats.org/drawingml/2006/chart">
  <cdr:relSizeAnchor xmlns:cdr="http://schemas.openxmlformats.org/drawingml/2006/chartDrawing">
    <cdr:from>
      <cdr:x>0.51819</cdr:x>
      <cdr:y>0.65771</cdr:y>
    </cdr:from>
    <cdr:to>
      <cdr:x>0.51819</cdr:x>
      <cdr:y>0.76735</cdr:y>
    </cdr:to>
    <cdr:sp macro="" textlink="">
      <cdr:nvSpPr>
        <cdr:cNvPr id="69633" name="Line 1"/>
        <cdr:cNvSpPr>
          <a:spLocks xmlns:a="http://schemas.openxmlformats.org/drawingml/2006/main" noChangeShapeType="1"/>
        </cdr:cNvSpPr>
      </cdr:nvSpPr>
      <cdr:spPr bwMode="auto">
        <a:xfrm xmlns:a="http://schemas.openxmlformats.org/drawingml/2006/main" flipV="1">
          <a:off x="738605" y="485557"/>
          <a:ext cx="0" cy="8041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0</xdr:colOff>
      <xdr:row>7</xdr:row>
      <xdr:rowOff>0</xdr:rowOff>
    </xdr:from>
    <xdr:to>
      <xdr:col>4</xdr:col>
      <xdr:colOff>0</xdr:colOff>
      <xdr:row>7</xdr:row>
      <xdr:rowOff>0</xdr:rowOff>
    </xdr:to>
    <xdr:graphicFrame macro="">
      <xdr:nvGraphicFramePr>
        <xdr:cNvPr id="2" name="Chart 4">
          <a:extLst>
            <a:ext uri="{FF2B5EF4-FFF2-40B4-BE49-F238E27FC236}">
              <a16:creationId xmlns:a16="http://schemas.microsoft.com/office/drawing/2014/main" id="{A3C576E6-579F-41F9-9F88-92C1A9D8F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4</xdr:col>
      <xdr:colOff>0</xdr:colOff>
      <xdr:row>7</xdr:row>
      <xdr:rowOff>0</xdr:rowOff>
    </xdr:to>
    <xdr:graphicFrame macro="">
      <xdr:nvGraphicFramePr>
        <xdr:cNvPr id="3" name="Chart 6">
          <a:extLst>
            <a:ext uri="{FF2B5EF4-FFF2-40B4-BE49-F238E27FC236}">
              <a16:creationId xmlns:a16="http://schemas.microsoft.com/office/drawing/2014/main" id="{29559741-128C-4B8E-BEAD-0FED0CFF8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xdr:row>
      <xdr:rowOff>0</xdr:rowOff>
    </xdr:from>
    <xdr:to>
      <xdr:col>4</xdr:col>
      <xdr:colOff>0</xdr:colOff>
      <xdr:row>7</xdr:row>
      <xdr:rowOff>0</xdr:rowOff>
    </xdr:to>
    <xdr:graphicFrame macro="">
      <xdr:nvGraphicFramePr>
        <xdr:cNvPr id="4" name="Chart 7">
          <a:extLst>
            <a:ext uri="{FF2B5EF4-FFF2-40B4-BE49-F238E27FC236}">
              <a16:creationId xmlns:a16="http://schemas.microsoft.com/office/drawing/2014/main" id="{139F92E0-E888-46BD-8EF1-ECDDAB395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xdr:row>
      <xdr:rowOff>0</xdr:rowOff>
    </xdr:from>
    <xdr:to>
      <xdr:col>4</xdr:col>
      <xdr:colOff>0</xdr:colOff>
      <xdr:row>7</xdr:row>
      <xdr:rowOff>0</xdr:rowOff>
    </xdr:to>
    <xdr:graphicFrame macro="">
      <xdr:nvGraphicFramePr>
        <xdr:cNvPr id="5" name="Chart 5">
          <a:extLst>
            <a:ext uri="{FF2B5EF4-FFF2-40B4-BE49-F238E27FC236}">
              <a16:creationId xmlns:a16="http://schemas.microsoft.com/office/drawing/2014/main" id="{D59C326E-6AFF-46DF-A26B-D080E403A5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221717</xdr:colOff>
      <xdr:row>38</xdr:row>
      <xdr:rowOff>110778</xdr:rowOff>
    </xdr:from>
    <xdr:to>
      <xdr:col>19</xdr:col>
      <xdr:colOff>489858</xdr:colOff>
      <xdr:row>56</xdr:row>
      <xdr:rowOff>16489</xdr:rowOff>
    </xdr:to>
    <xdr:graphicFrame macro="">
      <xdr:nvGraphicFramePr>
        <xdr:cNvPr id="6" name="Chart 5">
          <a:extLst>
            <a:ext uri="{FF2B5EF4-FFF2-40B4-BE49-F238E27FC236}">
              <a16:creationId xmlns:a16="http://schemas.microsoft.com/office/drawing/2014/main" id="{EDE47BDC-E911-41F5-B8FC-2B78AEA9C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168088</xdr:colOff>
      <xdr:row>36</xdr:row>
      <xdr:rowOff>56029</xdr:rowOff>
    </xdr:from>
    <xdr:to>
      <xdr:col>11</xdr:col>
      <xdr:colOff>217716</xdr:colOff>
      <xdr:row>60</xdr:row>
      <xdr:rowOff>59470</xdr:rowOff>
    </xdr:to>
    <xdr:graphicFrame macro="">
      <xdr:nvGraphicFramePr>
        <xdr:cNvPr id="7" name="Chart 6">
          <a:extLst>
            <a:ext uri="{FF2B5EF4-FFF2-40B4-BE49-F238E27FC236}">
              <a16:creationId xmlns:a16="http://schemas.microsoft.com/office/drawing/2014/main" id="{273FBE24-B40C-42B4-84EA-556B60682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0.52076</cdr:x>
      <cdr:y>0.65401</cdr:y>
    </cdr:from>
    <cdr:to>
      <cdr:x>0.52076</cdr:x>
      <cdr:y>0.76561</cdr:y>
    </cdr:to>
    <cdr:sp macro="" textlink="">
      <cdr:nvSpPr>
        <cdr:cNvPr id="67585" name="Line 1"/>
        <cdr:cNvSpPr>
          <a:spLocks xmlns:a="http://schemas.openxmlformats.org/drawingml/2006/main" noChangeShapeType="1"/>
        </cdr:cNvSpPr>
      </cdr:nvSpPr>
      <cdr:spPr bwMode="auto">
        <a:xfrm xmlns:a="http://schemas.openxmlformats.org/drawingml/2006/main" flipV="1">
          <a:off x="742246" y="482844"/>
          <a:ext cx="0" cy="81846"/>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23.xml><?xml version="1.0" encoding="utf-8"?>
<c:userShapes xmlns:c="http://schemas.openxmlformats.org/drawingml/2006/chart">
  <cdr:relSizeAnchor xmlns:cdr="http://schemas.openxmlformats.org/drawingml/2006/chartDrawing">
    <cdr:from>
      <cdr:x>0.49417</cdr:x>
      <cdr:y>0.45454</cdr:y>
    </cdr:from>
    <cdr:to>
      <cdr:x>0.49417</cdr:x>
      <cdr:y>0.54829</cdr:y>
    </cdr:to>
    <cdr:sp macro="" textlink="">
      <cdr:nvSpPr>
        <cdr:cNvPr id="68609" name="Line 1"/>
        <cdr:cNvSpPr>
          <a:spLocks xmlns:a="http://schemas.openxmlformats.org/drawingml/2006/main" noChangeShapeType="1"/>
        </cdr:cNvSpPr>
      </cdr:nvSpPr>
      <cdr:spPr bwMode="auto">
        <a:xfrm xmlns:a="http://schemas.openxmlformats.org/drawingml/2006/main" flipV="1">
          <a:off x="704513" y="336543"/>
          <a:ext cx="0" cy="6876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24.xml><?xml version="1.0" encoding="utf-8"?>
<c:userShapes xmlns:c="http://schemas.openxmlformats.org/drawingml/2006/chart">
  <cdr:relSizeAnchor xmlns:cdr="http://schemas.openxmlformats.org/drawingml/2006/chartDrawing">
    <cdr:from>
      <cdr:x>0.51819</cdr:x>
      <cdr:y>0.65771</cdr:y>
    </cdr:from>
    <cdr:to>
      <cdr:x>0.51819</cdr:x>
      <cdr:y>0.76735</cdr:y>
    </cdr:to>
    <cdr:sp macro="" textlink="">
      <cdr:nvSpPr>
        <cdr:cNvPr id="69633" name="Line 1"/>
        <cdr:cNvSpPr>
          <a:spLocks xmlns:a="http://schemas.openxmlformats.org/drawingml/2006/main" noChangeShapeType="1"/>
        </cdr:cNvSpPr>
      </cdr:nvSpPr>
      <cdr:spPr bwMode="auto">
        <a:xfrm xmlns:a="http://schemas.openxmlformats.org/drawingml/2006/main" flipV="1">
          <a:off x="738605" y="485557"/>
          <a:ext cx="0" cy="8041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25.xml><?xml version="1.0" encoding="utf-8"?>
<xdr:wsDr xmlns:xdr="http://schemas.openxmlformats.org/drawingml/2006/spreadsheetDrawing" xmlns:a="http://schemas.openxmlformats.org/drawingml/2006/main">
  <xdr:twoCellAnchor>
    <xdr:from>
      <xdr:col>0</xdr:col>
      <xdr:colOff>0</xdr:colOff>
      <xdr:row>7</xdr:row>
      <xdr:rowOff>0</xdr:rowOff>
    </xdr:from>
    <xdr:to>
      <xdr:col>4</xdr:col>
      <xdr:colOff>0</xdr:colOff>
      <xdr:row>7</xdr:row>
      <xdr:rowOff>0</xdr:rowOff>
    </xdr:to>
    <xdr:graphicFrame macro="">
      <xdr:nvGraphicFramePr>
        <xdr:cNvPr id="2" name="Chart 4">
          <a:extLst>
            <a:ext uri="{FF2B5EF4-FFF2-40B4-BE49-F238E27FC236}">
              <a16:creationId xmlns:a16="http://schemas.microsoft.com/office/drawing/2014/main" id="{E168D909-8C0A-4535-BABA-0FD40B2B85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4</xdr:col>
      <xdr:colOff>0</xdr:colOff>
      <xdr:row>7</xdr:row>
      <xdr:rowOff>0</xdr:rowOff>
    </xdr:to>
    <xdr:graphicFrame macro="">
      <xdr:nvGraphicFramePr>
        <xdr:cNvPr id="3" name="Chart 6">
          <a:extLst>
            <a:ext uri="{FF2B5EF4-FFF2-40B4-BE49-F238E27FC236}">
              <a16:creationId xmlns:a16="http://schemas.microsoft.com/office/drawing/2014/main" id="{FB8CA859-C4D6-49EF-9B3A-CCAC2804D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xdr:row>
      <xdr:rowOff>0</xdr:rowOff>
    </xdr:from>
    <xdr:to>
      <xdr:col>4</xdr:col>
      <xdr:colOff>0</xdr:colOff>
      <xdr:row>7</xdr:row>
      <xdr:rowOff>0</xdr:rowOff>
    </xdr:to>
    <xdr:graphicFrame macro="">
      <xdr:nvGraphicFramePr>
        <xdr:cNvPr id="4" name="Chart 7">
          <a:extLst>
            <a:ext uri="{FF2B5EF4-FFF2-40B4-BE49-F238E27FC236}">
              <a16:creationId xmlns:a16="http://schemas.microsoft.com/office/drawing/2014/main" id="{40D11B35-38E6-4676-9F2F-8D3672595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xdr:row>
      <xdr:rowOff>0</xdr:rowOff>
    </xdr:from>
    <xdr:to>
      <xdr:col>4</xdr:col>
      <xdr:colOff>0</xdr:colOff>
      <xdr:row>7</xdr:row>
      <xdr:rowOff>0</xdr:rowOff>
    </xdr:to>
    <xdr:graphicFrame macro="">
      <xdr:nvGraphicFramePr>
        <xdr:cNvPr id="5" name="Chart 5">
          <a:extLst>
            <a:ext uri="{FF2B5EF4-FFF2-40B4-BE49-F238E27FC236}">
              <a16:creationId xmlns:a16="http://schemas.microsoft.com/office/drawing/2014/main" id="{0EBC7580-764A-4231-BDE1-B212B292A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221717</xdr:colOff>
      <xdr:row>38</xdr:row>
      <xdr:rowOff>110778</xdr:rowOff>
    </xdr:from>
    <xdr:to>
      <xdr:col>20</xdr:col>
      <xdr:colOff>489858</xdr:colOff>
      <xdr:row>56</xdr:row>
      <xdr:rowOff>16489</xdr:rowOff>
    </xdr:to>
    <xdr:graphicFrame macro="">
      <xdr:nvGraphicFramePr>
        <xdr:cNvPr id="6" name="Chart 5">
          <a:extLst>
            <a:ext uri="{FF2B5EF4-FFF2-40B4-BE49-F238E27FC236}">
              <a16:creationId xmlns:a16="http://schemas.microsoft.com/office/drawing/2014/main" id="{B1F86C35-7DB1-4429-BD15-29EE4BA45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168088</xdr:colOff>
      <xdr:row>36</xdr:row>
      <xdr:rowOff>56029</xdr:rowOff>
    </xdr:from>
    <xdr:to>
      <xdr:col>11</xdr:col>
      <xdr:colOff>217716</xdr:colOff>
      <xdr:row>60</xdr:row>
      <xdr:rowOff>59470</xdr:rowOff>
    </xdr:to>
    <xdr:graphicFrame macro="">
      <xdr:nvGraphicFramePr>
        <xdr:cNvPr id="7" name="Chart 6">
          <a:extLst>
            <a:ext uri="{FF2B5EF4-FFF2-40B4-BE49-F238E27FC236}">
              <a16:creationId xmlns:a16="http://schemas.microsoft.com/office/drawing/2014/main" id="{B2378140-8E77-46B0-A1E4-5D7F3580A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190500</xdr:colOff>
      <xdr:row>37</xdr:row>
      <xdr:rowOff>84364</xdr:rowOff>
    </xdr:from>
    <xdr:to>
      <xdr:col>28</xdr:col>
      <xdr:colOff>476250</xdr:colOff>
      <xdr:row>54</xdr:row>
      <xdr:rowOff>38099</xdr:rowOff>
    </xdr:to>
    <xdr:graphicFrame macro="">
      <xdr:nvGraphicFramePr>
        <xdr:cNvPr id="8" name="Chart 7">
          <a:extLst>
            <a:ext uri="{FF2B5EF4-FFF2-40B4-BE49-F238E27FC236}">
              <a16:creationId xmlns:a16="http://schemas.microsoft.com/office/drawing/2014/main" id="{70DE6567-A355-4850-A4D3-11EBA50A0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0.52076</cdr:x>
      <cdr:y>0.65401</cdr:y>
    </cdr:from>
    <cdr:to>
      <cdr:x>0.52076</cdr:x>
      <cdr:y>0.76561</cdr:y>
    </cdr:to>
    <cdr:sp macro="" textlink="">
      <cdr:nvSpPr>
        <cdr:cNvPr id="67585" name="Line 1"/>
        <cdr:cNvSpPr>
          <a:spLocks xmlns:a="http://schemas.openxmlformats.org/drawingml/2006/main" noChangeShapeType="1"/>
        </cdr:cNvSpPr>
      </cdr:nvSpPr>
      <cdr:spPr bwMode="auto">
        <a:xfrm xmlns:a="http://schemas.openxmlformats.org/drawingml/2006/main" flipV="1">
          <a:off x="742246" y="482844"/>
          <a:ext cx="0" cy="81846"/>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27.xml><?xml version="1.0" encoding="utf-8"?>
<c:userShapes xmlns:c="http://schemas.openxmlformats.org/drawingml/2006/chart">
  <cdr:relSizeAnchor xmlns:cdr="http://schemas.openxmlformats.org/drawingml/2006/chartDrawing">
    <cdr:from>
      <cdr:x>0.49417</cdr:x>
      <cdr:y>0.45454</cdr:y>
    </cdr:from>
    <cdr:to>
      <cdr:x>0.49417</cdr:x>
      <cdr:y>0.54829</cdr:y>
    </cdr:to>
    <cdr:sp macro="" textlink="">
      <cdr:nvSpPr>
        <cdr:cNvPr id="68609" name="Line 1"/>
        <cdr:cNvSpPr>
          <a:spLocks xmlns:a="http://schemas.openxmlformats.org/drawingml/2006/main" noChangeShapeType="1"/>
        </cdr:cNvSpPr>
      </cdr:nvSpPr>
      <cdr:spPr bwMode="auto">
        <a:xfrm xmlns:a="http://schemas.openxmlformats.org/drawingml/2006/main" flipV="1">
          <a:off x="704513" y="336543"/>
          <a:ext cx="0" cy="6876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28.xml><?xml version="1.0" encoding="utf-8"?>
<c:userShapes xmlns:c="http://schemas.openxmlformats.org/drawingml/2006/chart">
  <cdr:relSizeAnchor xmlns:cdr="http://schemas.openxmlformats.org/drawingml/2006/chartDrawing">
    <cdr:from>
      <cdr:x>0.51819</cdr:x>
      <cdr:y>0.65771</cdr:y>
    </cdr:from>
    <cdr:to>
      <cdr:x>0.51819</cdr:x>
      <cdr:y>0.76735</cdr:y>
    </cdr:to>
    <cdr:sp macro="" textlink="">
      <cdr:nvSpPr>
        <cdr:cNvPr id="69633" name="Line 1"/>
        <cdr:cNvSpPr>
          <a:spLocks xmlns:a="http://schemas.openxmlformats.org/drawingml/2006/main" noChangeShapeType="1"/>
        </cdr:cNvSpPr>
      </cdr:nvSpPr>
      <cdr:spPr bwMode="auto">
        <a:xfrm xmlns:a="http://schemas.openxmlformats.org/drawingml/2006/main" flipV="1">
          <a:off x="738605" y="485557"/>
          <a:ext cx="0" cy="8041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29.xml><?xml version="1.0" encoding="utf-8"?>
<xdr:wsDr xmlns:xdr="http://schemas.openxmlformats.org/drawingml/2006/spreadsheetDrawing" xmlns:a="http://schemas.openxmlformats.org/drawingml/2006/main">
  <xdr:twoCellAnchor>
    <xdr:from>
      <xdr:col>0</xdr:col>
      <xdr:colOff>0</xdr:colOff>
      <xdr:row>7</xdr:row>
      <xdr:rowOff>0</xdr:rowOff>
    </xdr:from>
    <xdr:to>
      <xdr:col>4</xdr:col>
      <xdr:colOff>0</xdr:colOff>
      <xdr:row>7</xdr:row>
      <xdr:rowOff>0</xdr:rowOff>
    </xdr:to>
    <xdr:graphicFrame macro="">
      <xdr:nvGraphicFramePr>
        <xdr:cNvPr id="2" name="Chart 4">
          <a:extLst>
            <a:ext uri="{FF2B5EF4-FFF2-40B4-BE49-F238E27FC236}">
              <a16:creationId xmlns:a16="http://schemas.microsoft.com/office/drawing/2014/main" id="{51F7C727-062A-4740-A25A-DBCCA256E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4</xdr:col>
      <xdr:colOff>0</xdr:colOff>
      <xdr:row>7</xdr:row>
      <xdr:rowOff>0</xdr:rowOff>
    </xdr:to>
    <xdr:graphicFrame macro="">
      <xdr:nvGraphicFramePr>
        <xdr:cNvPr id="3" name="Chart 6">
          <a:extLst>
            <a:ext uri="{FF2B5EF4-FFF2-40B4-BE49-F238E27FC236}">
              <a16:creationId xmlns:a16="http://schemas.microsoft.com/office/drawing/2014/main" id="{EA64D5D9-7791-4B49-98DF-9A1D0A4F8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xdr:row>
      <xdr:rowOff>0</xdr:rowOff>
    </xdr:from>
    <xdr:to>
      <xdr:col>4</xdr:col>
      <xdr:colOff>0</xdr:colOff>
      <xdr:row>7</xdr:row>
      <xdr:rowOff>0</xdr:rowOff>
    </xdr:to>
    <xdr:graphicFrame macro="">
      <xdr:nvGraphicFramePr>
        <xdr:cNvPr id="4" name="Chart 7">
          <a:extLst>
            <a:ext uri="{FF2B5EF4-FFF2-40B4-BE49-F238E27FC236}">
              <a16:creationId xmlns:a16="http://schemas.microsoft.com/office/drawing/2014/main" id="{C52658C0-91A1-4E37-8C7E-D05818531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xdr:row>
      <xdr:rowOff>0</xdr:rowOff>
    </xdr:from>
    <xdr:to>
      <xdr:col>4</xdr:col>
      <xdr:colOff>0</xdr:colOff>
      <xdr:row>7</xdr:row>
      <xdr:rowOff>0</xdr:rowOff>
    </xdr:to>
    <xdr:graphicFrame macro="">
      <xdr:nvGraphicFramePr>
        <xdr:cNvPr id="5" name="Chart 5">
          <a:extLst>
            <a:ext uri="{FF2B5EF4-FFF2-40B4-BE49-F238E27FC236}">
              <a16:creationId xmlns:a16="http://schemas.microsoft.com/office/drawing/2014/main" id="{65D251AB-3479-4136-825B-BFBE9D2D6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221717</xdr:colOff>
      <xdr:row>38</xdr:row>
      <xdr:rowOff>110778</xdr:rowOff>
    </xdr:from>
    <xdr:to>
      <xdr:col>20</xdr:col>
      <xdr:colOff>489858</xdr:colOff>
      <xdr:row>56</xdr:row>
      <xdr:rowOff>16489</xdr:rowOff>
    </xdr:to>
    <xdr:graphicFrame macro="">
      <xdr:nvGraphicFramePr>
        <xdr:cNvPr id="6" name="Chart 5">
          <a:extLst>
            <a:ext uri="{FF2B5EF4-FFF2-40B4-BE49-F238E27FC236}">
              <a16:creationId xmlns:a16="http://schemas.microsoft.com/office/drawing/2014/main" id="{B67D0A6E-C82B-4AC4-A0CB-607CB743B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168088</xdr:colOff>
      <xdr:row>36</xdr:row>
      <xdr:rowOff>56029</xdr:rowOff>
    </xdr:from>
    <xdr:to>
      <xdr:col>11</xdr:col>
      <xdr:colOff>217716</xdr:colOff>
      <xdr:row>60</xdr:row>
      <xdr:rowOff>59470</xdr:rowOff>
    </xdr:to>
    <xdr:graphicFrame macro="">
      <xdr:nvGraphicFramePr>
        <xdr:cNvPr id="7" name="Chart 6">
          <a:extLst>
            <a:ext uri="{FF2B5EF4-FFF2-40B4-BE49-F238E27FC236}">
              <a16:creationId xmlns:a16="http://schemas.microsoft.com/office/drawing/2014/main" id="{B0856A20-0CB6-4B32-8515-AC03EC311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190500</xdr:colOff>
      <xdr:row>37</xdr:row>
      <xdr:rowOff>84364</xdr:rowOff>
    </xdr:from>
    <xdr:to>
      <xdr:col>28</xdr:col>
      <xdr:colOff>476250</xdr:colOff>
      <xdr:row>54</xdr:row>
      <xdr:rowOff>38099</xdr:rowOff>
    </xdr:to>
    <xdr:graphicFrame macro="">
      <xdr:nvGraphicFramePr>
        <xdr:cNvPr id="8" name="Chart 7">
          <a:extLst>
            <a:ext uri="{FF2B5EF4-FFF2-40B4-BE49-F238E27FC236}">
              <a16:creationId xmlns:a16="http://schemas.microsoft.com/office/drawing/2014/main" id="{300CDEC5-7842-4BC8-A131-964338C8A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0.49417</cdr:x>
      <cdr:y>0.45454</cdr:y>
    </cdr:from>
    <cdr:to>
      <cdr:x>0.49417</cdr:x>
      <cdr:y>0.54829</cdr:y>
    </cdr:to>
    <cdr:sp macro="" textlink="">
      <cdr:nvSpPr>
        <cdr:cNvPr id="68609" name="Line 1"/>
        <cdr:cNvSpPr>
          <a:spLocks xmlns:a="http://schemas.openxmlformats.org/drawingml/2006/main" noChangeShapeType="1"/>
        </cdr:cNvSpPr>
      </cdr:nvSpPr>
      <cdr:spPr bwMode="auto">
        <a:xfrm xmlns:a="http://schemas.openxmlformats.org/drawingml/2006/main" flipV="1">
          <a:off x="704513" y="336543"/>
          <a:ext cx="0" cy="6876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30.xml><?xml version="1.0" encoding="utf-8"?>
<c:userShapes xmlns:c="http://schemas.openxmlformats.org/drawingml/2006/chart">
  <cdr:relSizeAnchor xmlns:cdr="http://schemas.openxmlformats.org/drawingml/2006/chartDrawing">
    <cdr:from>
      <cdr:x>0.52076</cdr:x>
      <cdr:y>0.65401</cdr:y>
    </cdr:from>
    <cdr:to>
      <cdr:x>0.52076</cdr:x>
      <cdr:y>0.76561</cdr:y>
    </cdr:to>
    <cdr:sp macro="" textlink="">
      <cdr:nvSpPr>
        <cdr:cNvPr id="67585" name="Line 1"/>
        <cdr:cNvSpPr>
          <a:spLocks xmlns:a="http://schemas.openxmlformats.org/drawingml/2006/main" noChangeShapeType="1"/>
        </cdr:cNvSpPr>
      </cdr:nvSpPr>
      <cdr:spPr bwMode="auto">
        <a:xfrm xmlns:a="http://schemas.openxmlformats.org/drawingml/2006/main" flipV="1">
          <a:off x="742246" y="482844"/>
          <a:ext cx="0" cy="81846"/>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31.xml><?xml version="1.0" encoding="utf-8"?>
<c:userShapes xmlns:c="http://schemas.openxmlformats.org/drawingml/2006/chart">
  <cdr:relSizeAnchor xmlns:cdr="http://schemas.openxmlformats.org/drawingml/2006/chartDrawing">
    <cdr:from>
      <cdr:x>0.49417</cdr:x>
      <cdr:y>0.45454</cdr:y>
    </cdr:from>
    <cdr:to>
      <cdr:x>0.49417</cdr:x>
      <cdr:y>0.54829</cdr:y>
    </cdr:to>
    <cdr:sp macro="" textlink="">
      <cdr:nvSpPr>
        <cdr:cNvPr id="68609" name="Line 1"/>
        <cdr:cNvSpPr>
          <a:spLocks xmlns:a="http://schemas.openxmlformats.org/drawingml/2006/main" noChangeShapeType="1"/>
        </cdr:cNvSpPr>
      </cdr:nvSpPr>
      <cdr:spPr bwMode="auto">
        <a:xfrm xmlns:a="http://schemas.openxmlformats.org/drawingml/2006/main" flipV="1">
          <a:off x="704513" y="336543"/>
          <a:ext cx="0" cy="6876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32.xml><?xml version="1.0" encoding="utf-8"?>
<c:userShapes xmlns:c="http://schemas.openxmlformats.org/drawingml/2006/chart">
  <cdr:relSizeAnchor xmlns:cdr="http://schemas.openxmlformats.org/drawingml/2006/chartDrawing">
    <cdr:from>
      <cdr:x>0.51819</cdr:x>
      <cdr:y>0.65771</cdr:y>
    </cdr:from>
    <cdr:to>
      <cdr:x>0.51819</cdr:x>
      <cdr:y>0.76735</cdr:y>
    </cdr:to>
    <cdr:sp macro="" textlink="">
      <cdr:nvSpPr>
        <cdr:cNvPr id="69633" name="Line 1"/>
        <cdr:cNvSpPr>
          <a:spLocks xmlns:a="http://schemas.openxmlformats.org/drawingml/2006/main" noChangeShapeType="1"/>
        </cdr:cNvSpPr>
      </cdr:nvSpPr>
      <cdr:spPr bwMode="auto">
        <a:xfrm xmlns:a="http://schemas.openxmlformats.org/drawingml/2006/main" flipV="1">
          <a:off x="738605" y="485557"/>
          <a:ext cx="0" cy="8041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33.xml><?xml version="1.0" encoding="utf-8"?>
<xdr:wsDr xmlns:xdr="http://schemas.openxmlformats.org/drawingml/2006/spreadsheetDrawing" xmlns:a="http://schemas.openxmlformats.org/drawingml/2006/main">
  <xdr:twoCellAnchor>
    <xdr:from>
      <xdr:col>0</xdr:col>
      <xdr:colOff>0</xdr:colOff>
      <xdr:row>9</xdr:row>
      <xdr:rowOff>0</xdr:rowOff>
    </xdr:from>
    <xdr:to>
      <xdr:col>4</xdr:col>
      <xdr:colOff>0</xdr:colOff>
      <xdr:row>9</xdr:row>
      <xdr:rowOff>0</xdr:rowOff>
    </xdr:to>
    <xdr:graphicFrame macro="">
      <xdr:nvGraphicFramePr>
        <xdr:cNvPr id="2" name="Chart 4">
          <a:extLst>
            <a:ext uri="{FF2B5EF4-FFF2-40B4-BE49-F238E27FC236}">
              <a16:creationId xmlns:a16="http://schemas.microsoft.com/office/drawing/2014/main" id="{8C6A6073-6972-4E88-B012-BD4739647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4</xdr:col>
      <xdr:colOff>0</xdr:colOff>
      <xdr:row>9</xdr:row>
      <xdr:rowOff>0</xdr:rowOff>
    </xdr:to>
    <xdr:graphicFrame macro="">
      <xdr:nvGraphicFramePr>
        <xdr:cNvPr id="3" name="Chart 6">
          <a:extLst>
            <a:ext uri="{FF2B5EF4-FFF2-40B4-BE49-F238E27FC236}">
              <a16:creationId xmlns:a16="http://schemas.microsoft.com/office/drawing/2014/main" id="{C6F4E0CA-C645-4BCD-84B0-9B0C14B9A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xdr:row>
      <xdr:rowOff>0</xdr:rowOff>
    </xdr:from>
    <xdr:to>
      <xdr:col>4</xdr:col>
      <xdr:colOff>0</xdr:colOff>
      <xdr:row>9</xdr:row>
      <xdr:rowOff>0</xdr:rowOff>
    </xdr:to>
    <xdr:graphicFrame macro="">
      <xdr:nvGraphicFramePr>
        <xdr:cNvPr id="4" name="Chart 7">
          <a:extLst>
            <a:ext uri="{FF2B5EF4-FFF2-40B4-BE49-F238E27FC236}">
              <a16:creationId xmlns:a16="http://schemas.microsoft.com/office/drawing/2014/main" id="{2A2B2869-16A0-4031-9F91-2BB88590A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xdr:row>
      <xdr:rowOff>0</xdr:rowOff>
    </xdr:from>
    <xdr:to>
      <xdr:col>4</xdr:col>
      <xdr:colOff>0</xdr:colOff>
      <xdr:row>9</xdr:row>
      <xdr:rowOff>0</xdr:rowOff>
    </xdr:to>
    <xdr:graphicFrame macro="">
      <xdr:nvGraphicFramePr>
        <xdr:cNvPr id="5" name="Chart 5">
          <a:extLst>
            <a:ext uri="{FF2B5EF4-FFF2-40B4-BE49-F238E27FC236}">
              <a16:creationId xmlns:a16="http://schemas.microsoft.com/office/drawing/2014/main" id="{062C1193-51D4-45CC-8876-7AF7B15B6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532279</xdr:colOff>
      <xdr:row>29</xdr:row>
      <xdr:rowOff>57151</xdr:rowOff>
    </xdr:from>
    <xdr:to>
      <xdr:col>33</xdr:col>
      <xdr:colOff>582706</xdr:colOff>
      <xdr:row>46</xdr:row>
      <xdr:rowOff>133351</xdr:rowOff>
    </xdr:to>
    <xdr:graphicFrame macro="">
      <xdr:nvGraphicFramePr>
        <xdr:cNvPr id="6" name="Chart 5">
          <a:extLst>
            <a:ext uri="{FF2B5EF4-FFF2-40B4-BE49-F238E27FC236}">
              <a16:creationId xmlns:a16="http://schemas.microsoft.com/office/drawing/2014/main" id="{A1CFC96F-AB54-4DD8-8384-25EE293D5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0.52076</cdr:x>
      <cdr:y>0.65401</cdr:y>
    </cdr:from>
    <cdr:to>
      <cdr:x>0.52076</cdr:x>
      <cdr:y>0.76561</cdr:y>
    </cdr:to>
    <cdr:sp macro="" textlink="">
      <cdr:nvSpPr>
        <cdr:cNvPr id="67585" name="Line 1"/>
        <cdr:cNvSpPr>
          <a:spLocks xmlns:a="http://schemas.openxmlformats.org/drawingml/2006/main" noChangeShapeType="1"/>
        </cdr:cNvSpPr>
      </cdr:nvSpPr>
      <cdr:spPr bwMode="auto">
        <a:xfrm xmlns:a="http://schemas.openxmlformats.org/drawingml/2006/main" flipV="1">
          <a:off x="742246" y="482844"/>
          <a:ext cx="0" cy="81846"/>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35.xml><?xml version="1.0" encoding="utf-8"?>
<c:userShapes xmlns:c="http://schemas.openxmlformats.org/drawingml/2006/chart">
  <cdr:relSizeAnchor xmlns:cdr="http://schemas.openxmlformats.org/drawingml/2006/chartDrawing">
    <cdr:from>
      <cdr:x>0.49417</cdr:x>
      <cdr:y>0.45454</cdr:y>
    </cdr:from>
    <cdr:to>
      <cdr:x>0.49417</cdr:x>
      <cdr:y>0.54829</cdr:y>
    </cdr:to>
    <cdr:sp macro="" textlink="">
      <cdr:nvSpPr>
        <cdr:cNvPr id="68609" name="Line 1"/>
        <cdr:cNvSpPr>
          <a:spLocks xmlns:a="http://schemas.openxmlformats.org/drawingml/2006/main" noChangeShapeType="1"/>
        </cdr:cNvSpPr>
      </cdr:nvSpPr>
      <cdr:spPr bwMode="auto">
        <a:xfrm xmlns:a="http://schemas.openxmlformats.org/drawingml/2006/main" flipV="1">
          <a:off x="704513" y="336543"/>
          <a:ext cx="0" cy="6876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36.xml><?xml version="1.0" encoding="utf-8"?>
<c:userShapes xmlns:c="http://schemas.openxmlformats.org/drawingml/2006/chart">
  <cdr:relSizeAnchor xmlns:cdr="http://schemas.openxmlformats.org/drawingml/2006/chartDrawing">
    <cdr:from>
      <cdr:x>0.51819</cdr:x>
      <cdr:y>0.65771</cdr:y>
    </cdr:from>
    <cdr:to>
      <cdr:x>0.51819</cdr:x>
      <cdr:y>0.76735</cdr:y>
    </cdr:to>
    <cdr:sp macro="" textlink="">
      <cdr:nvSpPr>
        <cdr:cNvPr id="69633" name="Line 1"/>
        <cdr:cNvSpPr>
          <a:spLocks xmlns:a="http://schemas.openxmlformats.org/drawingml/2006/main" noChangeShapeType="1"/>
        </cdr:cNvSpPr>
      </cdr:nvSpPr>
      <cdr:spPr bwMode="auto">
        <a:xfrm xmlns:a="http://schemas.openxmlformats.org/drawingml/2006/main" flipV="1">
          <a:off x="738605" y="485557"/>
          <a:ext cx="0" cy="8041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37.xml><?xml version="1.0" encoding="utf-8"?>
<xdr:wsDr xmlns:xdr="http://schemas.openxmlformats.org/drawingml/2006/spreadsheetDrawing" xmlns:a="http://schemas.openxmlformats.org/drawingml/2006/main">
  <xdr:twoCellAnchor>
    <xdr:from>
      <xdr:col>11</xdr:col>
      <xdr:colOff>0</xdr:colOff>
      <xdr:row>0</xdr:row>
      <xdr:rowOff>0</xdr:rowOff>
    </xdr:from>
    <xdr:to>
      <xdr:col>12</xdr:col>
      <xdr:colOff>0</xdr:colOff>
      <xdr:row>0</xdr:row>
      <xdr:rowOff>0</xdr:rowOff>
    </xdr:to>
    <xdr:graphicFrame macro="">
      <xdr:nvGraphicFramePr>
        <xdr:cNvPr id="2" name="Chart 4">
          <a:extLst>
            <a:ext uri="{FF2B5EF4-FFF2-40B4-BE49-F238E27FC236}">
              <a16:creationId xmlns:a16="http://schemas.microsoft.com/office/drawing/2014/main" id="{C1B2104C-2DB7-4F8D-AF1B-E8CABAC59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0</xdr:row>
      <xdr:rowOff>0</xdr:rowOff>
    </xdr:from>
    <xdr:to>
      <xdr:col>12</xdr:col>
      <xdr:colOff>0</xdr:colOff>
      <xdr:row>0</xdr:row>
      <xdr:rowOff>0</xdr:rowOff>
    </xdr:to>
    <xdr:graphicFrame macro="">
      <xdr:nvGraphicFramePr>
        <xdr:cNvPr id="3" name="Chart 6">
          <a:extLst>
            <a:ext uri="{FF2B5EF4-FFF2-40B4-BE49-F238E27FC236}">
              <a16:creationId xmlns:a16="http://schemas.microsoft.com/office/drawing/2014/main" id="{F6D6B03C-8F68-4334-91B4-AB93A509B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0</xdr:row>
      <xdr:rowOff>0</xdr:rowOff>
    </xdr:from>
    <xdr:to>
      <xdr:col>12</xdr:col>
      <xdr:colOff>0</xdr:colOff>
      <xdr:row>0</xdr:row>
      <xdr:rowOff>0</xdr:rowOff>
    </xdr:to>
    <xdr:graphicFrame macro="">
      <xdr:nvGraphicFramePr>
        <xdr:cNvPr id="4" name="Chart 7">
          <a:extLst>
            <a:ext uri="{FF2B5EF4-FFF2-40B4-BE49-F238E27FC236}">
              <a16:creationId xmlns:a16="http://schemas.microsoft.com/office/drawing/2014/main" id="{78B53F0E-B8B6-457C-A51C-3FCDD7060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0</xdr:row>
      <xdr:rowOff>0</xdr:rowOff>
    </xdr:from>
    <xdr:to>
      <xdr:col>12</xdr:col>
      <xdr:colOff>0</xdr:colOff>
      <xdr:row>0</xdr:row>
      <xdr:rowOff>0</xdr:rowOff>
    </xdr:to>
    <xdr:graphicFrame macro="">
      <xdr:nvGraphicFramePr>
        <xdr:cNvPr id="5" name="Chart 5">
          <a:extLst>
            <a:ext uri="{FF2B5EF4-FFF2-40B4-BE49-F238E27FC236}">
              <a16:creationId xmlns:a16="http://schemas.microsoft.com/office/drawing/2014/main" id="{927B3624-748D-4F86-867F-DB29477DD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428622</xdr:colOff>
      <xdr:row>30</xdr:row>
      <xdr:rowOff>134540</xdr:rowOff>
    </xdr:from>
    <xdr:to>
      <xdr:col>30</xdr:col>
      <xdr:colOff>726280</xdr:colOff>
      <xdr:row>56</xdr:row>
      <xdr:rowOff>95249</xdr:rowOff>
    </xdr:to>
    <xdr:graphicFrame macro="">
      <xdr:nvGraphicFramePr>
        <xdr:cNvPr id="7" name="Chart 6">
          <a:extLst>
            <a:ext uri="{FF2B5EF4-FFF2-40B4-BE49-F238E27FC236}">
              <a16:creationId xmlns:a16="http://schemas.microsoft.com/office/drawing/2014/main" id="{049E9736-EA9D-4442-A86E-71C35FA4F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166688</xdr:colOff>
      <xdr:row>31</xdr:row>
      <xdr:rowOff>107157</xdr:rowOff>
    </xdr:from>
    <xdr:to>
      <xdr:col>25</xdr:col>
      <xdr:colOff>166688</xdr:colOff>
      <xdr:row>54</xdr:row>
      <xdr:rowOff>130969</xdr:rowOff>
    </xdr:to>
    <xdr:cxnSp macro="">
      <xdr:nvCxnSpPr>
        <xdr:cNvPr id="9" name="Straight Connector 8">
          <a:extLst>
            <a:ext uri="{FF2B5EF4-FFF2-40B4-BE49-F238E27FC236}">
              <a16:creationId xmlns:a16="http://schemas.microsoft.com/office/drawing/2014/main" id="{0B04BA70-12E0-4C82-A7F1-966EB6C07E5F}"/>
            </a:ext>
          </a:extLst>
        </xdr:cNvPr>
        <xdr:cNvCxnSpPr/>
      </xdr:nvCxnSpPr>
      <xdr:spPr>
        <a:xfrm flipV="1">
          <a:off x="14966157" y="5310188"/>
          <a:ext cx="0" cy="3857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108858</xdr:colOff>
      <xdr:row>36</xdr:row>
      <xdr:rowOff>29936</xdr:rowOff>
    </xdr:from>
    <xdr:to>
      <xdr:col>39</xdr:col>
      <xdr:colOff>653143</xdr:colOff>
      <xdr:row>52</xdr:row>
      <xdr:rowOff>160564</xdr:rowOff>
    </xdr:to>
    <xdr:graphicFrame macro="">
      <xdr:nvGraphicFramePr>
        <xdr:cNvPr id="6" name="Chart 5">
          <a:extLst>
            <a:ext uri="{FF2B5EF4-FFF2-40B4-BE49-F238E27FC236}">
              <a16:creationId xmlns:a16="http://schemas.microsoft.com/office/drawing/2014/main" id="{6143C980-A613-440B-96B0-FF2638AA5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8.xml><?xml version="1.0" encoding="utf-8"?>
<c:userShapes xmlns:c="http://schemas.openxmlformats.org/drawingml/2006/chart">
  <cdr:relSizeAnchor xmlns:cdr="http://schemas.openxmlformats.org/drawingml/2006/chartDrawing">
    <cdr:from>
      <cdr:x>0.52076</cdr:x>
      <cdr:y>0.65401</cdr:y>
    </cdr:from>
    <cdr:to>
      <cdr:x>0.52076</cdr:x>
      <cdr:y>0.76561</cdr:y>
    </cdr:to>
    <cdr:sp macro="" textlink="">
      <cdr:nvSpPr>
        <cdr:cNvPr id="67585" name="Line 1"/>
        <cdr:cNvSpPr>
          <a:spLocks xmlns:a="http://schemas.openxmlformats.org/drawingml/2006/main" noChangeShapeType="1"/>
        </cdr:cNvSpPr>
      </cdr:nvSpPr>
      <cdr:spPr bwMode="auto">
        <a:xfrm xmlns:a="http://schemas.openxmlformats.org/drawingml/2006/main" flipV="1">
          <a:off x="742246" y="482844"/>
          <a:ext cx="0" cy="81846"/>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39.xml><?xml version="1.0" encoding="utf-8"?>
<c:userShapes xmlns:c="http://schemas.openxmlformats.org/drawingml/2006/chart">
  <cdr:relSizeAnchor xmlns:cdr="http://schemas.openxmlformats.org/drawingml/2006/chartDrawing">
    <cdr:from>
      <cdr:x>0.49417</cdr:x>
      <cdr:y>0.45454</cdr:y>
    </cdr:from>
    <cdr:to>
      <cdr:x>0.49417</cdr:x>
      <cdr:y>0.54829</cdr:y>
    </cdr:to>
    <cdr:sp macro="" textlink="">
      <cdr:nvSpPr>
        <cdr:cNvPr id="68609" name="Line 1"/>
        <cdr:cNvSpPr>
          <a:spLocks xmlns:a="http://schemas.openxmlformats.org/drawingml/2006/main" noChangeShapeType="1"/>
        </cdr:cNvSpPr>
      </cdr:nvSpPr>
      <cdr:spPr bwMode="auto">
        <a:xfrm xmlns:a="http://schemas.openxmlformats.org/drawingml/2006/main" flipV="1">
          <a:off x="704513" y="336543"/>
          <a:ext cx="0" cy="6876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0.51819</cdr:x>
      <cdr:y>0.65771</cdr:y>
    </cdr:from>
    <cdr:to>
      <cdr:x>0.51819</cdr:x>
      <cdr:y>0.76735</cdr:y>
    </cdr:to>
    <cdr:sp macro="" textlink="">
      <cdr:nvSpPr>
        <cdr:cNvPr id="69633" name="Line 1"/>
        <cdr:cNvSpPr>
          <a:spLocks xmlns:a="http://schemas.openxmlformats.org/drawingml/2006/main" noChangeShapeType="1"/>
        </cdr:cNvSpPr>
      </cdr:nvSpPr>
      <cdr:spPr bwMode="auto">
        <a:xfrm xmlns:a="http://schemas.openxmlformats.org/drawingml/2006/main" flipV="1">
          <a:off x="738605" y="485557"/>
          <a:ext cx="0" cy="8041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40.xml><?xml version="1.0" encoding="utf-8"?>
<c:userShapes xmlns:c="http://schemas.openxmlformats.org/drawingml/2006/chart">
  <cdr:relSizeAnchor xmlns:cdr="http://schemas.openxmlformats.org/drawingml/2006/chartDrawing">
    <cdr:from>
      <cdr:x>0.51819</cdr:x>
      <cdr:y>0.65771</cdr:y>
    </cdr:from>
    <cdr:to>
      <cdr:x>0.51819</cdr:x>
      <cdr:y>0.76735</cdr:y>
    </cdr:to>
    <cdr:sp macro="" textlink="">
      <cdr:nvSpPr>
        <cdr:cNvPr id="69633" name="Line 1"/>
        <cdr:cNvSpPr>
          <a:spLocks xmlns:a="http://schemas.openxmlformats.org/drawingml/2006/main" noChangeShapeType="1"/>
        </cdr:cNvSpPr>
      </cdr:nvSpPr>
      <cdr:spPr bwMode="auto">
        <a:xfrm xmlns:a="http://schemas.openxmlformats.org/drawingml/2006/main" flipV="1">
          <a:off x="738605" y="485557"/>
          <a:ext cx="0" cy="8041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4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0</xdr:colOff>
      <xdr:row>0</xdr:row>
      <xdr:rowOff>0</xdr:rowOff>
    </xdr:to>
    <xdr:graphicFrame macro="">
      <xdr:nvGraphicFramePr>
        <xdr:cNvPr id="2" name="Chart 4">
          <a:extLst>
            <a:ext uri="{FF2B5EF4-FFF2-40B4-BE49-F238E27FC236}">
              <a16:creationId xmlns:a16="http://schemas.microsoft.com/office/drawing/2014/main" id="{3B814FD3-C384-40AB-A737-CD886A718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xdr:col>
      <xdr:colOff>0</xdr:colOff>
      <xdr:row>0</xdr:row>
      <xdr:rowOff>0</xdr:rowOff>
    </xdr:to>
    <xdr:graphicFrame macro="">
      <xdr:nvGraphicFramePr>
        <xdr:cNvPr id="3" name="Chart 6">
          <a:extLst>
            <a:ext uri="{FF2B5EF4-FFF2-40B4-BE49-F238E27FC236}">
              <a16:creationId xmlns:a16="http://schemas.microsoft.com/office/drawing/2014/main" id="{2C1EE3B4-4F4B-4A25-AA4C-D91ADE3DC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2</xdr:col>
      <xdr:colOff>0</xdr:colOff>
      <xdr:row>0</xdr:row>
      <xdr:rowOff>0</xdr:rowOff>
    </xdr:to>
    <xdr:graphicFrame macro="">
      <xdr:nvGraphicFramePr>
        <xdr:cNvPr id="4" name="Chart 7">
          <a:extLst>
            <a:ext uri="{FF2B5EF4-FFF2-40B4-BE49-F238E27FC236}">
              <a16:creationId xmlns:a16="http://schemas.microsoft.com/office/drawing/2014/main" id="{A9AAC42A-924B-4058-92E4-F13883740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xdr:col>
      <xdr:colOff>0</xdr:colOff>
      <xdr:row>0</xdr:row>
      <xdr:rowOff>0</xdr:rowOff>
    </xdr:to>
    <xdr:graphicFrame macro="">
      <xdr:nvGraphicFramePr>
        <xdr:cNvPr id="5" name="Chart 5">
          <a:extLst>
            <a:ext uri="{FF2B5EF4-FFF2-40B4-BE49-F238E27FC236}">
              <a16:creationId xmlns:a16="http://schemas.microsoft.com/office/drawing/2014/main" id="{030C5B70-F764-4B50-9CCA-A31220468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200025</xdr:colOff>
      <xdr:row>1</xdr:row>
      <xdr:rowOff>114300</xdr:rowOff>
    </xdr:from>
    <xdr:to>
      <xdr:col>23</xdr:col>
      <xdr:colOff>304800</xdr:colOff>
      <xdr:row>24</xdr:row>
      <xdr:rowOff>57150</xdr:rowOff>
    </xdr:to>
    <xdr:graphicFrame macro="">
      <xdr:nvGraphicFramePr>
        <xdr:cNvPr id="6" name="Chart 5">
          <a:extLst>
            <a:ext uri="{FF2B5EF4-FFF2-40B4-BE49-F238E27FC236}">
              <a16:creationId xmlns:a16="http://schemas.microsoft.com/office/drawing/2014/main" id="{3D9592C9-7241-4567-9C2C-01C16AAB0F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2.xml><?xml version="1.0" encoding="utf-8"?>
<c:userShapes xmlns:c="http://schemas.openxmlformats.org/drawingml/2006/chart">
  <cdr:relSizeAnchor xmlns:cdr="http://schemas.openxmlformats.org/drawingml/2006/chartDrawing">
    <cdr:from>
      <cdr:x>0.52076</cdr:x>
      <cdr:y>0.65401</cdr:y>
    </cdr:from>
    <cdr:to>
      <cdr:x>0.52076</cdr:x>
      <cdr:y>0.76561</cdr:y>
    </cdr:to>
    <cdr:sp macro="" textlink="">
      <cdr:nvSpPr>
        <cdr:cNvPr id="67585" name="Line 1"/>
        <cdr:cNvSpPr>
          <a:spLocks xmlns:a="http://schemas.openxmlformats.org/drawingml/2006/main" noChangeShapeType="1"/>
        </cdr:cNvSpPr>
      </cdr:nvSpPr>
      <cdr:spPr bwMode="auto">
        <a:xfrm xmlns:a="http://schemas.openxmlformats.org/drawingml/2006/main" flipV="1">
          <a:off x="742246" y="482844"/>
          <a:ext cx="0" cy="81846"/>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43.xml><?xml version="1.0" encoding="utf-8"?>
<c:userShapes xmlns:c="http://schemas.openxmlformats.org/drawingml/2006/chart">
  <cdr:relSizeAnchor xmlns:cdr="http://schemas.openxmlformats.org/drawingml/2006/chartDrawing">
    <cdr:from>
      <cdr:x>0.49417</cdr:x>
      <cdr:y>0.45454</cdr:y>
    </cdr:from>
    <cdr:to>
      <cdr:x>0.49417</cdr:x>
      <cdr:y>0.54829</cdr:y>
    </cdr:to>
    <cdr:sp macro="" textlink="">
      <cdr:nvSpPr>
        <cdr:cNvPr id="68609" name="Line 1"/>
        <cdr:cNvSpPr>
          <a:spLocks xmlns:a="http://schemas.openxmlformats.org/drawingml/2006/main" noChangeShapeType="1"/>
        </cdr:cNvSpPr>
      </cdr:nvSpPr>
      <cdr:spPr bwMode="auto">
        <a:xfrm xmlns:a="http://schemas.openxmlformats.org/drawingml/2006/main" flipV="1">
          <a:off x="704513" y="336543"/>
          <a:ext cx="0" cy="6876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44.xml><?xml version="1.0" encoding="utf-8"?>
<c:userShapes xmlns:c="http://schemas.openxmlformats.org/drawingml/2006/chart">
  <cdr:relSizeAnchor xmlns:cdr="http://schemas.openxmlformats.org/drawingml/2006/chartDrawing">
    <cdr:from>
      <cdr:x>0.51819</cdr:x>
      <cdr:y>0.65771</cdr:y>
    </cdr:from>
    <cdr:to>
      <cdr:x>0.51819</cdr:x>
      <cdr:y>0.76735</cdr:y>
    </cdr:to>
    <cdr:sp macro="" textlink="">
      <cdr:nvSpPr>
        <cdr:cNvPr id="69633" name="Line 1"/>
        <cdr:cNvSpPr>
          <a:spLocks xmlns:a="http://schemas.openxmlformats.org/drawingml/2006/main" noChangeShapeType="1"/>
        </cdr:cNvSpPr>
      </cdr:nvSpPr>
      <cdr:spPr bwMode="auto">
        <a:xfrm xmlns:a="http://schemas.openxmlformats.org/drawingml/2006/main" flipV="1">
          <a:off x="738605" y="485557"/>
          <a:ext cx="0" cy="8041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45.xml><?xml version="1.0" encoding="utf-8"?>
<xdr:wsDr xmlns:xdr="http://schemas.openxmlformats.org/drawingml/2006/spreadsheetDrawing" xmlns:a="http://schemas.openxmlformats.org/drawingml/2006/main">
  <xdr:twoCellAnchor>
    <xdr:from>
      <xdr:col>0</xdr:col>
      <xdr:colOff>0</xdr:colOff>
      <xdr:row>5</xdr:row>
      <xdr:rowOff>0</xdr:rowOff>
    </xdr:from>
    <xdr:to>
      <xdr:col>3</xdr:col>
      <xdr:colOff>0</xdr:colOff>
      <xdr:row>5</xdr:row>
      <xdr:rowOff>0</xdr:rowOff>
    </xdr:to>
    <xdr:graphicFrame macro="">
      <xdr:nvGraphicFramePr>
        <xdr:cNvPr id="2" name="Chart 4">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xdr:row>
      <xdr:rowOff>0</xdr:rowOff>
    </xdr:from>
    <xdr:to>
      <xdr:col>3</xdr:col>
      <xdr:colOff>0</xdr:colOff>
      <xdr:row>5</xdr:row>
      <xdr:rowOff>0</xdr:rowOff>
    </xdr:to>
    <xdr:graphicFrame macro="">
      <xdr:nvGraphicFramePr>
        <xdr:cNvPr id="3" name="Chart 6">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xdr:row>
      <xdr:rowOff>0</xdr:rowOff>
    </xdr:from>
    <xdr:to>
      <xdr:col>3</xdr:col>
      <xdr:colOff>0</xdr:colOff>
      <xdr:row>5</xdr:row>
      <xdr:rowOff>0</xdr:rowOff>
    </xdr:to>
    <xdr:graphicFrame macro="">
      <xdr:nvGraphicFramePr>
        <xdr:cNvPr id="4" name="Chart 7">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xdr:row>
      <xdr:rowOff>0</xdr:rowOff>
    </xdr:from>
    <xdr:to>
      <xdr:col>3</xdr:col>
      <xdr:colOff>0</xdr:colOff>
      <xdr:row>5</xdr:row>
      <xdr:rowOff>0</xdr:rowOff>
    </xdr:to>
    <xdr:graphicFrame macro="">
      <xdr:nvGraphicFramePr>
        <xdr:cNvPr id="5" name="Chart 5">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6.xml><?xml version="1.0" encoding="utf-8"?>
<c:userShapes xmlns:c="http://schemas.openxmlformats.org/drawingml/2006/chart">
  <cdr:relSizeAnchor xmlns:cdr="http://schemas.openxmlformats.org/drawingml/2006/chartDrawing">
    <cdr:from>
      <cdr:x>0.52076</cdr:x>
      <cdr:y>0.65401</cdr:y>
    </cdr:from>
    <cdr:to>
      <cdr:x>0.52076</cdr:x>
      <cdr:y>0.76561</cdr:y>
    </cdr:to>
    <cdr:sp macro="" textlink="">
      <cdr:nvSpPr>
        <cdr:cNvPr id="67585" name="Line 1"/>
        <cdr:cNvSpPr>
          <a:spLocks xmlns:a="http://schemas.openxmlformats.org/drawingml/2006/main" noChangeShapeType="1"/>
        </cdr:cNvSpPr>
      </cdr:nvSpPr>
      <cdr:spPr bwMode="auto">
        <a:xfrm xmlns:a="http://schemas.openxmlformats.org/drawingml/2006/main" flipV="1">
          <a:off x="742246" y="482844"/>
          <a:ext cx="0" cy="81846"/>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47.xml><?xml version="1.0" encoding="utf-8"?>
<c:userShapes xmlns:c="http://schemas.openxmlformats.org/drawingml/2006/chart">
  <cdr:relSizeAnchor xmlns:cdr="http://schemas.openxmlformats.org/drawingml/2006/chartDrawing">
    <cdr:from>
      <cdr:x>0.49417</cdr:x>
      <cdr:y>0.45454</cdr:y>
    </cdr:from>
    <cdr:to>
      <cdr:x>0.49417</cdr:x>
      <cdr:y>0.54829</cdr:y>
    </cdr:to>
    <cdr:sp macro="" textlink="">
      <cdr:nvSpPr>
        <cdr:cNvPr id="68609" name="Line 1"/>
        <cdr:cNvSpPr>
          <a:spLocks xmlns:a="http://schemas.openxmlformats.org/drawingml/2006/main" noChangeShapeType="1"/>
        </cdr:cNvSpPr>
      </cdr:nvSpPr>
      <cdr:spPr bwMode="auto">
        <a:xfrm xmlns:a="http://schemas.openxmlformats.org/drawingml/2006/main" flipV="1">
          <a:off x="704513" y="336543"/>
          <a:ext cx="0" cy="6876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48.xml><?xml version="1.0" encoding="utf-8"?>
<c:userShapes xmlns:c="http://schemas.openxmlformats.org/drawingml/2006/chart">
  <cdr:relSizeAnchor xmlns:cdr="http://schemas.openxmlformats.org/drawingml/2006/chartDrawing">
    <cdr:from>
      <cdr:x>0.51819</cdr:x>
      <cdr:y>0.65771</cdr:y>
    </cdr:from>
    <cdr:to>
      <cdr:x>0.51819</cdr:x>
      <cdr:y>0.76735</cdr:y>
    </cdr:to>
    <cdr:sp macro="" textlink="">
      <cdr:nvSpPr>
        <cdr:cNvPr id="69633" name="Line 1"/>
        <cdr:cNvSpPr>
          <a:spLocks xmlns:a="http://schemas.openxmlformats.org/drawingml/2006/main" noChangeShapeType="1"/>
        </cdr:cNvSpPr>
      </cdr:nvSpPr>
      <cdr:spPr bwMode="auto">
        <a:xfrm xmlns:a="http://schemas.openxmlformats.org/drawingml/2006/main" flipV="1">
          <a:off x="738605" y="485557"/>
          <a:ext cx="0" cy="8041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49.xml><?xml version="1.0" encoding="utf-8"?>
<xdr:wsDr xmlns:xdr="http://schemas.openxmlformats.org/drawingml/2006/spreadsheetDrawing" xmlns:a="http://schemas.openxmlformats.org/drawingml/2006/main">
  <xdr:twoCellAnchor>
    <xdr:from>
      <xdr:col>0</xdr:col>
      <xdr:colOff>0</xdr:colOff>
      <xdr:row>9</xdr:row>
      <xdr:rowOff>0</xdr:rowOff>
    </xdr:from>
    <xdr:to>
      <xdr:col>4</xdr:col>
      <xdr:colOff>0</xdr:colOff>
      <xdr:row>9</xdr:row>
      <xdr:rowOff>0</xdr:rowOff>
    </xdr:to>
    <xdr:graphicFrame macro="">
      <xdr:nvGraphicFramePr>
        <xdr:cNvPr id="2" name="Chart 4">
          <a:extLst>
            <a:ext uri="{FF2B5EF4-FFF2-40B4-BE49-F238E27FC236}">
              <a16:creationId xmlns:a16="http://schemas.microsoft.com/office/drawing/2014/main" id="{5B7D75DF-6F4D-45B4-B7D9-7AC7EE172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4</xdr:col>
      <xdr:colOff>0</xdr:colOff>
      <xdr:row>9</xdr:row>
      <xdr:rowOff>0</xdr:rowOff>
    </xdr:to>
    <xdr:graphicFrame macro="">
      <xdr:nvGraphicFramePr>
        <xdr:cNvPr id="3" name="Chart 6">
          <a:extLst>
            <a:ext uri="{FF2B5EF4-FFF2-40B4-BE49-F238E27FC236}">
              <a16:creationId xmlns:a16="http://schemas.microsoft.com/office/drawing/2014/main" id="{9D3A7D20-8D59-409E-B0AC-928740428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xdr:row>
      <xdr:rowOff>0</xdr:rowOff>
    </xdr:from>
    <xdr:to>
      <xdr:col>4</xdr:col>
      <xdr:colOff>0</xdr:colOff>
      <xdr:row>9</xdr:row>
      <xdr:rowOff>0</xdr:rowOff>
    </xdr:to>
    <xdr:graphicFrame macro="">
      <xdr:nvGraphicFramePr>
        <xdr:cNvPr id="4" name="Chart 7">
          <a:extLst>
            <a:ext uri="{FF2B5EF4-FFF2-40B4-BE49-F238E27FC236}">
              <a16:creationId xmlns:a16="http://schemas.microsoft.com/office/drawing/2014/main" id="{4EAEE262-41D1-4123-A051-D9909610E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xdr:row>
      <xdr:rowOff>0</xdr:rowOff>
    </xdr:from>
    <xdr:to>
      <xdr:col>4</xdr:col>
      <xdr:colOff>0</xdr:colOff>
      <xdr:row>9</xdr:row>
      <xdr:rowOff>0</xdr:rowOff>
    </xdr:to>
    <xdr:graphicFrame macro="">
      <xdr:nvGraphicFramePr>
        <xdr:cNvPr id="5" name="Chart 5">
          <a:extLst>
            <a:ext uri="{FF2B5EF4-FFF2-40B4-BE49-F238E27FC236}">
              <a16:creationId xmlns:a16="http://schemas.microsoft.com/office/drawing/2014/main" id="{23C3288E-56F6-4115-A71B-DBA99CD51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0</xdr:colOff>
      <xdr:row>0</xdr:row>
      <xdr:rowOff>0</xdr:rowOff>
    </xdr:to>
    <xdr:graphicFrame macro="">
      <xdr:nvGraphicFramePr>
        <xdr:cNvPr id="66568" name="Chart 4">
          <a:extLst>
            <a:ext uri="{FF2B5EF4-FFF2-40B4-BE49-F238E27FC236}">
              <a16:creationId xmlns:a16="http://schemas.microsoft.com/office/drawing/2014/main" id="{00000000-0008-0000-0000-00000804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xdr:col>
      <xdr:colOff>0</xdr:colOff>
      <xdr:row>0</xdr:row>
      <xdr:rowOff>0</xdr:rowOff>
    </xdr:to>
    <xdr:graphicFrame macro="">
      <xdr:nvGraphicFramePr>
        <xdr:cNvPr id="66569" name="Chart 6">
          <a:extLst>
            <a:ext uri="{FF2B5EF4-FFF2-40B4-BE49-F238E27FC236}">
              <a16:creationId xmlns:a16="http://schemas.microsoft.com/office/drawing/2014/main" id="{00000000-0008-0000-0000-00000904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2</xdr:col>
      <xdr:colOff>0</xdr:colOff>
      <xdr:row>0</xdr:row>
      <xdr:rowOff>0</xdr:rowOff>
    </xdr:to>
    <xdr:graphicFrame macro="">
      <xdr:nvGraphicFramePr>
        <xdr:cNvPr id="66570" name="Chart 7">
          <a:extLst>
            <a:ext uri="{FF2B5EF4-FFF2-40B4-BE49-F238E27FC236}">
              <a16:creationId xmlns:a16="http://schemas.microsoft.com/office/drawing/2014/main" id="{00000000-0008-0000-0000-00000A04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2</xdr:col>
      <xdr:colOff>0</xdr:colOff>
      <xdr:row>0</xdr:row>
      <xdr:rowOff>0</xdr:rowOff>
    </xdr:to>
    <xdr:graphicFrame macro="">
      <xdr:nvGraphicFramePr>
        <xdr:cNvPr id="66571" name="Chart 5">
          <a:extLst>
            <a:ext uri="{FF2B5EF4-FFF2-40B4-BE49-F238E27FC236}">
              <a16:creationId xmlns:a16="http://schemas.microsoft.com/office/drawing/2014/main" id="{00000000-0008-0000-0000-00000B04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142875</xdr:colOff>
      <xdr:row>4</xdr:row>
      <xdr:rowOff>104775</xdr:rowOff>
    </xdr:from>
    <xdr:to>
      <xdr:col>24</xdr:col>
      <xdr:colOff>247650</xdr:colOff>
      <xdr:row>27</xdr:row>
      <xdr:rowOff>47625</xdr:rowOff>
    </xdr:to>
    <xdr:graphicFrame macro="">
      <xdr:nvGraphicFramePr>
        <xdr:cNvPr id="66572" name="Chart 5">
          <a:extLst>
            <a:ext uri="{FF2B5EF4-FFF2-40B4-BE49-F238E27FC236}">
              <a16:creationId xmlns:a16="http://schemas.microsoft.com/office/drawing/2014/main" id="{00000000-0008-0000-0000-00000C04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0.xml><?xml version="1.0" encoding="utf-8"?>
<c:userShapes xmlns:c="http://schemas.openxmlformats.org/drawingml/2006/chart">
  <cdr:relSizeAnchor xmlns:cdr="http://schemas.openxmlformats.org/drawingml/2006/chartDrawing">
    <cdr:from>
      <cdr:x>0.52076</cdr:x>
      <cdr:y>0.65401</cdr:y>
    </cdr:from>
    <cdr:to>
      <cdr:x>0.52076</cdr:x>
      <cdr:y>0.76561</cdr:y>
    </cdr:to>
    <cdr:sp macro="" textlink="">
      <cdr:nvSpPr>
        <cdr:cNvPr id="67585" name="Line 1"/>
        <cdr:cNvSpPr>
          <a:spLocks xmlns:a="http://schemas.openxmlformats.org/drawingml/2006/main" noChangeShapeType="1"/>
        </cdr:cNvSpPr>
      </cdr:nvSpPr>
      <cdr:spPr bwMode="auto">
        <a:xfrm xmlns:a="http://schemas.openxmlformats.org/drawingml/2006/main" flipV="1">
          <a:off x="742246" y="482844"/>
          <a:ext cx="0" cy="81846"/>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51.xml><?xml version="1.0" encoding="utf-8"?>
<c:userShapes xmlns:c="http://schemas.openxmlformats.org/drawingml/2006/chart">
  <cdr:relSizeAnchor xmlns:cdr="http://schemas.openxmlformats.org/drawingml/2006/chartDrawing">
    <cdr:from>
      <cdr:x>0.49417</cdr:x>
      <cdr:y>0.45454</cdr:y>
    </cdr:from>
    <cdr:to>
      <cdr:x>0.49417</cdr:x>
      <cdr:y>0.54829</cdr:y>
    </cdr:to>
    <cdr:sp macro="" textlink="">
      <cdr:nvSpPr>
        <cdr:cNvPr id="68609" name="Line 1"/>
        <cdr:cNvSpPr>
          <a:spLocks xmlns:a="http://schemas.openxmlformats.org/drawingml/2006/main" noChangeShapeType="1"/>
        </cdr:cNvSpPr>
      </cdr:nvSpPr>
      <cdr:spPr bwMode="auto">
        <a:xfrm xmlns:a="http://schemas.openxmlformats.org/drawingml/2006/main" flipV="1">
          <a:off x="704513" y="336543"/>
          <a:ext cx="0" cy="6876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52.xml><?xml version="1.0" encoding="utf-8"?>
<c:userShapes xmlns:c="http://schemas.openxmlformats.org/drawingml/2006/chart">
  <cdr:relSizeAnchor xmlns:cdr="http://schemas.openxmlformats.org/drawingml/2006/chartDrawing">
    <cdr:from>
      <cdr:x>0.51819</cdr:x>
      <cdr:y>0.65771</cdr:y>
    </cdr:from>
    <cdr:to>
      <cdr:x>0.51819</cdr:x>
      <cdr:y>0.76735</cdr:y>
    </cdr:to>
    <cdr:sp macro="" textlink="">
      <cdr:nvSpPr>
        <cdr:cNvPr id="69633" name="Line 1"/>
        <cdr:cNvSpPr>
          <a:spLocks xmlns:a="http://schemas.openxmlformats.org/drawingml/2006/main" noChangeShapeType="1"/>
        </cdr:cNvSpPr>
      </cdr:nvSpPr>
      <cdr:spPr bwMode="auto">
        <a:xfrm xmlns:a="http://schemas.openxmlformats.org/drawingml/2006/main" flipV="1">
          <a:off x="738605" y="485557"/>
          <a:ext cx="0" cy="8041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53.xml><?xml version="1.0" encoding="utf-8"?>
<xdr:wsDr xmlns:xdr="http://schemas.openxmlformats.org/drawingml/2006/spreadsheetDrawing" xmlns:a="http://schemas.openxmlformats.org/drawingml/2006/main">
  <xdr:twoCellAnchor>
    <xdr:from>
      <xdr:col>0</xdr:col>
      <xdr:colOff>0</xdr:colOff>
      <xdr:row>10</xdr:row>
      <xdr:rowOff>0</xdr:rowOff>
    </xdr:from>
    <xdr:to>
      <xdr:col>4</xdr:col>
      <xdr:colOff>0</xdr:colOff>
      <xdr:row>10</xdr:row>
      <xdr:rowOff>0</xdr:rowOff>
    </xdr:to>
    <xdr:graphicFrame macro="">
      <xdr:nvGraphicFramePr>
        <xdr:cNvPr id="2" name="Chart 4">
          <a:extLst>
            <a:ext uri="{FF2B5EF4-FFF2-40B4-BE49-F238E27FC236}">
              <a16:creationId xmlns:a16="http://schemas.microsoft.com/office/drawing/2014/main" id="{E6A94E16-F941-4198-8FE1-E25AA04CA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4</xdr:col>
      <xdr:colOff>0</xdr:colOff>
      <xdr:row>10</xdr:row>
      <xdr:rowOff>0</xdr:rowOff>
    </xdr:to>
    <xdr:graphicFrame macro="">
      <xdr:nvGraphicFramePr>
        <xdr:cNvPr id="3" name="Chart 6">
          <a:extLst>
            <a:ext uri="{FF2B5EF4-FFF2-40B4-BE49-F238E27FC236}">
              <a16:creationId xmlns:a16="http://schemas.microsoft.com/office/drawing/2014/main" id="{A9587B38-EF60-44D7-8D1A-674F07EEF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xdr:row>
      <xdr:rowOff>0</xdr:rowOff>
    </xdr:from>
    <xdr:to>
      <xdr:col>4</xdr:col>
      <xdr:colOff>0</xdr:colOff>
      <xdr:row>10</xdr:row>
      <xdr:rowOff>0</xdr:rowOff>
    </xdr:to>
    <xdr:graphicFrame macro="">
      <xdr:nvGraphicFramePr>
        <xdr:cNvPr id="4" name="Chart 7">
          <a:extLst>
            <a:ext uri="{FF2B5EF4-FFF2-40B4-BE49-F238E27FC236}">
              <a16:creationId xmlns:a16="http://schemas.microsoft.com/office/drawing/2014/main" id="{02BB1A65-6424-4773-90F9-242A4AE82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xdr:row>
      <xdr:rowOff>0</xdr:rowOff>
    </xdr:from>
    <xdr:to>
      <xdr:col>4</xdr:col>
      <xdr:colOff>0</xdr:colOff>
      <xdr:row>10</xdr:row>
      <xdr:rowOff>0</xdr:rowOff>
    </xdr:to>
    <xdr:graphicFrame macro="">
      <xdr:nvGraphicFramePr>
        <xdr:cNvPr id="5" name="Chart 5">
          <a:extLst>
            <a:ext uri="{FF2B5EF4-FFF2-40B4-BE49-F238E27FC236}">
              <a16:creationId xmlns:a16="http://schemas.microsoft.com/office/drawing/2014/main" id="{D4AF0F95-B4F4-42D5-B20E-C49278C05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4.xml><?xml version="1.0" encoding="utf-8"?>
<c:userShapes xmlns:c="http://schemas.openxmlformats.org/drawingml/2006/chart">
  <cdr:relSizeAnchor xmlns:cdr="http://schemas.openxmlformats.org/drawingml/2006/chartDrawing">
    <cdr:from>
      <cdr:x>0.52076</cdr:x>
      <cdr:y>0.65401</cdr:y>
    </cdr:from>
    <cdr:to>
      <cdr:x>0.52076</cdr:x>
      <cdr:y>0.76561</cdr:y>
    </cdr:to>
    <cdr:sp macro="" textlink="">
      <cdr:nvSpPr>
        <cdr:cNvPr id="67585" name="Line 1"/>
        <cdr:cNvSpPr>
          <a:spLocks xmlns:a="http://schemas.openxmlformats.org/drawingml/2006/main" noChangeShapeType="1"/>
        </cdr:cNvSpPr>
      </cdr:nvSpPr>
      <cdr:spPr bwMode="auto">
        <a:xfrm xmlns:a="http://schemas.openxmlformats.org/drawingml/2006/main" flipV="1">
          <a:off x="742246" y="482844"/>
          <a:ext cx="0" cy="81846"/>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55.xml><?xml version="1.0" encoding="utf-8"?>
<c:userShapes xmlns:c="http://schemas.openxmlformats.org/drawingml/2006/chart">
  <cdr:relSizeAnchor xmlns:cdr="http://schemas.openxmlformats.org/drawingml/2006/chartDrawing">
    <cdr:from>
      <cdr:x>0.49417</cdr:x>
      <cdr:y>0.45454</cdr:y>
    </cdr:from>
    <cdr:to>
      <cdr:x>0.49417</cdr:x>
      <cdr:y>0.54829</cdr:y>
    </cdr:to>
    <cdr:sp macro="" textlink="">
      <cdr:nvSpPr>
        <cdr:cNvPr id="68609" name="Line 1"/>
        <cdr:cNvSpPr>
          <a:spLocks xmlns:a="http://schemas.openxmlformats.org/drawingml/2006/main" noChangeShapeType="1"/>
        </cdr:cNvSpPr>
      </cdr:nvSpPr>
      <cdr:spPr bwMode="auto">
        <a:xfrm xmlns:a="http://schemas.openxmlformats.org/drawingml/2006/main" flipV="1">
          <a:off x="704513" y="336543"/>
          <a:ext cx="0" cy="6876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56.xml><?xml version="1.0" encoding="utf-8"?>
<c:userShapes xmlns:c="http://schemas.openxmlformats.org/drawingml/2006/chart">
  <cdr:relSizeAnchor xmlns:cdr="http://schemas.openxmlformats.org/drawingml/2006/chartDrawing">
    <cdr:from>
      <cdr:x>0.51819</cdr:x>
      <cdr:y>0.65771</cdr:y>
    </cdr:from>
    <cdr:to>
      <cdr:x>0.51819</cdr:x>
      <cdr:y>0.76735</cdr:y>
    </cdr:to>
    <cdr:sp macro="" textlink="">
      <cdr:nvSpPr>
        <cdr:cNvPr id="69633" name="Line 1"/>
        <cdr:cNvSpPr>
          <a:spLocks xmlns:a="http://schemas.openxmlformats.org/drawingml/2006/main" noChangeShapeType="1"/>
        </cdr:cNvSpPr>
      </cdr:nvSpPr>
      <cdr:spPr bwMode="auto">
        <a:xfrm xmlns:a="http://schemas.openxmlformats.org/drawingml/2006/main" flipV="1">
          <a:off x="738605" y="485557"/>
          <a:ext cx="0" cy="8041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57.xml><?xml version="1.0" encoding="utf-8"?>
<xdr:wsDr xmlns:xdr="http://schemas.openxmlformats.org/drawingml/2006/spreadsheetDrawing" xmlns:a="http://schemas.openxmlformats.org/drawingml/2006/main">
  <xdr:twoCellAnchor>
    <xdr:from>
      <xdr:col>0</xdr:col>
      <xdr:colOff>0</xdr:colOff>
      <xdr:row>10</xdr:row>
      <xdr:rowOff>0</xdr:rowOff>
    </xdr:from>
    <xdr:to>
      <xdr:col>4</xdr:col>
      <xdr:colOff>0</xdr:colOff>
      <xdr:row>10</xdr:row>
      <xdr:rowOff>0</xdr:rowOff>
    </xdr:to>
    <xdr:graphicFrame macro="">
      <xdr:nvGraphicFramePr>
        <xdr:cNvPr id="2" name="Chart 4">
          <a:extLst>
            <a:ext uri="{FF2B5EF4-FFF2-40B4-BE49-F238E27FC236}">
              <a16:creationId xmlns:a16="http://schemas.microsoft.com/office/drawing/2014/main" id="{2BF9B6C2-9822-40A5-8A8A-C4F862ED2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4</xdr:col>
      <xdr:colOff>0</xdr:colOff>
      <xdr:row>10</xdr:row>
      <xdr:rowOff>0</xdr:rowOff>
    </xdr:to>
    <xdr:graphicFrame macro="">
      <xdr:nvGraphicFramePr>
        <xdr:cNvPr id="3" name="Chart 6">
          <a:extLst>
            <a:ext uri="{FF2B5EF4-FFF2-40B4-BE49-F238E27FC236}">
              <a16:creationId xmlns:a16="http://schemas.microsoft.com/office/drawing/2014/main" id="{201B874C-E838-4091-B425-9D1C5E524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xdr:row>
      <xdr:rowOff>0</xdr:rowOff>
    </xdr:from>
    <xdr:to>
      <xdr:col>4</xdr:col>
      <xdr:colOff>0</xdr:colOff>
      <xdr:row>10</xdr:row>
      <xdr:rowOff>0</xdr:rowOff>
    </xdr:to>
    <xdr:graphicFrame macro="">
      <xdr:nvGraphicFramePr>
        <xdr:cNvPr id="4" name="Chart 7">
          <a:extLst>
            <a:ext uri="{FF2B5EF4-FFF2-40B4-BE49-F238E27FC236}">
              <a16:creationId xmlns:a16="http://schemas.microsoft.com/office/drawing/2014/main" id="{B0944EF4-94CF-4507-BBF0-7C23D60F1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xdr:row>
      <xdr:rowOff>0</xdr:rowOff>
    </xdr:from>
    <xdr:to>
      <xdr:col>4</xdr:col>
      <xdr:colOff>0</xdr:colOff>
      <xdr:row>10</xdr:row>
      <xdr:rowOff>0</xdr:rowOff>
    </xdr:to>
    <xdr:graphicFrame macro="">
      <xdr:nvGraphicFramePr>
        <xdr:cNvPr id="5" name="Chart 5">
          <a:extLst>
            <a:ext uri="{FF2B5EF4-FFF2-40B4-BE49-F238E27FC236}">
              <a16:creationId xmlns:a16="http://schemas.microsoft.com/office/drawing/2014/main" id="{047D70C3-656A-4ADF-8001-29121FDAC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8.xml><?xml version="1.0" encoding="utf-8"?>
<c:userShapes xmlns:c="http://schemas.openxmlformats.org/drawingml/2006/chart">
  <cdr:relSizeAnchor xmlns:cdr="http://schemas.openxmlformats.org/drawingml/2006/chartDrawing">
    <cdr:from>
      <cdr:x>0.52076</cdr:x>
      <cdr:y>0.65401</cdr:y>
    </cdr:from>
    <cdr:to>
      <cdr:x>0.52076</cdr:x>
      <cdr:y>0.76561</cdr:y>
    </cdr:to>
    <cdr:sp macro="" textlink="">
      <cdr:nvSpPr>
        <cdr:cNvPr id="67585" name="Line 1"/>
        <cdr:cNvSpPr>
          <a:spLocks xmlns:a="http://schemas.openxmlformats.org/drawingml/2006/main" noChangeShapeType="1"/>
        </cdr:cNvSpPr>
      </cdr:nvSpPr>
      <cdr:spPr bwMode="auto">
        <a:xfrm xmlns:a="http://schemas.openxmlformats.org/drawingml/2006/main" flipV="1">
          <a:off x="742246" y="482844"/>
          <a:ext cx="0" cy="81846"/>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59.xml><?xml version="1.0" encoding="utf-8"?>
<c:userShapes xmlns:c="http://schemas.openxmlformats.org/drawingml/2006/chart">
  <cdr:relSizeAnchor xmlns:cdr="http://schemas.openxmlformats.org/drawingml/2006/chartDrawing">
    <cdr:from>
      <cdr:x>0.49417</cdr:x>
      <cdr:y>0.45454</cdr:y>
    </cdr:from>
    <cdr:to>
      <cdr:x>0.49417</cdr:x>
      <cdr:y>0.54829</cdr:y>
    </cdr:to>
    <cdr:sp macro="" textlink="">
      <cdr:nvSpPr>
        <cdr:cNvPr id="68609" name="Line 1"/>
        <cdr:cNvSpPr>
          <a:spLocks xmlns:a="http://schemas.openxmlformats.org/drawingml/2006/main" noChangeShapeType="1"/>
        </cdr:cNvSpPr>
      </cdr:nvSpPr>
      <cdr:spPr bwMode="auto">
        <a:xfrm xmlns:a="http://schemas.openxmlformats.org/drawingml/2006/main" flipV="1">
          <a:off x="704513" y="336543"/>
          <a:ext cx="0" cy="6876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6.xml><?xml version="1.0" encoding="utf-8"?>
<c:userShapes xmlns:c="http://schemas.openxmlformats.org/drawingml/2006/chart">
  <cdr:relSizeAnchor xmlns:cdr="http://schemas.openxmlformats.org/drawingml/2006/chartDrawing">
    <cdr:from>
      <cdr:x>0.52076</cdr:x>
      <cdr:y>0.65401</cdr:y>
    </cdr:from>
    <cdr:to>
      <cdr:x>0.52076</cdr:x>
      <cdr:y>0.76561</cdr:y>
    </cdr:to>
    <cdr:sp macro="" textlink="">
      <cdr:nvSpPr>
        <cdr:cNvPr id="67585" name="Line 1"/>
        <cdr:cNvSpPr>
          <a:spLocks xmlns:a="http://schemas.openxmlformats.org/drawingml/2006/main" noChangeShapeType="1"/>
        </cdr:cNvSpPr>
      </cdr:nvSpPr>
      <cdr:spPr bwMode="auto">
        <a:xfrm xmlns:a="http://schemas.openxmlformats.org/drawingml/2006/main" flipV="1">
          <a:off x="742246" y="482844"/>
          <a:ext cx="0" cy="81846"/>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60.xml><?xml version="1.0" encoding="utf-8"?>
<c:userShapes xmlns:c="http://schemas.openxmlformats.org/drawingml/2006/chart">
  <cdr:relSizeAnchor xmlns:cdr="http://schemas.openxmlformats.org/drawingml/2006/chartDrawing">
    <cdr:from>
      <cdr:x>0.51819</cdr:x>
      <cdr:y>0.65771</cdr:y>
    </cdr:from>
    <cdr:to>
      <cdr:x>0.51819</cdr:x>
      <cdr:y>0.76735</cdr:y>
    </cdr:to>
    <cdr:sp macro="" textlink="">
      <cdr:nvSpPr>
        <cdr:cNvPr id="69633" name="Line 1"/>
        <cdr:cNvSpPr>
          <a:spLocks xmlns:a="http://schemas.openxmlformats.org/drawingml/2006/main" noChangeShapeType="1"/>
        </cdr:cNvSpPr>
      </cdr:nvSpPr>
      <cdr:spPr bwMode="auto">
        <a:xfrm xmlns:a="http://schemas.openxmlformats.org/drawingml/2006/main" flipV="1">
          <a:off x="738605" y="485557"/>
          <a:ext cx="0" cy="8041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61.xml><?xml version="1.0" encoding="utf-8"?>
<xdr:wsDr xmlns:xdr="http://schemas.openxmlformats.org/drawingml/2006/spreadsheetDrawing" xmlns:a="http://schemas.openxmlformats.org/drawingml/2006/main">
  <xdr:twoCellAnchor>
    <xdr:from>
      <xdr:col>0</xdr:col>
      <xdr:colOff>0</xdr:colOff>
      <xdr:row>11</xdr:row>
      <xdr:rowOff>0</xdr:rowOff>
    </xdr:from>
    <xdr:to>
      <xdr:col>4</xdr:col>
      <xdr:colOff>0</xdr:colOff>
      <xdr:row>11</xdr:row>
      <xdr:rowOff>0</xdr:rowOff>
    </xdr:to>
    <xdr:graphicFrame macro="">
      <xdr:nvGraphicFramePr>
        <xdr:cNvPr id="2" name="Chart 4">
          <a:extLst>
            <a:ext uri="{FF2B5EF4-FFF2-40B4-BE49-F238E27FC236}">
              <a16:creationId xmlns:a16="http://schemas.microsoft.com/office/drawing/2014/main" id="{27CFA420-77AE-4987-A8CA-A4D06910D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0</xdr:colOff>
      <xdr:row>11</xdr:row>
      <xdr:rowOff>0</xdr:rowOff>
    </xdr:to>
    <xdr:graphicFrame macro="">
      <xdr:nvGraphicFramePr>
        <xdr:cNvPr id="3" name="Chart 6">
          <a:extLst>
            <a:ext uri="{FF2B5EF4-FFF2-40B4-BE49-F238E27FC236}">
              <a16:creationId xmlns:a16="http://schemas.microsoft.com/office/drawing/2014/main" id="{E2B50EEB-4D7D-4600-A32C-F079786F1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11</xdr:row>
      <xdr:rowOff>0</xdr:rowOff>
    </xdr:from>
    <xdr:to>
      <xdr:col>4</xdr:col>
      <xdr:colOff>0</xdr:colOff>
      <xdr:row>11</xdr:row>
      <xdr:rowOff>0</xdr:rowOff>
    </xdr:to>
    <xdr:graphicFrame macro="">
      <xdr:nvGraphicFramePr>
        <xdr:cNvPr id="4" name="Chart 7">
          <a:extLst>
            <a:ext uri="{FF2B5EF4-FFF2-40B4-BE49-F238E27FC236}">
              <a16:creationId xmlns:a16="http://schemas.microsoft.com/office/drawing/2014/main" id="{2CED6951-8089-4282-980E-0590A81BC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11</xdr:row>
      <xdr:rowOff>0</xdr:rowOff>
    </xdr:from>
    <xdr:to>
      <xdr:col>4</xdr:col>
      <xdr:colOff>0</xdr:colOff>
      <xdr:row>11</xdr:row>
      <xdr:rowOff>0</xdr:rowOff>
    </xdr:to>
    <xdr:graphicFrame macro="">
      <xdr:nvGraphicFramePr>
        <xdr:cNvPr id="5" name="Chart 5">
          <a:extLst>
            <a:ext uri="{FF2B5EF4-FFF2-40B4-BE49-F238E27FC236}">
              <a16:creationId xmlns:a16="http://schemas.microsoft.com/office/drawing/2014/main" id="{7FF38230-CCA0-4D11-8C67-6EBAB002E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386603</xdr:colOff>
      <xdr:row>41</xdr:row>
      <xdr:rowOff>68356</xdr:rowOff>
    </xdr:from>
    <xdr:to>
      <xdr:col>10</xdr:col>
      <xdr:colOff>857250</xdr:colOff>
      <xdr:row>58</xdr:row>
      <xdr:rowOff>144556</xdr:rowOff>
    </xdr:to>
    <xdr:graphicFrame macro="">
      <xdr:nvGraphicFramePr>
        <xdr:cNvPr id="6" name="Chart 5">
          <a:extLst>
            <a:ext uri="{FF2B5EF4-FFF2-40B4-BE49-F238E27FC236}">
              <a16:creationId xmlns:a16="http://schemas.microsoft.com/office/drawing/2014/main" id="{6462545B-E06F-464F-8B0E-35C1ED2842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2.xml><?xml version="1.0" encoding="utf-8"?>
<c:userShapes xmlns:c="http://schemas.openxmlformats.org/drawingml/2006/chart">
  <cdr:relSizeAnchor xmlns:cdr="http://schemas.openxmlformats.org/drawingml/2006/chartDrawing">
    <cdr:from>
      <cdr:x>0.52076</cdr:x>
      <cdr:y>0.65401</cdr:y>
    </cdr:from>
    <cdr:to>
      <cdr:x>0.52076</cdr:x>
      <cdr:y>0.76561</cdr:y>
    </cdr:to>
    <cdr:sp macro="" textlink="">
      <cdr:nvSpPr>
        <cdr:cNvPr id="67585" name="Line 1"/>
        <cdr:cNvSpPr>
          <a:spLocks xmlns:a="http://schemas.openxmlformats.org/drawingml/2006/main" noChangeShapeType="1"/>
        </cdr:cNvSpPr>
      </cdr:nvSpPr>
      <cdr:spPr bwMode="auto">
        <a:xfrm xmlns:a="http://schemas.openxmlformats.org/drawingml/2006/main" flipV="1">
          <a:off x="742246" y="482844"/>
          <a:ext cx="0" cy="81846"/>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63.xml><?xml version="1.0" encoding="utf-8"?>
<c:userShapes xmlns:c="http://schemas.openxmlformats.org/drawingml/2006/chart">
  <cdr:relSizeAnchor xmlns:cdr="http://schemas.openxmlformats.org/drawingml/2006/chartDrawing">
    <cdr:from>
      <cdr:x>0.49417</cdr:x>
      <cdr:y>0.45454</cdr:y>
    </cdr:from>
    <cdr:to>
      <cdr:x>0.49417</cdr:x>
      <cdr:y>0.54829</cdr:y>
    </cdr:to>
    <cdr:sp macro="" textlink="">
      <cdr:nvSpPr>
        <cdr:cNvPr id="68609" name="Line 1"/>
        <cdr:cNvSpPr>
          <a:spLocks xmlns:a="http://schemas.openxmlformats.org/drawingml/2006/main" noChangeShapeType="1"/>
        </cdr:cNvSpPr>
      </cdr:nvSpPr>
      <cdr:spPr bwMode="auto">
        <a:xfrm xmlns:a="http://schemas.openxmlformats.org/drawingml/2006/main" flipV="1">
          <a:off x="704513" y="336543"/>
          <a:ext cx="0" cy="6876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64.xml><?xml version="1.0" encoding="utf-8"?>
<c:userShapes xmlns:c="http://schemas.openxmlformats.org/drawingml/2006/chart">
  <cdr:relSizeAnchor xmlns:cdr="http://schemas.openxmlformats.org/drawingml/2006/chartDrawing">
    <cdr:from>
      <cdr:x>0.51819</cdr:x>
      <cdr:y>0.65771</cdr:y>
    </cdr:from>
    <cdr:to>
      <cdr:x>0.51819</cdr:x>
      <cdr:y>0.76735</cdr:y>
    </cdr:to>
    <cdr:sp macro="" textlink="">
      <cdr:nvSpPr>
        <cdr:cNvPr id="69633" name="Line 1"/>
        <cdr:cNvSpPr>
          <a:spLocks xmlns:a="http://schemas.openxmlformats.org/drawingml/2006/main" noChangeShapeType="1"/>
        </cdr:cNvSpPr>
      </cdr:nvSpPr>
      <cdr:spPr bwMode="auto">
        <a:xfrm xmlns:a="http://schemas.openxmlformats.org/drawingml/2006/main" flipV="1">
          <a:off x="738605" y="485557"/>
          <a:ext cx="0" cy="8041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65.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0</xdr:colOff>
      <xdr:row>14</xdr:row>
      <xdr:rowOff>0</xdr:rowOff>
    </xdr:to>
    <xdr:graphicFrame macro="">
      <xdr:nvGraphicFramePr>
        <xdr:cNvPr id="2" name="Chart 4">
          <a:extLst>
            <a:ext uri="{FF2B5EF4-FFF2-40B4-BE49-F238E27FC236}">
              <a16:creationId xmlns:a16="http://schemas.microsoft.com/office/drawing/2014/main" id="{2262C2A3-3ABB-472E-8F50-116C4329A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0</xdr:rowOff>
    </xdr:from>
    <xdr:to>
      <xdr:col>4</xdr:col>
      <xdr:colOff>0</xdr:colOff>
      <xdr:row>14</xdr:row>
      <xdr:rowOff>0</xdr:rowOff>
    </xdr:to>
    <xdr:graphicFrame macro="">
      <xdr:nvGraphicFramePr>
        <xdr:cNvPr id="3" name="Chart 6">
          <a:extLst>
            <a:ext uri="{FF2B5EF4-FFF2-40B4-BE49-F238E27FC236}">
              <a16:creationId xmlns:a16="http://schemas.microsoft.com/office/drawing/2014/main" id="{09855099-4054-4E77-8646-1CAFBB47B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0</xdr:rowOff>
    </xdr:from>
    <xdr:to>
      <xdr:col>4</xdr:col>
      <xdr:colOff>0</xdr:colOff>
      <xdr:row>14</xdr:row>
      <xdr:rowOff>0</xdr:rowOff>
    </xdr:to>
    <xdr:graphicFrame macro="">
      <xdr:nvGraphicFramePr>
        <xdr:cNvPr id="4" name="Chart 7">
          <a:extLst>
            <a:ext uri="{FF2B5EF4-FFF2-40B4-BE49-F238E27FC236}">
              <a16:creationId xmlns:a16="http://schemas.microsoft.com/office/drawing/2014/main" id="{CD5BD952-D062-468E-8927-BC8FA5FFD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14</xdr:row>
      <xdr:rowOff>0</xdr:rowOff>
    </xdr:from>
    <xdr:to>
      <xdr:col>4</xdr:col>
      <xdr:colOff>0</xdr:colOff>
      <xdr:row>14</xdr:row>
      <xdr:rowOff>0</xdr:rowOff>
    </xdr:to>
    <xdr:graphicFrame macro="">
      <xdr:nvGraphicFramePr>
        <xdr:cNvPr id="5" name="Chart 5">
          <a:extLst>
            <a:ext uri="{FF2B5EF4-FFF2-40B4-BE49-F238E27FC236}">
              <a16:creationId xmlns:a16="http://schemas.microsoft.com/office/drawing/2014/main" id="{D4EE7437-7834-42C3-B924-DA7FF028D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319268</xdr:colOff>
      <xdr:row>5</xdr:row>
      <xdr:rowOff>56029</xdr:rowOff>
    </xdr:from>
    <xdr:to>
      <xdr:col>34</xdr:col>
      <xdr:colOff>598049</xdr:colOff>
      <xdr:row>18</xdr:row>
      <xdr:rowOff>76137</xdr:rowOff>
    </xdr:to>
    <xdr:graphicFrame macro="">
      <xdr:nvGraphicFramePr>
        <xdr:cNvPr id="6" name="Chart 5">
          <a:extLst>
            <a:ext uri="{FF2B5EF4-FFF2-40B4-BE49-F238E27FC236}">
              <a16:creationId xmlns:a16="http://schemas.microsoft.com/office/drawing/2014/main" id="{5F407E6B-3995-4834-9C02-166386BFA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274542</xdr:colOff>
      <xdr:row>20</xdr:row>
      <xdr:rowOff>45944</xdr:rowOff>
    </xdr:from>
    <xdr:to>
      <xdr:col>36</xdr:col>
      <xdr:colOff>470647</xdr:colOff>
      <xdr:row>37</xdr:row>
      <xdr:rowOff>122144</xdr:rowOff>
    </xdr:to>
    <xdr:graphicFrame macro="">
      <xdr:nvGraphicFramePr>
        <xdr:cNvPr id="7" name="Chart 6">
          <a:extLst>
            <a:ext uri="{FF2B5EF4-FFF2-40B4-BE49-F238E27FC236}">
              <a16:creationId xmlns:a16="http://schemas.microsoft.com/office/drawing/2014/main" id="{B30C3F40-127B-4F71-95CA-55091DC8E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6.xml><?xml version="1.0" encoding="utf-8"?>
<c:userShapes xmlns:c="http://schemas.openxmlformats.org/drawingml/2006/chart">
  <cdr:relSizeAnchor xmlns:cdr="http://schemas.openxmlformats.org/drawingml/2006/chartDrawing">
    <cdr:from>
      <cdr:x>0.52076</cdr:x>
      <cdr:y>0.65401</cdr:y>
    </cdr:from>
    <cdr:to>
      <cdr:x>0.52076</cdr:x>
      <cdr:y>0.76561</cdr:y>
    </cdr:to>
    <cdr:sp macro="" textlink="">
      <cdr:nvSpPr>
        <cdr:cNvPr id="67585" name="Line 1"/>
        <cdr:cNvSpPr>
          <a:spLocks xmlns:a="http://schemas.openxmlformats.org/drawingml/2006/main" noChangeShapeType="1"/>
        </cdr:cNvSpPr>
      </cdr:nvSpPr>
      <cdr:spPr bwMode="auto">
        <a:xfrm xmlns:a="http://schemas.openxmlformats.org/drawingml/2006/main" flipV="1">
          <a:off x="742246" y="482844"/>
          <a:ext cx="0" cy="81846"/>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67.xml><?xml version="1.0" encoding="utf-8"?>
<c:userShapes xmlns:c="http://schemas.openxmlformats.org/drawingml/2006/chart">
  <cdr:relSizeAnchor xmlns:cdr="http://schemas.openxmlformats.org/drawingml/2006/chartDrawing">
    <cdr:from>
      <cdr:x>0.49417</cdr:x>
      <cdr:y>0.45454</cdr:y>
    </cdr:from>
    <cdr:to>
      <cdr:x>0.49417</cdr:x>
      <cdr:y>0.54829</cdr:y>
    </cdr:to>
    <cdr:sp macro="" textlink="">
      <cdr:nvSpPr>
        <cdr:cNvPr id="68609" name="Line 1"/>
        <cdr:cNvSpPr>
          <a:spLocks xmlns:a="http://schemas.openxmlformats.org/drawingml/2006/main" noChangeShapeType="1"/>
        </cdr:cNvSpPr>
      </cdr:nvSpPr>
      <cdr:spPr bwMode="auto">
        <a:xfrm xmlns:a="http://schemas.openxmlformats.org/drawingml/2006/main" flipV="1">
          <a:off x="704513" y="336543"/>
          <a:ext cx="0" cy="6876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68.xml><?xml version="1.0" encoding="utf-8"?>
<c:userShapes xmlns:c="http://schemas.openxmlformats.org/drawingml/2006/chart">
  <cdr:relSizeAnchor xmlns:cdr="http://schemas.openxmlformats.org/drawingml/2006/chartDrawing">
    <cdr:from>
      <cdr:x>0.51819</cdr:x>
      <cdr:y>0.65771</cdr:y>
    </cdr:from>
    <cdr:to>
      <cdr:x>0.51819</cdr:x>
      <cdr:y>0.76735</cdr:y>
    </cdr:to>
    <cdr:sp macro="" textlink="">
      <cdr:nvSpPr>
        <cdr:cNvPr id="69633" name="Line 1"/>
        <cdr:cNvSpPr>
          <a:spLocks xmlns:a="http://schemas.openxmlformats.org/drawingml/2006/main" noChangeShapeType="1"/>
        </cdr:cNvSpPr>
      </cdr:nvSpPr>
      <cdr:spPr bwMode="auto">
        <a:xfrm xmlns:a="http://schemas.openxmlformats.org/drawingml/2006/main" flipV="1">
          <a:off x="738605" y="485557"/>
          <a:ext cx="0" cy="8041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69.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0</xdr:colOff>
      <xdr:row>14</xdr:row>
      <xdr:rowOff>0</xdr:rowOff>
    </xdr:to>
    <xdr:graphicFrame macro="">
      <xdr:nvGraphicFramePr>
        <xdr:cNvPr id="2" name="Chart 4">
          <a:extLst>
            <a:ext uri="{FF2B5EF4-FFF2-40B4-BE49-F238E27FC236}">
              <a16:creationId xmlns:a16="http://schemas.microsoft.com/office/drawing/2014/main" id="{1E232CD1-0CB4-4F91-A154-2449CA836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0</xdr:rowOff>
    </xdr:from>
    <xdr:to>
      <xdr:col>4</xdr:col>
      <xdr:colOff>0</xdr:colOff>
      <xdr:row>14</xdr:row>
      <xdr:rowOff>0</xdr:rowOff>
    </xdr:to>
    <xdr:graphicFrame macro="">
      <xdr:nvGraphicFramePr>
        <xdr:cNvPr id="3" name="Chart 6">
          <a:extLst>
            <a:ext uri="{FF2B5EF4-FFF2-40B4-BE49-F238E27FC236}">
              <a16:creationId xmlns:a16="http://schemas.microsoft.com/office/drawing/2014/main" id="{88449355-B29F-4AD1-8170-A031EDDE5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0</xdr:rowOff>
    </xdr:from>
    <xdr:to>
      <xdr:col>4</xdr:col>
      <xdr:colOff>0</xdr:colOff>
      <xdr:row>14</xdr:row>
      <xdr:rowOff>0</xdr:rowOff>
    </xdr:to>
    <xdr:graphicFrame macro="">
      <xdr:nvGraphicFramePr>
        <xdr:cNvPr id="4" name="Chart 7">
          <a:extLst>
            <a:ext uri="{FF2B5EF4-FFF2-40B4-BE49-F238E27FC236}">
              <a16:creationId xmlns:a16="http://schemas.microsoft.com/office/drawing/2014/main" id="{AC32D80D-85F1-4399-B15E-6CEE607F8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14</xdr:row>
      <xdr:rowOff>0</xdr:rowOff>
    </xdr:from>
    <xdr:to>
      <xdr:col>4</xdr:col>
      <xdr:colOff>0</xdr:colOff>
      <xdr:row>14</xdr:row>
      <xdr:rowOff>0</xdr:rowOff>
    </xdr:to>
    <xdr:graphicFrame macro="">
      <xdr:nvGraphicFramePr>
        <xdr:cNvPr id="5" name="Chart 5">
          <a:extLst>
            <a:ext uri="{FF2B5EF4-FFF2-40B4-BE49-F238E27FC236}">
              <a16:creationId xmlns:a16="http://schemas.microsoft.com/office/drawing/2014/main" id="{4F842F3B-2E06-42A5-9B21-2E83BA8BB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319268</xdr:colOff>
      <xdr:row>5</xdr:row>
      <xdr:rowOff>56029</xdr:rowOff>
    </xdr:from>
    <xdr:to>
      <xdr:col>34</xdr:col>
      <xdr:colOff>598049</xdr:colOff>
      <xdr:row>19</xdr:row>
      <xdr:rowOff>76137</xdr:rowOff>
    </xdr:to>
    <xdr:graphicFrame macro="">
      <xdr:nvGraphicFramePr>
        <xdr:cNvPr id="6" name="Chart 5">
          <a:extLst>
            <a:ext uri="{FF2B5EF4-FFF2-40B4-BE49-F238E27FC236}">
              <a16:creationId xmlns:a16="http://schemas.microsoft.com/office/drawing/2014/main" id="{6C555905-732F-42A2-A07D-AC0943349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274542</xdr:colOff>
      <xdr:row>21</xdr:row>
      <xdr:rowOff>45944</xdr:rowOff>
    </xdr:from>
    <xdr:to>
      <xdr:col>36</xdr:col>
      <xdr:colOff>470647</xdr:colOff>
      <xdr:row>38</xdr:row>
      <xdr:rowOff>122144</xdr:rowOff>
    </xdr:to>
    <xdr:graphicFrame macro="">
      <xdr:nvGraphicFramePr>
        <xdr:cNvPr id="7" name="Chart 6">
          <a:extLst>
            <a:ext uri="{FF2B5EF4-FFF2-40B4-BE49-F238E27FC236}">
              <a16:creationId xmlns:a16="http://schemas.microsoft.com/office/drawing/2014/main" id="{1E51A799-7CDB-4BB6-AEAA-87734B046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0.49417</cdr:x>
      <cdr:y>0.45454</cdr:y>
    </cdr:from>
    <cdr:to>
      <cdr:x>0.49417</cdr:x>
      <cdr:y>0.54829</cdr:y>
    </cdr:to>
    <cdr:sp macro="" textlink="">
      <cdr:nvSpPr>
        <cdr:cNvPr id="68609" name="Line 1"/>
        <cdr:cNvSpPr>
          <a:spLocks xmlns:a="http://schemas.openxmlformats.org/drawingml/2006/main" noChangeShapeType="1"/>
        </cdr:cNvSpPr>
      </cdr:nvSpPr>
      <cdr:spPr bwMode="auto">
        <a:xfrm xmlns:a="http://schemas.openxmlformats.org/drawingml/2006/main" flipV="1">
          <a:off x="704513" y="336543"/>
          <a:ext cx="0" cy="6876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70.xml><?xml version="1.0" encoding="utf-8"?>
<c:userShapes xmlns:c="http://schemas.openxmlformats.org/drawingml/2006/chart">
  <cdr:relSizeAnchor xmlns:cdr="http://schemas.openxmlformats.org/drawingml/2006/chartDrawing">
    <cdr:from>
      <cdr:x>0.52076</cdr:x>
      <cdr:y>0.65401</cdr:y>
    </cdr:from>
    <cdr:to>
      <cdr:x>0.52076</cdr:x>
      <cdr:y>0.76561</cdr:y>
    </cdr:to>
    <cdr:sp macro="" textlink="">
      <cdr:nvSpPr>
        <cdr:cNvPr id="67585" name="Line 1"/>
        <cdr:cNvSpPr>
          <a:spLocks xmlns:a="http://schemas.openxmlformats.org/drawingml/2006/main" noChangeShapeType="1"/>
        </cdr:cNvSpPr>
      </cdr:nvSpPr>
      <cdr:spPr bwMode="auto">
        <a:xfrm xmlns:a="http://schemas.openxmlformats.org/drawingml/2006/main" flipV="1">
          <a:off x="742246" y="482844"/>
          <a:ext cx="0" cy="81846"/>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71.xml><?xml version="1.0" encoding="utf-8"?>
<c:userShapes xmlns:c="http://schemas.openxmlformats.org/drawingml/2006/chart">
  <cdr:relSizeAnchor xmlns:cdr="http://schemas.openxmlformats.org/drawingml/2006/chartDrawing">
    <cdr:from>
      <cdr:x>0.49417</cdr:x>
      <cdr:y>0.45454</cdr:y>
    </cdr:from>
    <cdr:to>
      <cdr:x>0.49417</cdr:x>
      <cdr:y>0.54829</cdr:y>
    </cdr:to>
    <cdr:sp macro="" textlink="">
      <cdr:nvSpPr>
        <cdr:cNvPr id="68609" name="Line 1"/>
        <cdr:cNvSpPr>
          <a:spLocks xmlns:a="http://schemas.openxmlformats.org/drawingml/2006/main" noChangeShapeType="1"/>
        </cdr:cNvSpPr>
      </cdr:nvSpPr>
      <cdr:spPr bwMode="auto">
        <a:xfrm xmlns:a="http://schemas.openxmlformats.org/drawingml/2006/main" flipV="1">
          <a:off x="704513" y="336543"/>
          <a:ext cx="0" cy="6876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72.xml><?xml version="1.0" encoding="utf-8"?>
<c:userShapes xmlns:c="http://schemas.openxmlformats.org/drawingml/2006/chart">
  <cdr:relSizeAnchor xmlns:cdr="http://schemas.openxmlformats.org/drawingml/2006/chartDrawing">
    <cdr:from>
      <cdr:x>0.51819</cdr:x>
      <cdr:y>0.65771</cdr:y>
    </cdr:from>
    <cdr:to>
      <cdr:x>0.51819</cdr:x>
      <cdr:y>0.76735</cdr:y>
    </cdr:to>
    <cdr:sp macro="" textlink="">
      <cdr:nvSpPr>
        <cdr:cNvPr id="69633" name="Line 1"/>
        <cdr:cNvSpPr>
          <a:spLocks xmlns:a="http://schemas.openxmlformats.org/drawingml/2006/main" noChangeShapeType="1"/>
        </cdr:cNvSpPr>
      </cdr:nvSpPr>
      <cdr:spPr bwMode="auto">
        <a:xfrm xmlns:a="http://schemas.openxmlformats.org/drawingml/2006/main" flipV="1">
          <a:off x="738605" y="485557"/>
          <a:ext cx="0" cy="8041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73.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0</xdr:colOff>
      <xdr:row>14</xdr:row>
      <xdr:rowOff>0</xdr:rowOff>
    </xdr:to>
    <xdr:graphicFrame macro="">
      <xdr:nvGraphicFramePr>
        <xdr:cNvPr id="2" name="Chart 4">
          <a:extLst>
            <a:ext uri="{FF2B5EF4-FFF2-40B4-BE49-F238E27FC236}">
              <a16:creationId xmlns:a16="http://schemas.microsoft.com/office/drawing/2014/main" id="{3CFB8538-D710-474B-992A-DEF58D51F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0</xdr:rowOff>
    </xdr:from>
    <xdr:to>
      <xdr:col>4</xdr:col>
      <xdr:colOff>0</xdr:colOff>
      <xdr:row>14</xdr:row>
      <xdr:rowOff>0</xdr:rowOff>
    </xdr:to>
    <xdr:graphicFrame macro="">
      <xdr:nvGraphicFramePr>
        <xdr:cNvPr id="3" name="Chart 6">
          <a:extLst>
            <a:ext uri="{FF2B5EF4-FFF2-40B4-BE49-F238E27FC236}">
              <a16:creationId xmlns:a16="http://schemas.microsoft.com/office/drawing/2014/main" id="{CB87E545-F71A-4111-B376-D6709102F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0</xdr:rowOff>
    </xdr:from>
    <xdr:to>
      <xdr:col>4</xdr:col>
      <xdr:colOff>0</xdr:colOff>
      <xdr:row>14</xdr:row>
      <xdr:rowOff>0</xdr:rowOff>
    </xdr:to>
    <xdr:graphicFrame macro="">
      <xdr:nvGraphicFramePr>
        <xdr:cNvPr id="4" name="Chart 7">
          <a:extLst>
            <a:ext uri="{FF2B5EF4-FFF2-40B4-BE49-F238E27FC236}">
              <a16:creationId xmlns:a16="http://schemas.microsoft.com/office/drawing/2014/main" id="{CDD80CA1-6A86-478C-AE3F-23F9907C4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14</xdr:row>
      <xdr:rowOff>0</xdr:rowOff>
    </xdr:from>
    <xdr:to>
      <xdr:col>4</xdr:col>
      <xdr:colOff>0</xdr:colOff>
      <xdr:row>14</xdr:row>
      <xdr:rowOff>0</xdr:rowOff>
    </xdr:to>
    <xdr:graphicFrame macro="">
      <xdr:nvGraphicFramePr>
        <xdr:cNvPr id="5" name="Chart 5">
          <a:extLst>
            <a:ext uri="{FF2B5EF4-FFF2-40B4-BE49-F238E27FC236}">
              <a16:creationId xmlns:a16="http://schemas.microsoft.com/office/drawing/2014/main" id="{BB5F37AD-AEF6-46AA-AE5C-92C5A1CF8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83944</xdr:colOff>
      <xdr:row>4</xdr:row>
      <xdr:rowOff>44824</xdr:rowOff>
    </xdr:from>
    <xdr:to>
      <xdr:col>26</xdr:col>
      <xdr:colOff>575637</xdr:colOff>
      <xdr:row>18</xdr:row>
      <xdr:rowOff>64932</xdr:rowOff>
    </xdr:to>
    <xdr:graphicFrame macro="">
      <xdr:nvGraphicFramePr>
        <xdr:cNvPr id="6" name="Chart 5">
          <a:extLst>
            <a:ext uri="{FF2B5EF4-FFF2-40B4-BE49-F238E27FC236}">
              <a16:creationId xmlns:a16="http://schemas.microsoft.com/office/drawing/2014/main" id="{17FE470D-E214-4C75-87F3-2EA40B8AE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274542</xdr:colOff>
      <xdr:row>21</xdr:row>
      <xdr:rowOff>45944</xdr:rowOff>
    </xdr:from>
    <xdr:to>
      <xdr:col>36</xdr:col>
      <xdr:colOff>470647</xdr:colOff>
      <xdr:row>38</xdr:row>
      <xdr:rowOff>122144</xdr:rowOff>
    </xdr:to>
    <xdr:graphicFrame macro="">
      <xdr:nvGraphicFramePr>
        <xdr:cNvPr id="7" name="Chart 6">
          <a:extLst>
            <a:ext uri="{FF2B5EF4-FFF2-40B4-BE49-F238E27FC236}">
              <a16:creationId xmlns:a16="http://schemas.microsoft.com/office/drawing/2014/main" id="{2966B573-A797-4234-8230-97C4ABA62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4.xml><?xml version="1.0" encoding="utf-8"?>
<c:userShapes xmlns:c="http://schemas.openxmlformats.org/drawingml/2006/chart">
  <cdr:relSizeAnchor xmlns:cdr="http://schemas.openxmlformats.org/drawingml/2006/chartDrawing">
    <cdr:from>
      <cdr:x>0.52076</cdr:x>
      <cdr:y>0.65401</cdr:y>
    </cdr:from>
    <cdr:to>
      <cdr:x>0.52076</cdr:x>
      <cdr:y>0.76561</cdr:y>
    </cdr:to>
    <cdr:sp macro="" textlink="">
      <cdr:nvSpPr>
        <cdr:cNvPr id="67585" name="Line 1"/>
        <cdr:cNvSpPr>
          <a:spLocks xmlns:a="http://schemas.openxmlformats.org/drawingml/2006/main" noChangeShapeType="1"/>
        </cdr:cNvSpPr>
      </cdr:nvSpPr>
      <cdr:spPr bwMode="auto">
        <a:xfrm xmlns:a="http://schemas.openxmlformats.org/drawingml/2006/main" flipV="1">
          <a:off x="742246" y="482844"/>
          <a:ext cx="0" cy="81846"/>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75.xml><?xml version="1.0" encoding="utf-8"?>
<c:userShapes xmlns:c="http://schemas.openxmlformats.org/drawingml/2006/chart">
  <cdr:relSizeAnchor xmlns:cdr="http://schemas.openxmlformats.org/drawingml/2006/chartDrawing">
    <cdr:from>
      <cdr:x>0.49417</cdr:x>
      <cdr:y>0.45454</cdr:y>
    </cdr:from>
    <cdr:to>
      <cdr:x>0.49417</cdr:x>
      <cdr:y>0.54829</cdr:y>
    </cdr:to>
    <cdr:sp macro="" textlink="">
      <cdr:nvSpPr>
        <cdr:cNvPr id="68609" name="Line 1"/>
        <cdr:cNvSpPr>
          <a:spLocks xmlns:a="http://schemas.openxmlformats.org/drawingml/2006/main" noChangeShapeType="1"/>
        </cdr:cNvSpPr>
      </cdr:nvSpPr>
      <cdr:spPr bwMode="auto">
        <a:xfrm xmlns:a="http://schemas.openxmlformats.org/drawingml/2006/main" flipV="1">
          <a:off x="704513" y="336543"/>
          <a:ext cx="0" cy="6876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76.xml><?xml version="1.0" encoding="utf-8"?>
<c:userShapes xmlns:c="http://schemas.openxmlformats.org/drawingml/2006/chart">
  <cdr:relSizeAnchor xmlns:cdr="http://schemas.openxmlformats.org/drawingml/2006/chartDrawing">
    <cdr:from>
      <cdr:x>0.51819</cdr:x>
      <cdr:y>0.65771</cdr:y>
    </cdr:from>
    <cdr:to>
      <cdr:x>0.51819</cdr:x>
      <cdr:y>0.76735</cdr:y>
    </cdr:to>
    <cdr:sp macro="" textlink="">
      <cdr:nvSpPr>
        <cdr:cNvPr id="69633" name="Line 1"/>
        <cdr:cNvSpPr>
          <a:spLocks xmlns:a="http://schemas.openxmlformats.org/drawingml/2006/main" noChangeShapeType="1"/>
        </cdr:cNvSpPr>
      </cdr:nvSpPr>
      <cdr:spPr bwMode="auto">
        <a:xfrm xmlns:a="http://schemas.openxmlformats.org/drawingml/2006/main" flipV="1">
          <a:off x="738605" y="485557"/>
          <a:ext cx="0" cy="8041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77.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0</xdr:colOff>
      <xdr:row>14</xdr:row>
      <xdr:rowOff>0</xdr:rowOff>
    </xdr:to>
    <xdr:graphicFrame macro="">
      <xdr:nvGraphicFramePr>
        <xdr:cNvPr id="2" name="Chart 4">
          <a:extLst>
            <a:ext uri="{FF2B5EF4-FFF2-40B4-BE49-F238E27FC236}">
              <a16:creationId xmlns:a16="http://schemas.microsoft.com/office/drawing/2014/main" id="{4EF0CF92-7E5B-4E30-A351-E9BB7B30C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0</xdr:rowOff>
    </xdr:from>
    <xdr:to>
      <xdr:col>4</xdr:col>
      <xdr:colOff>0</xdr:colOff>
      <xdr:row>14</xdr:row>
      <xdr:rowOff>0</xdr:rowOff>
    </xdr:to>
    <xdr:graphicFrame macro="">
      <xdr:nvGraphicFramePr>
        <xdr:cNvPr id="3" name="Chart 6">
          <a:extLst>
            <a:ext uri="{FF2B5EF4-FFF2-40B4-BE49-F238E27FC236}">
              <a16:creationId xmlns:a16="http://schemas.microsoft.com/office/drawing/2014/main" id="{468EA92C-6D51-4F4C-ACC5-281297500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0</xdr:rowOff>
    </xdr:from>
    <xdr:to>
      <xdr:col>4</xdr:col>
      <xdr:colOff>0</xdr:colOff>
      <xdr:row>14</xdr:row>
      <xdr:rowOff>0</xdr:rowOff>
    </xdr:to>
    <xdr:graphicFrame macro="">
      <xdr:nvGraphicFramePr>
        <xdr:cNvPr id="4" name="Chart 7">
          <a:extLst>
            <a:ext uri="{FF2B5EF4-FFF2-40B4-BE49-F238E27FC236}">
              <a16:creationId xmlns:a16="http://schemas.microsoft.com/office/drawing/2014/main" id="{5F5AC154-F120-4CC1-8FED-DD5D9BC1C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14</xdr:row>
      <xdr:rowOff>0</xdr:rowOff>
    </xdr:from>
    <xdr:to>
      <xdr:col>4</xdr:col>
      <xdr:colOff>0</xdr:colOff>
      <xdr:row>14</xdr:row>
      <xdr:rowOff>0</xdr:rowOff>
    </xdr:to>
    <xdr:graphicFrame macro="">
      <xdr:nvGraphicFramePr>
        <xdr:cNvPr id="5" name="Chart 5">
          <a:extLst>
            <a:ext uri="{FF2B5EF4-FFF2-40B4-BE49-F238E27FC236}">
              <a16:creationId xmlns:a16="http://schemas.microsoft.com/office/drawing/2014/main" id="{F0F153CC-ADE8-4B4C-8989-6777469AF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319268</xdr:colOff>
      <xdr:row>5</xdr:row>
      <xdr:rowOff>56029</xdr:rowOff>
    </xdr:from>
    <xdr:to>
      <xdr:col>34</xdr:col>
      <xdr:colOff>598049</xdr:colOff>
      <xdr:row>19</xdr:row>
      <xdr:rowOff>76137</xdr:rowOff>
    </xdr:to>
    <xdr:graphicFrame macro="">
      <xdr:nvGraphicFramePr>
        <xdr:cNvPr id="6" name="Chart 5">
          <a:extLst>
            <a:ext uri="{FF2B5EF4-FFF2-40B4-BE49-F238E27FC236}">
              <a16:creationId xmlns:a16="http://schemas.microsoft.com/office/drawing/2014/main" id="{40676A9D-6DBF-4CFA-A984-C23AD1CEC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274542</xdr:colOff>
      <xdr:row>21</xdr:row>
      <xdr:rowOff>45944</xdr:rowOff>
    </xdr:from>
    <xdr:to>
      <xdr:col>36</xdr:col>
      <xdr:colOff>470647</xdr:colOff>
      <xdr:row>38</xdr:row>
      <xdr:rowOff>122144</xdr:rowOff>
    </xdr:to>
    <xdr:graphicFrame macro="">
      <xdr:nvGraphicFramePr>
        <xdr:cNvPr id="7" name="Chart 6">
          <a:extLst>
            <a:ext uri="{FF2B5EF4-FFF2-40B4-BE49-F238E27FC236}">
              <a16:creationId xmlns:a16="http://schemas.microsoft.com/office/drawing/2014/main" id="{D937B533-3F41-4607-B101-CDB1F723F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8.xml><?xml version="1.0" encoding="utf-8"?>
<c:userShapes xmlns:c="http://schemas.openxmlformats.org/drawingml/2006/chart">
  <cdr:relSizeAnchor xmlns:cdr="http://schemas.openxmlformats.org/drawingml/2006/chartDrawing">
    <cdr:from>
      <cdr:x>0.52076</cdr:x>
      <cdr:y>0.65401</cdr:y>
    </cdr:from>
    <cdr:to>
      <cdr:x>0.52076</cdr:x>
      <cdr:y>0.76561</cdr:y>
    </cdr:to>
    <cdr:sp macro="" textlink="">
      <cdr:nvSpPr>
        <cdr:cNvPr id="67585" name="Line 1"/>
        <cdr:cNvSpPr>
          <a:spLocks xmlns:a="http://schemas.openxmlformats.org/drawingml/2006/main" noChangeShapeType="1"/>
        </cdr:cNvSpPr>
      </cdr:nvSpPr>
      <cdr:spPr bwMode="auto">
        <a:xfrm xmlns:a="http://schemas.openxmlformats.org/drawingml/2006/main" flipV="1">
          <a:off x="742246" y="482844"/>
          <a:ext cx="0" cy="81846"/>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79.xml><?xml version="1.0" encoding="utf-8"?>
<c:userShapes xmlns:c="http://schemas.openxmlformats.org/drawingml/2006/chart">
  <cdr:relSizeAnchor xmlns:cdr="http://schemas.openxmlformats.org/drawingml/2006/chartDrawing">
    <cdr:from>
      <cdr:x>0.49417</cdr:x>
      <cdr:y>0.45454</cdr:y>
    </cdr:from>
    <cdr:to>
      <cdr:x>0.49417</cdr:x>
      <cdr:y>0.54829</cdr:y>
    </cdr:to>
    <cdr:sp macro="" textlink="">
      <cdr:nvSpPr>
        <cdr:cNvPr id="68609" name="Line 1"/>
        <cdr:cNvSpPr>
          <a:spLocks xmlns:a="http://schemas.openxmlformats.org/drawingml/2006/main" noChangeShapeType="1"/>
        </cdr:cNvSpPr>
      </cdr:nvSpPr>
      <cdr:spPr bwMode="auto">
        <a:xfrm xmlns:a="http://schemas.openxmlformats.org/drawingml/2006/main" flipV="1">
          <a:off x="704513" y="336543"/>
          <a:ext cx="0" cy="6876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8.xml><?xml version="1.0" encoding="utf-8"?>
<c:userShapes xmlns:c="http://schemas.openxmlformats.org/drawingml/2006/chart">
  <cdr:relSizeAnchor xmlns:cdr="http://schemas.openxmlformats.org/drawingml/2006/chartDrawing">
    <cdr:from>
      <cdr:x>0.51819</cdr:x>
      <cdr:y>0.65771</cdr:y>
    </cdr:from>
    <cdr:to>
      <cdr:x>0.51819</cdr:x>
      <cdr:y>0.76735</cdr:y>
    </cdr:to>
    <cdr:sp macro="" textlink="">
      <cdr:nvSpPr>
        <cdr:cNvPr id="69633" name="Line 1"/>
        <cdr:cNvSpPr>
          <a:spLocks xmlns:a="http://schemas.openxmlformats.org/drawingml/2006/main" noChangeShapeType="1"/>
        </cdr:cNvSpPr>
      </cdr:nvSpPr>
      <cdr:spPr bwMode="auto">
        <a:xfrm xmlns:a="http://schemas.openxmlformats.org/drawingml/2006/main" flipV="1">
          <a:off x="738605" y="485557"/>
          <a:ext cx="0" cy="8041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80.xml><?xml version="1.0" encoding="utf-8"?>
<c:userShapes xmlns:c="http://schemas.openxmlformats.org/drawingml/2006/chart">
  <cdr:relSizeAnchor xmlns:cdr="http://schemas.openxmlformats.org/drawingml/2006/chartDrawing">
    <cdr:from>
      <cdr:x>0.51819</cdr:x>
      <cdr:y>0.65771</cdr:y>
    </cdr:from>
    <cdr:to>
      <cdr:x>0.51819</cdr:x>
      <cdr:y>0.76735</cdr:y>
    </cdr:to>
    <cdr:sp macro="" textlink="">
      <cdr:nvSpPr>
        <cdr:cNvPr id="69633" name="Line 1"/>
        <cdr:cNvSpPr>
          <a:spLocks xmlns:a="http://schemas.openxmlformats.org/drawingml/2006/main" noChangeShapeType="1"/>
        </cdr:cNvSpPr>
      </cdr:nvSpPr>
      <cdr:spPr bwMode="auto">
        <a:xfrm xmlns:a="http://schemas.openxmlformats.org/drawingml/2006/main" flipV="1">
          <a:off x="738605" y="485557"/>
          <a:ext cx="0" cy="8041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81.xml><?xml version="1.0" encoding="utf-8"?>
<xdr:wsDr xmlns:xdr="http://schemas.openxmlformats.org/drawingml/2006/spreadsheetDrawing" xmlns:a="http://schemas.openxmlformats.org/drawingml/2006/main">
  <xdr:twoCellAnchor>
    <xdr:from>
      <xdr:col>0</xdr:col>
      <xdr:colOff>0</xdr:colOff>
      <xdr:row>14</xdr:row>
      <xdr:rowOff>0</xdr:rowOff>
    </xdr:from>
    <xdr:to>
      <xdr:col>4</xdr:col>
      <xdr:colOff>0</xdr:colOff>
      <xdr:row>14</xdr:row>
      <xdr:rowOff>0</xdr:rowOff>
    </xdr:to>
    <xdr:graphicFrame macro="">
      <xdr:nvGraphicFramePr>
        <xdr:cNvPr id="2" name="Chart 4">
          <a:extLst>
            <a:ext uri="{FF2B5EF4-FFF2-40B4-BE49-F238E27FC236}">
              <a16:creationId xmlns:a16="http://schemas.microsoft.com/office/drawing/2014/main" id="{15A0C786-FFC0-4426-A2FE-6410C8269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0</xdr:rowOff>
    </xdr:from>
    <xdr:to>
      <xdr:col>4</xdr:col>
      <xdr:colOff>0</xdr:colOff>
      <xdr:row>14</xdr:row>
      <xdr:rowOff>0</xdr:rowOff>
    </xdr:to>
    <xdr:graphicFrame macro="">
      <xdr:nvGraphicFramePr>
        <xdr:cNvPr id="3" name="Chart 6">
          <a:extLst>
            <a:ext uri="{FF2B5EF4-FFF2-40B4-BE49-F238E27FC236}">
              <a16:creationId xmlns:a16="http://schemas.microsoft.com/office/drawing/2014/main" id="{0A39C54E-90BA-4430-8B78-00A752A91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0</xdr:rowOff>
    </xdr:from>
    <xdr:to>
      <xdr:col>4</xdr:col>
      <xdr:colOff>0</xdr:colOff>
      <xdr:row>14</xdr:row>
      <xdr:rowOff>0</xdr:rowOff>
    </xdr:to>
    <xdr:graphicFrame macro="">
      <xdr:nvGraphicFramePr>
        <xdr:cNvPr id="4" name="Chart 7">
          <a:extLst>
            <a:ext uri="{FF2B5EF4-FFF2-40B4-BE49-F238E27FC236}">
              <a16:creationId xmlns:a16="http://schemas.microsoft.com/office/drawing/2014/main" id="{372F0728-8553-4C6E-8D10-3AC4B3BD7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14</xdr:row>
      <xdr:rowOff>0</xdr:rowOff>
    </xdr:from>
    <xdr:to>
      <xdr:col>4</xdr:col>
      <xdr:colOff>0</xdr:colOff>
      <xdr:row>14</xdr:row>
      <xdr:rowOff>0</xdr:rowOff>
    </xdr:to>
    <xdr:graphicFrame macro="">
      <xdr:nvGraphicFramePr>
        <xdr:cNvPr id="5" name="Chart 5">
          <a:extLst>
            <a:ext uri="{FF2B5EF4-FFF2-40B4-BE49-F238E27FC236}">
              <a16:creationId xmlns:a16="http://schemas.microsoft.com/office/drawing/2014/main" id="{A96E4AEB-3A23-47EA-9C1B-D802284B2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240827</xdr:colOff>
      <xdr:row>4</xdr:row>
      <xdr:rowOff>100853</xdr:rowOff>
    </xdr:from>
    <xdr:to>
      <xdr:col>27</xdr:col>
      <xdr:colOff>127403</xdr:colOff>
      <xdr:row>18</xdr:row>
      <xdr:rowOff>120961</xdr:rowOff>
    </xdr:to>
    <xdr:graphicFrame macro="">
      <xdr:nvGraphicFramePr>
        <xdr:cNvPr id="6" name="Chart 5">
          <a:extLst>
            <a:ext uri="{FF2B5EF4-FFF2-40B4-BE49-F238E27FC236}">
              <a16:creationId xmlns:a16="http://schemas.microsoft.com/office/drawing/2014/main" id="{C5DAC114-7680-45C9-A094-207C0E642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274542</xdr:colOff>
      <xdr:row>21</xdr:row>
      <xdr:rowOff>45944</xdr:rowOff>
    </xdr:from>
    <xdr:to>
      <xdr:col>36</xdr:col>
      <xdr:colOff>470647</xdr:colOff>
      <xdr:row>38</xdr:row>
      <xdr:rowOff>122144</xdr:rowOff>
    </xdr:to>
    <xdr:graphicFrame macro="">
      <xdr:nvGraphicFramePr>
        <xdr:cNvPr id="7" name="Chart 6">
          <a:extLst>
            <a:ext uri="{FF2B5EF4-FFF2-40B4-BE49-F238E27FC236}">
              <a16:creationId xmlns:a16="http://schemas.microsoft.com/office/drawing/2014/main" id="{EAE23CAC-7D08-4231-8DDB-D42A43761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2.xml><?xml version="1.0" encoding="utf-8"?>
<c:userShapes xmlns:c="http://schemas.openxmlformats.org/drawingml/2006/chart">
  <cdr:relSizeAnchor xmlns:cdr="http://schemas.openxmlformats.org/drawingml/2006/chartDrawing">
    <cdr:from>
      <cdr:x>0.52076</cdr:x>
      <cdr:y>0.65401</cdr:y>
    </cdr:from>
    <cdr:to>
      <cdr:x>0.52076</cdr:x>
      <cdr:y>0.76561</cdr:y>
    </cdr:to>
    <cdr:sp macro="" textlink="">
      <cdr:nvSpPr>
        <cdr:cNvPr id="67585" name="Line 1"/>
        <cdr:cNvSpPr>
          <a:spLocks xmlns:a="http://schemas.openxmlformats.org/drawingml/2006/main" noChangeShapeType="1"/>
        </cdr:cNvSpPr>
      </cdr:nvSpPr>
      <cdr:spPr bwMode="auto">
        <a:xfrm xmlns:a="http://schemas.openxmlformats.org/drawingml/2006/main" flipV="1">
          <a:off x="742246" y="482844"/>
          <a:ext cx="0" cy="81846"/>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83.xml><?xml version="1.0" encoding="utf-8"?>
<c:userShapes xmlns:c="http://schemas.openxmlformats.org/drawingml/2006/chart">
  <cdr:relSizeAnchor xmlns:cdr="http://schemas.openxmlformats.org/drawingml/2006/chartDrawing">
    <cdr:from>
      <cdr:x>0.49417</cdr:x>
      <cdr:y>0.45454</cdr:y>
    </cdr:from>
    <cdr:to>
      <cdr:x>0.49417</cdr:x>
      <cdr:y>0.54829</cdr:y>
    </cdr:to>
    <cdr:sp macro="" textlink="">
      <cdr:nvSpPr>
        <cdr:cNvPr id="68609" name="Line 1"/>
        <cdr:cNvSpPr>
          <a:spLocks xmlns:a="http://schemas.openxmlformats.org/drawingml/2006/main" noChangeShapeType="1"/>
        </cdr:cNvSpPr>
      </cdr:nvSpPr>
      <cdr:spPr bwMode="auto">
        <a:xfrm xmlns:a="http://schemas.openxmlformats.org/drawingml/2006/main" flipV="1">
          <a:off x="704513" y="336543"/>
          <a:ext cx="0" cy="6876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84.xml><?xml version="1.0" encoding="utf-8"?>
<c:userShapes xmlns:c="http://schemas.openxmlformats.org/drawingml/2006/chart">
  <cdr:relSizeAnchor xmlns:cdr="http://schemas.openxmlformats.org/drawingml/2006/chartDrawing">
    <cdr:from>
      <cdr:x>0.51819</cdr:x>
      <cdr:y>0.65771</cdr:y>
    </cdr:from>
    <cdr:to>
      <cdr:x>0.51819</cdr:x>
      <cdr:y>0.76735</cdr:y>
    </cdr:to>
    <cdr:sp macro="" textlink="">
      <cdr:nvSpPr>
        <cdr:cNvPr id="69633" name="Line 1"/>
        <cdr:cNvSpPr>
          <a:spLocks xmlns:a="http://schemas.openxmlformats.org/drawingml/2006/main" noChangeShapeType="1"/>
        </cdr:cNvSpPr>
      </cdr:nvSpPr>
      <cdr:spPr bwMode="auto">
        <a:xfrm xmlns:a="http://schemas.openxmlformats.org/drawingml/2006/main" flipV="1">
          <a:off x="738605" y="485557"/>
          <a:ext cx="0" cy="8041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0</xdr:colOff>
      <xdr:row>4</xdr:row>
      <xdr:rowOff>0</xdr:rowOff>
    </xdr:from>
    <xdr:to>
      <xdr:col>3</xdr:col>
      <xdr:colOff>0</xdr:colOff>
      <xdr:row>4</xdr:row>
      <xdr:rowOff>0</xdr:rowOff>
    </xdr:to>
    <xdr:graphicFrame macro="">
      <xdr:nvGraphicFramePr>
        <xdr:cNvPr id="2" name="Chart 4">
          <a:extLst>
            <a:ext uri="{FF2B5EF4-FFF2-40B4-BE49-F238E27FC236}">
              <a16:creationId xmlns:a16="http://schemas.microsoft.com/office/drawing/2014/main" id="{05BEFF36-D66F-47CD-AC4B-3D392F0C9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0</xdr:rowOff>
    </xdr:from>
    <xdr:to>
      <xdr:col>3</xdr:col>
      <xdr:colOff>0</xdr:colOff>
      <xdr:row>4</xdr:row>
      <xdr:rowOff>0</xdr:rowOff>
    </xdr:to>
    <xdr:graphicFrame macro="">
      <xdr:nvGraphicFramePr>
        <xdr:cNvPr id="3" name="Chart 6">
          <a:extLst>
            <a:ext uri="{FF2B5EF4-FFF2-40B4-BE49-F238E27FC236}">
              <a16:creationId xmlns:a16="http://schemas.microsoft.com/office/drawing/2014/main" id="{EB2F63F0-295A-459A-8E2D-FA6FACF8A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0</xdr:rowOff>
    </xdr:from>
    <xdr:to>
      <xdr:col>3</xdr:col>
      <xdr:colOff>0</xdr:colOff>
      <xdr:row>4</xdr:row>
      <xdr:rowOff>0</xdr:rowOff>
    </xdr:to>
    <xdr:graphicFrame macro="">
      <xdr:nvGraphicFramePr>
        <xdr:cNvPr id="4" name="Chart 7">
          <a:extLst>
            <a:ext uri="{FF2B5EF4-FFF2-40B4-BE49-F238E27FC236}">
              <a16:creationId xmlns:a16="http://schemas.microsoft.com/office/drawing/2014/main" id="{01889241-F0D1-45FA-BF3D-4CD660F05F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xdr:row>
      <xdr:rowOff>0</xdr:rowOff>
    </xdr:from>
    <xdr:to>
      <xdr:col>3</xdr:col>
      <xdr:colOff>0</xdr:colOff>
      <xdr:row>4</xdr:row>
      <xdr:rowOff>0</xdr:rowOff>
    </xdr:to>
    <xdr:graphicFrame macro="">
      <xdr:nvGraphicFramePr>
        <xdr:cNvPr id="5" name="Chart 5">
          <a:extLst>
            <a:ext uri="{FF2B5EF4-FFF2-40B4-BE49-F238E27FC236}">
              <a16:creationId xmlns:a16="http://schemas.microsoft.com/office/drawing/2014/main" id="{993D4D63-1179-4629-AA92-C1224905A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setlist.fm/search?page=31&amp;query=sparklehorse" TargetMode="External"/><Relationship Id="rId2" Type="http://schemas.openxmlformats.org/officeDocument/2006/relationships/hyperlink" Target="https://www.hollywoodreporter.com/news/remembering-sparklehorses-mark-linkous-65396" TargetMode="External"/><Relationship Id="rId1" Type="http://schemas.openxmlformats.org/officeDocument/2006/relationships/hyperlink" Target="https://web.archive.org/web/20061031050602/http:/www.harpmagazine.com/articles/detail.cfm?article_id=4606"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books.google.com/books?id=tQsEAAAAMBAJ&amp;pg=PA63&amp;lpg=PA63&amp;dq=dink+billboard+1995&amp;source=bl&amp;ots=kQOuQkGA7D&amp;sig=dV-zKwCNsJde0gFjSCBcMHiswBc&amp;hl=en&amp;sa=X&amp;ved=0ahUKEwiel6Su3J7aAhVokeAKHcxJBmkQ6AEITTAF" TargetMode="External"/><Relationship Id="rId7" Type="http://schemas.openxmlformats.org/officeDocument/2006/relationships/drawing" Target="../drawings/drawing65.xml"/><Relationship Id="rId2" Type="http://schemas.openxmlformats.org/officeDocument/2006/relationships/hyperlink" Target="https://books.google.com/books?id=tQsEAAAAMBAJ&amp;pg=PA63&amp;lpg=PA63&amp;dq=dink+billboard+1995&amp;source=bl&amp;ots=kQOuQkGA7D&amp;sig=dV-zKwCNsJde0gFjSCBcMHiswBc&amp;hl=en&amp;sa=X&amp;ved=0ahUKEwiel6Su3J7aAhVokeAKHcxJBmkQ6AEITTAF" TargetMode="External"/><Relationship Id="rId1" Type="http://schemas.openxmlformats.org/officeDocument/2006/relationships/hyperlink" Target="https://books.google.com/books?id=tQsEAAAAMBAJ&amp;pg=PA63&amp;lpg=PA63&amp;dq=dink+billboard+1995&amp;source=bl&amp;ots=kQOuQkGA7D&amp;sig=dV-zKwCNsJde0gFjSCBcMHiswBc&amp;hl=en&amp;sa=X&amp;ved=0ahUKEwiel6Su3J7aAhVokeAKHcxJBmkQ6AEITTAF" TargetMode="External"/><Relationship Id="rId6" Type="http://schemas.openxmlformats.org/officeDocument/2006/relationships/printerSettings" Target="../printerSettings/printerSettings20.bin"/><Relationship Id="rId5" Type="http://schemas.openxmlformats.org/officeDocument/2006/relationships/hyperlink" Target="https://books.google.com/books?id=wgsEAAAAMBAJ&amp;pg=PA109&amp;dq=modern+rock+billboard+1995+February+18&amp;hl=en&amp;sa=X&amp;ved=0ahUKEwj4-o6a4J7aAhVLVd8KHSHnAzYQ6AEIKDAA" TargetMode="External"/><Relationship Id="rId4" Type="http://schemas.openxmlformats.org/officeDocument/2006/relationships/hyperlink" Target="https://books.google.com/books?id=yAsEAAAAMBAJ&amp;pg=PT86&amp;lpg=PT86&amp;dq=dink+billboard+1995&amp;source=bl&amp;ots=STDomG-qBu&amp;sig=eaH_uxVxFvkET4qUtSJ8ytsW9bI&amp;hl=en&amp;sa=X&amp;ved=0ahUKEwiel6Su3J7aAhVokeAKHcxJBmkQ6AEITzAG" TargetMode="External"/></Relationships>
</file>

<file path=xl/worksheets/_rels/sheet21.xml.rels><?xml version="1.0" encoding="UTF-8" standalone="yes"?>
<Relationships xmlns="http://schemas.openxmlformats.org/package/2006/relationships"><Relationship Id="rId8" Type="http://schemas.openxmlformats.org/officeDocument/2006/relationships/drawing" Target="../drawings/drawing69.xml"/><Relationship Id="rId3" Type="http://schemas.openxmlformats.org/officeDocument/2006/relationships/hyperlink" Target="https://books.google.com/books?id=tQsEAAAAMBAJ&amp;pg=PA63&amp;lpg=PA63&amp;dq=dink+billboard+1995&amp;source=bl&amp;ots=kQOuQkGA7D&amp;sig=dV-zKwCNsJde0gFjSCBcMHiswBc&amp;hl=en&amp;sa=X&amp;ved=0ahUKEwiel6Su3J7aAhVokeAKHcxJBmkQ6AEITTAF" TargetMode="External"/><Relationship Id="rId7" Type="http://schemas.openxmlformats.org/officeDocument/2006/relationships/printerSettings" Target="../printerSettings/printerSettings21.bin"/><Relationship Id="rId2" Type="http://schemas.openxmlformats.org/officeDocument/2006/relationships/hyperlink" Target="https://books.google.com/books?id=tQsEAAAAMBAJ&amp;pg=PA63&amp;lpg=PA63&amp;dq=dink+billboard+1995&amp;source=bl&amp;ots=kQOuQkGA7D&amp;sig=dV-zKwCNsJde0gFjSCBcMHiswBc&amp;hl=en&amp;sa=X&amp;ved=0ahUKEwiel6Su3J7aAhVokeAKHcxJBmkQ6AEITTAF" TargetMode="External"/><Relationship Id="rId1" Type="http://schemas.openxmlformats.org/officeDocument/2006/relationships/hyperlink" Target="https://books.google.com/books?id=tQsEAAAAMBAJ&amp;pg=PA63&amp;lpg=PA63&amp;dq=dink+billboard+1995&amp;source=bl&amp;ots=kQOuQkGA7D&amp;sig=dV-zKwCNsJde0gFjSCBcMHiswBc&amp;hl=en&amp;sa=X&amp;ved=0ahUKEwiel6Su3J7aAhVokeAKHcxJBmkQ6AEITTAF" TargetMode="External"/><Relationship Id="rId6" Type="http://schemas.openxmlformats.org/officeDocument/2006/relationships/hyperlink" Target="https://books.google.com/books?id=tQsEAAAAMBAJ&amp;pg=PA63&amp;lpg=PA63&amp;dq=dink+billboard+1995&amp;source=bl&amp;ots=kQOuQkGA7D&amp;sig=dV-zKwCNsJde0gFjSCBcMHiswBc&amp;hl=en&amp;sa=X&amp;ved=0ahUKEwiel6Su3J7aAhVokeAKHcxJBmkQ6AEITTAF" TargetMode="External"/><Relationship Id="rId5" Type="http://schemas.openxmlformats.org/officeDocument/2006/relationships/hyperlink" Target="https://books.google.com/books?id=wgsEAAAAMBAJ&amp;pg=PA109&amp;dq=modern+rock+billboard+1995+February+18&amp;hl=en&amp;sa=X&amp;ved=0ahUKEwj4-o6a4J7aAhVLVd8KHSHnAzYQ6AEIKDAA" TargetMode="External"/><Relationship Id="rId4" Type="http://schemas.openxmlformats.org/officeDocument/2006/relationships/hyperlink" Target="https://books.google.com/books?id=yAsEAAAAMBAJ&amp;pg=PT86&amp;lpg=PT86&amp;dq=dink+billboard+1995&amp;source=bl&amp;ots=STDomG-qBu&amp;sig=eaH_uxVxFvkET4qUtSJ8ytsW9bI&amp;hl=en&amp;sa=X&amp;ved=0ahUKEwiel6Su3J7aAhVokeAKHcxJBmkQ6AEITzAG" TargetMode="External"/></Relationships>
</file>

<file path=xl/worksheets/_rels/sheet22.xml.rels><?xml version="1.0" encoding="UTF-8" standalone="yes"?>
<Relationships xmlns="http://schemas.openxmlformats.org/package/2006/relationships"><Relationship Id="rId8" Type="http://schemas.openxmlformats.org/officeDocument/2006/relationships/drawing" Target="../drawings/drawing73.xml"/><Relationship Id="rId3" Type="http://schemas.openxmlformats.org/officeDocument/2006/relationships/hyperlink" Target="https://books.google.com/books?id=tQsEAAAAMBAJ&amp;pg=PA63&amp;lpg=PA63&amp;dq=dink+billboard+1995&amp;source=bl&amp;ots=kQOuQkGA7D&amp;sig=dV-zKwCNsJde0gFjSCBcMHiswBc&amp;hl=en&amp;sa=X&amp;ved=0ahUKEwiel6Su3J7aAhVokeAKHcxJBmkQ6AEITTAF" TargetMode="External"/><Relationship Id="rId7" Type="http://schemas.openxmlformats.org/officeDocument/2006/relationships/printerSettings" Target="../printerSettings/printerSettings22.bin"/><Relationship Id="rId2" Type="http://schemas.openxmlformats.org/officeDocument/2006/relationships/hyperlink" Target="https://books.google.com/books?id=tQsEAAAAMBAJ&amp;pg=PA63&amp;lpg=PA63&amp;dq=dink+billboard+1995&amp;source=bl&amp;ots=kQOuQkGA7D&amp;sig=dV-zKwCNsJde0gFjSCBcMHiswBc&amp;hl=en&amp;sa=X&amp;ved=0ahUKEwiel6Su3J7aAhVokeAKHcxJBmkQ6AEITTAF" TargetMode="External"/><Relationship Id="rId1" Type="http://schemas.openxmlformats.org/officeDocument/2006/relationships/hyperlink" Target="https://books.google.com/books?id=tQsEAAAAMBAJ&amp;pg=PA63&amp;lpg=PA63&amp;dq=dink+billboard+1995&amp;source=bl&amp;ots=kQOuQkGA7D&amp;sig=dV-zKwCNsJde0gFjSCBcMHiswBc&amp;hl=en&amp;sa=X&amp;ved=0ahUKEwiel6Su3J7aAhVokeAKHcxJBmkQ6AEITTAF" TargetMode="External"/><Relationship Id="rId6" Type="http://schemas.openxmlformats.org/officeDocument/2006/relationships/hyperlink" Target="https://books.google.com/books?id=tQsEAAAAMBAJ&amp;pg=PA63&amp;lpg=PA63&amp;dq=dink+billboard+1995&amp;source=bl&amp;ots=kQOuQkGA7D&amp;sig=dV-zKwCNsJde0gFjSCBcMHiswBc&amp;hl=en&amp;sa=X&amp;ved=0ahUKEwiel6Su3J7aAhVokeAKHcxJBmkQ6AEITTAF" TargetMode="External"/><Relationship Id="rId5" Type="http://schemas.openxmlformats.org/officeDocument/2006/relationships/hyperlink" Target="https://books.google.com/books?id=wgsEAAAAMBAJ&amp;pg=PA109&amp;dq=modern+rock+billboard+1995+February+18&amp;hl=en&amp;sa=X&amp;ved=0ahUKEwj4-o6a4J7aAhVLVd8KHSHnAzYQ6AEIKDAA" TargetMode="External"/><Relationship Id="rId4" Type="http://schemas.openxmlformats.org/officeDocument/2006/relationships/hyperlink" Target="https://books.google.com/books?id=yAsEAAAAMBAJ&amp;pg=PT86&amp;lpg=PT86&amp;dq=dink+billboard+1995&amp;source=bl&amp;ots=STDomG-qBu&amp;sig=eaH_uxVxFvkET4qUtSJ8ytsW9bI&amp;hl=en&amp;sa=X&amp;ved=0ahUKEwiel6Su3J7aAhVokeAKHcxJBmkQ6AEITzAG" TargetMode="External"/></Relationships>
</file>

<file path=xl/worksheets/_rels/sheet23.xml.rels><?xml version="1.0" encoding="UTF-8" standalone="yes"?>
<Relationships xmlns="http://schemas.openxmlformats.org/package/2006/relationships"><Relationship Id="rId8" Type="http://schemas.openxmlformats.org/officeDocument/2006/relationships/drawing" Target="../drawings/drawing77.xml"/><Relationship Id="rId3" Type="http://schemas.openxmlformats.org/officeDocument/2006/relationships/hyperlink" Target="https://books.google.com/books?id=tQsEAAAAMBAJ&amp;pg=PA63&amp;lpg=PA63&amp;dq=dink+billboard+1995&amp;source=bl&amp;ots=kQOuQkGA7D&amp;sig=dV-zKwCNsJde0gFjSCBcMHiswBc&amp;hl=en&amp;sa=X&amp;ved=0ahUKEwiel6Su3J7aAhVokeAKHcxJBmkQ6AEITTAF" TargetMode="External"/><Relationship Id="rId7" Type="http://schemas.openxmlformats.org/officeDocument/2006/relationships/printerSettings" Target="../printerSettings/printerSettings23.bin"/><Relationship Id="rId2" Type="http://schemas.openxmlformats.org/officeDocument/2006/relationships/hyperlink" Target="https://books.google.com/books?id=tQsEAAAAMBAJ&amp;pg=PA63&amp;lpg=PA63&amp;dq=dink+billboard+1995&amp;source=bl&amp;ots=kQOuQkGA7D&amp;sig=dV-zKwCNsJde0gFjSCBcMHiswBc&amp;hl=en&amp;sa=X&amp;ved=0ahUKEwiel6Su3J7aAhVokeAKHcxJBmkQ6AEITTAF" TargetMode="External"/><Relationship Id="rId1" Type="http://schemas.openxmlformats.org/officeDocument/2006/relationships/hyperlink" Target="https://books.google.com/books?id=tQsEAAAAMBAJ&amp;pg=PA63&amp;lpg=PA63&amp;dq=dink+billboard+1995&amp;source=bl&amp;ots=kQOuQkGA7D&amp;sig=dV-zKwCNsJde0gFjSCBcMHiswBc&amp;hl=en&amp;sa=X&amp;ved=0ahUKEwiel6Su3J7aAhVokeAKHcxJBmkQ6AEITTAF" TargetMode="External"/><Relationship Id="rId6" Type="http://schemas.openxmlformats.org/officeDocument/2006/relationships/hyperlink" Target="https://books.google.com/books?id=tQsEAAAAMBAJ&amp;pg=PA63&amp;lpg=PA63&amp;dq=dink+billboard+1995&amp;source=bl&amp;ots=kQOuQkGA7D&amp;sig=dV-zKwCNsJde0gFjSCBcMHiswBc&amp;hl=en&amp;sa=X&amp;ved=0ahUKEwiel6Su3J7aAhVokeAKHcxJBmkQ6AEITTAF" TargetMode="External"/><Relationship Id="rId5" Type="http://schemas.openxmlformats.org/officeDocument/2006/relationships/hyperlink" Target="https://books.google.com/books?id=wgsEAAAAMBAJ&amp;pg=PA109&amp;dq=modern+rock+billboard+1995+February+18&amp;hl=en&amp;sa=X&amp;ved=0ahUKEwj4-o6a4J7aAhVLVd8KHSHnAzYQ6AEIKDAA" TargetMode="External"/><Relationship Id="rId4" Type="http://schemas.openxmlformats.org/officeDocument/2006/relationships/hyperlink" Target="https://books.google.com/books?id=yAsEAAAAMBAJ&amp;pg=PT86&amp;lpg=PT86&amp;dq=dink+billboard+1995&amp;source=bl&amp;ots=STDomG-qBu&amp;sig=eaH_uxVxFvkET4qUtSJ8ytsW9bI&amp;hl=en&amp;sa=X&amp;ved=0ahUKEwiel6Su3J7aAhVokeAKHcxJBmkQ6AEITzAG" TargetMode="External"/></Relationships>
</file>

<file path=xl/worksheets/_rels/sheet24.xml.rels><?xml version="1.0" encoding="UTF-8" standalone="yes"?>
<Relationships xmlns="http://schemas.openxmlformats.org/package/2006/relationships"><Relationship Id="rId8" Type="http://schemas.openxmlformats.org/officeDocument/2006/relationships/drawing" Target="../drawings/drawing81.xml"/><Relationship Id="rId3" Type="http://schemas.openxmlformats.org/officeDocument/2006/relationships/hyperlink" Target="https://books.google.com/books?id=tQsEAAAAMBAJ&amp;pg=PA63&amp;lpg=PA63&amp;dq=dink+billboard+1995&amp;source=bl&amp;ots=kQOuQkGA7D&amp;sig=dV-zKwCNsJde0gFjSCBcMHiswBc&amp;hl=en&amp;sa=X&amp;ved=0ahUKEwiel6Su3J7aAhVokeAKHcxJBmkQ6AEITTAF" TargetMode="External"/><Relationship Id="rId7" Type="http://schemas.openxmlformats.org/officeDocument/2006/relationships/printerSettings" Target="../printerSettings/printerSettings24.bin"/><Relationship Id="rId2" Type="http://schemas.openxmlformats.org/officeDocument/2006/relationships/hyperlink" Target="https://books.google.com/books?id=tQsEAAAAMBAJ&amp;pg=PA63&amp;lpg=PA63&amp;dq=dink+billboard+1995&amp;source=bl&amp;ots=kQOuQkGA7D&amp;sig=dV-zKwCNsJde0gFjSCBcMHiswBc&amp;hl=en&amp;sa=X&amp;ved=0ahUKEwiel6Su3J7aAhVokeAKHcxJBmkQ6AEITTAF" TargetMode="External"/><Relationship Id="rId1" Type="http://schemas.openxmlformats.org/officeDocument/2006/relationships/hyperlink" Target="https://books.google.com/books?id=tQsEAAAAMBAJ&amp;pg=PA63&amp;lpg=PA63&amp;dq=dink+billboard+1995&amp;source=bl&amp;ots=kQOuQkGA7D&amp;sig=dV-zKwCNsJde0gFjSCBcMHiswBc&amp;hl=en&amp;sa=X&amp;ved=0ahUKEwiel6Su3J7aAhVokeAKHcxJBmkQ6AEITTAF" TargetMode="External"/><Relationship Id="rId6" Type="http://schemas.openxmlformats.org/officeDocument/2006/relationships/hyperlink" Target="https://books.google.com/books?id=tQsEAAAAMBAJ&amp;pg=PA63&amp;lpg=PA63&amp;dq=dink+billboard+1995&amp;source=bl&amp;ots=kQOuQkGA7D&amp;sig=dV-zKwCNsJde0gFjSCBcMHiswBc&amp;hl=en&amp;sa=X&amp;ved=0ahUKEwiel6Su3J7aAhVokeAKHcxJBmkQ6AEITTAF" TargetMode="External"/><Relationship Id="rId5" Type="http://schemas.openxmlformats.org/officeDocument/2006/relationships/hyperlink" Target="https://books.google.com/books?id=wgsEAAAAMBAJ&amp;pg=PA109&amp;dq=modern+rock+billboard+1995+February+18&amp;hl=en&amp;sa=X&amp;ved=0ahUKEwj4-o6a4J7aAhVLVd8KHSHnAzYQ6AEIKDAA" TargetMode="External"/><Relationship Id="rId4" Type="http://schemas.openxmlformats.org/officeDocument/2006/relationships/hyperlink" Target="https://books.google.com/books?id=yAsEAAAAMBAJ&amp;pg=PT86&amp;lpg=PT86&amp;dq=dink+billboard+1995&amp;source=bl&amp;ots=STDomG-qBu&amp;sig=eaH_uxVxFvkET4qUtSJ8ytsW9bI&amp;hl=en&amp;sa=X&amp;ved=0ahUKEwiel6Su3J7aAhVokeAKHcxJBmkQ6AEITzAG"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hyperlink" Target="https://www.discogs.com/Dink-Dink/release/16117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67853-BA6C-4397-A0FC-B7DBAE85829D}">
  <sheetPr>
    <tabColor theme="3" tint="0.59999389629810485"/>
  </sheetPr>
  <dimension ref="B2:B66"/>
  <sheetViews>
    <sheetView workbookViewId="0">
      <selection activeCell="C24" sqref="C24"/>
    </sheetView>
  </sheetViews>
  <sheetFormatPr defaultRowHeight="12.75"/>
  <sheetData>
    <row r="2" spans="2:2" ht="15.75">
      <c r="B2" s="22" t="s">
        <v>56</v>
      </c>
    </row>
    <row r="3" spans="2:2">
      <c r="B3" s="6" t="s">
        <v>61</v>
      </c>
    </row>
    <row r="4" spans="2:2">
      <c r="B4" s="6"/>
    </row>
    <row r="5" spans="2:2">
      <c r="B5" s="16" t="s">
        <v>59</v>
      </c>
    </row>
    <row r="6" spans="2:2">
      <c r="B6" s="16" t="s">
        <v>65</v>
      </c>
    </row>
    <row r="7" spans="2:2">
      <c r="B7" s="16" t="s">
        <v>66</v>
      </c>
    </row>
    <row r="9" spans="2:2">
      <c r="B9" s="16" t="s">
        <v>60</v>
      </c>
    </row>
    <row r="11" spans="2:2">
      <c r="B11" s="16" t="s">
        <v>58</v>
      </c>
    </row>
    <row r="12" spans="2:2">
      <c r="B12" s="21" t="s">
        <v>57</v>
      </c>
    </row>
    <row r="14" spans="2:2">
      <c r="B14" s="16" t="s">
        <v>62</v>
      </c>
    </row>
    <row r="16" spans="2:2">
      <c r="B16" s="16" t="s">
        <v>63</v>
      </c>
    </row>
    <row r="18" spans="2:2">
      <c r="B18" s="16" t="s">
        <v>64</v>
      </c>
    </row>
    <row r="20" spans="2:2">
      <c r="B20" s="16" t="s">
        <v>75</v>
      </c>
    </row>
    <row r="22" spans="2:2">
      <c r="B22" s="16" t="s">
        <v>76</v>
      </c>
    </row>
    <row r="23" spans="2:2">
      <c r="B23" s="21" t="s">
        <v>67</v>
      </c>
    </row>
    <row r="24" spans="2:2">
      <c r="B24" s="21" t="s">
        <v>68</v>
      </c>
    </row>
    <row r="26" spans="2:2">
      <c r="B26" s="6" t="s">
        <v>69</v>
      </c>
    </row>
    <row r="27" spans="2:2">
      <c r="B27" s="6" t="s">
        <v>70</v>
      </c>
    </row>
    <row r="29" spans="2:2">
      <c r="B29" s="16" t="s">
        <v>72</v>
      </c>
    </row>
    <row r="30" spans="2:2">
      <c r="B30" s="21" t="s">
        <v>71</v>
      </c>
    </row>
    <row r="32" spans="2:2">
      <c r="B32" s="16" t="s">
        <v>73</v>
      </c>
    </row>
    <row r="33" spans="2:2">
      <c r="B33" s="6" t="s">
        <v>74</v>
      </c>
    </row>
    <row r="36" spans="2:2">
      <c r="B36" s="16" t="s">
        <v>77</v>
      </c>
    </row>
    <row r="37" spans="2:2" ht="15">
      <c r="B37" s="21" t="s">
        <v>78</v>
      </c>
    </row>
    <row r="39" spans="2:2">
      <c r="B39" s="16" t="s">
        <v>79</v>
      </c>
    </row>
    <row r="40" spans="2:2">
      <c r="B40" s="6" t="s">
        <v>80</v>
      </c>
    </row>
    <row r="42" spans="2:2">
      <c r="B42" s="16" t="s">
        <v>83</v>
      </c>
    </row>
    <row r="43" spans="2:2">
      <c r="B43" s="23" t="s">
        <v>81</v>
      </c>
    </row>
    <row r="44" spans="2:2">
      <c r="B44" s="23" t="s">
        <v>82</v>
      </c>
    </row>
    <row r="46" spans="2:2">
      <c r="B46" s="16" t="s">
        <v>84</v>
      </c>
    </row>
    <row r="48" spans="2:2">
      <c r="B48" s="16" t="s">
        <v>86</v>
      </c>
    </row>
    <row r="49" spans="2:2">
      <c r="B49" s="24" t="s">
        <v>85</v>
      </c>
    </row>
    <row r="52" spans="2:2">
      <c r="B52" s="6" t="s">
        <v>87</v>
      </c>
    </row>
    <row r="54" spans="2:2">
      <c r="B54" s="16" t="s">
        <v>88</v>
      </c>
    </row>
    <row r="56" spans="2:2">
      <c r="B56" s="6" t="s">
        <v>89</v>
      </c>
    </row>
    <row r="58" spans="2:2">
      <c r="B58" s="25" t="s">
        <v>90</v>
      </c>
    </row>
    <row r="59" spans="2:2">
      <c r="B59" s="6" t="s">
        <v>91</v>
      </c>
    </row>
    <row r="61" spans="2:2">
      <c r="B61" s="26" t="s">
        <v>92</v>
      </c>
    </row>
    <row r="62" spans="2:2" ht="15">
      <c r="B62" s="23" t="s">
        <v>94</v>
      </c>
    </row>
    <row r="63" spans="2:2">
      <c r="B63" s="23"/>
    </row>
    <row r="64" spans="2:2" ht="15">
      <c r="B64" s="23" t="s">
        <v>93</v>
      </c>
    </row>
    <row r="65" spans="2:2">
      <c r="B65" s="23"/>
    </row>
    <row r="66" spans="2:2" ht="15">
      <c r="B66" s="23" t="s">
        <v>95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95E2D-6923-42FA-92F0-6F911265797B}">
  <dimension ref="A1:AD59"/>
  <sheetViews>
    <sheetView topLeftCell="A7" zoomScale="70" zoomScaleNormal="70" workbookViewId="0">
      <selection activeCell="S34" sqref="S34"/>
    </sheetView>
  </sheetViews>
  <sheetFormatPr defaultRowHeight="12.75"/>
  <cols>
    <col min="1" max="1" width="12" style="54" customWidth="1"/>
    <col min="2" max="3" width="10.85546875" style="54" customWidth="1"/>
    <col min="4" max="5" width="10.5703125" style="54" customWidth="1"/>
    <col min="6" max="6" width="3.7109375" style="54" customWidth="1"/>
    <col min="7" max="7" width="12.7109375" style="54" customWidth="1"/>
    <col min="8" max="8" width="10.85546875" style="54" customWidth="1"/>
    <col min="9" max="9" width="8.42578125" style="54" customWidth="1"/>
    <col min="10" max="10" width="3.28515625" style="54" customWidth="1"/>
    <col min="11" max="11" width="7.7109375" style="54" customWidth="1"/>
    <col min="12" max="12" width="9.42578125" style="54" customWidth="1"/>
    <col min="13" max="13" width="10" style="54" customWidth="1"/>
    <col min="14" max="14" width="7.7109375" style="54" customWidth="1"/>
    <col min="15" max="15" width="9" style="54" customWidth="1"/>
    <col min="16" max="16" width="8.85546875" style="54" customWidth="1"/>
    <col min="17" max="17" width="9.28515625" style="54" customWidth="1"/>
    <col min="18" max="18" width="13" style="54" customWidth="1"/>
    <col min="19" max="19" width="11.140625" style="54" customWidth="1"/>
    <col min="20" max="16384" width="9.140625" style="54"/>
  </cols>
  <sheetData>
    <row r="1" spans="1:23">
      <c r="A1" s="54" t="s">
        <v>117</v>
      </c>
      <c r="B1" s="162">
        <f>EXP(C1)</f>
        <v>5.2437804926640306E-4</v>
      </c>
      <c r="C1" s="63">
        <v>-7.5532976657105513</v>
      </c>
      <c r="F1" s="63"/>
      <c r="G1" s="54" t="s">
        <v>107</v>
      </c>
      <c r="H1" s="122">
        <f>-2*H2+2*LN(B4)</f>
        <v>48072.260449241097</v>
      </c>
      <c r="M1" s="56"/>
      <c r="N1" s="56"/>
      <c r="S1"/>
      <c r="T1"/>
      <c r="U1"/>
      <c r="V1"/>
      <c r="W1"/>
    </row>
    <row r="2" spans="1:23">
      <c r="A2" s="54" t="s">
        <v>98</v>
      </c>
      <c r="B2" s="63">
        <f>EXP(C2)</f>
        <v>1.251141899127457</v>
      </c>
      <c r="C2" s="63">
        <v>0.22405665361135982</v>
      </c>
      <c r="F2" s="63"/>
      <c r="G2" s="54" t="s">
        <v>99</v>
      </c>
      <c r="H2" s="122">
        <f>SUM(I9:I34)</f>
        <v>-24024.61729915558</v>
      </c>
      <c r="O2" s="64"/>
      <c r="P2" s="64"/>
      <c r="R2" s="143"/>
      <c r="S2"/>
      <c r="T2"/>
      <c r="U2"/>
      <c r="V2"/>
      <c r="W2"/>
    </row>
    <row r="3" spans="1:23">
      <c r="A3" s="57" t="s">
        <v>115</v>
      </c>
      <c r="B3" s="159">
        <f>C3</f>
        <v>0</v>
      </c>
      <c r="C3" s="63">
        <v>0</v>
      </c>
      <c r="F3" s="63"/>
      <c r="G3" s="54" t="s">
        <v>130</v>
      </c>
      <c r="H3" s="147">
        <f>AVERAGE(M9:M33)</f>
        <v>0.20368676782658923</v>
      </c>
      <c r="O3" s="56"/>
      <c r="P3" s="56"/>
      <c r="R3" s="143"/>
      <c r="S3"/>
      <c r="T3"/>
      <c r="U3"/>
      <c r="V3"/>
      <c r="W3"/>
    </row>
    <row r="4" spans="1:23">
      <c r="A4" s="54" t="s">
        <v>105</v>
      </c>
      <c r="B4" s="122">
        <v>100000</v>
      </c>
      <c r="C4" s="63"/>
      <c r="F4" s="63"/>
      <c r="G4" s="54" t="s">
        <v>139</v>
      </c>
      <c r="H4" s="147">
        <f>AVERAGE(M34:M35)</f>
        <v>0.7079403970907383</v>
      </c>
      <c r="O4" s="56"/>
      <c r="P4" s="56"/>
      <c r="R4" s="143"/>
      <c r="S4"/>
      <c r="T4"/>
      <c r="U4"/>
      <c r="V4"/>
      <c r="W4"/>
    </row>
    <row r="5" spans="1:23">
      <c r="C5" s="122"/>
      <c r="F5" s="63"/>
      <c r="O5" s="147"/>
      <c r="P5" s="147"/>
      <c r="R5" s="143"/>
      <c r="S5"/>
      <c r="T5"/>
      <c r="U5"/>
      <c r="V5"/>
      <c r="W5"/>
    </row>
    <row r="6" spans="1:23">
      <c r="R6" s="136">
        <f>B3</f>
        <v>0</v>
      </c>
    </row>
    <row r="8" spans="1:23">
      <c r="A8" s="148" t="s">
        <v>1</v>
      </c>
      <c r="B8" s="143" t="s">
        <v>100</v>
      </c>
      <c r="C8" s="143" t="s">
        <v>128</v>
      </c>
      <c r="D8" s="143" t="s">
        <v>101</v>
      </c>
      <c r="E8" s="143" t="s">
        <v>102</v>
      </c>
      <c r="F8" s="55"/>
      <c r="G8" s="143" t="s">
        <v>103</v>
      </c>
      <c r="H8" s="148" t="s">
        <v>104</v>
      </c>
      <c r="I8" s="55"/>
      <c r="J8" s="55"/>
      <c r="K8" s="55" t="s">
        <v>106</v>
      </c>
      <c r="L8" s="55" t="s">
        <v>173</v>
      </c>
      <c r="M8" s="55" t="s">
        <v>129</v>
      </c>
      <c r="N8" s="55" t="s">
        <v>188</v>
      </c>
      <c r="O8" s="55"/>
      <c r="P8" s="55" t="s">
        <v>108</v>
      </c>
      <c r="Q8" s="55" t="s">
        <v>109</v>
      </c>
      <c r="R8" s="143" t="s">
        <v>178</v>
      </c>
      <c r="S8" s="55" t="s">
        <v>111</v>
      </c>
    </row>
    <row r="9" spans="1:23">
      <c r="A9" s="137">
        <v>34973</v>
      </c>
      <c r="B9" s="138">
        <v>1</v>
      </c>
      <c r="C9" s="138">
        <f>D9</f>
        <v>74</v>
      </c>
      <c r="D9" s="64">
        <v>74</v>
      </c>
      <c r="E9" s="64">
        <v>0</v>
      </c>
      <c r="G9" s="139">
        <f>1-EXP(-$B$1*P9)</f>
        <v>5.2424058712552402E-4</v>
      </c>
      <c r="H9" s="164">
        <f>G9</f>
        <v>5.2424058712552402E-4</v>
      </c>
      <c r="I9" s="140">
        <f t="shared" ref="I9:I33" si="0">D9*IFERROR(LN(H9),-10000)</f>
        <v>-558.96342840257637</v>
      </c>
      <c r="K9" s="56">
        <f t="shared" ref="K9:K35" si="1">$B$4*G9</f>
        <v>52.424058712552402</v>
      </c>
      <c r="L9" s="56">
        <f>K9</f>
        <v>52.424058712552402</v>
      </c>
      <c r="M9" s="78">
        <f>ABS((D9-L9)/D9)</f>
        <v>0.29156677415469728</v>
      </c>
      <c r="N9" s="145">
        <f>'W(All)+Cov (Holdout)'!L9-L9</f>
        <v>0</v>
      </c>
      <c r="O9" s="56"/>
      <c r="P9" s="56">
        <f>B9^B2*Q9</f>
        <v>1</v>
      </c>
      <c r="Q9" s="141">
        <f>EXP(SUMPRODUCT($R$6,R9))</f>
        <v>1</v>
      </c>
      <c r="R9" s="64">
        <v>0</v>
      </c>
      <c r="S9" s="54" t="s">
        <v>131</v>
      </c>
    </row>
    <row r="10" spans="1:23">
      <c r="A10" s="137">
        <v>34980</v>
      </c>
      <c r="B10" s="138">
        <f>B9+1</f>
        <v>2</v>
      </c>
      <c r="C10" s="138">
        <f>C9+D10</f>
        <v>142</v>
      </c>
      <c r="D10" s="64">
        <v>68</v>
      </c>
      <c r="E10" s="64">
        <v>0</v>
      </c>
      <c r="G10" s="139">
        <f>1-EXP(-$B$1*P10)</f>
        <v>1.2473971123431182E-3</v>
      </c>
      <c r="H10" s="164">
        <f>G10-G9</f>
        <v>7.2315652521759421E-4</v>
      </c>
      <c r="I10" s="140">
        <f t="shared" si="0"/>
        <v>-491.76817083088525</v>
      </c>
      <c r="K10" s="56">
        <f t="shared" si="1"/>
        <v>124.73971123431183</v>
      </c>
      <c r="L10" s="56">
        <f>K10-K9</f>
        <v>72.315652521759432</v>
      </c>
      <c r="M10" s="78">
        <f t="shared" ref="M10:M35" si="2">ABS((D10-L10)/D10)</f>
        <v>6.3465478261168121E-2</v>
      </c>
      <c r="N10" s="145">
        <f>'W(All)+Cov (Holdout)'!L10-L10</f>
        <v>0</v>
      </c>
      <c r="O10" s="56"/>
      <c r="P10" s="56">
        <f>P9+(B10^$B$2-B9^$B$2)*Q10</f>
        <v>2.3802974999740023</v>
      </c>
      <c r="Q10" s="141">
        <f t="shared" ref="Q10:Q35" si="3">EXP(SUMPRODUCT($R$6,R10))</f>
        <v>1</v>
      </c>
      <c r="R10" s="64">
        <v>0</v>
      </c>
    </row>
    <row r="11" spans="1:23">
      <c r="A11" s="137">
        <v>34987</v>
      </c>
      <c r="B11" s="138">
        <f t="shared" ref="B11:B35" si="4">B10+1</f>
        <v>3</v>
      </c>
      <c r="C11" s="138">
        <f t="shared" ref="C11:C35" si="5">C10+D11</f>
        <v>227</v>
      </c>
      <c r="D11" s="64">
        <v>85</v>
      </c>
      <c r="E11" s="64">
        <v>0</v>
      </c>
      <c r="G11" s="139">
        <f>1-EXP(-$B$1*P11)</f>
        <v>2.07081278015675E-3</v>
      </c>
      <c r="H11" s="164">
        <f t="shared" ref="H11:H35" si="6">G11-G10</f>
        <v>8.2341566781363174E-4</v>
      </c>
      <c r="I11" s="140">
        <f t="shared" si="0"/>
        <v>-603.67420075245286</v>
      </c>
      <c r="K11" s="56">
        <f t="shared" si="1"/>
        <v>207.081278015675</v>
      </c>
      <c r="L11" s="56">
        <f t="shared" ref="L11:L35" si="7">K11-K10</f>
        <v>82.34156678136317</v>
      </c>
      <c r="M11" s="78">
        <f t="shared" si="2"/>
        <v>3.1275684925139179E-2</v>
      </c>
      <c r="N11" s="145">
        <f>'W(All)+Cov (Holdout)'!L11-L11</f>
        <v>0</v>
      </c>
      <c r="O11" s="56"/>
      <c r="P11" s="56">
        <f>P10+(B11^$B$2-B10^$B$2)*Q11</f>
        <v>3.9531782089506944</v>
      </c>
      <c r="Q11" s="141">
        <f t="shared" si="3"/>
        <v>1</v>
      </c>
      <c r="R11" s="64">
        <v>0</v>
      </c>
    </row>
    <row r="12" spans="1:23">
      <c r="A12" s="137">
        <v>34994</v>
      </c>
      <c r="B12" s="138">
        <f t="shared" si="4"/>
        <v>4</v>
      </c>
      <c r="C12" s="138">
        <f t="shared" si="5"/>
        <v>313</v>
      </c>
      <c r="D12" s="64">
        <v>86</v>
      </c>
      <c r="E12" s="64">
        <v>0</v>
      </c>
      <c r="G12" s="139">
        <f>1-EXP(-$B$1*P12)</f>
        <v>2.9666204994477363E-3</v>
      </c>
      <c r="H12" s="164">
        <f t="shared" si="6"/>
        <v>8.9580771929098635E-4</v>
      </c>
      <c r="I12" s="140">
        <f t="shared" si="0"/>
        <v>-603.52948996411567</v>
      </c>
      <c r="K12" s="56">
        <f t="shared" si="1"/>
        <v>296.66204994477363</v>
      </c>
      <c r="L12" s="56">
        <f t="shared" si="7"/>
        <v>89.580771929098631</v>
      </c>
      <c r="M12" s="78">
        <f t="shared" si="2"/>
        <v>4.1636882896495711E-2</v>
      </c>
      <c r="N12" s="145">
        <f>'W(All)+Cov (Holdout)'!L12-L12</f>
        <v>0</v>
      </c>
      <c r="O12" s="56"/>
      <c r="P12" s="56">
        <f t="shared" ref="P12:P35" si="8">P11+(B12^$B$2-B11^$B$2)*Q12</f>
        <v>5.6658161883824851</v>
      </c>
      <c r="Q12" s="141">
        <f t="shared" si="3"/>
        <v>1</v>
      </c>
      <c r="R12" s="64">
        <v>0</v>
      </c>
    </row>
    <row r="13" spans="1:23">
      <c r="A13" s="137">
        <v>35001</v>
      </c>
      <c r="B13" s="138">
        <f t="shared" si="4"/>
        <v>5</v>
      </c>
      <c r="C13" s="138">
        <f t="shared" si="5"/>
        <v>409</v>
      </c>
      <c r="D13" s="64">
        <v>96</v>
      </c>
      <c r="E13" s="64">
        <v>0</v>
      </c>
      <c r="G13" s="139">
        <f t="shared" ref="G13:G35" si="9">1-EXP(-$B$1*P13)</f>
        <v>3.9201485017500426E-3</v>
      </c>
      <c r="H13" s="164">
        <f t="shared" si="6"/>
        <v>9.5352800230230628E-4</v>
      </c>
      <c r="I13" s="140">
        <f t="shared" si="0"/>
        <v>-667.71280948271055</v>
      </c>
      <c r="K13" s="56">
        <f t="shared" si="1"/>
        <v>392.01485017500426</v>
      </c>
      <c r="L13" s="56">
        <f t="shared" si="7"/>
        <v>95.352800230230628</v>
      </c>
      <c r="M13" s="78">
        <f t="shared" si="2"/>
        <v>6.741664268430962E-3</v>
      </c>
      <c r="N13" s="145">
        <f>'W(All)+Cov (Holdout)'!L13-L13</f>
        <v>0</v>
      </c>
      <c r="O13" s="56"/>
      <c r="P13" s="56">
        <f t="shared" si="8"/>
        <v>7.490497418139177</v>
      </c>
      <c r="Q13" s="141">
        <f t="shared" si="3"/>
        <v>1</v>
      </c>
      <c r="R13" s="64">
        <v>0</v>
      </c>
      <c r="S13" s="54" t="s">
        <v>22</v>
      </c>
    </row>
    <row r="14" spans="1:23">
      <c r="A14" s="137">
        <v>35008</v>
      </c>
      <c r="B14" s="138">
        <f t="shared" si="4"/>
        <v>6</v>
      </c>
      <c r="C14" s="138">
        <f t="shared" si="5"/>
        <v>516</v>
      </c>
      <c r="D14" s="64">
        <v>107</v>
      </c>
      <c r="E14" s="64">
        <v>0</v>
      </c>
      <c r="G14" s="139">
        <f t="shared" si="9"/>
        <v>4.9221077450417594E-3</v>
      </c>
      <c r="H14" s="164">
        <f t="shared" si="6"/>
        <v>1.0019592432917168E-3</v>
      </c>
      <c r="I14" s="140">
        <f t="shared" si="0"/>
        <v>-738.92038091795973</v>
      </c>
      <c r="K14" s="56">
        <f t="shared" si="1"/>
        <v>492.21077450417596</v>
      </c>
      <c r="L14" s="56">
        <f t="shared" si="7"/>
        <v>100.1959243291717</v>
      </c>
      <c r="M14" s="78">
        <f t="shared" si="2"/>
        <v>6.3589492250731752E-2</v>
      </c>
      <c r="N14" s="145">
        <f>'W(All)+Cov (Holdout)'!L14-L14</f>
        <v>0</v>
      </c>
      <c r="O14" s="56"/>
      <c r="P14" s="56">
        <f t="shared" si="8"/>
        <v>9.4097402077170429</v>
      </c>
      <c r="Q14" s="141">
        <f t="shared" si="3"/>
        <v>1</v>
      </c>
      <c r="R14" s="64">
        <v>0</v>
      </c>
      <c r="S14" s="54" t="s">
        <v>21</v>
      </c>
    </row>
    <row r="15" spans="1:23">
      <c r="A15" s="137">
        <v>35015</v>
      </c>
      <c r="B15" s="138">
        <f t="shared" si="4"/>
        <v>7</v>
      </c>
      <c r="C15" s="138">
        <f t="shared" si="5"/>
        <v>601</v>
      </c>
      <c r="D15" s="64">
        <v>85</v>
      </c>
      <c r="E15" s="64">
        <v>0</v>
      </c>
      <c r="G15" s="139">
        <f t="shared" si="9"/>
        <v>5.9660012176147026E-3</v>
      </c>
      <c r="H15" s="164">
        <f t="shared" si="6"/>
        <v>1.0438934725729432E-3</v>
      </c>
      <c r="I15" s="140">
        <f t="shared" si="0"/>
        <v>-583.50781576192855</v>
      </c>
      <c r="K15" s="56">
        <f t="shared" si="1"/>
        <v>596.60012176147029</v>
      </c>
      <c r="L15" s="56">
        <f t="shared" si="7"/>
        <v>104.38934725729433</v>
      </c>
      <c r="M15" s="78">
        <f t="shared" si="2"/>
        <v>0.22810996773287451</v>
      </c>
      <c r="N15" s="145">
        <f>'W(All)+Cov (Holdout)'!L15-L15</f>
        <v>0</v>
      </c>
      <c r="O15" s="56"/>
      <c r="P15" s="56">
        <f t="shared" si="8"/>
        <v>11.41136421033309</v>
      </c>
      <c r="Q15" s="141">
        <f t="shared" si="3"/>
        <v>1</v>
      </c>
      <c r="R15" s="64">
        <v>0</v>
      </c>
    </row>
    <row r="16" spans="1:23">
      <c r="A16" s="137">
        <v>35022</v>
      </c>
      <c r="B16" s="138">
        <f t="shared" si="4"/>
        <v>8</v>
      </c>
      <c r="C16" s="138">
        <f t="shared" si="5"/>
        <v>675</v>
      </c>
      <c r="D16" s="64">
        <v>74</v>
      </c>
      <c r="E16" s="64">
        <v>0</v>
      </c>
      <c r="G16" s="139">
        <f t="shared" si="9"/>
        <v>7.0469871402164541E-3</v>
      </c>
      <c r="H16" s="164">
        <f t="shared" si="6"/>
        <v>1.0809859226017515E-3</v>
      </c>
      <c r="I16" s="140">
        <f t="shared" si="0"/>
        <v>-505.41125046051502</v>
      </c>
      <c r="K16" s="56">
        <f t="shared" si="1"/>
        <v>704.6987140216454</v>
      </c>
      <c r="L16" s="56">
        <f t="shared" si="7"/>
        <v>108.09859226017511</v>
      </c>
      <c r="M16" s="78">
        <f t="shared" si="2"/>
        <v>0.46079178729966364</v>
      </c>
      <c r="N16" s="145">
        <f>'W(All)+Cov (Holdout)'!L16-L16</f>
        <v>0</v>
      </c>
      <c r="O16" s="56"/>
      <c r="P16" s="56">
        <f t="shared" si="8"/>
        <v>13.486328108519057</v>
      </c>
      <c r="Q16" s="141">
        <f t="shared" si="3"/>
        <v>1</v>
      </c>
      <c r="R16" s="64">
        <v>0</v>
      </c>
    </row>
    <row r="17" spans="1:30">
      <c r="A17" s="137">
        <v>35029</v>
      </c>
      <c r="B17" s="138">
        <f t="shared" si="4"/>
        <v>9</v>
      </c>
      <c r="C17" s="138">
        <f t="shared" si="5"/>
        <v>762</v>
      </c>
      <c r="D17" s="64">
        <v>87</v>
      </c>
      <c r="E17" s="64">
        <v>0</v>
      </c>
      <c r="G17" s="139">
        <f t="shared" si="9"/>
        <v>8.1612941397654071E-3</v>
      </c>
      <c r="H17" s="164">
        <f t="shared" si="6"/>
        <v>1.114306999548953E-3</v>
      </c>
      <c r="I17" s="140">
        <f t="shared" si="0"/>
        <v>-591.5584655357577</v>
      </c>
      <c r="K17" s="56">
        <f t="shared" si="1"/>
        <v>816.12941397654072</v>
      </c>
      <c r="L17" s="56">
        <f t="shared" si="7"/>
        <v>111.43069995489532</v>
      </c>
      <c r="M17" s="78">
        <f t="shared" si="2"/>
        <v>0.28081264315971627</v>
      </c>
      <c r="N17" s="145">
        <f>'W(All)+Cov (Holdout)'!L17-L17</f>
        <v>0</v>
      </c>
      <c r="O17" s="56"/>
      <c r="P17" s="56">
        <f t="shared" si="8"/>
        <v>15.627617951722621</v>
      </c>
      <c r="Q17" s="141">
        <f t="shared" si="3"/>
        <v>1</v>
      </c>
      <c r="R17" s="64">
        <v>0</v>
      </c>
      <c r="S17" s="54" t="s">
        <v>23</v>
      </c>
    </row>
    <row r="18" spans="1:30">
      <c r="A18" s="137">
        <v>35036</v>
      </c>
      <c r="B18" s="138">
        <f t="shared" si="4"/>
        <v>10</v>
      </c>
      <c r="C18" s="138">
        <f t="shared" si="5"/>
        <v>836</v>
      </c>
      <c r="D18" s="64">
        <v>74</v>
      </c>
      <c r="E18" s="64">
        <v>0</v>
      </c>
      <c r="G18" s="139">
        <f t="shared" si="9"/>
        <v>9.3058870214366429E-3</v>
      </c>
      <c r="H18" s="164">
        <f t="shared" si="6"/>
        <v>1.1445928816712359E-3</v>
      </c>
      <c r="I18" s="140">
        <f t="shared" si="0"/>
        <v>-501.18026376260445</v>
      </c>
      <c r="K18" s="56">
        <f t="shared" si="1"/>
        <v>930.58870214366425</v>
      </c>
      <c r="L18" s="56">
        <f t="shared" si="7"/>
        <v>114.45928816712353</v>
      </c>
      <c r="M18" s="78">
        <f t="shared" si="2"/>
        <v>0.54674713739356129</v>
      </c>
      <c r="N18" s="145">
        <f>'W(All)+Cov (Holdout)'!L18-L18</f>
        <v>0</v>
      </c>
      <c r="O18" s="56"/>
      <c r="P18" s="56">
        <f t="shared" si="8"/>
        <v>17.829612277958415</v>
      </c>
      <c r="Q18" s="141">
        <f t="shared" si="3"/>
        <v>1</v>
      </c>
      <c r="R18" s="64">
        <v>0</v>
      </c>
      <c r="S18" s="149"/>
    </row>
    <row r="19" spans="1:30">
      <c r="A19" s="137">
        <v>35043</v>
      </c>
      <c r="B19" s="138">
        <f t="shared" si="4"/>
        <v>11</v>
      </c>
      <c r="C19" s="138">
        <f t="shared" si="5"/>
        <v>924</v>
      </c>
      <c r="D19" s="64">
        <v>88</v>
      </c>
      <c r="E19" s="64">
        <v>0</v>
      </c>
      <c r="G19" s="139">
        <f t="shared" si="9"/>
        <v>1.0478260788139737E-2</v>
      </c>
      <c r="H19" s="164">
        <f t="shared" si="6"/>
        <v>1.1723737667030942E-3</v>
      </c>
      <c r="I19" s="140">
        <f t="shared" si="0"/>
        <v>-593.88777580882174</v>
      </c>
      <c r="K19" s="56">
        <f t="shared" si="1"/>
        <v>1047.8260788139737</v>
      </c>
      <c r="L19" s="56">
        <f t="shared" si="7"/>
        <v>117.23737667030946</v>
      </c>
      <c r="M19" s="78">
        <f t="shared" si="2"/>
        <v>0.33224291670806205</v>
      </c>
      <c r="N19" s="145">
        <f>'W(All)+Cov (Holdout)'!L19-L19</f>
        <v>0</v>
      </c>
      <c r="O19" s="56"/>
      <c r="P19" s="56">
        <f t="shared" si="8"/>
        <v>20.087691122505426</v>
      </c>
      <c r="Q19" s="141">
        <f t="shared" si="3"/>
        <v>1</v>
      </c>
      <c r="R19" s="64">
        <v>0</v>
      </c>
    </row>
    <row r="20" spans="1:30">
      <c r="A20" s="137">
        <v>35050</v>
      </c>
      <c r="B20" s="138">
        <f t="shared" si="4"/>
        <v>12</v>
      </c>
      <c r="C20" s="138">
        <f t="shared" si="5"/>
        <v>1025</v>
      </c>
      <c r="D20" s="64">
        <v>101</v>
      </c>
      <c r="E20" s="64">
        <v>0</v>
      </c>
      <c r="G20" s="139">
        <f t="shared" si="9"/>
        <v>1.1676306243847634E-2</v>
      </c>
      <c r="H20" s="164">
        <f t="shared" si="6"/>
        <v>1.1980454557078968E-3</v>
      </c>
      <c r="I20" s="140">
        <f t="shared" si="0"/>
        <v>-679.4334475383929</v>
      </c>
      <c r="K20" s="56">
        <f t="shared" si="1"/>
        <v>1167.6306243847635</v>
      </c>
      <c r="L20" s="56">
        <f t="shared" si="7"/>
        <v>119.80454557078974</v>
      </c>
      <c r="M20" s="78">
        <f t="shared" si="2"/>
        <v>0.18618361951276971</v>
      </c>
      <c r="N20" s="145">
        <f>'W(All)+Cov (Holdout)'!L20-L20</f>
        <v>0</v>
      </c>
      <c r="O20" s="56"/>
      <c r="P20" s="56">
        <f t="shared" si="8"/>
        <v>22.397981091833721</v>
      </c>
      <c r="Q20" s="141">
        <f t="shared" si="3"/>
        <v>1</v>
      </c>
      <c r="R20" s="64">
        <v>0</v>
      </c>
    </row>
    <row r="21" spans="1:30">
      <c r="A21" s="137">
        <v>35057</v>
      </c>
      <c r="B21" s="138">
        <f t="shared" si="4"/>
        <v>13</v>
      </c>
      <c r="C21" s="138">
        <f t="shared" si="5"/>
        <v>1201</v>
      </c>
      <c r="D21" s="64">
        <v>176</v>
      </c>
      <c r="E21" s="64">
        <v>0</v>
      </c>
      <c r="G21" s="139">
        <f t="shared" si="9"/>
        <v>1.2898218287149876E-2</v>
      </c>
      <c r="H21" s="164">
        <f t="shared" si="6"/>
        <v>1.2219120433022423E-3</v>
      </c>
      <c r="I21" s="140">
        <f t="shared" si="0"/>
        <v>-1180.4915581326541</v>
      </c>
      <c r="K21" s="56">
        <f t="shared" si="1"/>
        <v>1289.8218287149875</v>
      </c>
      <c r="L21" s="56">
        <f t="shared" si="7"/>
        <v>122.19120433022408</v>
      </c>
      <c r="M21" s="78">
        <f t="shared" si="2"/>
        <v>0.30573179357827224</v>
      </c>
      <c r="N21" s="145">
        <f>'W(All)+Cov (Holdout)'!L21-L21</f>
        <v>0</v>
      </c>
      <c r="O21" s="56"/>
      <c r="P21" s="56">
        <f t="shared" si="8"/>
        <v>24.757181542534248</v>
      </c>
      <c r="Q21" s="141">
        <f t="shared" si="3"/>
        <v>1</v>
      </c>
      <c r="R21" s="64">
        <v>0</v>
      </c>
      <c r="S21" s="150" t="s">
        <v>25</v>
      </c>
    </row>
    <row r="22" spans="1:30">
      <c r="A22" s="137">
        <v>35064</v>
      </c>
      <c r="B22" s="138">
        <f t="shared" si="4"/>
        <v>14</v>
      </c>
      <c r="C22" s="138">
        <f t="shared" si="5"/>
        <v>1345</v>
      </c>
      <c r="D22" s="64">
        <v>144</v>
      </c>
      <c r="E22" s="64">
        <v>0</v>
      </c>
      <c r="G22" s="139">
        <f t="shared" si="9"/>
        <v>1.4142431031363589E-2</v>
      </c>
      <c r="H22" s="164">
        <f t="shared" si="6"/>
        <v>1.244212744213713E-3</v>
      </c>
      <c r="I22" s="140">
        <f t="shared" si="0"/>
        <v>-963.25232875744257</v>
      </c>
      <c r="K22" s="56">
        <f t="shared" si="1"/>
        <v>1414.243103136359</v>
      </c>
      <c r="L22" s="56">
        <f t="shared" si="7"/>
        <v>124.42127442137144</v>
      </c>
      <c r="M22" s="78">
        <f t="shared" si="2"/>
        <v>0.13596337207380949</v>
      </c>
      <c r="N22" s="145">
        <f>'W(All)+Cov (Holdout)'!L22-L22</f>
        <v>0</v>
      </c>
      <c r="O22" s="56"/>
      <c r="P22" s="56">
        <f t="shared" si="8"/>
        <v>27.162441701148651</v>
      </c>
      <c r="Q22" s="141">
        <f t="shared" si="3"/>
        <v>1</v>
      </c>
      <c r="R22" s="64">
        <v>0</v>
      </c>
      <c r="S22" s="55"/>
    </row>
    <row r="23" spans="1:30">
      <c r="A23" s="137">
        <v>35071</v>
      </c>
      <c r="B23" s="138">
        <f t="shared" si="4"/>
        <v>15</v>
      </c>
      <c r="C23" s="138">
        <f t="shared" si="5"/>
        <v>1523</v>
      </c>
      <c r="D23" s="64">
        <v>178</v>
      </c>
      <c r="E23" s="64">
        <v>0</v>
      </c>
      <c r="G23" s="139">
        <f t="shared" si="9"/>
        <v>1.5407570514139324E-2</v>
      </c>
      <c r="H23" s="164">
        <f t="shared" si="6"/>
        <v>1.2651394827757345E-3</v>
      </c>
      <c r="I23" s="140">
        <f t="shared" si="0"/>
        <v>-1187.7179761674895</v>
      </c>
      <c r="K23" s="56">
        <f t="shared" si="1"/>
        <v>1540.7570514139325</v>
      </c>
      <c r="L23" s="56">
        <f t="shared" si="7"/>
        <v>126.51394827757349</v>
      </c>
      <c r="M23" s="78">
        <f t="shared" si="2"/>
        <v>0.2892474815866658</v>
      </c>
      <c r="N23" s="145">
        <f>'W(All)+Cov (Holdout)'!L23-L23</f>
        <v>0</v>
      </c>
      <c r="O23" s="56"/>
      <c r="P23" s="56">
        <f t="shared" si="8"/>
        <v>29.611271167589241</v>
      </c>
      <c r="Q23" s="141">
        <f t="shared" si="3"/>
        <v>1</v>
      </c>
      <c r="R23" s="64">
        <v>0</v>
      </c>
      <c r="S23" s="151" t="s">
        <v>24</v>
      </c>
      <c r="X23" s="54" t="s">
        <v>133</v>
      </c>
    </row>
    <row r="24" spans="1:30">
      <c r="A24" s="137">
        <v>35078</v>
      </c>
      <c r="B24" s="138">
        <f t="shared" si="4"/>
        <v>16</v>
      </c>
      <c r="C24" s="138">
        <f t="shared" si="5"/>
        <v>1664</v>
      </c>
      <c r="D24" s="64">
        <v>141</v>
      </c>
      <c r="E24" s="64">
        <v>0</v>
      </c>
      <c r="G24" s="139">
        <f t="shared" si="9"/>
        <v>1.6692419353672605E-2</v>
      </c>
      <c r="H24" s="164">
        <f t="shared" si="6"/>
        <v>1.2848488395332813E-3</v>
      </c>
      <c r="I24" s="140">
        <f t="shared" si="0"/>
        <v>-938.65310250440439</v>
      </c>
      <c r="K24" s="56">
        <f t="shared" si="1"/>
        <v>1669.2419353672606</v>
      </c>
      <c r="L24" s="56">
        <f t="shared" si="7"/>
        <v>128.48488395332811</v>
      </c>
      <c r="M24" s="78">
        <f t="shared" si="2"/>
        <v>8.8759688274268736E-2</v>
      </c>
      <c r="N24" s="145">
        <f>'W(All)+Cov (Holdout)'!L24-L24</f>
        <v>0</v>
      </c>
      <c r="O24" s="56"/>
      <c r="P24" s="56">
        <f t="shared" si="8"/>
        <v>32.101473080537033</v>
      </c>
      <c r="Q24" s="141">
        <f t="shared" si="3"/>
        <v>1</v>
      </c>
      <c r="R24" s="64">
        <v>0</v>
      </c>
      <c r="S24" s="152" t="s">
        <v>33</v>
      </c>
    </row>
    <row r="25" spans="1:30">
      <c r="A25" s="137">
        <v>35085</v>
      </c>
      <c r="B25" s="138">
        <f t="shared" si="4"/>
        <v>17</v>
      </c>
      <c r="C25" s="138">
        <f t="shared" si="5"/>
        <v>1815</v>
      </c>
      <c r="D25" s="64">
        <v>151</v>
      </c>
      <c r="E25" s="64">
        <v>0</v>
      </c>
      <c r="G25" s="139">
        <f t="shared" si="9"/>
        <v>1.7995889763718909E-2</v>
      </c>
      <c r="H25" s="164">
        <f t="shared" si="6"/>
        <v>1.3034704100463035E-3</v>
      </c>
      <c r="I25" s="140">
        <f t="shared" si="0"/>
        <v>-1003.0514788104539</v>
      </c>
      <c r="K25" s="56">
        <f t="shared" si="1"/>
        <v>1799.5889763718908</v>
      </c>
      <c r="L25" s="56">
        <f t="shared" si="7"/>
        <v>130.34704100463023</v>
      </c>
      <c r="M25" s="78">
        <f t="shared" si="2"/>
        <v>0.13677456288324352</v>
      </c>
      <c r="N25" s="145">
        <f>'W(All)+Cov (Holdout)'!L25-L25</f>
        <v>0</v>
      </c>
      <c r="O25" s="56"/>
      <c r="P25" s="56">
        <f t="shared" si="8"/>
        <v>34.63109313056659</v>
      </c>
      <c r="Q25" s="141">
        <f t="shared" si="3"/>
        <v>1</v>
      </c>
      <c r="R25" s="64">
        <v>0</v>
      </c>
      <c r="S25" s="151" t="s">
        <v>36</v>
      </c>
      <c r="V25" s="153"/>
    </row>
    <row r="26" spans="1:30">
      <c r="A26" s="137">
        <v>35092</v>
      </c>
      <c r="B26" s="138">
        <f t="shared" si="4"/>
        <v>18</v>
      </c>
      <c r="C26" s="138">
        <f t="shared" si="5"/>
        <v>1917</v>
      </c>
      <c r="D26" s="64">
        <v>102</v>
      </c>
      <c r="E26" s="64">
        <v>0</v>
      </c>
      <c r="G26" s="139">
        <f t="shared" si="9"/>
        <v>1.9317002567715735E-2</v>
      </c>
      <c r="H26" s="164">
        <f t="shared" si="6"/>
        <v>1.3211128039968267E-3</v>
      </c>
      <c r="I26" s="140">
        <f t="shared" si="0"/>
        <v>-676.18664814900558</v>
      </c>
      <c r="K26" s="56">
        <f t="shared" si="1"/>
        <v>1931.7002567715735</v>
      </c>
      <c r="L26" s="56">
        <f t="shared" si="7"/>
        <v>132.11128039968276</v>
      </c>
      <c r="M26" s="78">
        <f t="shared" si="2"/>
        <v>0.29520863136943876</v>
      </c>
      <c r="N26" s="145">
        <f>'W(All)+Cov (Holdout)'!L26-L26</f>
        <v>0</v>
      </c>
      <c r="O26" s="56"/>
      <c r="P26" s="56">
        <f t="shared" si="8"/>
        <v>37.198379941034169</v>
      </c>
      <c r="Q26" s="141">
        <f t="shared" si="3"/>
        <v>1</v>
      </c>
      <c r="R26" s="64">
        <v>0</v>
      </c>
    </row>
    <row r="27" spans="1:30">
      <c r="A27" s="137">
        <v>35099</v>
      </c>
      <c r="B27" s="138">
        <f t="shared" si="4"/>
        <v>19</v>
      </c>
      <c r="C27" s="138">
        <f t="shared" si="5"/>
        <v>2049</v>
      </c>
      <c r="D27" s="64">
        <v>132</v>
      </c>
      <c r="E27" s="138">
        <v>20.080000000000002</v>
      </c>
      <c r="F27" s="140"/>
      <c r="G27" s="139">
        <f t="shared" si="9"/>
        <v>2.0654870614279841E-2</v>
      </c>
      <c r="H27" s="164">
        <f t="shared" si="6"/>
        <v>1.3378680465641057E-3</v>
      </c>
      <c r="I27" s="140">
        <f t="shared" si="0"/>
        <v>-873.40148835015236</v>
      </c>
      <c r="K27" s="56">
        <f t="shared" si="1"/>
        <v>2065.4870614279839</v>
      </c>
      <c r="L27" s="56">
        <f t="shared" si="7"/>
        <v>133.78680465641037</v>
      </c>
      <c r="M27" s="78">
        <f t="shared" si="2"/>
        <v>1.3536398912199757E-2</v>
      </c>
      <c r="N27" s="145">
        <f>'W(All)+Cov (Holdout)'!L27-L27</f>
        <v>0</v>
      </c>
      <c r="O27" s="56"/>
      <c r="P27" s="56">
        <f>P26+(B27^$B$2-B26^$B$2)*Q27</f>
        <v>39.801753784598063</v>
      </c>
      <c r="Q27" s="141">
        <f t="shared" si="3"/>
        <v>1</v>
      </c>
      <c r="R27" s="138">
        <v>0</v>
      </c>
      <c r="AD27" s="154"/>
    </row>
    <row r="28" spans="1:30">
      <c r="A28" s="137">
        <v>35106</v>
      </c>
      <c r="B28" s="138">
        <f t="shared" si="4"/>
        <v>20</v>
      </c>
      <c r="C28" s="138">
        <f t="shared" si="5"/>
        <v>2237</v>
      </c>
      <c r="D28" s="64">
        <v>188</v>
      </c>
      <c r="E28" s="138">
        <v>18.669999999999998</v>
      </c>
      <c r="F28" s="140"/>
      <c r="G28" s="139">
        <f t="shared" si="9"/>
        <v>2.2008685484622093E-2</v>
      </c>
      <c r="H28" s="164">
        <f t="shared" si="6"/>
        <v>1.3538148703422515E-3</v>
      </c>
      <c r="I28" s="140">
        <f t="shared" si="0"/>
        <v>-1241.7078222584198</v>
      </c>
      <c r="K28" s="56">
        <f t="shared" si="1"/>
        <v>2200.8685484622092</v>
      </c>
      <c r="L28" s="56">
        <f t="shared" si="7"/>
        <v>135.3814870342253</v>
      </c>
      <c r="M28" s="78">
        <f t="shared" si="2"/>
        <v>0.27988570726475903</v>
      </c>
      <c r="N28" s="145">
        <f>'W(All)+Cov (Holdout)'!L28-L28</f>
        <v>0</v>
      </c>
      <c r="O28" s="56"/>
      <c r="P28" s="56">
        <f t="shared" si="8"/>
        <v>42.43978153073018</v>
      </c>
      <c r="Q28" s="141">
        <f t="shared" si="3"/>
        <v>1</v>
      </c>
      <c r="R28" s="138">
        <v>0</v>
      </c>
      <c r="AD28" s="154"/>
    </row>
    <row r="29" spans="1:30">
      <c r="A29" s="137">
        <v>35113</v>
      </c>
      <c r="B29" s="138">
        <f t="shared" si="4"/>
        <v>21</v>
      </c>
      <c r="C29" s="138">
        <f t="shared" si="5"/>
        <v>2358</v>
      </c>
      <c r="D29" s="64">
        <v>121</v>
      </c>
      <c r="E29" s="138">
        <v>83.27000000000001</v>
      </c>
      <c r="F29" s="140"/>
      <c r="G29" s="139">
        <f t="shared" si="9"/>
        <v>2.337770670424244E-2</v>
      </c>
      <c r="H29" s="164">
        <f t="shared" si="6"/>
        <v>1.3690212196203477E-3</v>
      </c>
      <c r="I29" s="140">
        <f t="shared" si="0"/>
        <v>-797.83276715767295</v>
      </c>
      <c r="K29" s="56">
        <f t="shared" si="1"/>
        <v>2337.7706704242441</v>
      </c>
      <c r="L29" s="56">
        <f t="shared" si="7"/>
        <v>136.90212196203493</v>
      </c>
      <c r="M29" s="78">
        <f t="shared" si="2"/>
        <v>0.13142249555400765</v>
      </c>
      <c r="N29" s="145">
        <f>'W(All)+Cov (Holdout)'!L29-L29</f>
        <v>5.0107265781916794</v>
      </c>
      <c r="O29" s="56"/>
      <c r="P29" s="56">
        <f t="shared" si="8"/>
        <v>45.111156330688608</v>
      </c>
      <c r="Q29" s="141">
        <f t="shared" si="3"/>
        <v>1</v>
      </c>
      <c r="R29" s="138">
        <v>20.080000000000002</v>
      </c>
      <c r="AD29" s="154"/>
    </row>
    <row r="30" spans="1:30">
      <c r="A30" s="137">
        <v>35120</v>
      </c>
      <c r="B30" s="138">
        <f t="shared" si="4"/>
        <v>22</v>
      </c>
      <c r="C30" s="138">
        <f t="shared" si="5"/>
        <v>2497</v>
      </c>
      <c r="D30" s="64">
        <v>139</v>
      </c>
      <c r="E30" s="138">
        <v>184.69</v>
      </c>
      <c r="F30" s="140"/>
      <c r="G30" s="139">
        <f t="shared" si="9"/>
        <v>2.4761252888688134E-2</v>
      </c>
      <c r="H30" s="164">
        <f t="shared" si="6"/>
        <v>1.3835461844456942E-3</v>
      </c>
      <c r="I30" s="140">
        <f t="shared" si="0"/>
        <v>-915.05164739885117</v>
      </c>
      <c r="K30" s="56">
        <f t="shared" si="1"/>
        <v>2476.1252888688136</v>
      </c>
      <c r="L30" s="56">
        <f t="shared" si="7"/>
        <v>138.3546184445695</v>
      </c>
      <c r="M30" s="78">
        <f t="shared" si="2"/>
        <v>4.6430327728813224E-3</v>
      </c>
      <c r="N30" s="145">
        <f>'W(All)+Cov (Holdout)'!L30-L30</f>
        <v>4.6949579896481737</v>
      </c>
      <c r="O30" s="56"/>
      <c r="P30" s="56">
        <f t="shared" si="8"/>
        <v>47.814680959149634</v>
      </c>
      <c r="Q30" s="141">
        <f t="shared" si="3"/>
        <v>1</v>
      </c>
      <c r="R30" s="138">
        <v>18.669999999999998</v>
      </c>
      <c r="AD30" s="154"/>
    </row>
    <row r="31" spans="1:30">
      <c r="A31" s="137">
        <v>35127</v>
      </c>
      <c r="B31" s="138">
        <f t="shared" si="4"/>
        <v>23</v>
      </c>
      <c r="C31" s="138">
        <f t="shared" si="5"/>
        <v>2663</v>
      </c>
      <c r="D31" s="64">
        <v>166</v>
      </c>
      <c r="E31" s="138">
        <v>424.75</v>
      </c>
      <c r="F31" s="140"/>
      <c r="G31" s="139">
        <f t="shared" si="9"/>
        <v>2.6158694403303984E-2</v>
      </c>
      <c r="H31" s="164">
        <f t="shared" si="6"/>
        <v>1.3974415146158492E-3</v>
      </c>
      <c r="I31" s="140">
        <f t="shared" si="0"/>
        <v>-1091.1366258336725</v>
      </c>
      <c r="K31" s="56">
        <f t="shared" si="1"/>
        <v>2615.8694403303984</v>
      </c>
      <c r="L31" s="56">
        <f t="shared" si="7"/>
        <v>139.74415146158481</v>
      </c>
      <c r="M31" s="78">
        <f t="shared" si="2"/>
        <v>0.1581677622796096</v>
      </c>
      <c r="N31" s="145">
        <f>'W(All)+Cov (Holdout)'!L31-L31</f>
        <v>22.446645310248186</v>
      </c>
      <c r="O31" s="56"/>
      <c r="P31" s="56">
        <f t="shared" si="8"/>
        <v>50.549254016622903</v>
      </c>
      <c r="Q31" s="141">
        <f t="shared" si="3"/>
        <v>1</v>
      </c>
      <c r="R31" s="138">
        <v>83.27000000000001</v>
      </c>
      <c r="V31" s="96">
        <f>COUNTA(B34:B35)/COUNTA(B9:B33)</f>
        <v>0.08</v>
      </c>
      <c r="AD31" s="154"/>
    </row>
    <row r="32" spans="1:30">
      <c r="A32" s="137">
        <v>35134</v>
      </c>
      <c r="B32" s="138">
        <f t="shared" si="4"/>
        <v>24</v>
      </c>
      <c r="C32" s="138">
        <f t="shared" si="5"/>
        <v>2833</v>
      </c>
      <c r="D32" s="64">
        <v>170</v>
      </c>
      <c r="E32" s="138">
        <v>518.51</v>
      </c>
      <c r="F32" s="140"/>
      <c r="G32" s="139">
        <f t="shared" si="9"/>
        <v>2.756944722263599E-2</v>
      </c>
      <c r="H32" s="164">
        <f t="shared" si="6"/>
        <v>1.4107528193320062E-3</v>
      </c>
      <c r="I32" s="140">
        <f t="shared" si="0"/>
        <v>-1115.8174064511441</v>
      </c>
      <c r="K32" s="56">
        <f t="shared" si="1"/>
        <v>2756.944722263599</v>
      </c>
      <c r="L32" s="56">
        <f t="shared" si="7"/>
        <v>141.07528193320059</v>
      </c>
      <c r="M32" s="78">
        <f t="shared" si="2"/>
        <v>0.17014540039293774</v>
      </c>
      <c r="N32" s="145">
        <f>'W(All)+Cov (Holdout)'!L32-L32</f>
        <v>55.205117336664898</v>
      </c>
      <c r="O32" s="56"/>
      <c r="P32" s="56">
        <f t="shared" si="8"/>
        <v>53.313858397356789</v>
      </c>
      <c r="Q32" s="141">
        <f t="shared" si="3"/>
        <v>1</v>
      </c>
      <c r="R32" s="138">
        <v>184.69</v>
      </c>
      <c r="AD32" s="154"/>
    </row>
    <row r="33" spans="1:30">
      <c r="A33" s="137">
        <v>35141</v>
      </c>
      <c r="B33" s="138">
        <f t="shared" si="4"/>
        <v>25</v>
      </c>
      <c r="C33" s="138">
        <f t="shared" si="5"/>
        <v>3149</v>
      </c>
      <c r="D33" s="64">
        <v>316</v>
      </c>
      <c r="E33" s="138">
        <v>673.75</v>
      </c>
      <c r="F33" s="140"/>
      <c r="G33" s="139">
        <f t="shared" si="9"/>
        <v>2.8992967750932519E-2</v>
      </c>
      <c r="H33" s="164">
        <f t="shared" si="6"/>
        <v>1.4235205282965291E-3</v>
      </c>
      <c r="I33" s="140">
        <f t="shared" si="0"/>
        <v>-2071.2606247899794</v>
      </c>
      <c r="K33" s="56">
        <f t="shared" si="1"/>
        <v>2899.2967750932521</v>
      </c>
      <c r="L33" s="56">
        <f t="shared" si="7"/>
        <v>142.35205282965308</v>
      </c>
      <c r="M33" s="78">
        <f t="shared" si="2"/>
        <v>0.54951882015932574</v>
      </c>
      <c r="N33" s="145">
        <f>'W(All)+Cov (Holdout)'!L33-L33</f>
        <v>161.78936240460735</v>
      </c>
      <c r="O33" s="56"/>
      <c r="P33" s="56">
        <f t="shared" si="8"/>
        <v>56.107551571149685</v>
      </c>
      <c r="Q33" s="141">
        <f t="shared" si="3"/>
        <v>1</v>
      </c>
      <c r="R33" s="138">
        <v>424.75</v>
      </c>
      <c r="S33" s="140"/>
      <c r="AD33" s="154"/>
    </row>
    <row r="34" spans="1:30">
      <c r="A34" s="48">
        <v>35148</v>
      </c>
      <c r="B34" s="49">
        <f t="shared" si="4"/>
        <v>26</v>
      </c>
      <c r="C34" s="49">
        <f t="shared" si="5"/>
        <v>3576</v>
      </c>
      <c r="D34" s="50">
        <v>427</v>
      </c>
      <c r="E34" s="49">
        <v>670.4</v>
      </c>
      <c r="F34" s="52"/>
      <c r="G34" s="51">
        <f t="shared" si="9"/>
        <v>3.0428748420368468E-2</v>
      </c>
      <c r="H34" s="51">
        <f t="shared" si="6"/>
        <v>1.4357806694359487E-3</v>
      </c>
      <c r="I34" s="52">
        <f>(B4-SUM(D9:D33))*IFERROR(LN(1-G33),-10000)</f>
        <v>-2849.5083251755159</v>
      </c>
      <c r="J34" s="46"/>
      <c r="K34" s="47">
        <f t="shared" si="1"/>
        <v>3042.874842036847</v>
      </c>
      <c r="L34" s="47">
        <f t="shared" si="7"/>
        <v>143.57806694359488</v>
      </c>
      <c r="M34" s="71">
        <f t="shared" si="2"/>
        <v>0.66375159966371222</v>
      </c>
      <c r="N34" s="145">
        <f>'W(All)+Cov (Holdout)'!L34-L34</f>
        <v>218.57521789724342</v>
      </c>
      <c r="O34" s="56"/>
      <c r="P34" s="56">
        <f t="shared" si="8"/>
        <v>58.929457332096803</v>
      </c>
      <c r="Q34" s="141">
        <f t="shared" si="3"/>
        <v>1</v>
      </c>
      <c r="R34" s="138">
        <v>518.51</v>
      </c>
      <c r="S34" s="56">
        <f>(SUM(L9:L35)/27)*10</f>
        <v>1180.6042194216566</v>
      </c>
      <c r="AD34" s="154"/>
    </row>
    <row r="35" spans="1:30">
      <c r="A35" s="48">
        <v>35155</v>
      </c>
      <c r="B35" s="49">
        <f t="shared" si="4"/>
        <v>27</v>
      </c>
      <c r="C35" s="49">
        <f t="shared" si="5"/>
        <v>4160</v>
      </c>
      <c r="D35" s="50">
        <v>584</v>
      </c>
      <c r="E35" s="49">
        <v>657.45</v>
      </c>
      <c r="F35" s="52"/>
      <c r="G35" s="51">
        <f t="shared" si="9"/>
        <v>3.1876313924384725E-2</v>
      </c>
      <c r="H35" s="51">
        <f t="shared" si="6"/>
        <v>1.4475655040162572E-3</v>
      </c>
      <c r="I35" s="52"/>
      <c r="J35" s="46"/>
      <c r="K35" s="47">
        <f t="shared" si="1"/>
        <v>3187.6313924384726</v>
      </c>
      <c r="L35" s="47">
        <f t="shared" si="7"/>
        <v>144.75655040162565</v>
      </c>
      <c r="M35" s="71">
        <f t="shared" si="2"/>
        <v>0.75212919451776428</v>
      </c>
      <c r="N35" s="145">
        <f>'W(All)+Cov (Holdout)'!L35-L35</f>
        <v>336.04999050801371</v>
      </c>
      <c r="O35" s="56"/>
      <c r="P35" s="56">
        <f t="shared" si="8"/>
        <v>61.778758744556534</v>
      </c>
      <c r="Q35" s="141">
        <f t="shared" si="3"/>
        <v>1</v>
      </c>
      <c r="R35" s="138">
        <v>673.75</v>
      </c>
      <c r="AD35" s="154"/>
    </row>
    <row r="36" spans="1:30">
      <c r="A36" s="155"/>
      <c r="B36" s="155"/>
      <c r="C36" s="155"/>
      <c r="R36" s="138"/>
    </row>
    <row r="37" spans="1:30">
      <c r="A37" s="155"/>
      <c r="B37" s="155"/>
      <c r="C37" s="155"/>
      <c r="O37" s="56">
        <f>SUM(N29:N35)</f>
        <v>803.77201802461741</v>
      </c>
      <c r="R37" s="138"/>
    </row>
    <row r="38" spans="1:30">
      <c r="A38" s="155"/>
      <c r="B38" s="155"/>
      <c r="C38" s="155"/>
    </row>
    <row r="39" spans="1:30">
      <c r="A39" s="155"/>
      <c r="B39" s="155"/>
      <c r="C39" s="155"/>
      <c r="F39" s="55"/>
      <c r="G39" s="55"/>
      <c r="H39" s="55"/>
      <c r="I39" s="55"/>
      <c r="J39" s="55"/>
      <c r="K39" s="55"/>
      <c r="L39" s="55"/>
      <c r="M39" s="55"/>
      <c r="N39" s="55"/>
      <c r="O39" s="55"/>
      <c r="P39" s="55"/>
      <c r="Q39" s="55"/>
      <c r="R39" s="55"/>
    </row>
    <row r="40" spans="1:30">
      <c r="A40" s="155"/>
      <c r="B40" s="156"/>
      <c r="C40" s="156"/>
      <c r="F40" s="55"/>
      <c r="G40" s="55"/>
      <c r="H40" s="55"/>
      <c r="I40" s="55"/>
      <c r="J40" s="55"/>
      <c r="K40" s="55"/>
      <c r="L40" s="55"/>
      <c r="M40" s="55"/>
      <c r="N40" s="55"/>
      <c r="O40" s="55"/>
      <c r="P40" s="55"/>
      <c r="Q40" s="55"/>
      <c r="R40" s="55"/>
    </row>
    <row r="41" spans="1:30">
      <c r="A41" s="155"/>
      <c r="B41" s="155"/>
      <c r="C41" s="155"/>
      <c r="F41" s="55"/>
      <c r="G41" s="55"/>
      <c r="H41" s="55"/>
      <c r="I41" s="55"/>
      <c r="J41" s="55"/>
      <c r="K41" s="55"/>
      <c r="L41" s="55"/>
      <c r="M41" s="55"/>
      <c r="N41" s="55"/>
      <c r="O41" s="55"/>
      <c r="P41" s="55"/>
      <c r="Q41" s="55"/>
      <c r="R41" s="55"/>
    </row>
    <row r="42" spans="1:30">
      <c r="A42" s="155"/>
      <c r="B42" s="155"/>
      <c r="C42" s="155"/>
    </row>
    <row r="43" spans="1:30">
      <c r="A43" s="155"/>
      <c r="C43" s="155"/>
      <c r="F43" s="55"/>
      <c r="G43" s="55"/>
      <c r="H43" s="55"/>
      <c r="I43" s="55"/>
      <c r="J43" s="55"/>
      <c r="K43" s="55"/>
      <c r="L43" s="55"/>
      <c r="M43" s="55"/>
      <c r="N43" s="55"/>
      <c r="O43" s="55"/>
      <c r="P43" s="55"/>
      <c r="Q43" s="55"/>
      <c r="R43" s="55"/>
    </row>
    <row r="44" spans="1:30">
      <c r="A44" s="155"/>
      <c r="B44" s="155"/>
      <c r="C44" s="155"/>
      <c r="F44" s="57"/>
      <c r="G44" s="57"/>
      <c r="H44" s="57"/>
      <c r="I44" s="57"/>
      <c r="J44" s="57"/>
      <c r="K44" s="57"/>
      <c r="L44" s="57"/>
      <c r="M44" s="57"/>
      <c r="N44" s="57"/>
      <c r="O44" s="57"/>
      <c r="P44" s="57"/>
      <c r="Q44" s="57"/>
      <c r="R44" s="57"/>
    </row>
    <row r="45" spans="1:30">
      <c r="A45" s="155"/>
      <c r="B45" s="155"/>
      <c r="C45" s="155"/>
    </row>
    <row r="46" spans="1:30">
      <c r="A46" s="155"/>
      <c r="B46" s="155"/>
      <c r="C46" s="155"/>
    </row>
    <row r="47" spans="1:30">
      <c r="A47" s="155"/>
      <c r="B47" s="155"/>
      <c r="C47" s="155"/>
    </row>
    <row r="48" spans="1:30">
      <c r="A48" s="155"/>
      <c r="B48" s="155"/>
      <c r="C48" s="155"/>
      <c r="D48" s="157"/>
      <c r="E48" s="157"/>
    </row>
    <row r="49" spans="1:18">
      <c r="A49" s="155"/>
      <c r="B49" s="155"/>
      <c r="C49" s="155"/>
    </row>
    <row r="50" spans="1:18">
      <c r="A50" s="155"/>
      <c r="B50" s="155"/>
      <c r="C50" s="155"/>
    </row>
    <row r="51" spans="1:18" ht="14.25">
      <c r="A51" s="155"/>
      <c r="B51" s="155"/>
      <c r="C51" s="155"/>
      <c r="D51" s="157"/>
      <c r="E51" s="157"/>
      <c r="F51" s="58"/>
      <c r="G51" s="58"/>
      <c r="H51" s="58"/>
      <c r="I51" s="58"/>
      <c r="J51" s="58"/>
      <c r="K51" s="58"/>
      <c r="L51" s="58"/>
      <c r="M51" s="58"/>
      <c r="N51" s="58"/>
      <c r="O51" s="58"/>
      <c r="P51" s="58"/>
      <c r="Q51" s="58"/>
      <c r="R51" s="58"/>
    </row>
    <row r="52" spans="1:18">
      <c r="A52" s="155"/>
      <c r="B52" s="155"/>
      <c r="C52" s="155"/>
      <c r="D52" s="64"/>
      <c r="E52" s="64"/>
    </row>
    <row r="53" spans="1:18">
      <c r="A53" s="155"/>
      <c r="B53" s="155"/>
      <c r="C53" s="155"/>
      <c r="F53" s="55"/>
      <c r="G53" s="55"/>
      <c r="H53" s="55"/>
      <c r="I53" s="55"/>
      <c r="J53" s="55"/>
      <c r="K53" s="55"/>
      <c r="L53" s="55"/>
      <c r="M53" s="55"/>
      <c r="N53" s="55"/>
      <c r="O53" s="55"/>
      <c r="P53" s="55"/>
      <c r="Q53" s="55"/>
      <c r="R53" s="55"/>
    </row>
    <row r="54" spans="1:18">
      <c r="A54" s="155"/>
      <c r="B54" s="155"/>
      <c r="C54" s="155"/>
      <c r="F54" s="59"/>
      <c r="G54" s="59"/>
      <c r="H54" s="59"/>
      <c r="I54" s="59"/>
      <c r="J54" s="59"/>
      <c r="K54" s="59"/>
      <c r="L54" s="59"/>
      <c r="M54" s="59"/>
      <c r="N54" s="59"/>
      <c r="O54" s="59"/>
      <c r="P54" s="59"/>
      <c r="Q54" s="59"/>
      <c r="R54" s="59"/>
    </row>
    <row r="56" spans="1:18">
      <c r="F56" s="55"/>
      <c r="G56" s="55"/>
      <c r="H56" s="55"/>
      <c r="I56" s="55"/>
      <c r="J56" s="55"/>
      <c r="K56" s="55"/>
      <c r="L56" s="55"/>
      <c r="M56" s="55"/>
      <c r="N56" s="55"/>
      <c r="O56" s="55"/>
      <c r="P56" s="55"/>
      <c r="Q56" s="55"/>
      <c r="R56" s="55"/>
    </row>
    <row r="59" spans="1:18" ht="15">
      <c r="F59" s="60"/>
      <c r="G59" s="60"/>
      <c r="H59" s="60"/>
      <c r="I59" s="60"/>
      <c r="J59" s="60"/>
      <c r="K59" s="60"/>
      <c r="L59" s="60"/>
      <c r="M59" s="60"/>
      <c r="N59" s="60"/>
      <c r="O59" s="60"/>
      <c r="P59" s="60"/>
      <c r="Q59" s="60"/>
      <c r="R59" s="60"/>
    </row>
  </sheetData>
  <scenarios current="0" show="0">
    <scenario name="pittsfield best fit" locked="1" count="1" user="Author">
      <inputCells r="D37" deleted="1" val=""/>
    </scenario>
  </scenarios>
  <printOptions gridLines="1" gridLinesSet="0"/>
  <pageMargins left="0.75" right="0.75" top="1" bottom="1" header="0.5" footer="0.5"/>
  <pageSetup orientation="portrait" r:id="rId1"/>
  <headerFooter alignWithMargins="0">
    <oddHeader>&amp;A</oddHeader>
    <oddFooter>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8512B-5A69-44EE-BE33-204116E5D7A8}">
  <dimension ref="A1:AE61"/>
  <sheetViews>
    <sheetView zoomScale="85" zoomScaleNormal="85" workbookViewId="0">
      <selection activeCell="L1" sqref="L1"/>
    </sheetView>
  </sheetViews>
  <sheetFormatPr defaultRowHeight="12.75"/>
  <cols>
    <col min="1" max="1" width="12" style="54" customWidth="1"/>
    <col min="2" max="3" width="10.85546875" style="54" customWidth="1"/>
    <col min="4" max="5" width="10.5703125" style="54" customWidth="1"/>
    <col min="6" max="6" width="3.7109375" style="54" customWidth="1"/>
    <col min="7" max="7" width="10.5703125" style="54" customWidth="1"/>
    <col min="8" max="8" width="10.85546875" style="54" customWidth="1"/>
    <col min="9" max="9" width="8.42578125" style="54" customWidth="1"/>
    <col min="10" max="10" width="3.28515625" style="54" customWidth="1"/>
    <col min="11" max="13" width="7.7109375" style="54" customWidth="1"/>
    <col min="14" max="14" width="9" style="54" customWidth="1"/>
    <col min="15" max="15" width="8.85546875" style="54" customWidth="1"/>
    <col min="16" max="16" width="9.28515625" style="54" customWidth="1"/>
    <col min="17" max="17" width="10.42578125" style="54" customWidth="1"/>
    <col min="18" max="18" width="9.28515625" style="54" customWidth="1"/>
    <col min="19" max="19" width="13" style="54" customWidth="1"/>
    <col min="20" max="20" width="11.140625" style="54" customWidth="1"/>
    <col min="21" max="16384" width="9.140625" style="54"/>
  </cols>
  <sheetData>
    <row r="1" spans="1:24">
      <c r="A1" s="54" t="s">
        <v>120</v>
      </c>
      <c r="B1" s="63">
        <f>EXP(C1)</f>
        <v>4.8011360899624319E-4</v>
      </c>
      <c r="C1" s="63">
        <v>-7.64148779665907</v>
      </c>
      <c r="F1" s="63"/>
      <c r="G1" s="54" t="s">
        <v>107</v>
      </c>
      <c r="H1" s="122">
        <f>-2*H2+2*LN(B8)</f>
        <v>47900.037430084398</v>
      </c>
      <c r="K1" s="54" t="s">
        <v>187</v>
      </c>
      <c r="L1" s="141">
        <f>2*(H2-'W(All)+Cov (Holdout)'!H2)</f>
        <v>10.349868398021499</v>
      </c>
      <c r="T1"/>
      <c r="U1"/>
      <c r="V1"/>
      <c r="W1"/>
      <c r="X1"/>
    </row>
    <row r="2" spans="1:24">
      <c r="A2" s="54" t="s">
        <v>121</v>
      </c>
      <c r="B2" s="63">
        <f>EXP(C2)</f>
        <v>1.2745683723944849</v>
      </c>
      <c r="C2" s="63">
        <v>0.24260758984037481</v>
      </c>
      <c r="F2" s="63"/>
      <c r="G2" s="54" t="s">
        <v>99</v>
      </c>
      <c r="H2" s="122">
        <f>SUM(I11:I36)</f>
        <v>-23938.50578957723</v>
      </c>
      <c r="K2" s="54" t="s">
        <v>164</v>
      </c>
      <c r="L2" s="54">
        <f>7-3</f>
        <v>4</v>
      </c>
      <c r="N2" s="64"/>
      <c r="O2" s="64"/>
      <c r="S2" s="62"/>
      <c r="T2"/>
      <c r="U2"/>
      <c r="V2"/>
      <c r="W2"/>
      <c r="X2"/>
    </row>
    <row r="3" spans="1:24">
      <c r="A3" s="54" t="s">
        <v>179</v>
      </c>
      <c r="B3" s="63">
        <f>C3</f>
        <v>1.751887397197427E-3</v>
      </c>
      <c r="C3" s="63">
        <v>1.751887397197427E-3</v>
      </c>
      <c r="F3" s="63"/>
      <c r="G3" s="54" t="s">
        <v>130</v>
      </c>
      <c r="H3" s="147">
        <f>AVERAGE(M11:M35)</f>
        <v>0.16667478348536099</v>
      </c>
      <c r="K3" s="54" t="s">
        <v>165</v>
      </c>
      <c r="L3" s="54">
        <f>_xlfn.CHISQ.DIST.RT(L1,L2)</f>
        <v>3.4929065550443145E-2</v>
      </c>
      <c r="N3" s="64"/>
      <c r="O3" s="64"/>
      <c r="S3" s="62"/>
      <c r="T3"/>
      <c r="U3"/>
      <c r="V3"/>
      <c r="W3"/>
      <c r="X3"/>
    </row>
    <row r="4" spans="1:24">
      <c r="A4" s="54" t="s">
        <v>122</v>
      </c>
      <c r="B4" s="63">
        <f>EXP(C4)</f>
        <v>2.5316287532281816</v>
      </c>
      <c r="C4" s="63">
        <v>0.92886287158408554</v>
      </c>
      <c r="F4" s="63"/>
      <c r="G4" s="54" t="s">
        <v>139</v>
      </c>
      <c r="H4" s="147">
        <f>AVERAGE(M36:M37)</f>
        <v>0.17805236332443714</v>
      </c>
      <c r="N4" s="56"/>
      <c r="O4" s="56"/>
      <c r="S4" s="62"/>
      <c r="T4"/>
      <c r="U4"/>
      <c r="V4"/>
      <c r="W4"/>
      <c r="X4"/>
    </row>
    <row r="5" spans="1:24">
      <c r="A5" s="54" t="s">
        <v>123</v>
      </c>
      <c r="B5" s="63">
        <f>EXP(C5)</f>
        <v>2.7182561120774817</v>
      </c>
      <c r="C5" s="63">
        <v>0.99999053942717042</v>
      </c>
      <c r="F5" s="63"/>
      <c r="H5" s="158"/>
      <c r="N5" s="56"/>
      <c r="O5" s="56"/>
      <c r="S5" s="62"/>
      <c r="T5"/>
      <c r="U5"/>
      <c r="V5"/>
      <c r="W5"/>
      <c r="X5"/>
    </row>
    <row r="6" spans="1:24">
      <c r="A6" s="54" t="s">
        <v>124</v>
      </c>
      <c r="B6" s="160">
        <f>EXP(C6)/(1+EXP(C6))</f>
        <v>0.99975472841275981</v>
      </c>
      <c r="C6" s="63">
        <v>8.3128991403547001</v>
      </c>
      <c r="E6" s="56">
        <f>(1-B6)*B8</f>
        <v>24.527158724019227</v>
      </c>
      <c r="F6" s="63"/>
      <c r="N6" s="147"/>
      <c r="O6" s="147"/>
      <c r="S6" s="62"/>
      <c r="T6"/>
      <c r="U6"/>
      <c r="V6"/>
      <c r="W6"/>
      <c r="X6"/>
    </row>
    <row r="7" spans="1:24">
      <c r="A7" s="57" t="s">
        <v>180</v>
      </c>
      <c r="B7" s="159">
        <f>C7</f>
        <v>1.7914612741658661E-3</v>
      </c>
      <c r="C7" s="63">
        <v>1.7914612741658661E-3</v>
      </c>
      <c r="R7" s="54" t="s">
        <v>181</v>
      </c>
      <c r="S7" s="136">
        <f>B3</f>
        <v>1.751887397197427E-3</v>
      </c>
    </row>
    <row r="8" spans="1:24">
      <c r="A8" s="54" t="s">
        <v>105</v>
      </c>
      <c r="B8" s="122">
        <v>100000</v>
      </c>
      <c r="C8" s="63"/>
      <c r="R8" s="54" t="s">
        <v>182</v>
      </c>
      <c r="S8" s="136">
        <f>B7</f>
        <v>1.7914612741658661E-3</v>
      </c>
    </row>
    <row r="10" spans="1:24">
      <c r="A10" s="148" t="s">
        <v>1</v>
      </c>
      <c r="B10" s="62" t="s">
        <v>100</v>
      </c>
      <c r="C10" s="62" t="s">
        <v>128</v>
      </c>
      <c r="D10" s="62" t="s">
        <v>101</v>
      </c>
      <c r="E10" s="62" t="s">
        <v>102</v>
      </c>
      <c r="F10" s="55"/>
      <c r="G10" s="62" t="s">
        <v>103</v>
      </c>
      <c r="H10" s="148" t="s">
        <v>104</v>
      </c>
      <c r="I10" s="55"/>
      <c r="J10" s="55"/>
      <c r="K10" s="55" t="s">
        <v>106</v>
      </c>
      <c r="L10" s="55" t="s">
        <v>173</v>
      </c>
      <c r="M10" s="55" t="s">
        <v>129</v>
      </c>
      <c r="N10" s="55"/>
      <c r="O10" s="55" t="s">
        <v>183</v>
      </c>
      <c r="P10" s="55" t="s">
        <v>184</v>
      </c>
      <c r="Q10" s="55" t="s">
        <v>185</v>
      </c>
      <c r="R10" s="55" t="s">
        <v>186</v>
      </c>
      <c r="S10" s="62" t="s">
        <v>178</v>
      </c>
      <c r="T10" s="55" t="s">
        <v>111</v>
      </c>
    </row>
    <row r="11" spans="1:24">
      <c r="A11" s="137">
        <v>34973</v>
      </c>
      <c r="B11" s="138">
        <v>1</v>
      </c>
      <c r="C11" s="138">
        <f>D11</f>
        <v>74</v>
      </c>
      <c r="D11" s="64">
        <v>74</v>
      </c>
      <c r="E11" s="64">
        <v>0</v>
      </c>
      <c r="G11" s="139">
        <f t="shared" ref="G11:G37" si="0">1-$B$6*EXP(-B$1*O11)-(1-$B$6)*EXP(-B$4*Q11)</f>
        <v>7.0564593266685984E-4</v>
      </c>
      <c r="H11" s="139">
        <f>G11</f>
        <v>7.0564593266685984E-4</v>
      </c>
      <c r="I11" s="140">
        <f t="shared" ref="I11:I35" si="1">D11*IFERROR(LN(H11),-10000)</f>
        <v>-536.97337489743552</v>
      </c>
      <c r="K11" s="56">
        <f t="shared" ref="K11:K37" si="2">$B$8*G11</f>
        <v>70.564593266685989</v>
      </c>
      <c r="L11" s="56">
        <f>K11</f>
        <v>70.564593266685989</v>
      </c>
      <c r="M11" s="78">
        <f t="shared" ref="M11:M37" si="3">ABS((D11-L11)/D11)</f>
        <v>4.6424415315054202E-2</v>
      </c>
      <c r="N11" s="56"/>
      <c r="O11" s="56">
        <f>B11^B2*P11</f>
        <v>1</v>
      </c>
      <c r="P11" s="141">
        <f>EXP(SUMPRODUCT($S$7,S11))</f>
        <v>1</v>
      </c>
      <c r="Q11" s="141">
        <f>B11^B5*R11</f>
        <v>1</v>
      </c>
      <c r="R11" s="141">
        <f>EXP(S11*$S$8)</f>
        <v>1</v>
      </c>
      <c r="S11" s="64">
        <v>0</v>
      </c>
      <c r="T11" s="54" t="s">
        <v>131</v>
      </c>
    </row>
    <row r="12" spans="1:24">
      <c r="A12" s="137">
        <v>34980</v>
      </c>
      <c r="B12" s="138">
        <f>B11+1</f>
        <v>2</v>
      </c>
      <c r="C12" s="138">
        <f>C11+D12</f>
        <v>142</v>
      </c>
      <c r="D12" s="64">
        <v>68</v>
      </c>
      <c r="E12" s="64">
        <v>0</v>
      </c>
      <c r="G12" s="139">
        <f t="shared" si="0"/>
        <v>1.4058342451944404E-3</v>
      </c>
      <c r="H12" s="139">
        <f>G12-G11</f>
        <v>7.0018831252758055E-4</v>
      </c>
      <c r="I12" s="140">
        <f t="shared" si="1"/>
        <v>-493.9629644018143</v>
      </c>
      <c r="K12" s="56">
        <f t="shared" si="2"/>
        <v>140.58342451944404</v>
      </c>
      <c r="L12" s="56">
        <f>K12-K11</f>
        <v>70.018831252758048</v>
      </c>
      <c r="M12" s="78">
        <f t="shared" si="3"/>
        <v>2.9688694893500706E-2</v>
      </c>
      <c r="N12" s="56"/>
      <c r="O12" s="56">
        <f t="shared" ref="O12:O37" si="4">O11+(B12^B$2-B11^B$2)*P12</f>
        <v>2.4192642711426857</v>
      </c>
      <c r="P12" s="141">
        <f t="shared" ref="P12:P37" si="5">EXP(SUMPRODUCT($S$7,S12))</f>
        <v>1</v>
      </c>
      <c r="Q12" s="141">
        <f t="shared" ref="Q12:Q37" si="6">Q11+(B12^B$5-B11^B$5)*R12</f>
        <v>6.58076868620849</v>
      </c>
      <c r="R12" s="141">
        <f t="shared" ref="R12:R37" si="7">EXP(S12*$S$8)</f>
        <v>1</v>
      </c>
      <c r="S12" s="64">
        <v>0</v>
      </c>
    </row>
    <row r="13" spans="1:24">
      <c r="A13" s="137">
        <v>34987</v>
      </c>
      <c r="B13" s="138">
        <f t="shared" ref="B13:B37" si="8">B12+1</f>
        <v>3</v>
      </c>
      <c r="C13" s="138">
        <f t="shared" ref="C13:C37" si="9">C12+D13</f>
        <v>227</v>
      </c>
      <c r="D13" s="64">
        <v>85</v>
      </c>
      <c r="E13" s="64">
        <v>0</v>
      </c>
      <c r="G13" s="139">
        <f t="shared" si="0"/>
        <v>2.1903554384137269E-3</v>
      </c>
      <c r="H13" s="139">
        <f t="shared" ref="H13:H37" si="10">G13-G12</f>
        <v>7.8452119321928654E-4</v>
      </c>
      <c r="I13" s="140">
        <f t="shared" si="1"/>
        <v>-607.78714255349098</v>
      </c>
      <c r="K13" s="56">
        <f t="shared" si="2"/>
        <v>219.03554384137269</v>
      </c>
      <c r="L13" s="56">
        <f t="shared" ref="L13:L37" si="11">K13-K12</f>
        <v>78.452119321928649</v>
      </c>
      <c r="M13" s="78">
        <f t="shared" si="3"/>
        <v>7.7033890330251195E-2</v>
      </c>
      <c r="N13" s="56"/>
      <c r="O13" s="56">
        <f t="shared" si="4"/>
        <v>4.0562401643764829</v>
      </c>
      <c r="P13" s="141">
        <f t="shared" si="5"/>
        <v>1</v>
      </c>
      <c r="Q13" s="141">
        <f t="shared" si="6"/>
        <v>19.812430989973475</v>
      </c>
      <c r="R13" s="141">
        <f t="shared" si="7"/>
        <v>1</v>
      </c>
      <c r="S13" s="64">
        <v>0</v>
      </c>
    </row>
    <row r="14" spans="1:24">
      <c r="A14" s="137">
        <v>34994</v>
      </c>
      <c r="B14" s="138">
        <f t="shared" si="8"/>
        <v>4</v>
      </c>
      <c r="C14" s="138">
        <f t="shared" si="9"/>
        <v>313</v>
      </c>
      <c r="D14" s="64">
        <v>86</v>
      </c>
      <c r="E14" s="64">
        <v>0</v>
      </c>
      <c r="G14" s="139">
        <f t="shared" si="0"/>
        <v>3.0506668514385105E-3</v>
      </c>
      <c r="H14" s="139">
        <f t="shared" si="10"/>
        <v>8.6031141302478353E-4</v>
      </c>
      <c r="I14" s="140">
        <f t="shared" si="1"/>
        <v>-607.00658684405892</v>
      </c>
      <c r="K14" s="56">
        <f t="shared" si="2"/>
        <v>305.06668514385103</v>
      </c>
      <c r="L14" s="56">
        <f t="shared" si="11"/>
        <v>86.031141302478346</v>
      </c>
      <c r="M14" s="78">
        <f t="shared" si="3"/>
        <v>3.6210816835286315E-4</v>
      </c>
      <c r="N14" s="56"/>
      <c r="O14" s="56">
        <f t="shared" si="4"/>
        <v>5.85283961362755</v>
      </c>
      <c r="P14" s="141">
        <f t="shared" si="5"/>
        <v>1</v>
      </c>
      <c r="Q14" s="141">
        <f t="shared" si="6"/>
        <v>43.30651650138222</v>
      </c>
      <c r="R14" s="141">
        <f t="shared" si="7"/>
        <v>1</v>
      </c>
      <c r="S14" s="64">
        <v>0</v>
      </c>
    </row>
    <row r="15" spans="1:24">
      <c r="A15" s="137">
        <v>35001</v>
      </c>
      <c r="B15" s="138">
        <f t="shared" si="8"/>
        <v>5</v>
      </c>
      <c r="C15" s="138">
        <f t="shared" si="9"/>
        <v>409</v>
      </c>
      <c r="D15" s="64">
        <v>96</v>
      </c>
      <c r="E15" s="64">
        <v>0</v>
      </c>
      <c r="G15" s="139">
        <f t="shared" si="0"/>
        <v>3.9718637502723642E-3</v>
      </c>
      <c r="H15" s="139">
        <f t="shared" si="10"/>
        <v>9.2119689883385369E-4</v>
      </c>
      <c r="I15" s="140">
        <f t="shared" si="1"/>
        <v>-671.02432862065609</v>
      </c>
      <c r="K15" s="56">
        <f t="shared" si="2"/>
        <v>397.18637502723641</v>
      </c>
      <c r="L15" s="56">
        <f t="shared" si="11"/>
        <v>92.119689883385377</v>
      </c>
      <c r="M15" s="78">
        <f t="shared" si="3"/>
        <v>4.0419897048068996E-2</v>
      </c>
      <c r="N15" s="56"/>
      <c r="O15" s="56">
        <f t="shared" si="4"/>
        <v>7.7783066520423949</v>
      </c>
      <c r="P15" s="141">
        <f t="shared" si="5"/>
        <v>1</v>
      </c>
      <c r="Q15" s="141">
        <f t="shared" si="6"/>
        <v>79.429071614731825</v>
      </c>
      <c r="R15" s="141">
        <f t="shared" si="7"/>
        <v>1</v>
      </c>
      <c r="S15" s="64">
        <v>0</v>
      </c>
      <c r="T15" s="54" t="s">
        <v>22</v>
      </c>
    </row>
    <row r="16" spans="1:24">
      <c r="A16" s="137">
        <v>35008</v>
      </c>
      <c r="B16" s="138">
        <f t="shared" si="8"/>
        <v>6</v>
      </c>
      <c r="C16" s="138">
        <f t="shared" si="9"/>
        <v>516</v>
      </c>
      <c r="D16" s="64">
        <v>107</v>
      </c>
      <c r="E16" s="64">
        <v>0</v>
      </c>
      <c r="G16" s="139">
        <f t="shared" si="0"/>
        <v>4.9444484155932722E-3</v>
      </c>
      <c r="H16" s="139">
        <f t="shared" si="10"/>
        <v>9.7258466532090804E-4</v>
      </c>
      <c r="I16" s="140">
        <f t="shared" si="1"/>
        <v>-742.10421666815432</v>
      </c>
      <c r="K16" s="56">
        <f t="shared" si="2"/>
        <v>494.44484155932724</v>
      </c>
      <c r="L16" s="56">
        <f t="shared" si="11"/>
        <v>97.258466532090836</v>
      </c>
      <c r="M16" s="78">
        <f t="shared" si="3"/>
        <v>9.1042368858964148E-2</v>
      </c>
      <c r="N16" s="56"/>
      <c r="O16" s="56">
        <f t="shared" si="4"/>
        <v>9.8131169048499576</v>
      </c>
      <c r="P16" s="141">
        <f t="shared" si="5"/>
        <v>1</v>
      </c>
      <c r="Q16" s="141">
        <f t="shared" si="6"/>
        <v>130.38102545648405</v>
      </c>
      <c r="R16" s="141">
        <f t="shared" si="7"/>
        <v>1</v>
      </c>
      <c r="S16" s="64">
        <v>0</v>
      </c>
      <c r="T16" s="54" t="s">
        <v>21</v>
      </c>
    </row>
    <row r="17" spans="1:31">
      <c r="A17" s="137">
        <v>35015</v>
      </c>
      <c r="B17" s="138">
        <f t="shared" si="8"/>
        <v>7</v>
      </c>
      <c r="C17" s="138">
        <f t="shared" si="9"/>
        <v>601</v>
      </c>
      <c r="D17" s="64">
        <v>85</v>
      </c>
      <c r="E17" s="64">
        <v>0</v>
      </c>
      <c r="G17" s="139">
        <f t="shared" si="0"/>
        <v>5.961744204718733E-3</v>
      </c>
      <c r="H17" s="139">
        <f t="shared" si="10"/>
        <v>1.0172957891254608E-3</v>
      </c>
      <c r="I17" s="140">
        <f t="shared" si="1"/>
        <v>-585.70162555226307</v>
      </c>
      <c r="K17" s="56">
        <f t="shared" si="2"/>
        <v>596.1744204718733</v>
      </c>
      <c r="L17" s="56">
        <f t="shared" si="11"/>
        <v>101.72957891254606</v>
      </c>
      <c r="M17" s="78">
        <f t="shared" si="3"/>
        <v>0.19681857544171835</v>
      </c>
      <c r="N17" s="56"/>
      <c r="O17" s="56">
        <f t="shared" si="4"/>
        <v>11.943599539567767</v>
      </c>
      <c r="P17" s="141">
        <f t="shared" si="5"/>
        <v>1</v>
      </c>
      <c r="Q17" s="141">
        <f t="shared" si="6"/>
        <v>198.24074109037798</v>
      </c>
      <c r="R17" s="141">
        <f t="shared" si="7"/>
        <v>1</v>
      </c>
      <c r="S17" s="64">
        <v>0</v>
      </c>
    </row>
    <row r="18" spans="1:31">
      <c r="A18" s="137">
        <v>35022</v>
      </c>
      <c r="B18" s="138">
        <f t="shared" si="8"/>
        <v>8</v>
      </c>
      <c r="C18" s="138">
        <f t="shared" si="9"/>
        <v>675</v>
      </c>
      <c r="D18" s="64">
        <v>74</v>
      </c>
      <c r="E18" s="64">
        <v>0</v>
      </c>
      <c r="G18" s="139">
        <f t="shared" si="0"/>
        <v>7.0187545682860453E-3</v>
      </c>
      <c r="H18" s="139">
        <f t="shared" si="10"/>
        <v>1.0570103635673123E-3</v>
      </c>
      <c r="I18" s="140">
        <f t="shared" si="1"/>
        <v>-507.07099679075668</v>
      </c>
      <c r="K18" s="56">
        <f t="shared" si="2"/>
        <v>701.87545682860457</v>
      </c>
      <c r="L18" s="56">
        <f t="shared" si="11"/>
        <v>105.70103635673127</v>
      </c>
      <c r="M18" s="78">
        <f t="shared" si="3"/>
        <v>0.42839238319907114</v>
      </c>
      <c r="N18" s="56"/>
      <c r="O18" s="56">
        <f t="shared" si="4"/>
        <v>14.159565761977687</v>
      </c>
      <c r="P18" s="141">
        <f t="shared" si="5"/>
        <v>1</v>
      </c>
      <c r="Q18" s="141">
        <f t="shared" si="6"/>
        <v>284.99016770106726</v>
      </c>
      <c r="R18" s="141">
        <f t="shared" si="7"/>
        <v>1</v>
      </c>
      <c r="S18" s="64">
        <v>0</v>
      </c>
    </row>
    <row r="19" spans="1:31">
      <c r="A19" s="137">
        <v>35029</v>
      </c>
      <c r="B19" s="138">
        <f t="shared" si="8"/>
        <v>9</v>
      </c>
      <c r="C19" s="138">
        <f t="shared" si="9"/>
        <v>762</v>
      </c>
      <c r="D19" s="64">
        <v>87</v>
      </c>
      <c r="E19" s="64">
        <v>0</v>
      </c>
      <c r="G19" s="139">
        <f t="shared" si="0"/>
        <v>8.1115735303555203E-3</v>
      </c>
      <c r="H19" s="139">
        <f t="shared" si="10"/>
        <v>1.092818962069475E-3</v>
      </c>
      <c r="I19" s="140">
        <f t="shared" si="1"/>
        <v>-593.25254042056508</v>
      </c>
      <c r="K19" s="56">
        <f t="shared" si="2"/>
        <v>811.15735303555198</v>
      </c>
      <c r="L19" s="56">
        <f t="shared" si="11"/>
        <v>109.28189620694741</v>
      </c>
      <c r="M19" s="78">
        <f t="shared" si="3"/>
        <v>0.2561137495051426</v>
      </c>
      <c r="N19" s="56"/>
      <c r="O19" s="56">
        <f t="shared" si="4"/>
        <v>16.453084271100956</v>
      </c>
      <c r="P19" s="141">
        <f t="shared" si="5"/>
        <v>1</v>
      </c>
      <c r="Q19" s="141">
        <f t="shared" si="6"/>
        <v>392.53242173246139</v>
      </c>
      <c r="R19" s="141">
        <f t="shared" si="7"/>
        <v>1</v>
      </c>
      <c r="S19" s="64">
        <v>0</v>
      </c>
      <c r="T19" s="54" t="s">
        <v>23</v>
      </c>
    </row>
    <row r="20" spans="1:31">
      <c r="A20" s="137">
        <v>35036</v>
      </c>
      <c r="B20" s="138">
        <f t="shared" si="8"/>
        <v>10</v>
      </c>
      <c r="C20" s="138">
        <f t="shared" si="9"/>
        <v>836</v>
      </c>
      <c r="D20" s="64">
        <v>74</v>
      </c>
      <c r="E20" s="64">
        <v>0</v>
      </c>
      <c r="G20" s="139">
        <f t="shared" si="0"/>
        <v>9.2370475709442346E-3</v>
      </c>
      <c r="H20" s="139">
        <f t="shared" si="10"/>
        <v>1.1254740405887143E-3</v>
      </c>
      <c r="I20" s="140">
        <f t="shared" si="1"/>
        <v>-502.42677123718954</v>
      </c>
      <c r="K20" s="56">
        <f t="shared" si="2"/>
        <v>923.70475709442348</v>
      </c>
      <c r="L20" s="56">
        <f t="shared" si="11"/>
        <v>112.54740405887151</v>
      </c>
      <c r="M20" s="78">
        <f t="shared" si="3"/>
        <v>0.52091086566042577</v>
      </c>
      <c r="N20" s="56"/>
      <c r="O20" s="56">
        <f t="shared" si="4"/>
        <v>18.817779373277656</v>
      </c>
      <c r="P20" s="141">
        <f t="shared" si="5"/>
        <v>1</v>
      </c>
      <c r="Q20" s="141">
        <f t="shared" si="6"/>
        <v>522.70434725683947</v>
      </c>
      <c r="R20" s="141">
        <f t="shared" si="7"/>
        <v>1</v>
      </c>
      <c r="S20" s="64">
        <v>0</v>
      </c>
      <c r="T20" s="149"/>
    </row>
    <row r="21" spans="1:31">
      <c r="A21" s="137">
        <v>35043</v>
      </c>
      <c r="B21" s="138">
        <f t="shared" si="8"/>
        <v>11</v>
      </c>
      <c r="C21" s="138">
        <f t="shared" si="9"/>
        <v>924</v>
      </c>
      <c r="D21" s="64">
        <v>88</v>
      </c>
      <c r="E21" s="64">
        <v>0</v>
      </c>
      <c r="G21" s="139">
        <f t="shared" si="0"/>
        <v>1.0392566609435772E-2</v>
      </c>
      <c r="H21" s="139">
        <f t="shared" si="10"/>
        <v>1.155519038491537E-3</v>
      </c>
      <c r="I21" s="140">
        <f t="shared" si="1"/>
        <v>-595.16209737386703</v>
      </c>
      <c r="K21" s="56">
        <f t="shared" si="2"/>
        <v>1039.2566609435771</v>
      </c>
      <c r="L21" s="56">
        <f t="shared" si="11"/>
        <v>115.55190384915363</v>
      </c>
      <c r="M21" s="78">
        <f t="shared" si="3"/>
        <v>0.31308981646765494</v>
      </c>
      <c r="N21" s="56"/>
      <c r="O21" s="56">
        <f t="shared" si="4"/>
        <v>21.248397378054147</v>
      </c>
      <c r="P21" s="141">
        <f t="shared" si="5"/>
        <v>1</v>
      </c>
      <c r="Q21" s="141">
        <f t="shared" si="6"/>
        <v>677.28589549967228</v>
      </c>
      <c r="R21" s="141">
        <f t="shared" si="7"/>
        <v>1</v>
      </c>
      <c r="S21" s="64">
        <v>0</v>
      </c>
    </row>
    <row r="22" spans="1:31">
      <c r="A22" s="137">
        <v>35050</v>
      </c>
      <c r="B22" s="138">
        <f t="shared" si="8"/>
        <v>12</v>
      </c>
      <c r="C22" s="138">
        <f t="shared" si="9"/>
        <v>1025</v>
      </c>
      <c r="D22" s="64">
        <v>101</v>
      </c>
      <c r="E22" s="64">
        <v>0</v>
      </c>
      <c r="G22" s="139">
        <f t="shared" si="0"/>
        <v>1.1575927260883634E-2</v>
      </c>
      <c r="H22" s="139">
        <f t="shared" si="10"/>
        <v>1.1833606514478623E-3</v>
      </c>
      <c r="I22" s="140">
        <f t="shared" si="1"/>
        <v>-680.67908474857938</v>
      </c>
      <c r="K22" s="56">
        <f t="shared" si="2"/>
        <v>1157.5927260883634</v>
      </c>
      <c r="L22" s="56">
        <f t="shared" si="11"/>
        <v>118.33606514478629</v>
      </c>
      <c r="M22" s="78">
        <f t="shared" si="3"/>
        <v>0.1716442093543197</v>
      </c>
      <c r="N22" s="56"/>
      <c r="O22" s="56">
        <f t="shared" si="4"/>
        <v>23.740523116449797</v>
      </c>
      <c r="P22" s="141">
        <f t="shared" si="5"/>
        <v>1</v>
      </c>
      <c r="Q22" s="141">
        <f t="shared" si="6"/>
        <v>858.00736959978235</v>
      </c>
      <c r="R22" s="141">
        <f t="shared" si="7"/>
        <v>1</v>
      </c>
      <c r="S22" s="64">
        <v>0</v>
      </c>
    </row>
    <row r="23" spans="1:31">
      <c r="A23" s="137">
        <v>35057</v>
      </c>
      <c r="B23" s="138">
        <f t="shared" si="8"/>
        <v>13</v>
      </c>
      <c r="C23" s="138">
        <f t="shared" si="9"/>
        <v>1201</v>
      </c>
      <c r="D23" s="64">
        <v>176</v>
      </c>
      <c r="E23" s="64">
        <v>0</v>
      </c>
      <c r="G23" s="139">
        <f t="shared" si="0"/>
        <v>1.2785239305169616E-2</v>
      </c>
      <c r="H23" s="139">
        <f t="shared" si="10"/>
        <v>1.2093120442859817E-3</v>
      </c>
      <c r="I23" s="140">
        <f t="shared" si="1"/>
        <v>-1182.3158405529621</v>
      </c>
      <c r="K23" s="56">
        <f t="shared" si="2"/>
        <v>1278.5239305169616</v>
      </c>
      <c r="L23" s="56">
        <f t="shared" si="11"/>
        <v>120.93120442859822</v>
      </c>
      <c r="M23" s="78">
        <f t="shared" si="3"/>
        <v>0.31289088392841918</v>
      </c>
      <c r="N23" s="56"/>
      <c r="O23" s="56">
        <f t="shared" si="4"/>
        <v>26.290386178545507</v>
      </c>
      <c r="P23" s="141">
        <f t="shared" si="5"/>
        <v>1</v>
      </c>
      <c r="Q23" s="141">
        <f t="shared" si="6"/>
        <v>1066.5551716614466</v>
      </c>
      <c r="R23" s="141">
        <f t="shared" si="7"/>
        <v>1</v>
      </c>
      <c r="S23" s="64">
        <v>0</v>
      </c>
      <c r="T23" s="150" t="s">
        <v>25</v>
      </c>
    </row>
    <row r="24" spans="1:31">
      <c r="A24" s="137">
        <v>35064</v>
      </c>
      <c r="B24" s="138">
        <f t="shared" si="8"/>
        <v>14</v>
      </c>
      <c r="C24" s="138">
        <f t="shared" si="9"/>
        <v>1345</v>
      </c>
      <c r="D24" s="64">
        <v>144</v>
      </c>
      <c r="E24" s="64">
        <v>0</v>
      </c>
      <c r="G24" s="139">
        <f t="shared" si="0"/>
        <v>1.4018859373956527E-2</v>
      </c>
      <c r="H24" s="139">
        <f t="shared" si="10"/>
        <v>1.2336200687869114E-3</v>
      </c>
      <c r="I24" s="140">
        <f t="shared" si="1"/>
        <v>-964.48352930145484</v>
      </c>
      <c r="K24" s="56">
        <f t="shared" si="2"/>
        <v>1401.8859373956527</v>
      </c>
      <c r="L24" s="56">
        <f t="shared" si="11"/>
        <v>123.36200687869109</v>
      </c>
      <c r="M24" s="78">
        <f t="shared" si="3"/>
        <v>0.14331939667575633</v>
      </c>
      <c r="N24" s="56"/>
      <c r="O24" s="56">
        <f t="shared" si="4"/>
        <v>28.894723634912527</v>
      </c>
      <c r="P24" s="141">
        <f t="shared" si="5"/>
        <v>1</v>
      </c>
      <c r="Q24" s="141">
        <f t="shared" si="6"/>
        <v>1304.5764612983232</v>
      </c>
      <c r="R24" s="141">
        <f t="shared" si="7"/>
        <v>1</v>
      </c>
      <c r="S24" s="64">
        <v>0</v>
      </c>
      <c r="T24" s="55"/>
    </row>
    <row r="25" spans="1:31">
      <c r="A25" s="137">
        <v>35071</v>
      </c>
      <c r="B25" s="138">
        <f t="shared" si="8"/>
        <v>15</v>
      </c>
      <c r="C25" s="138">
        <f t="shared" si="9"/>
        <v>1523</v>
      </c>
      <c r="D25" s="64">
        <v>178</v>
      </c>
      <c r="E25" s="64">
        <v>0</v>
      </c>
      <c r="G25" s="139">
        <f t="shared" si="0"/>
        <v>1.5275342520964741E-2</v>
      </c>
      <c r="H25" s="139">
        <f t="shared" si="10"/>
        <v>1.2564831470082138E-3</v>
      </c>
      <c r="I25" s="140">
        <f t="shared" si="1"/>
        <v>-1188.9400732418464</v>
      </c>
      <c r="K25" s="56">
        <f t="shared" si="2"/>
        <v>1527.5342520964741</v>
      </c>
      <c r="L25" s="56">
        <f t="shared" si="11"/>
        <v>125.6483147008214</v>
      </c>
      <c r="M25" s="78">
        <f t="shared" si="3"/>
        <v>0.29411059156841907</v>
      </c>
      <c r="N25" s="56"/>
      <c r="O25" s="56">
        <f t="shared" si="4"/>
        <v>31.550679852851133</v>
      </c>
      <c r="P25" s="141">
        <f t="shared" si="5"/>
        <v>1</v>
      </c>
      <c r="Q25" s="141">
        <f t="shared" si="6"/>
        <v>1573.6829999645354</v>
      </c>
      <c r="R25" s="141">
        <f t="shared" si="7"/>
        <v>1</v>
      </c>
      <c r="S25" s="64">
        <v>0</v>
      </c>
      <c r="T25" s="151" t="s">
        <v>24</v>
      </c>
      <c r="Y25" s="54" t="s">
        <v>133</v>
      </c>
    </row>
    <row r="26" spans="1:31">
      <c r="A26" s="137">
        <v>35078</v>
      </c>
      <c r="B26" s="138">
        <f t="shared" si="8"/>
        <v>16</v>
      </c>
      <c r="C26" s="138">
        <f t="shared" si="9"/>
        <v>1664</v>
      </c>
      <c r="D26" s="64">
        <v>141</v>
      </c>
      <c r="E26" s="64">
        <v>0</v>
      </c>
      <c r="G26" s="139">
        <f t="shared" si="0"/>
        <v>1.6553405961580836E-2</v>
      </c>
      <c r="H26" s="139">
        <f t="shared" si="10"/>
        <v>1.2780634406160951E-3</v>
      </c>
      <c r="I26" s="140">
        <f t="shared" si="1"/>
        <v>-939.39970900369792</v>
      </c>
      <c r="K26" s="56">
        <f t="shared" si="2"/>
        <v>1655.3405961580836</v>
      </c>
      <c r="L26" s="56">
        <f t="shared" si="11"/>
        <v>127.80634406160948</v>
      </c>
      <c r="M26" s="78">
        <f t="shared" si="3"/>
        <v>9.3572027931847657E-2</v>
      </c>
      <c r="N26" s="56"/>
      <c r="O26" s="56">
        <f t="shared" si="4"/>
        <v>34.25573154284789</v>
      </c>
      <c r="P26" s="141">
        <f t="shared" si="5"/>
        <v>1</v>
      </c>
      <c r="Q26" s="141">
        <f t="shared" si="6"/>
        <v>1875.4543714844901</v>
      </c>
      <c r="R26" s="141">
        <f t="shared" si="7"/>
        <v>1</v>
      </c>
      <c r="S26" s="64">
        <v>0</v>
      </c>
      <c r="T26" s="152" t="s">
        <v>33</v>
      </c>
    </row>
    <row r="27" spans="1:31">
      <c r="A27" s="137">
        <v>35085</v>
      </c>
      <c r="B27" s="138">
        <f t="shared" si="8"/>
        <v>17</v>
      </c>
      <c r="C27" s="138">
        <f t="shared" si="9"/>
        <v>1815</v>
      </c>
      <c r="D27" s="64">
        <v>151</v>
      </c>
      <c r="E27" s="64">
        <v>0</v>
      </c>
      <c r="G27" s="139">
        <f t="shared" si="0"/>
        <v>1.7851901342045062E-2</v>
      </c>
      <c r="H27" s="139">
        <f t="shared" si="10"/>
        <v>1.2984953804642263E-3</v>
      </c>
      <c r="I27" s="140">
        <f t="shared" si="1"/>
        <v>-1003.6289117537276</v>
      </c>
      <c r="K27" s="56">
        <f t="shared" si="2"/>
        <v>1785.1901342045062</v>
      </c>
      <c r="L27" s="56">
        <f t="shared" si="11"/>
        <v>129.84953804642259</v>
      </c>
      <c r="M27" s="78">
        <f t="shared" si="3"/>
        <v>0.14006928446077752</v>
      </c>
      <c r="N27" s="56"/>
      <c r="O27" s="56">
        <f t="shared" si="4"/>
        <v>37.007630480331954</v>
      </c>
      <c r="P27" s="141">
        <f t="shared" si="5"/>
        <v>1</v>
      </c>
      <c r="Q27" s="141">
        <f t="shared" si="6"/>
        <v>2211.4407148847681</v>
      </c>
      <c r="R27" s="141">
        <f t="shared" si="7"/>
        <v>1</v>
      </c>
      <c r="S27" s="64">
        <v>0</v>
      </c>
      <c r="T27" s="151" t="s">
        <v>36</v>
      </c>
      <c r="W27" s="153"/>
    </row>
    <row r="28" spans="1:31">
      <c r="A28" s="137">
        <v>35092</v>
      </c>
      <c r="B28" s="138">
        <f t="shared" si="8"/>
        <v>18</v>
      </c>
      <c r="C28" s="138">
        <f t="shared" si="9"/>
        <v>1917</v>
      </c>
      <c r="D28" s="64">
        <v>102</v>
      </c>
      <c r="E28" s="64">
        <v>0</v>
      </c>
      <c r="G28" s="139">
        <f t="shared" si="0"/>
        <v>1.9169793140248248E-2</v>
      </c>
      <c r="H28" s="139">
        <f t="shared" si="10"/>
        <v>1.3178917982031857E-3</v>
      </c>
      <c r="I28" s="140">
        <f t="shared" si="1"/>
        <v>-676.43563805514088</v>
      </c>
      <c r="K28" s="56">
        <f t="shared" si="2"/>
        <v>1916.9793140248248</v>
      </c>
      <c r="L28" s="56">
        <f t="shared" si="11"/>
        <v>131.78917982031862</v>
      </c>
      <c r="M28" s="78">
        <f t="shared" si="3"/>
        <v>0.29205078255214334</v>
      </c>
      <c r="N28" s="56"/>
      <c r="O28" s="56">
        <f t="shared" si="4"/>
        <v>39.804358927174214</v>
      </c>
      <c r="P28" s="141">
        <f t="shared" si="5"/>
        <v>1</v>
      </c>
      <c r="Q28" s="141">
        <f t="shared" si="6"/>
        <v>2583.1650692585631</v>
      </c>
      <c r="R28" s="141">
        <f t="shared" si="7"/>
        <v>1</v>
      </c>
      <c r="S28" s="64">
        <v>0</v>
      </c>
    </row>
    <row r="29" spans="1:31">
      <c r="A29" s="137">
        <v>35099</v>
      </c>
      <c r="B29" s="138">
        <f t="shared" si="8"/>
        <v>19</v>
      </c>
      <c r="C29" s="138">
        <f t="shared" si="9"/>
        <v>2049</v>
      </c>
      <c r="D29" s="64">
        <v>132</v>
      </c>
      <c r="E29" s="138">
        <v>20.080000000000002</v>
      </c>
      <c r="F29" s="140"/>
      <c r="G29" s="139">
        <f t="shared" si="0"/>
        <v>2.0506141571920988E-2</v>
      </c>
      <c r="H29" s="139">
        <f t="shared" si="10"/>
        <v>1.3363484316727403E-3</v>
      </c>
      <c r="I29" s="140">
        <f t="shared" si="1"/>
        <v>-873.55150551509246</v>
      </c>
      <c r="K29" s="56">
        <f t="shared" si="2"/>
        <v>2050.6141571920989</v>
      </c>
      <c r="L29" s="56">
        <f t="shared" si="11"/>
        <v>133.63484316727408</v>
      </c>
      <c r="M29" s="78">
        <f t="shared" si="3"/>
        <v>1.2385175509652154E-2</v>
      </c>
      <c r="N29" s="56"/>
      <c r="O29" s="56">
        <f t="shared" si="4"/>
        <v>42.644094379925498</v>
      </c>
      <c r="P29" s="141">
        <f t="shared" si="5"/>
        <v>1</v>
      </c>
      <c r="Q29" s="141">
        <f t="shared" si="6"/>
        <v>2992.1254053186744</v>
      </c>
      <c r="R29" s="141">
        <f t="shared" si="7"/>
        <v>1</v>
      </c>
      <c r="S29" s="138">
        <v>0</v>
      </c>
      <c r="AE29" s="154"/>
    </row>
    <row r="30" spans="1:31">
      <c r="A30" s="137">
        <v>35106</v>
      </c>
      <c r="B30" s="138">
        <f t="shared" si="8"/>
        <v>20</v>
      </c>
      <c r="C30" s="138">
        <f t="shared" si="9"/>
        <v>2237</v>
      </c>
      <c r="D30" s="64">
        <v>188</v>
      </c>
      <c r="E30" s="138">
        <v>18.669999999999998</v>
      </c>
      <c r="F30" s="140"/>
      <c r="G30" s="139">
        <f t="shared" si="0"/>
        <v>2.186008887129931E-2</v>
      </c>
      <c r="H30" s="139">
        <f t="shared" si="10"/>
        <v>1.3539472993783219E-3</v>
      </c>
      <c r="I30" s="140">
        <f t="shared" si="1"/>
        <v>-1241.6894331553594</v>
      </c>
      <c r="K30" s="56">
        <f t="shared" si="2"/>
        <v>2186.0088871299308</v>
      </c>
      <c r="L30" s="56">
        <f t="shared" si="11"/>
        <v>135.39472993783193</v>
      </c>
      <c r="M30" s="78">
        <f t="shared" si="3"/>
        <v>0.27981526628812803</v>
      </c>
      <c r="N30" s="56"/>
      <c r="O30" s="56">
        <f t="shared" si="4"/>
        <v>45.525181300016406</v>
      </c>
      <c r="P30" s="141">
        <f t="shared" si="5"/>
        <v>1</v>
      </c>
      <c r="Q30" s="141">
        <f t="shared" si="6"/>
        <v>3439.7964005728522</v>
      </c>
      <c r="R30" s="141">
        <f t="shared" si="7"/>
        <v>1</v>
      </c>
      <c r="S30" s="138">
        <v>0</v>
      </c>
      <c r="AE30" s="154"/>
    </row>
    <row r="31" spans="1:31">
      <c r="A31" s="137">
        <v>35113</v>
      </c>
      <c r="B31" s="138">
        <f t="shared" si="8"/>
        <v>21</v>
      </c>
      <c r="C31" s="138">
        <f t="shared" si="9"/>
        <v>2358</v>
      </c>
      <c r="D31" s="64">
        <v>121</v>
      </c>
      <c r="E31" s="138">
        <v>83.27000000000001</v>
      </c>
      <c r="F31" s="140"/>
      <c r="G31" s="139">
        <f t="shared" si="0"/>
        <v>2.327989111697859E-2</v>
      </c>
      <c r="H31" s="139">
        <f t="shared" si="10"/>
        <v>1.4198022456792803E-3</v>
      </c>
      <c r="I31" s="140">
        <f t="shared" si="1"/>
        <v>-793.42575936145545</v>
      </c>
      <c r="K31" s="56">
        <f t="shared" si="2"/>
        <v>2327.9891116978592</v>
      </c>
      <c r="L31" s="56">
        <f t="shared" si="11"/>
        <v>141.98022456792842</v>
      </c>
      <c r="M31" s="78">
        <f t="shared" si="3"/>
        <v>0.17339028568535883</v>
      </c>
      <c r="N31" s="56"/>
      <c r="O31" s="56">
        <f t="shared" si="4"/>
        <v>48.550688910498529</v>
      </c>
      <c r="P31" s="141">
        <f t="shared" si="5"/>
        <v>1.0358039608322682</v>
      </c>
      <c r="Q31" s="141">
        <f t="shared" si="6"/>
        <v>3945.4991069457888</v>
      </c>
      <c r="R31" s="141">
        <f t="shared" si="7"/>
        <v>1.0366273827848376</v>
      </c>
      <c r="S31" s="138">
        <v>20.080000000000002</v>
      </c>
      <c r="AE31" s="154"/>
    </row>
    <row r="32" spans="1:31">
      <c r="A32" s="137">
        <v>35120</v>
      </c>
      <c r="B32" s="138">
        <f t="shared" si="8"/>
        <v>22</v>
      </c>
      <c r="C32" s="138">
        <f t="shared" si="9"/>
        <v>2497</v>
      </c>
      <c r="D32" s="64">
        <v>139</v>
      </c>
      <c r="E32" s="138">
        <v>184.69</v>
      </c>
      <c r="F32" s="140"/>
      <c r="G32" s="139">
        <f t="shared" si="0"/>
        <v>2.47127419599803E-2</v>
      </c>
      <c r="H32" s="139">
        <f t="shared" si="10"/>
        <v>1.4328508430017095E-3</v>
      </c>
      <c r="I32" s="140">
        <f t="shared" si="1"/>
        <v>-910.18440196669098</v>
      </c>
      <c r="K32" s="56">
        <f t="shared" si="2"/>
        <v>2471.2741959980299</v>
      </c>
      <c r="L32" s="56">
        <f t="shared" si="11"/>
        <v>143.28508430017064</v>
      </c>
      <c r="M32" s="78">
        <f t="shared" si="3"/>
        <v>3.0827944605544159E-2</v>
      </c>
      <c r="N32" s="56"/>
      <c r="O32" s="56">
        <f t="shared" si="4"/>
        <v>51.608464353023997</v>
      </c>
      <c r="P32" s="141">
        <f t="shared" si="5"/>
        <v>1.0332485155266287</v>
      </c>
      <c r="Q32" s="141">
        <f t="shared" si="6"/>
        <v>4492.9370279225886</v>
      </c>
      <c r="R32" s="141">
        <f t="shared" si="7"/>
        <v>1.0340122073751816</v>
      </c>
      <c r="S32" s="138">
        <v>18.669999999999998</v>
      </c>
      <c r="AE32" s="154"/>
    </row>
    <row r="33" spans="1:31">
      <c r="A33" s="137">
        <v>35127</v>
      </c>
      <c r="B33" s="138">
        <f t="shared" si="8"/>
        <v>23</v>
      </c>
      <c r="C33" s="138">
        <f t="shared" si="9"/>
        <v>2663</v>
      </c>
      <c r="D33" s="64">
        <v>166</v>
      </c>
      <c r="E33" s="138">
        <v>424.75</v>
      </c>
      <c r="F33" s="140"/>
      <c r="G33" s="139">
        <f t="shared" si="0"/>
        <v>2.6334897324556295E-2</v>
      </c>
      <c r="H33" s="139">
        <f t="shared" si="10"/>
        <v>1.6221553645759945E-3</v>
      </c>
      <c r="I33" s="140">
        <f t="shared" si="1"/>
        <v>-1066.3839239837707</v>
      </c>
      <c r="K33" s="56">
        <f t="shared" si="2"/>
        <v>2633.4897324556296</v>
      </c>
      <c r="L33" s="56">
        <f t="shared" si="11"/>
        <v>162.21553645759968</v>
      </c>
      <c r="M33" s="78">
        <f t="shared" si="3"/>
        <v>2.2797973146989864E-2</v>
      </c>
      <c r="N33" s="56"/>
      <c r="O33" s="56">
        <f t="shared" si="4"/>
        <v>55.075651652619037</v>
      </c>
      <c r="P33" s="141">
        <f t="shared" si="5"/>
        <v>1.1570569435647626</v>
      </c>
      <c r="Q33" s="141">
        <f t="shared" si="6"/>
        <v>5157.4695383050139</v>
      </c>
      <c r="R33" s="141">
        <f t="shared" si="7"/>
        <v>1.1608761018865379</v>
      </c>
      <c r="S33" s="138">
        <v>83.27000000000001</v>
      </c>
      <c r="AE33" s="154"/>
    </row>
    <row r="34" spans="1:31">
      <c r="A34" s="137">
        <v>35134</v>
      </c>
      <c r="B34" s="138">
        <f t="shared" si="8"/>
        <v>24</v>
      </c>
      <c r="C34" s="138">
        <f t="shared" si="9"/>
        <v>2833</v>
      </c>
      <c r="D34" s="64">
        <v>170</v>
      </c>
      <c r="E34" s="138">
        <v>518.51</v>
      </c>
      <c r="F34" s="140"/>
      <c r="G34" s="139">
        <f t="shared" si="0"/>
        <v>2.829213629267946E-2</v>
      </c>
      <c r="H34" s="139">
        <f t="shared" si="10"/>
        <v>1.957238968123165E-3</v>
      </c>
      <c r="I34" s="140">
        <f t="shared" si="1"/>
        <v>-1060.1574830635236</v>
      </c>
      <c r="K34" s="56">
        <f t="shared" si="2"/>
        <v>2829.2136292679461</v>
      </c>
      <c r="L34" s="56">
        <f t="shared" si="11"/>
        <v>195.72389681231653</v>
      </c>
      <c r="M34" s="78">
        <f t="shared" si="3"/>
        <v>0.15131704007245014</v>
      </c>
      <c r="N34" s="56"/>
      <c r="O34" s="56">
        <f t="shared" si="4"/>
        <v>59.266742773899644</v>
      </c>
      <c r="P34" s="141">
        <f t="shared" si="5"/>
        <v>1.3820336632252916</v>
      </c>
      <c r="Q34" s="141">
        <f t="shared" si="6"/>
        <v>6016.2247420421918</v>
      </c>
      <c r="R34" s="141">
        <f t="shared" si="7"/>
        <v>1.392171812374738</v>
      </c>
      <c r="S34" s="138">
        <v>184.69</v>
      </c>
      <c r="AE34" s="154"/>
    </row>
    <row r="35" spans="1:31">
      <c r="A35" s="137">
        <v>35141</v>
      </c>
      <c r="B35" s="138">
        <f t="shared" si="8"/>
        <v>25</v>
      </c>
      <c r="C35" s="138">
        <f t="shared" si="9"/>
        <v>3149</v>
      </c>
      <c r="D35" s="64">
        <v>316</v>
      </c>
      <c r="E35" s="138">
        <v>673.75</v>
      </c>
      <c r="F35" s="140"/>
      <c r="G35" s="139">
        <f t="shared" si="0"/>
        <v>3.1299249297606857E-2</v>
      </c>
      <c r="H35" s="139">
        <f t="shared" si="10"/>
        <v>3.0071130049273975E-3</v>
      </c>
      <c r="I35" s="140">
        <f t="shared" si="1"/>
        <v>-1834.9408352392325</v>
      </c>
      <c r="K35" s="56">
        <f t="shared" si="2"/>
        <v>3129.9249297606857</v>
      </c>
      <c r="L35" s="56">
        <f t="shared" si="11"/>
        <v>300.71130049273961</v>
      </c>
      <c r="M35" s="78">
        <f t="shared" si="3"/>
        <v>4.8381960466013889E-2</v>
      </c>
      <c r="N35" s="56"/>
      <c r="O35" s="56">
        <f t="shared" si="4"/>
        <v>65.7224359589286</v>
      </c>
      <c r="P35" s="141">
        <f t="shared" si="5"/>
        <v>2.1045763163013502</v>
      </c>
      <c r="Q35" s="141">
        <f t="shared" si="6"/>
        <v>7434.4180418105689</v>
      </c>
      <c r="R35" s="141">
        <f t="shared" si="7"/>
        <v>2.140251137674789</v>
      </c>
      <c r="S35" s="138">
        <v>424.75</v>
      </c>
      <c r="AE35" s="154"/>
    </row>
    <row r="36" spans="1:31">
      <c r="A36" s="48">
        <v>35148</v>
      </c>
      <c r="B36" s="49">
        <f t="shared" si="8"/>
        <v>26</v>
      </c>
      <c r="C36" s="49">
        <f t="shared" si="9"/>
        <v>3576</v>
      </c>
      <c r="D36" s="50">
        <v>427</v>
      </c>
      <c r="E36" s="49">
        <v>670.4</v>
      </c>
      <c r="F36" s="52"/>
      <c r="G36" s="51">
        <f t="shared" si="0"/>
        <v>3.4870181144620371E-2</v>
      </c>
      <c r="H36" s="51">
        <f t="shared" si="10"/>
        <v>3.5709318470135143E-3</v>
      </c>
      <c r="I36" s="52">
        <f>(B8-SUM(D11:D35))*IFERROR(LN(1-G35),-10000)</f>
        <v>-3079.817015274451</v>
      </c>
      <c r="J36" s="46"/>
      <c r="K36" s="47">
        <f t="shared" si="2"/>
        <v>3487.0181144620369</v>
      </c>
      <c r="L36" s="47">
        <f t="shared" si="11"/>
        <v>357.09318470135122</v>
      </c>
      <c r="M36" s="71">
        <f t="shared" si="3"/>
        <v>0.16371619507880275</v>
      </c>
      <c r="N36" s="56"/>
      <c r="O36" s="56">
        <f t="shared" si="4"/>
        <v>73.414619057183813</v>
      </c>
      <c r="P36" s="141">
        <f t="shared" si="5"/>
        <v>2.4802791995920215</v>
      </c>
      <c r="Q36" s="141">
        <f t="shared" si="6"/>
        <v>9231.3557992129754</v>
      </c>
      <c r="R36" s="141">
        <f t="shared" si="7"/>
        <v>2.5316989149588025</v>
      </c>
      <c r="S36" s="138">
        <v>518.51</v>
      </c>
      <c r="AE36" s="154"/>
    </row>
    <row r="37" spans="1:31">
      <c r="A37" s="48">
        <v>35155</v>
      </c>
      <c r="B37" s="49">
        <f t="shared" si="8"/>
        <v>27</v>
      </c>
      <c r="C37" s="49">
        <f t="shared" si="9"/>
        <v>4160</v>
      </c>
      <c r="D37" s="50">
        <v>584</v>
      </c>
      <c r="E37" s="49">
        <v>657.45</v>
      </c>
      <c r="F37" s="52"/>
      <c r="G37" s="51">
        <f t="shared" si="0"/>
        <v>3.9586632120251153E-2</v>
      </c>
      <c r="H37" s="51">
        <f t="shared" si="10"/>
        <v>4.7164509756307815E-3</v>
      </c>
      <c r="I37" s="52"/>
      <c r="J37" s="46"/>
      <c r="K37" s="47">
        <f t="shared" si="2"/>
        <v>3958.6632120251152</v>
      </c>
      <c r="L37" s="47">
        <f t="shared" si="11"/>
        <v>471.64509756307825</v>
      </c>
      <c r="M37" s="71">
        <f t="shared" si="3"/>
        <v>0.19238853157007149</v>
      </c>
      <c r="N37" s="56"/>
      <c r="O37" s="56">
        <f t="shared" si="4"/>
        <v>83.61811294931131</v>
      </c>
      <c r="P37" s="141">
        <f t="shared" si="5"/>
        <v>3.2554617811979671</v>
      </c>
      <c r="Q37" s="141">
        <f t="shared" si="6"/>
        <v>11766.573433504209</v>
      </c>
      <c r="R37" s="141">
        <f t="shared" si="7"/>
        <v>3.3434293557922454</v>
      </c>
      <c r="S37" s="138">
        <v>673.75</v>
      </c>
      <c r="AE37" s="154"/>
    </row>
    <row r="38" spans="1:31">
      <c r="A38" s="155"/>
      <c r="B38" s="155"/>
      <c r="C38" s="155"/>
      <c r="S38" s="138"/>
    </row>
    <row r="39" spans="1:31">
      <c r="A39" s="155"/>
      <c r="B39" s="155"/>
      <c r="C39" s="155"/>
      <c r="S39" s="138"/>
    </row>
    <row r="40" spans="1:31">
      <c r="A40" s="155"/>
      <c r="B40" s="155"/>
      <c r="C40" s="155"/>
    </row>
    <row r="41" spans="1:31">
      <c r="A41" s="155"/>
      <c r="B41" s="155"/>
      <c r="C41" s="155"/>
      <c r="F41" s="55"/>
      <c r="G41" s="55"/>
      <c r="H41" s="55"/>
      <c r="I41" s="55"/>
      <c r="J41" s="55"/>
      <c r="K41" s="55"/>
      <c r="L41" s="55"/>
      <c r="M41" s="55"/>
      <c r="N41" s="55"/>
      <c r="O41" s="55"/>
      <c r="P41" s="55"/>
      <c r="Q41" s="55"/>
      <c r="R41" s="55"/>
      <c r="S41" s="55"/>
    </row>
    <row r="42" spans="1:31">
      <c r="A42" s="155"/>
      <c r="B42" s="156"/>
      <c r="C42" s="156"/>
      <c r="F42" s="55"/>
      <c r="G42" s="55"/>
      <c r="H42" s="55"/>
      <c r="I42" s="55"/>
      <c r="J42" s="55"/>
      <c r="K42" s="55"/>
      <c r="L42" s="55"/>
      <c r="M42" s="55"/>
      <c r="N42" s="55"/>
      <c r="O42" s="55"/>
      <c r="P42" s="55"/>
      <c r="Q42" s="55"/>
      <c r="R42" s="55"/>
      <c r="S42" s="55"/>
    </row>
    <row r="43" spans="1:31">
      <c r="A43" s="155"/>
      <c r="B43" s="155"/>
      <c r="C43" s="155"/>
      <c r="F43" s="55"/>
      <c r="G43" s="55"/>
      <c r="H43" s="55"/>
      <c r="I43" s="55"/>
      <c r="J43" s="55"/>
      <c r="K43" s="55"/>
      <c r="L43" s="55"/>
      <c r="M43" s="55"/>
      <c r="N43" s="55"/>
      <c r="O43" s="55"/>
      <c r="P43" s="55"/>
      <c r="Q43" s="55"/>
      <c r="R43" s="55"/>
      <c r="S43" s="55"/>
    </row>
    <row r="44" spans="1:31">
      <c r="A44" s="155"/>
      <c r="B44" s="155"/>
      <c r="C44" s="155"/>
    </row>
    <row r="45" spans="1:31">
      <c r="A45" s="155"/>
      <c r="C45" s="155"/>
      <c r="F45" s="55"/>
      <c r="G45" s="55"/>
      <c r="H45" s="55"/>
      <c r="I45" s="55"/>
      <c r="J45" s="55"/>
      <c r="K45" s="55"/>
      <c r="L45" s="55"/>
      <c r="M45" s="55"/>
      <c r="N45" s="55"/>
      <c r="O45" s="55"/>
      <c r="P45" s="55"/>
      <c r="Q45" s="55"/>
      <c r="R45" s="55"/>
      <c r="S45" s="55"/>
    </row>
    <row r="46" spans="1:31">
      <c r="A46" s="155"/>
      <c r="B46" s="155"/>
      <c r="C46" s="155"/>
      <c r="F46" s="57"/>
      <c r="G46" s="57"/>
      <c r="H46" s="57"/>
      <c r="I46" s="57"/>
      <c r="J46" s="57"/>
      <c r="K46" s="57"/>
      <c r="L46" s="57"/>
      <c r="M46" s="57"/>
      <c r="N46" s="57"/>
      <c r="O46" s="57"/>
      <c r="P46" s="57"/>
      <c r="Q46" s="57"/>
      <c r="R46" s="57"/>
      <c r="S46" s="57"/>
    </row>
    <row r="47" spans="1:31">
      <c r="A47" s="155"/>
      <c r="B47" s="155"/>
      <c r="C47" s="155"/>
    </row>
    <row r="48" spans="1:31">
      <c r="A48" s="155"/>
      <c r="B48" s="155"/>
      <c r="C48" s="155"/>
    </row>
    <row r="49" spans="1:19">
      <c r="A49" s="155"/>
      <c r="B49" s="155"/>
      <c r="C49" s="155"/>
    </row>
    <row r="50" spans="1:19">
      <c r="A50" s="155"/>
      <c r="B50" s="155"/>
      <c r="C50" s="155"/>
      <c r="D50" s="157"/>
      <c r="E50" s="157"/>
    </row>
    <row r="51" spans="1:19">
      <c r="A51" s="155"/>
      <c r="B51" s="155"/>
      <c r="C51" s="155"/>
    </row>
    <row r="52" spans="1:19">
      <c r="A52" s="155"/>
      <c r="B52" s="155"/>
      <c r="C52" s="155"/>
    </row>
    <row r="53" spans="1:19" ht="14.25">
      <c r="A53" s="155"/>
      <c r="B53" s="155"/>
      <c r="C53" s="155"/>
      <c r="D53" s="157"/>
      <c r="E53" s="157"/>
      <c r="F53" s="58"/>
      <c r="G53" s="58"/>
      <c r="H53" s="58"/>
      <c r="I53" s="58"/>
      <c r="J53" s="58"/>
      <c r="K53" s="58"/>
      <c r="L53" s="58"/>
      <c r="M53" s="58"/>
      <c r="N53" s="58"/>
      <c r="O53" s="58"/>
      <c r="P53" s="58"/>
      <c r="Q53" s="58"/>
      <c r="R53" s="58"/>
      <c r="S53" s="58"/>
    </row>
    <row r="54" spans="1:19">
      <c r="A54" s="155"/>
      <c r="B54" s="155"/>
      <c r="C54" s="155"/>
      <c r="D54" s="64"/>
      <c r="E54" s="64"/>
    </row>
    <row r="55" spans="1:19">
      <c r="A55" s="155"/>
      <c r="B55" s="155"/>
      <c r="C55" s="155"/>
      <c r="F55" s="55"/>
      <c r="G55" s="55"/>
      <c r="H55" s="55"/>
      <c r="I55" s="55"/>
      <c r="J55" s="55"/>
      <c r="K55" s="55"/>
      <c r="L55" s="55"/>
      <c r="M55" s="55"/>
      <c r="N55" s="55"/>
      <c r="O55" s="55"/>
      <c r="P55" s="55"/>
      <c r="Q55" s="55"/>
      <c r="R55" s="55"/>
      <c r="S55" s="55"/>
    </row>
    <row r="56" spans="1:19">
      <c r="A56" s="155"/>
      <c r="B56" s="155"/>
      <c r="C56" s="155"/>
      <c r="F56" s="59"/>
      <c r="G56" s="59"/>
      <c r="H56" s="59"/>
      <c r="I56" s="59"/>
      <c r="J56" s="59"/>
      <c r="K56" s="59"/>
      <c r="L56" s="59"/>
      <c r="M56" s="59"/>
      <c r="N56" s="59"/>
      <c r="O56" s="59"/>
      <c r="P56" s="59"/>
      <c r="Q56" s="59"/>
      <c r="R56" s="59"/>
      <c r="S56" s="59"/>
    </row>
    <row r="58" spans="1:19">
      <c r="F58" s="55"/>
      <c r="G58" s="55"/>
      <c r="H58" s="55"/>
      <c r="I58" s="55"/>
      <c r="J58" s="55"/>
      <c r="K58" s="55"/>
      <c r="L58" s="55"/>
      <c r="M58" s="55"/>
      <c r="N58" s="55"/>
      <c r="O58" s="55"/>
      <c r="P58" s="55"/>
      <c r="Q58" s="55"/>
      <c r="R58" s="55"/>
      <c r="S58" s="55"/>
    </row>
    <row r="61" spans="1:19" ht="15">
      <c r="F61" s="60"/>
      <c r="G61" s="60"/>
      <c r="H61" s="60"/>
      <c r="I61" s="60"/>
      <c r="J61" s="60"/>
      <c r="K61" s="60"/>
      <c r="L61" s="60"/>
      <c r="M61" s="60"/>
      <c r="N61" s="60"/>
      <c r="O61" s="60"/>
      <c r="P61" s="60"/>
      <c r="Q61" s="60"/>
      <c r="R61" s="60"/>
      <c r="S61" s="60"/>
    </row>
  </sheetData>
  <scenarios current="0" show="0">
    <scenario name="pittsfield best fit" locked="1" count="1" user="Author">
      <inputCells r="D37" deleted="1" val=""/>
    </scenario>
  </scenarios>
  <printOptions gridLines="1" gridLinesSet="0"/>
  <pageMargins left="0.75" right="0.75" top="1" bottom="1" header="0.5" footer="0.5"/>
  <pageSetup orientation="portrait" r:id="rId1"/>
  <headerFooter alignWithMargins="0">
    <oddHeader>&amp;A</oddHeader>
    <oddFooter>Page &amp;P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A1079-3D6E-41FC-8172-F38A64C28210}">
  <sheetPr>
    <tabColor theme="6"/>
  </sheetPr>
  <dimension ref="A1"/>
  <sheetViews>
    <sheetView workbookViewId="0">
      <selection activeCell="I39" sqref="I39"/>
    </sheetView>
  </sheetViews>
  <sheetFormatPr defaultRowHeight="12.75"/>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FC28F-DC6F-463D-A7EC-A4CABE0194DF}">
  <dimension ref="A1:AO50"/>
  <sheetViews>
    <sheetView zoomScale="98" zoomScaleNormal="98" workbookViewId="0">
      <selection activeCell="Q21" sqref="Q21"/>
    </sheetView>
  </sheetViews>
  <sheetFormatPr defaultRowHeight="12.75"/>
  <cols>
    <col min="2" max="2" width="11.85546875" customWidth="1"/>
    <col min="6" max="6" width="8.85546875" customWidth="1"/>
    <col min="9" max="9" width="11.28515625" customWidth="1"/>
    <col min="10" max="10" width="10.5703125" customWidth="1"/>
    <col min="11" max="11" width="9.140625" style="107"/>
    <col min="12" max="12" width="12" customWidth="1"/>
    <col min="13" max="13" width="9.42578125" customWidth="1"/>
    <col min="15" max="15" width="5.140625" customWidth="1"/>
    <col min="16" max="16" width="12.140625" customWidth="1"/>
    <col min="17" max="17" width="10.7109375" customWidth="1"/>
    <col min="21" max="21" width="9.28515625" customWidth="1"/>
    <col min="23" max="23" width="3" customWidth="1"/>
    <col min="24" max="24" width="11.140625" customWidth="1"/>
    <col min="25" max="25" width="11" customWidth="1"/>
    <col min="28" max="28" width="9" customWidth="1"/>
    <col min="31" max="31" width="12.85546875" customWidth="1"/>
    <col min="32" max="32" width="9.7109375" customWidth="1"/>
    <col min="36" max="36" width="11.7109375" customWidth="1"/>
    <col min="37" max="37" width="12" customWidth="1"/>
    <col min="40" max="40" width="13.5703125" customWidth="1"/>
    <col min="41" max="41" width="11.28515625" customWidth="1"/>
  </cols>
  <sheetData>
    <row r="1" spans="1:41">
      <c r="A1" s="194" t="s">
        <v>167</v>
      </c>
      <c r="B1" s="194"/>
      <c r="C1" s="194"/>
      <c r="E1" s="195" t="s">
        <v>166</v>
      </c>
      <c r="F1" s="195"/>
      <c r="G1" s="195"/>
      <c r="H1" s="195"/>
      <c r="I1" s="195"/>
      <c r="J1" s="195"/>
      <c r="K1" s="62"/>
      <c r="L1" s="195" t="s">
        <v>138</v>
      </c>
      <c r="M1" s="195"/>
      <c r="N1" s="195"/>
      <c r="O1" s="195"/>
      <c r="P1" s="195"/>
      <c r="Q1" s="195"/>
      <c r="R1" s="2"/>
      <c r="S1" s="2"/>
      <c r="T1" s="195" t="s">
        <v>140</v>
      </c>
      <c r="U1" s="195"/>
      <c r="V1" s="195"/>
      <c r="W1" s="195"/>
      <c r="X1" s="195"/>
      <c r="Y1" s="195"/>
      <c r="AA1" s="195" t="s">
        <v>162</v>
      </c>
      <c r="AB1" s="195"/>
      <c r="AC1" s="195"/>
      <c r="AD1" s="195"/>
      <c r="AE1" s="195"/>
      <c r="AF1" s="195"/>
      <c r="AH1" s="195" t="s">
        <v>161</v>
      </c>
      <c r="AI1" s="195"/>
      <c r="AJ1" s="195"/>
      <c r="AK1" s="195"/>
      <c r="AL1" s="195"/>
      <c r="AM1" s="195"/>
      <c r="AN1" s="195"/>
      <c r="AO1" s="195"/>
    </row>
    <row r="2" spans="1:41">
      <c r="A2" s="16" t="s">
        <v>100</v>
      </c>
      <c r="B2" s="16" t="s">
        <v>128</v>
      </c>
      <c r="C2" s="7" t="s">
        <v>101</v>
      </c>
      <c r="D2" s="7"/>
      <c r="E2" s="37" t="s">
        <v>100</v>
      </c>
      <c r="F2" s="7" t="s">
        <v>106</v>
      </c>
      <c r="G2" s="7" t="s">
        <v>129</v>
      </c>
      <c r="I2" s="16" t="s">
        <v>117</v>
      </c>
      <c r="J2">
        <v>2.9147816562831764E-2</v>
      </c>
      <c r="L2" s="37" t="s">
        <v>100</v>
      </c>
      <c r="M2" s="7" t="s">
        <v>106</v>
      </c>
      <c r="N2" s="7" t="s">
        <v>129</v>
      </c>
      <c r="O2" s="55"/>
      <c r="P2" s="7" t="s">
        <v>117</v>
      </c>
      <c r="Q2" s="94">
        <v>6.5588925343928982E-3</v>
      </c>
      <c r="R2" s="7"/>
      <c r="S2" s="7"/>
      <c r="T2" s="37" t="s">
        <v>100</v>
      </c>
      <c r="U2" s="7" t="s">
        <v>106</v>
      </c>
      <c r="V2" s="7" t="s">
        <v>129</v>
      </c>
      <c r="W2" s="7"/>
      <c r="X2" s="7" t="s">
        <v>117</v>
      </c>
      <c r="Y2" s="27">
        <v>2.1961439792140831E-2</v>
      </c>
      <c r="AA2" s="37" t="s">
        <v>100</v>
      </c>
      <c r="AB2" s="7" t="s">
        <v>106</v>
      </c>
      <c r="AC2" s="7" t="s">
        <v>129</v>
      </c>
      <c r="AD2" s="7"/>
      <c r="AE2" s="16" t="s">
        <v>117</v>
      </c>
      <c r="AF2" s="102">
        <v>5.9454839034142198E-3</v>
      </c>
      <c r="AH2" s="37" t="s">
        <v>100</v>
      </c>
      <c r="AI2" s="7" t="s">
        <v>106</v>
      </c>
      <c r="AJ2" s="16" t="s">
        <v>173</v>
      </c>
      <c r="AK2" s="16" t="s">
        <v>176</v>
      </c>
      <c r="AL2" s="7" t="s">
        <v>129</v>
      </c>
      <c r="AM2" s="7"/>
      <c r="AN2" s="16" t="s">
        <v>117</v>
      </c>
      <c r="AO2" s="102">
        <v>4.4516256526913461E-3</v>
      </c>
    </row>
    <row r="3" spans="1:41">
      <c r="A3">
        <v>1</v>
      </c>
      <c r="B3" s="108">
        <v>1375</v>
      </c>
      <c r="C3" s="28">
        <v>1375</v>
      </c>
      <c r="D3" s="28"/>
      <c r="E3" s="33">
        <v>1</v>
      </c>
      <c r="F3" s="108">
        <v>2872.7116364176909</v>
      </c>
      <c r="G3" s="109">
        <v>1.0892448264855934</v>
      </c>
      <c r="L3" s="33">
        <v>1</v>
      </c>
      <c r="M3" s="28">
        <v>653.74299479893375</v>
      </c>
      <c r="N3" s="29">
        <v>0.52455054923713906</v>
      </c>
      <c r="O3" s="55"/>
      <c r="P3" s="7" t="s">
        <v>98</v>
      </c>
      <c r="Q3" s="94">
        <v>1.5359219528033554</v>
      </c>
      <c r="R3" s="7"/>
      <c r="S3" s="7"/>
      <c r="T3" s="33">
        <v>1</v>
      </c>
      <c r="U3" s="28">
        <v>760.82974684816838</v>
      </c>
      <c r="V3" s="84">
        <v>0.44666927501951392</v>
      </c>
      <c r="W3" s="7"/>
      <c r="X3" s="7" t="s">
        <v>98</v>
      </c>
      <c r="Y3" s="27">
        <v>1.4854299206081802</v>
      </c>
      <c r="AA3" s="33">
        <v>1</v>
      </c>
      <c r="AB3" s="28">
        <v>1377.7914457559382</v>
      </c>
      <c r="AC3" s="84">
        <v>2.0301423679550431E-3</v>
      </c>
      <c r="AD3" s="7"/>
      <c r="AE3" s="16" t="s">
        <v>98</v>
      </c>
      <c r="AF3" s="102">
        <v>1.6795812789641136</v>
      </c>
      <c r="AH3" s="33">
        <v>1</v>
      </c>
      <c r="AI3" s="28">
        <v>1389.5391431119508</v>
      </c>
      <c r="AJ3" s="123">
        <f>AI3</f>
        <v>1389.5391431119508</v>
      </c>
      <c r="AK3" s="110">
        <f>ABS((C3-AJ3)/C3)</f>
        <v>1.0573922263236951E-2</v>
      </c>
      <c r="AL3" s="84">
        <v>1.0573922263236951E-2</v>
      </c>
      <c r="AM3" s="7"/>
      <c r="AN3" s="16" t="s">
        <v>98</v>
      </c>
      <c r="AO3" s="102">
        <v>2.3953297343219666</v>
      </c>
    </row>
    <row r="4" spans="1:41">
      <c r="A4">
        <v>2</v>
      </c>
      <c r="B4" s="108">
        <v>2477</v>
      </c>
      <c r="C4" s="28">
        <v>1102</v>
      </c>
      <c r="D4" s="28"/>
      <c r="E4" s="33">
        <f>E3+1</f>
        <v>2</v>
      </c>
      <c r="F4" s="108">
        <v>5662.898551375295</v>
      </c>
      <c r="G4" s="109">
        <v>1.2861923905431147</v>
      </c>
      <c r="L4" s="33">
        <f>L3+1</f>
        <v>2</v>
      </c>
      <c r="M4" s="28">
        <v>1883.9340810252736</v>
      </c>
      <c r="N4" s="29">
        <v>0.23942911545204942</v>
      </c>
      <c r="O4" s="55"/>
      <c r="P4" s="7"/>
      <c r="Q4" s="7"/>
      <c r="R4" s="7"/>
      <c r="S4" s="7"/>
      <c r="T4" s="33">
        <f>T3+1</f>
        <v>2</v>
      </c>
      <c r="U4" s="28">
        <v>2123.1157008943956</v>
      </c>
      <c r="V4" s="84">
        <v>0.14286810621946081</v>
      </c>
      <c r="W4" s="7"/>
      <c r="X4" s="7" t="s">
        <v>115</v>
      </c>
      <c r="Y4" s="27">
        <v>-0.1437806251093923</v>
      </c>
      <c r="AA4" s="33">
        <f>AA3+1</f>
        <v>2</v>
      </c>
      <c r="AB4" s="28">
        <v>2434.1652409983094</v>
      </c>
      <c r="AC4" s="84">
        <v>1.729299919325418E-2</v>
      </c>
      <c r="AD4" s="7"/>
      <c r="AE4" s="16" t="s">
        <v>115</v>
      </c>
      <c r="AF4" s="102">
        <v>-4.4642130628014524E-2</v>
      </c>
      <c r="AH4" s="33">
        <f>AH3+1</f>
        <v>2</v>
      </c>
      <c r="AI4" s="28">
        <v>2433.9260279074847</v>
      </c>
      <c r="AJ4" s="123">
        <f>AI4-AI3</f>
        <v>1044.3868847955339</v>
      </c>
      <c r="AK4" s="110">
        <f t="shared" ref="AK4:AK29" si="0">ABS((C4-AJ4)/C4)</f>
        <v>5.2280503815305003E-2</v>
      </c>
      <c r="AL4" s="84">
        <v>1.738957290775749E-2</v>
      </c>
      <c r="AM4" s="7"/>
      <c r="AN4" s="16" t="s">
        <v>115</v>
      </c>
      <c r="AO4" s="27">
        <v>-0.19373493934796621</v>
      </c>
    </row>
    <row r="5" spans="1:41">
      <c r="A5">
        <v>3</v>
      </c>
      <c r="B5" s="108">
        <v>3629</v>
      </c>
      <c r="C5" s="28">
        <v>1152</v>
      </c>
      <c r="D5" s="28"/>
      <c r="E5" s="33">
        <f t="shared" ref="E5:E29" si="1">E4+1</f>
        <v>3</v>
      </c>
      <c r="F5" s="108">
        <v>8372.9314421490999</v>
      </c>
      <c r="G5" s="109">
        <v>1.3072282838658307</v>
      </c>
      <c r="L5" s="33">
        <f t="shared" ref="L5:L29" si="2">L4+1</f>
        <v>3</v>
      </c>
      <c r="M5" s="28">
        <v>3483.178841127954</v>
      </c>
      <c r="N5" s="29">
        <v>4.0182187619742626E-2</v>
      </c>
      <c r="O5" s="54"/>
      <c r="P5" s="2"/>
      <c r="Q5" s="2"/>
      <c r="R5" s="2"/>
      <c r="S5" s="2"/>
      <c r="T5" s="33">
        <f t="shared" ref="T5:T29" si="3">T4+1</f>
        <v>3</v>
      </c>
      <c r="U5" s="28">
        <v>3748.2743099848226</v>
      </c>
      <c r="V5" s="84">
        <v>3.2866990902403581E-2</v>
      </c>
      <c r="W5" s="2"/>
      <c r="X5" s="2"/>
      <c r="Y5" s="2"/>
      <c r="AA5" s="33">
        <f t="shared" ref="AA5:AA29" si="4">AA4+1</f>
        <v>3</v>
      </c>
      <c r="AB5" s="28">
        <v>3728.8776814896505</v>
      </c>
      <c r="AC5" s="84">
        <v>2.7522094651322819E-2</v>
      </c>
      <c r="AD5" s="2"/>
      <c r="AE5" s="16" t="s">
        <v>134</v>
      </c>
      <c r="AF5" s="102">
        <v>1.1753111277261716</v>
      </c>
      <c r="AH5" s="33">
        <f t="shared" ref="AH5:AH29" si="5">AH4+1</f>
        <v>3</v>
      </c>
      <c r="AI5" s="28">
        <v>3532.5059670588521</v>
      </c>
      <c r="AJ5" s="123">
        <f t="shared" ref="AJ5:AJ29" si="6">AI5-AI4</f>
        <v>1098.5799391513674</v>
      </c>
      <c r="AK5" s="110">
        <f t="shared" si="0"/>
        <v>4.6371580597771356E-2</v>
      </c>
      <c r="AL5" s="84">
        <v>2.6589703207811493E-2</v>
      </c>
      <c r="AM5" s="2"/>
      <c r="AN5" s="16" t="s">
        <v>134</v>
      </c>
      <c r="AO5" s="27">
        <v>2.5684799874402784</v>
      </c>
    </row>
    <row r="6" spans="1:41">
      <c r="A6">
        <v>4</v>
      </c>
      <c r="B6" s="108">
        <v>4876</v>
      </c>
      <c r="C6" s="28">
        <v>1247</v>
      </c>
      <c r="D6" s="28"/>
      <c r="E6" s="33">
        <f t="shared" si="1"/>
        <v>4</v>
      </c>
      <c r="F6" s="108">
        <v>11005.112902718894</v>
      </c>
      <c r="G6" s="109">
        <v>1.2569960834124065</v>
      </c>
      <c r="L6" s="33">
        <f t="shared" si="2"/>
        <v>4</v>
      </c>
      <c r="M6" s="28">
        <v>5365.7073263828406</v>
      </c>
      <c r="N6" s="29">
        <v>0.10043218342552104</v>
      </c>
      <c r="O6" s="55"/>
      <c r="R6" s="7"/>
      <c r="S6" s="7"/>
      <c r="T6" s="33">
        <f t="shared" si="3"/>
        <v>4</v>
      </c>
      <c r="U6" s="28">
        <v>5652.1125349154208</v>
      </c>
      <c r="V6" s="84">
        <v>0.15916992102449157</v>
      </c>
      <c r="W6" s="7"/>
      <c r="AA6" s="33">
        <f t="shared" si="4"/>
        <v>4</v>
      </c>
      <c r="AB6" s="28">
        <v>5318.8011151072633</v>
      </c>
      <c r="AC6" s="95">
        <v>9.0812369792301742E-2</v>
      </c>
      <c r="AD6" s="7"/>
      <c r="AE6" s="7" t="s">
        <v>143</v>
      </c>
      <c r="AF6" s="27">
        <v>2.1992424142657909</v>
      </c>
      <c r="AH6" s="33">
        <f t="shared" si="5"/>
        <v>4</v>
      </c>
      <c r="AI6" s="28">
        <v>4996.0335607858842</v>
      </c>
      <c r="AJ6" s="123">
        <f t="shared" si="6"/>
        <v>1463.5275937270321</v>
      </c>
      <c r="AK6" s="110">
        <f t="shared" si="0"/>
        <v>0.17363880812111637</v>
      </c>
      <c r="AL6" s="96">
        <v>2.4617219193167394E-2</v>
      </c>
      <c r="AM6" s="7"/>
      <c r="AN6" s="7" t="s">
        <v>143</v>
      </c>
      <c r="AO6" s="27">
        <v>1.1195406207451279</v>
      </c>
    </row>
    <row r="7" spans="1:41">
      <c r="A7">
        <v>5</v>
      </c>
      <c r="B7" s="108">
        <v>6515</v>
      </c>
      <c r="C7" s="28">
        <v>1639</v>
      </c>
      <c r="D7" s="28"/>
      <c r="E7" s="33">
        <f t="shared" si="1"/>
        <v>5</v>
      </c>
      <c r="F7" s="108">
        <v>13561.679380179281</v>
      </c>
      <c r="G7" s="109">
        <v>1.0816085004112481</v>
      </c>
      <c r="L7" s="33">
        <f t="shared" si="2"/>
        <v>5</v>
      </c>
      <c r="M7" s="28">
        <v>7475.3551705546206</v>
      </c>
      <c r="N7" s="29">
        <v>0.14740677982419348</v>
      </c>
      <c r="O7" s="57"/>
      <c r="R7" s="20"/>
      <c r="S7" s="20"/>
      <c r="T7" s="33">
        <f t="shared" si="3"/>
        <v>5</v>
      </c>
      <c r="U7" s="28">
        <v>7767.8927729586285</v>
      </c>
      <c r="V7" s="84">
        <v>0.19230894442956692</v>
      </c>
      <c r="W7" s="20"/>
      <c r="AA7" s="33">
        <f t="shared" si="4"/>
        <v>5</v>
      </c>
      <c r="AB7" s="28">
        <v>7171.3317352844588</v>
      </c>
      <c r="AC7" s="95">
        <v>0.10074163243046182</v>
      </c>
      <c r="AD7" s="20"/>
      <c r="AH7" s="33">
        <f t="shared" si="5"/>
        <v>5</v>
      </c>
      <c r="AI7" s="28">
        <v>6928.5206479153812</v>
      </c>
      <c r="AJ7" s="123">
        <f t="shared" si="6"/>
        <v>1932.487087129497</v>
      </c>
      <c r="AK7" s="110">
        <f t="shared" si="0"/>
        <v>0.17906472674160892</v>
      </c>
      <c r="AL7" s="96">
        <v>6.3472087170434566E-2</v>
      </c>
      <c r="AM7" s="20"/>
      <c r="AN7" s="7" t="s">
        <v>163</v>
      </c>
      <c r="AO7" s="27">
        <v>-0.26811430051531626</v>
      </c>
    </row>
    <row r="8" spans="1:41">
      <c r="A8">
        <v>6</v>
      </c>
      <c r="B8" s="108">
        <v>9091</v>
      </c>
      <c r="C8" s="28">
        <v>2576</v>
      </c>
      <c r="D8" s="28"/>
      <c r="E8" s="33">
        <f t="shared" si="1"/>
        <v>6</v>
      </c>
      <c r="F8" s="108">
        <v>16044.803074948899</v>
      </c>
      <c r="G8" s="109">
        <v>0.7649106891374875</v>
      </c>
      <c r="L8" s="33">
        <f t="shared" si="2"/>
        <v>6</v>
      </c>
      <c r="M8" s="28">
        <v>9769.6211586296049</v>
      </c>
      <c r="N8" s="29">
        <v>7.46475809734468E-2</v>
      </c>
      <c r="O8" s="54"/>
      <c r="R8" s="2"/>
      <c r="S8" s="2"/>
      <c r="T8" s="33">
        <f t="shared" si="3"/>
        <v>6</v>
      </c>
      <c r="U8" s="28">
        <v>9994.9076091927054</v>
      </c>
      <c r="V8" s="84">
        <v>9.9428842722770375E-2</v>
      </c>
      <c r="W8" s="2"/>
      <c r="AA8" s="33">
        <f t="shared" si="4"/>
        <v>6</v>
      </c>
      <c r="AB8" s="28">
        <v>9235.4885132613927</v>
      </c>
      <c r="AC8" s="84">
        <v>1.5893577522977962E-2</v>
      </c>
      <c r="AD8" s="2"/>
      <c r="AH8" s="33">
        <f t="shared" si="5"/>
        <v>6</v>
      </c>
      <c r="AI8" s="28">
        <v>9303.2887980731612</v>
      </c>
      <c r="AJ8" s="123">
        <f t="shared" si="6"/>
        <v>2374.7681501577799</v>
      </c>
      <c r="AK8" s="110">
        <f t="shared" si="0"/>
        <v>7.8117954131296616E-2</v>
      </c>
      <c r="AL8" s="84">
        <v>2.3351534272705001E-2</v>
      </c>
      <c r="AM8" s="2"/>
      <c r="AN8" s="7" t="s">
        <v>149</v>
      </c>
      <c r="AO8" s="27">
        <v>1.6353713878030569</v>
      </c>
    </row>
    <row r="9" spans="1:41">
      <c r="A9">
        <v>7</v>
      </c>
      <c r="B9" s="108">
        <v>12067</v>
      </c>
      <c r="C9" s="28">
        <v>2976</v>
      </c>
      <c r="D9" s="28"/>
      <c r="E9" s="33">
        <f t="shared" si="1"/>
        <v>7</v>
      </c>
      <c r="F9" s="108">
        <v>18456.593786392241</v>
      </c>
      <c r="G9" s="109">
        <v>0.5295097195982631</v>
      </c>
      <c r="L9" s="33">
        <f t="shared" si="2"/>
        <v>7</v>
      </c>
      <c r="M9" s="28">
        <v>12213.918292483128</v>
      </c>
      <c r="N9" s="29">
        <v>1.2175212768967226E-2</v>
      </c>
      <c r="O9" s="54"/>
      <c r="R9" s="2"/>
      <c r="S9" s="2"/>
      <c r="T9" s="33">
        <f t="shared" si="3"/>
        <v>7</v>
      </c>
      <c r="U9" s="28">
        <v>12300.394694222816</v>
      </c>
      <c r="V9" s="84">
        <v>1.934156743372966E-2</v>
      </c>
      <c r="W9" s="2"/>
      <c r="AA9" s="33">
        <f t="shared" si="4"/>
        <v>7</v>
      </c>
      <c r="AB9" s="28">
        <v>11478.748882912027</v>
      </c>
      <c r="AC9" s="84">
        <v>4.8748745925911441E-2</v>
      </c>
      <c r="AD9" s="2"/>
      <c r="AH9" s="33">
        <f t="shared" si="5"/>
        <v>7</v>
      </c>
      <c r="AI9" s="28">
        <v>12115.346234800916</v>
      </c>
      <c r="AJ9" s="123">
        <f t="shared" si="6"/>
        <v>2812.057436727755</v>
      </c>
      <c r="AK9" s="110">
        <f t="shared" si="0"/>
        <v>5.508822690599631E-2</v>
      </c>
      <c r="AL9" s="84">
        <v>4.0064833679386872E-3</v>
      </c>
      <c r="AM9" s="2"/>
      <c r="AN9" s="7" t="s">
        <v>150</v>
      </c>
      <c r="AO9" s="27">
        <v>1.1095309598641903</v>
      </c>
    </row>
    <row r="10" spans="1:41">
      <c r="A10">
        <v>8</v>
      </c>
      <c r="B10" s="108">
        <v>14596</v>
      </c>
      <c r="C10" s="28">
        <v>2529</v>
      </c>
      <c r="D10" s="28"/>
      <c r="E10" s="33">
        <f t="shared" si="1"/>
        <v>8</v>
      </c>
      <c r="F10" s="108">
        <v>20799.10070542189</v>
      </c>
      <c r="G10" s="109">
        <v>0.42498634594559398</v>
      </c>
      <c r="L10" s="33">
        <f t="shared" si="2"/>
        <v>8</v>
      </c>
      <c r="M10" s="28">
        <v>14778.912586298653</v>
      </c>
      <c r="N10" s="29">
        <v>1.253169267598335E-2</v>
      </c>
      <c r="O10" s="54"/>
      <c r="R10" s="2"/>
      <c r="S10" s="2"/>
      <c r="T10" s="33">
        <f t="shared" si="3"/>
        <v>8</v>
      </c>
      <c r="U10" s="28">
        <v>14728.758665244779</v>
      </c>
      <c r="V10" s="84">
        <v>9.0955511951753189E-3</v>
      </c>
      <c r="W10" s="2"/>
      <c r="AA10" s="33">
        <f t="shared" si="4"/>
        <v>8</v>
      </c>
      <c r="AB10" s="28">
        <v>13894.023196104554</v>
      </c>
      <c r="AC10" s="84">
        <v>4.809377938445096E-2</v>
      </c>
      <c r="AD10" s="2"/>
      <c r="AH10" s="33">
        <f t="shared" si="5"/>
        <v>8</v>
      </c>
      <c r="AI10" s="28">
        <v>14290.883534629183</v>
      </c>
      <c r="AJ10" s="123">
        <f t="shared" si="6"/>
        <v>2175.5372998282674</v>
      </c>
      <c r="AK10" s="110">
        <f t="shared" si="0"/>
        <v>0.13976381975948304</v>
      </c>
      <c r="AL10" s="84">
        <v>2.0904115193944677E-2</v>
      </c>
      <c r="AM10" s="2"/>
    </row>
    <row r="11" spans="1:41">
      <c r="A11">
        <v>9</v>
      </c>
      <c r="B11" s="108">
        <v>17017</v>
      </c>
      <c r="C11" s="28">
        <v>2421</v>
      </c>
      <c r="D11" s="28"/>
      <c r="E11" s="33">
        <f t="shared" si="1"/>
        <v>9</v>
      </c>
      <c r="F11" s="108">
        <v>23074.31415560469</v>
      </c>
      <c r="G11" s="109">
        <v>0.35595664074776345</v>
      </c>
      <c r="I11" s="16" t="s">
        <v>107</v>
      </c>
      <c r="J11" s="108">
        <v>389378.9608105683</v>
      </c>
      <c r="L11" s="33">
        <f t="shared" si="2"/>
        <v>9</v>
      </c>
      <c r="M11" s="28">
        <v>17439.100259418807</v>
      </c>
      <c r="N11" s="29">
        <v>2.4804622402233453E-2</v>
      </c>
      <c r="O11" s="54"/>
      <c r="P11" s="7" t="s">
        <v>107</v>
      </c>
      <c r="Q11" s="28">
        <v>381964.76783506293</v>
      </c>
      <c r="R11" s="2"/>
      <c r="S11" s="2"/>
      <c r="T11" s="33">
        <f t="shared" si="3"/>
        <v>9</v>
      </c>
      <c r="U11" s="28">
        <v>17199.223827374099</v>
      </c>
      <c r="V11" s="84">
        <v>1.0708340328735889E-2</v>
      </c>
      <c r="W11" s="2"/>
      <c r="X11" s="7" t="s">
        <v>107</v>
      </c>
      <c r="Y11" s="28">
        <v>381720.12417815998</v>
      </c>
      <c r="AA11" s="33">
        <f t="shared" si="4"/>
        <v>9</v>
      </c>
      <c r="AB11" s="28">
        <v>16437.346239224458</v>
      </c>
      <c r="AC11" s="84">
        <v>3.4063216828791314E-2</v>
      </c>
      <c r="AD11" s="2"/>
      <c r="AE11" s="66" t="s">
        <v>107</v>
      </c>
      <c r="AF11" s="28">
        <v>381026.7682592338</v>
      </c>
      <c r="AH11" s="33">
        <f t="shared" si="5"/>
        <v>9</v>
      </c>
      <c r="AI11" s="28">
        <v>16646.071504152183</v>
      </c>
      <c r="AJ11" s="123">
        <f t="shared" si="6"/>
        <v>2355.187969523</v>
      </c>
      <c r="AK11" s="110">
        <f t="shared" si="0"/>
        <v>2.7183820932259399E-2</v>
      </c>
      <c r="AL11" s="84">
        <v>2.1797525759406272E-2</v>
      </c>
      <c r="AM11" s="2"/>
      <c r="AN11" s="66" t="s">
        <v>107</v>
      </c>
      <c r="AO11" s="28">
        <v>380751.6427033036</v>
      </c>
    </row>
    <row r="12" spans="1:41">
      <c r="A12">
        <v>10</v>
      </c>
      <c r="B12" s="108">
        <v>19402</v>
      </c>
      <c r="C12" s="28">
        <v>2385</v>
      </c>
      <c r="D12" s="28"/>
      <c r="E12" s="33">
        <f t="shared" si="1"/>
        <v>10</v>
      </c>
      <c r="F12" s="108">
        <v>25284.167284250758</v>
      </c>
      <c r="G12" s="109">
        <v>0.30317324421455305</v>
      </c>
      <c r="I12" s="16" t="s">
        <v>99</v>
      </c>
      <c r="J12" s="108">
        <v>-194677.96747981917</v>
      </c>
      <c r="L12" s="33">
        <f t="shared" si="2"/>
        <v>10</v>
      </c>
      <c r="M12" s="28">
        <v>20171.968748981937</v>
      </c>
      <c r="N12" s="29">
        <v>3.9685019533137668E-2</v>
      </c>
      <c r="O12" s="54"/>
      <c r="P12" s="7" t="s">
        <v>99</v>
      </c>
      <c r="Q12" s="28">
        <v>-190970.87099206648</v>
      </c>
      <c r="R12" s="2"/>
      <c r="S12" s="2"/>
      <c r="T12" s="33">
        <f t="shared" si="3"/>
        <v>10</v>
      </c>
      <c r="U12" s="28">
        <v>19685.653218564214</v>
      </c>
      <c r="V12" s="84">
        <v>1.4619792730863499E-2</v>
      </c>
      <c r="W12" s="2"/>
      <c r="X12" s="7" t="s">
        <v>99</v>
      </c>
      <c r="Y12" s="28">
        <v>-190842.79270088254</v>
      </c>
      <c r="AA12" s="33">
        <f t="shared" si="4"/>
        <v>10</v>
      </c>
      <c r="AB12" s="28">
        <v>19082.003267049597</v>
      </c>
      <c r="AC12" s="84">
        <v>1.6492976649335293E-2</v>
      </c>
      <c r="AD12" s="2"/>
      <c r="AE12" s="66" t="s">
        <v>99</v>
      </c>
      <c r="AF12" s="28">
        <v>-190484.60181595446</v>
      </c>
      <c r="AH12" s="33">
        <f t="shared" si="5"/>
        <v>10</v>
      </c>
      <c r="AI12" s="28">
        <v>19119.221029272259</v>
      </c>
      <c r="AJ12" s="123">
        <f t="shared" si="6"/>
        <v>2473.1495251200759</v>
      </c>
      <c r="AK12" s="110">
        <f t="shared" si="0"/>
        <v>3.695996860380539E-2</v>
      </c>
      <c r="AL12" s="84">
        <v>1.4574733054723258E-2</v>
      </c>
      <c r="AM12" s="2"/>
      <c r="AN12" s="66" t="s">
        <v>99</v>
      </c>
      <c r="AO12" s="28">
        <v>-190329.76964979191</v>
      </c>
    </row>
    <row r="13" spans="1:41">
      <c r="A13">
        <v>11</v>
      </c>
      <c r="B13" s="108">
        <v>22032</v>
      </c>
      <c r="C13" s="28">
        <v>2630</v>
      </c>
      <c r="D13" s="28"/>
      <c r="E13" s="33">
        <f t="shared" si="1"/>
        <v>11</v>
      </c>
      <c r="F13" s="108">
        <v>27430.537704922463</v>
      </c>
      <c r="G13" s="109">
        <v>0.24503166779786051</v>
      </c>
      <c r="I13" s="16" t="s">
        <v>130</v>
      </c>
      <c r="J13" s="110">
        <v>0.51210868061492709</v>
      </c>
      <c r="L13" s="33">
        <f t="shared" si="2"/>
        <v>11</v>
      </c>
      <c r="M13" s="28">
        <v>22957.463904899665</v>
      </c>
      <c r="N13" s="29">
        <v>4.2005442306629677E-2</v>
      </c>
      <c r="O13" s="54"/>
      <c r="P13" s="7" t="s">
        <v>130</v>
      </c>
      <c r="Q13" s="84">
        <v>7.8554634275439281E-2</v>
      </c>
      <c r="R13" s="2"/>
      <c r="S13" s="2"/>
      <c r="T13" s="33">
        <f t="shared" si="3"/>
        <v>11</v>
      </c>
      <c r="U13" s="28">
        <v>22239.944082528516</v>
      </c>
      <c r="V13" s="84">
        <v>9.4382753507859674E-3</v>
      </c>
      <c r="W13" s="2"/>
      <c r="X13" s="7" t="s">
        <v>130</v>
      </c>
      <c r="Y13" s="84">
        <v>6.490403100748017E-2</v>
      </c>
      <c r="AA13" s="33">
        <f t="shared" si="4"/>
        <v>11</v>
      </c>
      <c r="AB13" s="28">
        <v>21828.305152086657</v>
      </c>
      <c r="AC13" s="84">
        <v>9.2454088559069773E-3</v>
      </c>
      <c r="AD13" s="2"/>
      <c r="AE13" s="66" t="s">
        <v>130</v>
      </c>
      <c r="AF13" s="84">
        <v>2.4370199015118294E-2</v>
      </c>
      <c r="AH13" s="33">
        <f t="shared" si="5"/>
        <v>11</v>
      </c>
      <c r="AI13" s="28">
        <v>21750.349781272758</v>
      </c>
      <c r="AJ13" s="123">
        <f t="shared" si="6"/>
        <v>2631.1287520004989</v>
      </c>
      <c r="AK13" s="110">
        <f t="shared" si="0"/>
        <v>4.2918327015168621E-4</v>
      </c>
      <c r="AL13" s="84">
        <v>1.2783688213836316E-2</v>
      </c>
      <c r="AM13" s="2"/>
      <c r="AN13" s="66" t="s">
        <v>130</v>
      </c>
      <c r="AO13" s="84">
        <f>AVERAGE(AK3:AK20)</f>
        <v>7.4993470333055895E-2</v>
      </c>
    </row>
    <row r="14" spans="1:41" ht="14.25">
      <c r="A14">
        <v>12</v>
      </c>
      <c r="B14" s="108">
        <v>24826</v>
      </c>
      <c r="C14" s="28">
        <v>2794</v>
      </c>
      <c r="D14" s="28"/>
      <c r="E14" s="33">
        <f t="shared" si="1"/>
        <v>12</v>
      </c>
      <c r="F14" s="108">
        <v>29515.24909275891</v>
      </c>
      <c r="G14" s="109">
        <v>0.18888460053004549</v>
      </c>
      <c r="I14" s="16" t="s">
        <v>139</v>
      </c>
      <c r="J14" s="110">
        <v>5.9248156536336666E-2</v>
      </c>
      <c r="L14" s="33">
        <f t="shared" si="2"/>
        <v>12</v>
      </c>
      <c r="M14" s="28">
        <v>25777.630316312006</v>
      </c>
      <c r="N14" s="81">
        <v>3.8332003396117233E-2</v>
      </c>
      <c r="O14" s="58"/>
      <c r="P14" s="7" t="s">
        <v>139</v>
      </c>
      <c r="Q14" s="77">
        <f>AVERAGE(N21:N29)</f>
        <v>6.6334128983819393E-2</v>
      </c>
      <c r="R14" s="10"/>
      <c r="S14" s="10"/>
      <c r="T14" s="33">
        <f t="shared" si="3"/>
        <v>12</v>
      </c>
      <c r="U14" s="28">
        <v>24952.438073496098</v>
      </c>
      <c r="V14" s="85">
        <v>5.0929700111213162E-3</v>
      </c>
      <c r="W14" s="10"/>
      <c r="X14" s="7" t="s">
        <v>139</v>
      </c>
      <c r="Y14" s="84">
        <v>0.10228771470549892</v>
      </c>
      <c r="AA14" s="33">
        <f t="shared" si="4"/>
        <v>12</v>
      </c>
      <c r="AB14" s="28">
        <v>24690.683379977585</v>
      </c>
      <c r="AC14" s="85">
        <v>5.4506009837434546E-3</v>
      </c>
      <c r="AD14" s="10"/>
      <c r="AE14" s="66" t="s">
        <v>139</v>
      </c>
      <c r="AF14" s="84">
        <v>0.10385081430425225</v>
      </c>
      <c r="AH14" s="33">
        <f t="shared" si="5"/>
        <v>12</v>
      </c>
      <c r="AI14" s="28">
        <v>24638.162453502511</v>
      </c>
      <c r="AJ14" s="123">
        <f t="shared" si="6"/>
        <v>2887.8126722297529</v>
      </c>
      <c r="AK14" s="110">
        <f t="shared" si="0"/>
        <v>3.3576475386454162E-2</v>
      </c>
      <c r="AL14" s="85">
        <v>7.5661623498545398E-3</v>
      </c>
      <c r="AM14" s="10"/>
      <c r="AN14" s="66" t="s">
        <v>139</v>
      </c>
      <c r="AO14" s="84">
        <f>AVERAGE(AK21:AK29)</f>
        <v>0.14207853374272261</v>
      </c>
    </row>
    <row r="15" spans="1:41">
      <c r="A15">
        <v>13</v>
      </c>
      <c r="B15" s="108">
        <v>27526</v>
      </c>
      <c r="C15" s="28">
        <v>2700</v>
      </c>
      <c r="D15" s="28"/>
      <c r="E15" s="33">
        <f t="shared" si="1"/>
        <v>13</v>
      </c>
      <c r="F15" s="108">
        <v>31540.072733971247</v>
      </c>
      <c r="G15" s="109">
        <v>0.14582840710496428</v>
      </c>
      <c r="L15" s="33">
        <f t="shared" si="2"/>
        <v>13</v>
      </c>
      <c r="M15" s="28">
        <v>28616.355120640212</v>
      </c>
      <c r="N15" s="29">
        <v>3.9611825933307115E-2</v>
      </c>
      <c r="O15" s="54"/>
      <c r="P15" s="66" t="s">
        <v>144</v>
      </c>
      <c r="Q15" s="2"/>
      <c r="R15" s="2"/>
      <c r="S15" s="2"/>
      <c r="T15" s="33">
        <f t="shared" si="3"/>
        <v>13</v>
      </c>
      <c r="U15" s="28">
        <v>27719.693585641082</v>
      </c>
      <c r="V15" s="84">
        <v>7.0367501867718476E-3</v>
      </c>
      <c r="W15" s="2"/>
      <c r="X15" s="66" t="s">
        <v>144</v>
      </c>
      <c r="Y15" s="2"/>
      <c r="AA15" s="33">
        <f t="shared" si="4"/>
        <v>13</v>
      </c>
      <c r="AB15" s="28">
        <v>27620.158278366856</v>
      </c>
      <c r="AC15" s="84">
        <v>3.4207032756977548E-3</v>
      </c>
      <c r="AD15" s="2"/>
      <c r="AE15" s="66" t="s">
        <v>144</v>
      </c>
      <c r="AF15" s="103">
        <v>0.98731694013543769</v>
      </c>
      <c r="AH15" s="33">
        <f t="shared" si="5"/>
        <v>13</v>
      </c>
      <c r="AI15" s="28">
        <v>27602.837061618437</v>
      </c>
      <c r="AJ15" s="123">
        <f t="shared" si="6"/>
        <v>2964.6746081159254</v>
      </c>
      <c r="AK15" s="110">
        <f t="shared" si="0"/>
        <v>9.8027632635527912E-2</v>
      </c>
      <c r="AL15" s="84">
        <v>2.7914357922849873E-3</v>
      </c>
      <c r="AM15" s="2"/>
      <c r="AN15" s="66" t="s">
        <v>144</v>
      </c>
      <c r="AO15" s="103">
        <v>0.99963418726919628</v>
      </c>
    </row>
    <row r="16" spans="1:41">
      <c r="A16">
        <v>14</v>
      </c>
      <c r="B16" s="108">
        <v>30696</v>
      </c>
      <c r="C16" s="28">
        <v>3170</v>
      </c>
      <c r="D16" s="28"/>
      <c r="E16" s="33">
        <f t="shared" si="1"/>
        <v>14</v>
      </c>
      <c r="F16" s="108">
        <v>33506.729030825547</v>
      </c>
      <c r="G16" s="109">
        <v>9.1566622062338648E-2</v>
      </c>
      <c r="L16" s="33">
        <f t="shared" si="2"/>
        <v>14</v>
      </c>
      <c r="M16" s="28">
        <v>31459.176330066919</v>
      </c>
      <c r="N16" s="29">
        <v>2.4862403246902497E-2</v>
      </c>
      <c r="O16" s="55"/>
      <c r="P16" s="7"/>
      <c r="Q16" s="7"/>
      <c r="R16" s="7"/>
      <c r="S16" s="7"/>
      <c r="T16" s="33">
        <f t="shared" si="3"/>
        <v>14</v>
      </c>
      <c r="U16" s="28">
        <v>30490.226902946415</v>
      </c>
      <c r="V16" s="84">
        <v>6.7035801750581483E-3</v>
      </c>
      <c r="W16" s="7"/>
      <c r="X16" s="2"/>
      <c r="Y16" s="2"/>
      <c r="AA16" s="33">
        <f t="shared" si="4"/>
        <v>14</v>
      </c>
      <c r="AB16" s="28">
        <v>30585.66689054223</v>
      </c>
      <c r="AC16" s="84">
        <v>3.5943806834040186E-3</v>
      </c>
      <c r="AD16" s="7"/>
      <c r="AH16" s="33">
        <f t="shared" si="5"/>
        <v>14</v>
      </c>
      <c r="AI16" s="28">
        <v>30534.367281179064</v>
      </c>
      <c r="AJ16" s="123">
        <f t="shared" si="6"/>
        <v>2931.5302195606273</v>
      </c>
      <c r="AK16" s="110">
        <f t="shared" si="0"/>
        <v>7.5227060075511887E-2</v>
      </c>
      <c r="AL16" s="84">
        <v>5.2655954789202547E-3</v>
      </c>
      <c r="AM16" s="7"/>
    </row>
    <row r="17" spans="1:41">
      <c r="A17">
        <v>15</v>
      </c>
      <c r="B17" s="108">
        <v>33263</v>
      </c>
      <c r="C17" s="99">
        <v>2567</v>
      </c>
      <c r="D17" s="99"/>
      <c r="E17" s="33">
        <f t="shared" si="1"/>
        <v>15</v>
      </c>
      <c r="F17" s="108">
        <v>35416.888963391772</v>
      </c>
      <c r="G17" s="109">
        <v>6.475329836129548E-2</v>
      </c>
      <c r="L17" s="33">
        <f t="shared" si="2"/>
        <v>15</v>
      </c>
      <c r="M17" s="112">
        <v>34293.132733515042</v>
      </c>
      <c r="N17" s="83">
        <v>3.0969327286024764E-2</v>
      </c>
      <c r="O17" s="59"/>
      <c r="P17" s="7" t="s">
        <v>119</v>
      </c>
      <c r="Q17" s="2"/>
      <c r="R17" s="14"/>
      <c r="S17" s="14"/>
      <c r="T17" s="33">
        <f t="shared" si="3"/>
        <v>15</v>
      </c>
      <c r="U17" s="99">
        <v>33408.626293251276</v>
      </c>
      <c r="V17" s="98">
        <v>4.3780264333125804E-3</v>
      </c>
      <c r="W17" s="14"/>
      <c r="X17" s="7" t="s">
        <v>119</v>
      </c>
      <c r="Y17" s="2"/>
      <c r="AA17" s="33">
        <f t="shared" si="4"/>
        <v>15</v>
      </c>
      <c r="AB17" s="99">
        <v>33621.37594580945</v>
      </c>
      <c r="AC17" s="98">
        <v>1.077401153863001E-2</v>
      </c>
      <c r="AD17" s="14"/>
      <c r="AE17" s="7" t="s">
        <v>119</v>
      </c>
      <c r="AF17" s="2"/>
      <c r="AH17" s="33">
        <f t="shared" si="5"/>
        <v>15</v>
      </c>
      <c r="AI17" s="99">
        <v>33601.983445315112</v>
      </c>
      <c r="AJ17" s="123">
        <f t="shared" si="6"/>
        <v>3067.6161641360486</v>
      </c>
      <c r="AK17" s="110">
        <f t="shared" si="0"/>
        <v>0.19501993149047472</v>
      </c>
      <c r="AL17" s="98">
        <v>1.0191006382921338E-2</v>
      </c>
      <c r="AM17" s="14"/>
      <c r="AN17" s="7" t="s">
        <v>119</v>
      </c>
      <c r="AO17" s="2"/>
    </row>
    <row r="18" spans="1:41">
      <c r="A18">
        <v>16</v>
      </c>
      <c r="B18" s="108">
        <v>36672</v>
      </c>
      <c r="C18" s="28">
        <v>3409</v>
      </c>
      <c r="D18" s="28"/>
      <c r="E18" s="33">
        <f t="shared" si="1"/>
        <v>16</v>
      </c>
      <c r="F18" s="108">
        <v>37272.175509300978</v>
      </c>
      <c r="G18" s="109">
        <v>1.6366042465668026E-2</v>
      </c>
      <c r="L18" s="33">
        <f t="shared" si="2"/>
        <v>16</v>
      </c>
      <c r="M18" s="28">
        <v>37106.641321328934</v>
      </c>
      <c r="N18" s="29">
        <v>1.1852130271840485E-2</v>
      </c>
      <c r="O18" s="54"/>
      <c r="P18" s="2" t="s">
        <v>118</v>
      </c>
      <c r="Q18" s="67">
        <f>2*(Q12-J12)</f>
        <v>7414.1929755053716</v>
      </c>
      <c r="R18" s="2"/>
      <c r="S18" s="2"/>
      <c r="T18" s="33">
        <f t="shared" si="3"/>
        <v>16</v>
      </c>
      <c r="U18" s="28">
        <v>36503.482120634835</v>
      </c>
      <c r="V18" s="84">
        <v>4.5952737610483437E-3</v>
      </c>
      <c r="W18" s="2"/>
      <c r="X18" s="2" t="s">
        <v>118</v>
      </c>
      <c r="Y18" s="35">
        <f>2*(Y12-Q12)</f>
        <v>256.1565823678975</v>
      </c>
      <c r="AA18" s="33">
        <f t="shared" si="4"/>
        <v>16</v>
      </c>
      <c r="AB18" s="28">
        <v>36722.359032238106</v>
      </c>
      <c r="AC18" s="84">
        <v>1.3732284096342172E-3</v>
      </c>
      <c r="AD18" s="2"/>
      <c r="AE18" s="2" t="s">
        <v>118</v>
      </c>
      <c r="AF18" s="35">
        <f>2*(AF12-Y12)</f>
        <v>716.381769856147</v>
      </c>
      <c r="AH18" s="33">
        <f t="shared" si="5"/>
        <v>16</v>
      </c>
      <c r="AI18" s="28">
        <v>36803.616779929464</v>
      </c>
      <c r="AJ18" s="123">
        <f t="shared" si="6"/>
        <v>3201.633334614351</v>
      </c>
      <c r="AK18" s="110">
        <f t="shared" si="0"/>
        <v>6.082917729118479E-2</v>
      </c>
      <c r="AL18" s="84">
        <v>3.5890265033121597E-3</v>
      </c>
      <c r="AM18" s="2"/>
      <c r="AN18" s="2" t="s">
        <v>118</v>
      </c>
      <c r="AO18" s="35">
        <f>2*(AO12-AF12)</f>
        <v>309.66433232510462</v>
      </c>
    </row>
    <row r="19" spans="1:41">
      <c r="A19">
        <v>17</v>
      </c>
      <c r="B19" s="108">
        <v>39742</v>
      </c>
      <c r="C19" s="28">
        <v>3070</v>
      </c>
      <c r="D19" s="28"/>
      <c r="E19" s="33">
        <f t="shared" si="1"/>
        <v>17</v>
      </c>
      <c r="F19" s="108">
        <v>39074.165022716952</v>
      </c>
      <c r="G19" s="109">
        <v>1.6804261921469676E-2</v>
      </c>
      <c r="L19" s="33">
        <f t="shared" si="2"/>
        <v>17</v>
      </c>
      <c r="M19" s="28">
        <v>39889.393359129142</v>
      </c>
      <c r="N19" s="29">
        <v>3.7087554508867817E-3</v>
      </c>
      <c r="O19" s="55"/>
      <c r="P19" s="2" t="s">
        <v>164</v>
      </c>
      <c r="Q19" s="2">
        <v>1</v>
      </c>
      <c r="R19" s="7"/>
      <c r="S19" s="7"/>
      <c r="T19" s="33">
        <f t="shared" si="3"/>
        <v>17</v>
      </c>
      <c r="U19" s="28">
        <v>39664.714873528254</v>
      </c>
      <c r="V19" s="84">
        <v>1.9446712916246409E-3</v>
      </c>
      <c r="W19" s="7"/>
      <c r="X19" s="2" t="s">
        <v>164</v>
      </c>
      <c r="Y19" s="2">
        <v>1</v>
      </c>
      <c r="AA19" s="33">
        <f t="shared" si="4"/>
        <v>17</v>
      </c>
      <c r="AB19" s="28">
        <v>39841.330681118648</v>
      </c>
      <c r="AC19" s="84">
        <v>2.4993880810892381E-3</v>
      </c>
      <c r="AD19" s="7"/>
      <c r="AE19" s="2" t="s">
        <v>164</v>
      </c>
      <c r="AF19" s="2">
        <v>2</v>
      </c>
      <c r="AH19" s="33">
        <f t="shared" si="5"/>
        <v>17</v>
      </c>
      <c r="AI19" s="28">
        <v>39944.584935558472</v>
      </c>
      <c r="AJ19" s="123">
        <f t="shared" si="6"/>
        <v>3140.9681556290088</v>
      </c>
      <c r="AK19" s="110">
        <f t="shared" si="0"/>
        <v>2.3116663071338382E-2</v>
      </c>
      <c r="AL19" s="84">
        <v>5.0975022786591603E-3</v>
      </c>
      <c r="AM19" s="7"/>
      <c r="AN19" s="2" t="s">
        <v>164</v>
      </c>
      <c r="AO19" s="2">
        <v>3</v>
      </c>
    </row>
    <row r="20" spans="1:41">
      <c r="A20">
        <v>18</v>
      </c>
      <c r="B20" s="108">
        <v>42924</v>
      </c>
      <c r="C20" s="122">
        <v>3182</v>
      </c>
      <c r="D20" s="122"/>
      <c r="E20" s="49">
        <f t="shared" si="1"/>
        <v>18</v>
      </c>
      <c r="F20" s="113">
        <v>40824.388573694006</v>
      </c>
      <c r="G20" s="111">
        <v>4.8914626463190607E-2</v>
      </c>
      <c r="L20" s="49">
        <f t="shared" si="2"/>
        <v>18</v>
      </c>
      <c r="M20" s="100">
        <v>42632.263378858945</v>
      </c>
      <c r="N20" s="71">
        <v>6.796585153784721E-3</v>
      </c>
      <c r="O20" s="54"/>
      <c r="P20" s="2" t="s">
        <v>165</v>
      </c>
      <c r="Q20" s="53">
        <f>_xlfn.CHISQ.DIST.RT(Q18,Q19)</f>
        <v>0</v>
      </c>
      <c r="R20" s="2"/>
      <c r="S20" s="2"/>
      <c r="T20" s="49">
        <f t="shared" si="3"/>
        <v>18</v>
      </c>
      <c r="U20" s="100">
        <v>42837.908238114818</v>
      </c>
      <c r="V20" s="97">
        <v>2.0056789182085026E-3</v>
      </c>
      <c r="W20" s="2"/>
      <c r="X20" s="2" t="s">
        <v>165</v>
      </c>
      <c r="Y20" s="53">
        <f>_xlfn.CHISQ.DIST.RT(Y18,Y19)</f>
        <v>1.1811716086064895E-57</v>
      </c>
      <c r="AA20" s="49">
        <f t="shared" si="4"/>
        <v>18</v>
      </c>
      <c r="AB20" s="100">
        <v>42950.369316229233</v>
      </c>
      <c r="AC20" s="97">
        <v>6.1432569726104131E-4</v>
      </c>
      <c r="AD20" s="2"/>
      <c r="AE20" s="2" t="s">
        <v>165</v>
      </c>
      <c r="AF20" s="53">
        <f>_xlfn.CHISQ.DIST.RT(AF18,AF19)</f>
        <v>2.7521696905972218E-156</v>
      </c>
      <c r="AH20" s="49">
        <f t="shared" si="5"/>
        <v>18</v>
      </c>
      <c r="AI20" s="100">
        <v>42920.986334866771</v>
      </c>
      <c r="AJ20" s="123">
        <f t="shared" si="6"/>
        <v>2976.401399308299</v>
      </c>
      <c r="AK20" s="110">
        <f t="shared" si="0"/>
        <v>6.4613010902483031E-2</v>
      </c>
      <c r="AL20" s="97">
        <v>7.0209326559235902E-5</v>
      </c>
      <c r="AM20" s="2"/>
      <c r="AN20" s="2" t="s">
        <v>165</v>
      </c>
      <c r="AO20" s="53">
        <f>_xlfn.CHISQ.DIST.RT(AO18,AO19)</f>
        <v>8.0542666987759956E-67</v>
      </c>
    </row>
    <row r="21" spans="1:41">
      <c r="A21">
        <v>19</v>
      </c>
      <c r="B21" s="108">
        <v>45630</v>
      </c>
      <c r="C21" s="28">
        <v>2706</v>
      </c>
      <c r="D21" s="28"/>
      <c r="E21" s="33">
        <f t="shared" si="1"/>
        <v>19</v>
      </c>
      <c r="F21" s="108">
        <v>42524.333249058807</v>
      </c>
      <c r="G21" s="109">
        <v>6.8061949396037533E-2</v>
      </c>
      <c r="L21" s="33">
        <f t="shared" si="2"/>
        <v>19</v>
      </c>
      <c r="M21" s="28">
        <v>45327.227324671956</v>
      </c>
      <c r="N21" s="29">
        <v>6.6353862662293225E-3</v>
      </c>
      <c r="O21" s="54"/>
      <c r="P21" s="2"/>
      <c r="Q21" s="2"/>
      <c r="R21" s="2"/>
      <c r="S21" s="2"/>
      <c r="T21" s="33">
        <f t="shared" si="3"/>
        <v>19</v>
      </c>
      <c r="U21" s="28">
        <v>45819.003349412771</v>
      </c>
      <c r="V21" s="84">
        <v>4.1420852380620434E-3</v>
      </c>
      <c r="W21" s="2"/>
      <c r="X21" s="2"/>
      <c r="Y21" s="2"/>
      <c r="AA21" s="33">
        <f t="shared" si="4"/>
        <v>19</v>
      </c>
      <c r="AB21" s="28">
        <v>45976.37142035985</v>
      </c>
      <c r="AC21" s="84">
        <v>7.5908704878336654E-3</v>
      </c>
      <c r="AD21" s="2"/>
      <c r="AE21" s="2"/>
      <c r="AF21" s="2"/>
      <c r="AH21" s="33">
        <f t="shared" si="5"/>
        <v>19</v>
      </c>
      <c r="AI21" s="28">
        <v>45471.144694090137</v>
      </c>
      <c r="AJ21" s="123">
        <f t="shared" si="6"/>
        <v>2550.1583592233656</v>
      </c>
      <c r="AK21" s="110">
        <f t="shared" si="0"/>
        <v>5.7591145889369713E-2</v>
      </c>
      <c r="AL21" s="84">
        <v>3.4813786085878388E-3</v>
      </c>
      <c r="AM21" s="2"/>
    </row>
    <row r="22" spans="1:41" ht="15">
      <c r="A22">
        <v>20</v>
      </c>
      <c r="B22" s="108">
        <v>47520</v>
      </c>
      <c r="C22" s="101">
        <v>1890</v>
      </c>
      <c r="D22" s="101"/>
      <c r="E22" s="33">
        <f t="shared" si="1"/>
        <v>20</v>
      </c>
      <c r="F22" s="108">
        <v>44175.443415921756</v>
      </c>
      <c r="G22" s="109">
        <v>7.0382082998279541E-2</v>
      </c>
      <c r="L22" s="33">
        <f t="shared" si="2"/>
        <v>20</v>
      </c>
      <c r="M22" s="101">
        <v>47967.287360022368</v>
      </c>
      <c r="N22" s="82">
        <v>9.4126127950835102E-3</v>
      </c>
      <c r="O22" s="60"/>
      <c r="P22" s="18"/>
      <c r="Q22" s="18"/>
      <c r="R22" s="18"/>
      <c r="S22" s="18"/>
      <c r="T22" s="33">
        <f t="shared" si="3"/>
        <v>20</v>
      </c>
      <c r="U22" s="101">
        <v>48774.074854208164</v>
      </c>
      <c r="V22" s="86">
        <v>2.6390464103707149E-2</v>
      </c>
      <c r="W22" s="18"/>
      <c r="X22" s="2"/>
      <c r="Y22" s="2"/>
      <c r="AA22" s="33">
        <f t="shared" si="4"/>
        <v>20</v>
      </c>
      <c r="AB22" s="101">
        <v>48961.727625394247</v>
      </c>
      <c r="AC22" s="86">
        <v>3.0339386056276247E-2</v>
      </c>
      <c r="AD22" s="18"/>
      <c r="AE22" s="2"/>
      <c r="AF22" s="2"/>
      <c r="AH22" s="33">
        <f t="shared" si="5"/>
        <v>20</v>
      </c>
      <c r="AI22" s="101">
        <v>47791.998217527544</v>
      </c>
      <c r="AJ22" s="123">
        <f t="shared" si="6"/>
        <v>2320.8535234374067</v>
      </c>
      <c r="AK22" s="110">
        <f t="shared" si="0"/>
        <v>0.22796482721555911</v>
      </c>
      <c r="AL22" s="86">
        <v>5.7238682139634598E-3</v>
      </c>
      <c r="AM22" s="18"/>
    </row>
    <row r="23" spans="1:41">
      <c r="A23">
        <v>21</v>
      </c>
      <c r="B23" s="108">
        <v>49143</v>
      </c>
      <c r="C23" s="28">
        <v>1623</v>
      </c>
      <c r="D23" s="28"/>
      <c r="E23" s="33">
        <f t="shared" si="1"/>
        <v>21</v>
      </c>
      <c r="F23" s="108">
        <v>45779.121948891152</v>
      </c>
      <c r="G23" s="109">
        <v>6.8450807869052527E-2</v>
      </c>
      <c r="L23" s="33">
        <f t="shared" si="2"/>
        <v>21</v>
      </c>
      <c r="M23" s="28">
        <v>50546.401677439011</v>
      </c>
      <c r="N23" s="29">
        <v>2.8557509257452967E-2</v>
      </c>
      <c r="O23" s="54"/>
      <c r="P23" s="2"/>
      <c r="Q23" s="2"/>
      <c r="R23" s="2"/>
      <c r="S23" s="2"/>
      <c r="T23" s="33">
        <f t="shared" si="3"/>
        <v>21</v>
      </c>
      <c r="U23" s="28">
        <v>51762.573806326764</v>
      </c>
      <c r="V23" s="84">
        <v>5.3305125985934183E-2</v>
      </c>
      <c r="W23" s="2"/>
      <c r="X23" s="2"/>
      <c r="Y23" s="2"/>
      <c r="AA23" s="33">
        <f t="shared" si="4"/>
        <v>21</v>
      </c>
      <c r="AB23" s="28">
        <v>51916.628534153664</v>
      </c>
      <c r="AC23" s="84">
        <v>5.6439951450942438E-2</v>
      </c>
      <c r="AD23" s="2"/>
      <c r="AE23" s="2"/>
      <c r="AF23" s="2"/>
      <c r="AH23" s="33">
        <f t="shared" si="5"/>
        <v>21</v>
      </c>
      <c r="AI23" s="28">
        <v>49935.684214017361</v>
      </c>
      <c r="AJ23" s="123">
        <f t="shared" si="6"/>
        <v>2143.6859964898176</v>
      </c>
      <c r="AK23" s="110">
        <f t="shared" si="0"/>
        <v>0.3208170033825124</v>
      </c>
      <c r="AL23" s="84">
        <v>1.6130155139437177E-2</v>
      </c>
      <c r="AM23" s="2"/>
      <c r="AN23" s="2"/>
      <c r="AO23" s="2"/>
    </row>
    <row r="24" spans="1:41">
      <c r="A24">
        <v>22</v>
      </c>
      <c r="B24" s="108">
        <v>50730</v>
      </c>
      <c r="C24" s="28">
        <v>1587</v>
      </c>
      <c r="D24" s="28"/>
      <c r="E24" s="33">
        <f t="shared" si="1"/>
        <v>22</v>
      </c>
      <c r="F24" s="108">
        <v>47336.731422033205</v>
      </c>
      <c r="G24" s="109">
        <v>6.6888795150143815E-2</v>
      </c>
      <c r="L24" s="33">
        <f t="shared" si="2"/>
        <v>22</v>
      </c>
      <c r="M24" s="28">
        <v>53059.418211407668</v>
      </c>
      <c r="N24" s="29">
        <v>4.5917961983198669E-2</v>
      </c>
      <c r="O24" s="54"/>
      <c r="P24" s="2"/>
      <c r="Q24" s="2"/>
      <c r="R24" s="2"/>
      <c r="S24" s="2"/>
      <c r="T24" s="33">
        <f t="shared" si="3"/>
        <v>22</v>
      </c>
      <c r="U24" s="28">
        <v>54752.606701967175</v>
      </c>
      <c r="V24" s="95">
        <v>7.9294435284194276E-2</v>
      </c>
      <c r="W24" s="2"/>
      <c r="X24" s="2"/>
      <c r="Y24" s="2"/>
      <c r="AA24" s="33">
        <f t="shared" si="4"/>
        <v>22</v>
      </c>
      <c r="AB24" s="28">
        <v>54823.531066978518</v>
      </c>
      <c r="AC24" s="95">
        <v>8.0692510683589944E-2</v>
      </c>
      <c r="AD24" s="2"/>
      <c r="AE24" s="2"/>
      <c r="AF24" s="2"/>
      <c r="AH24" s="33">
        <f t="shared" si="5"/>
        <v>22</v>
      </c>
      <c r="AI24" s="28">
        <v>51862.794406021618</v>
      </c>
      <c r="AJ24" s="123">
        <f t="shared" si="6"/>
        <v>1927.1101920042565</v>
      </c>
      <c r="AK24" s="110">
        <f t="shared" si="0"/>
        <v>0.21431013988926056</v>
      </c>
      <c r="AL24" s="96">
        <v>2.2329871989387299E-2</v>
      </c>
      <c r="AM24" s="2"/>
      <c r="AN24" s="2"/>
      <c r="AO24" s="2"/>
    </row>
    <row r="25" spans="1:41">
      <c r="A25">
        <v>23</v>
      </c>
      <c r="B25" s="108">
        <v>52237</v>
      </c>
      <c r="C25" s="28">
        <v>1507</v>
      </c>
      <c r="D25" s="28"/>
      <c r="E25" s="33">
        <f t="shared" si="1"/>
        <v>23</v>
      </c>
      <c r="F25" s="108">
        <v>48849.595266590353</v>
      </c>
      <c r="G25" s="109">
        <v>6.4846846744829267E-2</v>
      </c>
      <c r="L25" s="33">
        <f t="shared" si="2"/>
        <v>23</v>
      </c>
      <c r="M25" s="28">
        <v>55502.011533307581</v>
      </c>
      <c r="N25" s="29">
        <v>6.2503810197897677E-2</v>
      </c>
      <c r="O25" s="54"/>
      <c r="P25" s="2"/>
      <c r="Q25" s="2"/>
      <c r="R25" s="2"/>
      <c r="S25" s="2"/>
      <c r="T25" s="33">
        <f t="shared" si="3"/>
        <v>23</v>
      </c>
      <c r="U25" s="28">
        <v>57576.5258671919</v>
      </c>
      <c r="V25" s="95">
        <v>0.10221731468483833</v>
      </c>
      <c r="W25" s="2"/>
      <c r="X25" s="2"/>
      <c r="Y25" s="2"/>
      <c r="AA25" s="33">
        <f t="shared" si="4"/>
        <v>23</v>
      </c>
      <c r="AB25" s="28">
        <v>57624.99742226144</v>
      </c>
      <c r="AC25" s="95">
        <v>0.10314523081841301</v>
      </c>
      <c r="AD25" s="2"/>
      <c r="AE25" s="2"/>
      <c r="AF25" s="2"/>
      <c r="AH25" s="33">
        <f t="shared" si="5"/>
        <v>23</v>
      </c>
      <c r="AI25" s="28">
        <v>53442.28766878145</v>
      </c>
      <c r="AJ25" s="123">
        <f t="shared" si="6"/>
        <v>1579.4932627598319</v>
      </c>
      <c r="AK25" s="110">
        <f t="shared" si="0"/>
        <v>4.8104354850585167E-2</v>
      </c>
      <c r="AL25" s="96">
        <v>2.3073447341567271E-2</v>
      </c>
      <c r="AM25" s="2"/>
      <c r="AN25" s="2"/>
      <c r="AO25" s="2"/>
    </row>
    <row r="26" spans="1:41">
      <c r="A26">
        <v>24</v>
      </c>
      <c r="B26" s="108">
        <v>53537</v>
      </c>
      <c r="C26" s="28">
        <v>1300</v>
      </c>
      <c r="D26" s="28"/>
      <c r="E26" s="33">
        <f t="shared" si="1"/>
        <v>24</v>
      </c>
      <c r="F26" s="108">
        <v>50318.998895441757</v>
      </c>
      <c r="G26" s="109">
        <v>6.0107983349052867E-2</v>
      </c>
      <c r="L26" s="33">
        <f t="shared" si="2"/>
        <v>24</v>
      </c>
      <c r="M26" s="28">
        <v>57870.622465400236</v>
      </c>
      <c r="N26" s="29">
        <v>8.0946307514433685E-2</v>
      </c>
      <c r="O26" s="54"/>
      <c r="P26" s="2"/>
      <c r="Q26" s="2"/>
      <c r="R26" s="2"/>
      <c r="S26" s="2"/>
      <c r="T26" s="33">
        <f t="shared" si="3"/>
        <v>24</v>
      </c>
      <c r="U26" s="28">
        <v>60327.152485245628</v>
      </c>
      <c r="V26" s="95">
        <v>0.12683102312878247</v>
      </c>
      <c r="W26" s="2"/>
      <c r="X26" s="2"/>
      <c r="Y26" s="2"/>
      <c r="AA26" s="33">
        <f t="shared" si="4"/>
        <v>24</v>
      </c>
      <c r="AB26" s="28">
        <v>60343.904609405326</v>
      </c>
      <c r="AC26" s="95">
        <v>0.12714393054159415</v>
      </c>
      <c r="AD26" s="2"/>
      <c r="AE26" s="2"/>
      <c r="AF26" s="2"/>
      <c r="AH26" s="33">
        <f t="shared" si="5"/>
        <v>24</v>
      </c>
      <c r="AI26" s="28">
        <v>54769.359450997057</v>
      </c>
      <c r="AJ26" s="123">
        <f t="shared" si="6"/>
        <v>1327.0717822156075</v>
      </c>
      <c r="AK26" s="110">
        <f t="shared" si="0"/>
        <v>2.0824447858159637E-2</v>
      </c>
      <c r="AL26" s="96">
        <v>2.3018836524217965E-2</v>
      </c>
      <c r="AM26" s="2"/>
      <c r="AN26" s="2"/>
      <c r="AO26" s="2"/>
    </row>
    <row r="27" spans="1:41">
      <c r="A27">
        <v>25</v>
      </c>
      <c r="B27" s="108">
        <v>54664</v>
      </c>
      <c r="C27" s="28">
        <v>1127</v>
      </c>
      <c r="D27" s="28"/>
      <c r="E27" s="33">
        <f t="shared" si="1"/>
        <v>25</v>
      </c>
      <c r="F27" s="108">
        <v>51746.190795261216</v>
      </c>
      <c r="G27" s="109">
        <v>5.3377162387289324E-2</v>
      </c>
      <c r="L27" s="33">
        <f t="shared" si="2"/>
        <v>25</v>
      </c>
      <c r="M27" s="28">
        <v>60162.400126963897</v>
      </c>
      <c r="N27" s="29">
        <v>0.10058539673210701</v>
      </c>
      <c r="O27" s="54"/>
      <c r="P27" s="2"/>
      <c r="Q27" s="2"/>
      <c r="R27" s="2"/>
      <c r="S27" s="2"/>
      <c r="T27" s="33">
        <f t="shared" si="3"/>
        <v>25</v>
      </c>
      <c r="U27" s="28">
        <v>62889.769934238095</v>
      </c>
      <c r="V27" s="95">
        <v>0.15047874166248526</v>
      </c>
      <c r="W27" s="2"/>
      <c r="X27" s="2"/>
      <c r="Y27" s="2"/>
      <c r="AA27" s="33">
        <f t="shared" si="4"/>
        <v>25</v>
      </c>
      <c r="AB27" s="28">
        <v>62940.125672206916</v>
      </c>
      <c r="AC27" s="95">
        <v>0.15139992814662145</v>
      </c>
      <c r="AD27" s="2"/>
      <c r="AE27" s="2"/>
      <c r="AF27" s="2"/>
      <c r="AH27" s="33">
        <f t="shared" si="5"/>
        <v>25</v>
      </c>
      <c r="AI27" s="28">
        <v>55799.078952631229</v>
      </c>
      <c r="AJ27" s="123">
        <f t="shared" si="6"/>
        <v>1029.719501634172</v>
      </c>
      <c r="AK27" s="110">
        <f t="shared" si="0"/>
        <v>8.6318099703485321E-2</v>
      </c>
      <c r="AL27" s="96">
        <v>2.0764652287268204E-2</v>
      </c>
      <c r="AM27" s="2"/>
      <c r="AN27" s="2"/>
      <c r="AO27" s="2"/>
    </row>
    <row r="28" spans="1:41">
      <c r="A28">
        <v>26</v>
      </c>
      <c r="B28" s="108">
        <v>55661</v>
      </c>
      <c r="C28" s="28">
        <v>997</v>
      </c>
      <c r="D28" s="28"/>
      <c r="E28" s="33">
        <f t="shared" si="1"/>
        <v>26</v>
      </c>
      <c r="F28" s="108">
        <v>53132.383587300537</v>
      </c>
      <c r="G28" s="109">
        <v>4.5428871430615018E-2</v>
      </c>
      <c r="L28" s="33">
        <f t="shared" si="2"/>
        <v>26</v>
      </c>
      <c r="M28" s="28">
        <v>62375.146245138712</v>
      </c>
      <c r="N28" s="29">
        <v>0.12062568486262755</v>
      </c>
      <c r="O28" s="54"/>
      <c r="P28" s="2"/>
      <c r="Q28" s="2"/>
      <c r="R28" s="2"/>
      <c r="S28" s="2"/>
      <c r="T28" s="33">
        <f t="shared" si="3"/>
        <v>26</v>
      </c>
      <c r="U28" s="28">
        <v>65361.541680703915</v>
      </c>
      <c r="V28" s="95">
        <v>0.17427896876994511</v>
      </c>
      <c r="W28" s="2"/>
      <c r="X28" s="2"/>
      <c r="Y28" s="2"/>
      <c r="AA28" s="33">
        <f t="shared" si="4"/>
        <v>26</v>
      </c>
      <c r="AB28" s="28">
        <v>65440.167257361529</v>
      </c>
      <c r="AC28" s="95">
        <v>0.17569154807426257</v>
      </c>
      <c r="AD28" s="2"/>
      <c r="AE28" s="2"/>
      <c r="AF28" s="2"/>
      <c r="AH28" s="33">
        <f t="shared" si="5"/>
        <v>26</v>
      </c>
      <c r="AI28" s="28">
        <v>56617.607483782442</v>
      </c>
      <c r="AJ28" s="123">
        <f t="shared" si="6"/>
        <v>818.52853115121252</v>
      </c>
      <c r="AK28" s="110">
        <f t="shared" si="0"/>
        <v>0.17900849433178284</v>
      </c>
      <c r="AL28" s="96">
        <v>1.7186315082058205E-2</v>
      </c>
      <c r="AM28" s="2"/>
      <c r="AN28" s="2"/>
      <c r="AO28" s="2"/>
    </row>
    <row r="29" spans="1:41">
      <c r="A29">
        <v>27</v>
      </c>
      <c r="B29" s="108">
        <v>56495</v>
      </c>
      <c r="C29" s="28">
        <v>834</v>
      </c>
      <c r="D29" s="28"/>
      <c r="E29" s="33">
        <f t="shared" si="1"/>
        <v>27</v>
      </c>
      <c r="F29" s="108">
        <v>54478.75505769976</v>
      </c>
      <c r="G29" s="109">
        <v>3.5688909501730065E-2</v>
      </c>
      <c r="L29" s="33">
        <f t="shared" si="2"/>
        <v>27</v>
      </c>
      <c r="M29" s="28">
        <v>64507.261642905723</v>
      </c>
      <c r="N29" s="29">
        <v>0.14182249124534424</v>
      </c>
      <c r="O29" s="54"/>
      <c r="P29" s="2"/>
      <c r="Q29" s="2"/>
      <c r="R29" s="2"/>
      <c r="S29" s="2"/>
      <c r="T29" s="33">
        <f t="shared" si="3"/>
        <v>27</v>
      </c>
      <c r="U29" s="28">
        <v>68000.278695904635</v>
      </c>
      <c r="V29" s="95">
        <v>0.20365127349154147</v>
      </c>
      <c r="W29" s="2"/>
      <c r="X29" s="2"/>
      <c r="Y29" s="2"/>
      <c r="AA29" s="33">
        <f t="shared" si="4"/>
        <v>27</v>
      </c>
      <c r="AB29" s="28">
        <v>67919.078375186233</v>
      </c>
      <c r="AC29" s="95">
        <v>0.20221397247873676</v>
      </c>
      <c r="AD29" s="2"/>
      <c r="AE29" s="2"/>
      <c r="AF29" s="2"/>
      <c r="AH29" s="33">
        <f t="shared" si="5"/>
        <v>27</v>
      </c>
      <c r="AI29" s="28">
        <v>57348.384729452242</v>
      </c>
      <c r="AJ29" s="123">
        <f t="shared" si="6"/>
        <v>730.77724566980032</v>
      </c>
      <c r="AK29" s="110">
        <f t="shared" si="0"/>
        <v>0.12376829056378859</v>
      </c>
      <c r="AL29" s="96">
        <v>1.5105491272718683E-2</v>
      </c>
      <c r="AM29" s="2"/>
      <c r="AN29" s="2"/>
      <c r="AO29" s="2"/>
    </row>
    <row r="30" spans="1:41">
      <c r="L30" s="1"/>
    </row>
    <row r="31" spans="1:41">
      <c r="L31" s="1"/>
    </row>
    <row r="32" spans="1:41">
      <c r="L32" s="1"/>
    </row>
    <row r="33" spans="12:12">
      <c r="L33" s="1"/>
    </row>
    <row r="34" spans="12:12">
      <c r="L34" s="1"/>
    </row>
    <row r="35" spans="12:12">
      <c r="L35" s="1"/>
    </row>
    <row r="36" spans="12:12">
      <c r="L36" s="1"/>
    </row>
    <row r="37" spans="12:12">
      <c r="L37" s="1"/>
    </row>
    <row r="38" spans="12:12">
      <c r="L38" s="1"/>
    </row>
    <row r="39" spans="12:12">
      <c r="L39" s="1"/>
    </row>
    <row r="40" spans="12:12">
      <c r="L40" s="1"/>
    </row>
    <row r="41" spans="12:12">
      <c r="L41" s="1"/>
    </row>
    <row r="42" spans="12:12">
      <c r="L42" s="1"/>
    </row>
    <row r="43" spans="12:12">
      <c r="L43" s="1"/>
    </row>
    <row r="44" spans="12:12">
      <c r="L44" s="1"/>
    </row>
    <row r="45" spans="12:12">
      <c r="L45" s="1"/>
    </row>
    <row r="46" spans="12:12">
      <c r="L46" s="1"/>
    </row>
    <row r="47" spans="12:12">
      <c r="L47" s="1"/>
    </row>
    <row r="48" spans="12:12">
      <c r="L48" s="1"/>
    </row>
    <row r="49" spans="12:12">
      <c r="L49" s="1"/>
    </row>
    <row r="50" spans="12:12">
      <c r="L50" s="1"/>
    </row>
  </sheetData>
  <scenarios current="0" show="0">
    <scenario name="pittsfield best fit" locked="1" count="1" user="Author">
      <inputCells r="D37" deleted="1" val=""/>
    </scenario>
  </scenarios>
  <mergeCells count="6">
    <mergeCell ref="A1:C1"/>
    <mergeCell ref="L1:Q1"/>
    <mergeCell ref="T1:Y1"/>
    <mergeCell ref="AA1:AF1"/>
    <mergeCell ref="AH1:AO1"/>
    <mergeCell ref="E1:J1"/>
  </mergeCells>
  <printOptions gridLines="1" gridLinesSet="0"/>
  <pageMargins left="0.75" right="0.75" top="1" bottom="1" header="0.5" footer="0.5"/>
  <pageSetup orientation="portrait" r:id="rId1"/>
  <headerFooter alignWithMargins="0">
    <oddHeader>&amp;A</oddHeader>
    <oddFooter>Page &amp;P</oddFooter>
  </headerFooter>
  <ignoredErrors>
    <ignoredError sqref="Q14" formulaRange="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E64A1-785D-47CF-B067-956CB693C407}">
  <dimension ref="A1:Q50"/>
  <sheetViews>
    <sheetView workbookViewId="0">
      <selection activeCell="Y17" sqref="Y17"/>
    </sheetView>
  </sheetViews>
  <sheetFormatPr defaultRowHeight="12.75"/>
  <cols>
    <col min="1" max="1" width="12" customWidth="1"/>
    <col min="4" max="4" width="12.5703125" customWidth="1"/>
    <col min="5" max="9" width="13.28515625" customWidth="1"/>
    <col min="10" max="10" width="10.28515625" customWidth="1"/>
  </cols>
  <sheetData>
    <row r="1" spans="1:17">
      <c r="A1" s="16" t="s">
        <v>1</v>
      </c>
      <c r="B1" s="16" t="s">
        <v>2</v>
      </c>
      <c r="C1" s="16" t="s">
        <v>0</v>
      </c>
      <c r="D1" s="16" t="s">
        <v>189</v>
      </c>
      <c r="E1" s="16" t="s">
        <v>190</v>
      </c>
      <c r="F1" s="16" t="s">
        <v>191</v>
      </c>
      <c r="G1" s="16" t="s">
        <v>192</v>
      </c>
      <c r="H1" s="16" t="s">
        <v>193</v>
      </c>
      <c r="I1" s="16" t="s">
        <v>194</v>
      </c>
      <c r="J1" s="16" t="s">
        <v>9</v>
      </c>
    </row>
    <row r="2" spans="1:17">
      <c r="A2" s="1">
        <v>34658</v>
      </c>
      <c r="B2">
        <v>1375</v>
      </c>
      <c r="C2" s="15">
        <v>1550.2</v>
      </c>
      <c r="D2" s="15"/>
      <c r="E2" s="15"/>
      <c r="F2" s="15"/>
      <c r="G2" s="15"/>
      <c r="H2" s="15"/>
      <c r="I2" s="15"/>
      <c r="J2" s="196" t="s">
        <v>40</v>
      </c>
      <c r="K2" s="6" t="s">
        <v>55</v>
      </c>
      <c r="Q2" s="9"/>
    </row>
    <row r="3" spans="1:17">
      <c r="A3" s="1">
        <v>34665</v>
      </c>
      <c r="B3">
        <v>1102</v>
      </c>
      <c r="C3" s="15">
        <v>1492.6</v>
      </c>
      <c r="D3" s="15">
        <v>1550.2</v>
      </c>
      <c r="J3" s="196"/>
      <c r="K3" s="6" t="s">
        <v>29</v>
      </c>
    </row>
    <row r="4" spans="1:17">
      <c r="A4" s="1">
        <v>34672</v>
      </c>
      <c r="B4">
        <v>1152</v>
      </c>
      <c r="C4" s="15">
        <v>2254.6999999999998</v>
      </c>
      <c r="D4" s="15">
        <v>1492.6</v>
      </c>
      <c r="E4" s="15">
        <v>1550.2</v>
      </c>
      <c r="F4" s="15"/>
      <c r="G4" s="15"/>
      <c r="H4" s="15"/>
      <c r="I4" s="15"/>
      <c r="J4" s="196"/>
    </row>
    <row r="5" spans="1:17">
      <c r="A5" s="1">
        <v>34679</v>
      </c>
      <c r="B5">
        <v>1247</v>
      </c>
      <c r="C5" s="15">
        <v>2067.5</v>
      </c>
      <c r="D5" s="15">
        <v>2254.6999999999998</v>
      </c>
      <c r="E5" s="15">
        <v>1492.6</v>
      </c>
      <c r="F5" s="15">
        <v>1550.2</v>
      </c>
      <c r="G5" s="15"/>
      <c r="H5" s="15"/>
      <c r="I5" s="15"/>
      <c r="J5" s="196"/>
    </row>
    <row r="6" spans="1:17">
      <c r="A6" s="1">
        <v>34686</v>
      </c>
      <c r="B6">
        <v>1639</v>
      </c>
      <c r="C6" s="15">
        <v>2003.2</v>
      </c>
      <c r="D6" s="15">
        <v>2067.5</v>
      </c>
      <c r="E6" s="15">
        <v>2254.6999999999998</v>
      </c>
      <c r="F6" s="15">
        <v>1492.6</v>
      </c>
      <c r="G6" s="15">
        <v>1550.2</v>
      </c>
      <c r="H6" s="15"/>
      <c r="I6" s="15"/>
    </row>
    <row r="7" spans="1:17">
      <c r="A7" s="1">
        <v>34693</v>
      </c>
      <c r="B7">
        <v>2576</v>
      </c>
      <c r="C7" s="15">
        <v>2347.1999999999998</v>
      </c>
      <c r="D7" s="15">
        <v>2003.2</v>
      </c>
      <c r="E7" s="15">
        <v>2067.5</v>
      </c>
      <c r="F7" s="15">
        <v>2254.6999999999998</v>
      </c>
      <c r="G7" s="15">
        <v>1492.6</v>
      </c>
      <c r="H7" s="15">
        <v>1550.2</v>
      </c>
      <c r="I7" s="15"/>
      <c r="J7" s="16" t="s">
        <v>3</v>
      </c>
    </row>
    <row r="8" spans="1:17">
      <c r="A8" s="1">
        <v>34700</v>
      </c>
      <c r="B8">
        <v>2976</v>
      </c>
      <c r="C8" s="15">
        <v>2723.3</v>
      </c>
      <c r="D8" s="15">
        <v>2347.1999999999998</v>
      </c>
      <c r="E8" s="15">
        <v>2003.2</v>
      </c>
      <c r="F8" s="15">
        <v>2067.5</v>
      </c>
      <c r="G8" s="15">
        <v>2254.6999999999998</v>
      </c>
      <c r="H8" s="15">
        <v>1492.6</v>
      </c>
      <c r="I8" s="15">
        <v>1550.2</v>
      </c>
      <c r="J8" s="6" t="s">
        <v>47</v>
      </c>
    </row>
    <row r="9" spans="1:17">
      <c r="A9" s="1">
        <v>34707</v>
      </c>
      <c r="B9">
        <v>2529</v>
      </c>
      <c r="C9" s="15">
        <v>2550.8000000000002</v>
      </c>
      <c r="D9" s="15">
        <v>2723.3</v>
      </c>
      <c r="E9" s="15">
        <v>2347.1999999999998</v>
      </c>
      <c r="F9" s="15">
        <v>2003.2</v>
      </c>
      <c r="G9" s="15">
        <v>2067.5</v>
      </c>
      <c r="H9" s="15">
        <v>2254.6999999999998</v>
      </c>
      <c r="I9" s="15">
        <v>1492.6</v>
      </c>
    </row>
    <row r="10" spans="1:17">
      <c r="A10" s="1">
        <v>34714</v>
      </c>
      <c r="B10">
        <v>2421</v>
      </c>
      <c r="C10" s="15">
        <v>2828.8</v>
      </c>
      <c r="D10" s="15">
        <v>2550.8000000000002</v>
      </c>
      <c r="E10" s="15">
        <v>2723.3</v>
      </c>
      <c r="F10" s="15">
        <v>2347.1999999999998</v>
      </c>
      <c r="G10" s="15">
        <v>2003.2</v>
      </c>
      <c r="H10" s="15">
        <v>2067.5</v>
      </c>
      <c r="I10" s="15">
        <v>2254.6999999999998</v>
      </c>
    </row>
    <row r="11" spans="1:17">
      <c r="A11" s="1">
        <v>34721</v>
      </c>
      <c r="B11">
        <v>2385</v>
      </c>
      <c r="C11" s="15">
        <v>3198</v>
      </c>
      <c r="D11" s="15">
        <v>2828.8</v>
      </c>
      <c r="E11" s="15">
        <v>2550.8000000000002</v>
      </c>
      <c r="F11" s="15">
        <v>2723.3</v>
      </c>
      <c r="G11" s="15">
        <v>2347.1999999999998</v>
      </c>
      <c r="H11" s="15">
        <v>2003.2</v>
      </c>
      <c r="I11" s="15">
        <v>2067.5</v>
      </c>
    </row>
    <row r="12" spans="1:17">
      <c r="A12" s="1">
        <v>34728</v>
      </c>
      <c r="B12">
        <v>2630</v>
      </c>
      <c r="C12" s="15">
        <v>2988.9</v>
      </c>
      <c r="D12" s="15">
        <v>3198</v>
      </c>
      <c r="E12" s="15">
        <v>2828.8</v>
      </c>
      <c r="F12" s="15">
        <v>2550.8000000000002</v>
      </c>
      <c r="G12" s="15">
        <v>2723.3</v>
      </c>
      <c r="H12" s="15">
        <v>2347.1999999999998</v>
      </c>
      <c r="I12" s="15">
        <v>2003.2</v>
      </c>
    </row>
    <row r="13" spans="1:17">
      <c r="A13" s="1">
        <v>34735</v>
      </c>
      <c r="B13">
        <v>2794</v>
      </c>
      <c r="C13" s="15">
        <v>2113.6</v>
      </c>
      <c r="D13" s="15">
        <v>2988.9</v>
      </c>
      <c r="E13" s="15">
        <v>3198</v>
      </c>
      <c r="F13" s="15">
        <v>2828.8</v>
      </c>
      <c r="G13" s="15">
        <v>2550.8000000000002</v>
      </c>
      <c r="H13" s="15">
        <v>2723.3</v>
      </c>
      <c r="I13" s="15">
        <v>2347.1999999999998</v>
      </c>
    </row>
    <row r="14" spans="1:17">
      <c r="A14" s="1">
        <v>34742</v>
      </c>
      <c r="B14">
        <v>2700</v>
      </c>
      <c r="C14" s="15">
        <v>1890.6</v>
      </c>
      <c r="D14" s="15">
        <v>2113.6</v>
      </c>
      <c r="E14" s="15">
        <v>2988.9</v>
      </c>
      <c r="F14" s="15">
        <v>3198</v>
      </c>
      <c r="G14" s="15">
        <v>2828.8</v>
      </c>
      <c r="H14" s="15">
        <v>2550.8000000000002</v>
      </c>
      <c r="I14" s="15">
        <v>2723.3</v>
      </c>
    </row>
    <row r="15" spans="1:17">
      <c r="A15" s="1">
        <v>34749</v>
      </c>
      <c r="B15">
        <v>3170</v>
      </c>
      <c r="C15" s="15">
        <v>1862.7</v>
      </c>
      <c r="D15" s="15">
        <v>1890.6</v>
      </c>
      <c r="E15" s="15">
        <v>2113.6</v>
      </c>
      <c r="F15" s="15">
        <v>2988.9</v>
      </c>
      <c r="G15" s="15">
        <v>3198</v>
      </c>
      <c r="H15" s="15">
        <v>2828.8</v>
      </c>
      <c r="I15" s="15">
        <v>2550.8000000000002</v>
      </c>
    </row>
    <row r="16" spans="1:17">
      <c r="A16" s="1">
        <v>34756</v>
      </c>
      <c r="B16">
        <v>2567</v>
      </c>
      <c r="C16" s="15">
        <v>1242</v>
      </c>
      <c r="D16" s="15">
        <v>1862.7</v>
      </c>
      <c r="E16" s="15">
        <v>1890.6</v>
      </c>
      <c r="F16" s="15">
        <v>2113.6</v>
      </c>
      <c r="G16" s="15">
        <v>2988.9</v>
      </c>
      <c r="H16" s="15">
        <v>3198</v>
      </c>
      <c r="I16" s="15">
        <v>2828.8</v>
      </c>
    </row>
    <row r="17" spans="1:10">
      <c r="A17" s="1">
        <v>34763</v>
      </c>
      <c r="B17">
        <v>3409</v>
      </c>
      <c r="C17" s="15">
        <v>755.1</v>
      </c>
      <c r="D17" s="15">
        <v>1242</v>
      </c>
      <c r="E17" s="15">
        <v>1862.7</v>
      </c>
      <c r="F17" s="15">
        <v>1890.6</v>
      </c>
      <c r="G17" s="15">
        <v>2113.6</v>
      </c>
      <c r="H17" s="15">
        <v>2988.9</v>
      </c>
      <c r="I17" s="15">
        <v>3198</v>
      </c>
    </row>
    <row r="18" spans="1:10">
      <c r="A18" s="1">
        <v>34770</v>
      </c>
      <c r="B18">
        <v>3070</v>
      </c>
      <c r="C18" s="15">
        <v>571</v>
      </c>
      <c r="D18" s="15">
        <v>755.1</v>
      </c>
      <c r="E18" s="15">
        <v>1242</v>
      </c>
      <c r="F18" s="15">
        <v>1862.7</v>
      </c>
      <c r="G18" s="15">
        <v>1890.6</v>
      </c>
      <c r="H18" s="15">
        <v>2113.6</v>
      </c>
      <c r="I18" s="15">
        <v>2988.9</v>
      </c>
    </row>
    <row r="19" spans="1:10">
      <c r="A19" s="1">
        <v>34777</v>
      </c>
      <c r="B19">
        <v>3182</v>
      </c>
      <c r="C19" s="15">
        <v>470.8</v>
      </c>
      <c r="D19" s="15">
        <v>571</v>
      </c>
      <c r="E19" s="15">
        <v>755.1</v>
      </c>
      <c r="F19" s="15">
        <v>1242</v>
      </c>
      <c r="G19" s="15">
        <v>1862.7</v>
      </c>
      <c r="H19" s="15">
        <v>1890.6</v>
      </c>
      <c r="I19" s="15">
        <v>2113.6</v>
      </c>
    </row>
    <row r="20" spans="1:10">
      <c r="A20" s="1">
        <v>34784</v>
      </c>
      <c r="B20">
        <v>2706</v>
      </c>
      <c r="C20" s="15">
        <v>603.20000000000005</v>
      </c>
      <c r="D20" s="15">
        <v>470.8</v>
      </c>
      <c r="E20" s="15">
        <v>571</v>
      </c>
      <c r="F20" s="15">
        <v>755.1</v>
      </c>
      <c r="G20" s="15">
        <v>1242</v>
      </c>
      <c r="H20" s="15">
        <v>1862.7</v>
      </c>
      <c r="I20" s="15">
        <v>1890.6</v>
      </c>
    </row>
    <row r="21" spans="1:10">
      <c r="A21" s="1">
        <v>34791</v>
      </c>
      <c r="B21">
        <v>1890</v>
      </c>
      <c r="C21" s="15">
        <v>523.1</v>
      </c>
      <c r="D21" s="15">
        <v>603.20000000000005</v>
      </c>
      <c r="E21" s="15">
        <v>470.8</v>
      </c>
      <c r="F21" s="15">
        <v>571</v>
      </c>
      <c r="G21" s="15">
        <v>755.1</v>
      </c>
      <c r="H21" s="15">
        <v>1242</v>
      </c>
      <c r="I21" s="15">
        <v>1862.7</v>
      </c>
    </row>
    <row r="22" spans="1:10">
      <c r="A22" s="1">
        <v>34798</v>
      </c>
      <c r="B22">
        <v>1623</v>
      </c>
      <c r="C22" s="15">
        <v>382.4</v>
      </c>
      <c r="D22" s="15">
        <v>523.1</v>
      </c>
      <c r="E22" s="15">
        <v>603.20000000000005</v>
      </c>
      <c r="F22" s="15">
        <v>470.8</v>
      </c>
      <c r="G22" s="15">
        <v>571</v>
      </c>
      <c r="H22" s="15">
        <v>755.1</v>
      </c>
      <c r="I22" s="15">
        <v>1242</v>
      </c>
    </row>
    <row r="23" spans="1:10">
      <c r="A23" s="1">
        <v>34805</v>
      </c>
      <c r="B23">
        <v>1587</v>
      </c>
      <c r="C23" s="15">
        <v>290.7</v>
      </c>
      <c r="D23" s="15">
        <v>382.4</v>
      </c>
      <c r="E23" s="15">
        <v>523.1</v>
      </c>
      <c r="F23" s="15">
        <v>603.20000000000005</v>
      </c>
      <c r="G23" s="15">
        <v>470.8</v>
      </c>
      <c r="H23" s="15">
        <v>571</v>
      </c>
      <c r="I23" s="15">
        <v>755.1</v>
      </c>
    </row>
    <row r="24" spans="1:10">
      <c r="A24" s="1">
        <v>34812</v>
      </c>
      <c r="B24">
        <v>1507</v>
      </c>
      <c r="C24" s="15">
        <v>322.7</v>
      </c>
      <c r="D24" s="15">
        <v>290.7</v>
      </c>
      <c r="E24" s="15">
        <v>382.4</v>
      </c>
      <c r="F24" s="15">
        <v>523.1</v>
      </c>
      <c r="G24" s="15">
        <v>603.20000000000005</v>
      </c>
      <c r="H24" s="15">
        <v>470.8</v>
      </c>
      <c r="I24" s="15">
        <v>571</v>
      </c>
    </row>
    <row r="25" spans="1:10">
      <c r="A25" s="1">
        <v>34819</v>
      </c>
      <c r="B25">
        <v>1300</v>
      </c>
      <c r="C25" s="15">
        <v>284.10000000000002</v>
      </c>
      <c r="D25" s="15">
        <v>322.7</v>
      </c>
      <c r="E25" s="15">
        <v>290.7</v>
      </c>
      <c r="F25" s="15">
        <v>382.4</v>
      </c>
      <c r="G25" s="15">
        <v>523.1</v>
      </c>
      <c r="H25" s="15">
        <v>603.20000000000005</v>
      </c>
      <c r="I25" s="15">
        <v>470.8</v>
      </c>
      <c r="J25" s="6" t="s">
        <v>30</v>
      </c>
    </row>
    <row r="26" spans="1:10">
      <c r="A26" s="1">
        <v>34826</v>
      </c>
      <c r="B26">
        <v>1127</v>
      </c>
      <c r="C26" s="15">
        <v>336</v>
      </c>
      <c r="D26" s="15">
        <v>284.10000000000002</v>
      </c>
      <c r="E26" s="15">
        <v>322.7</v>
      </c>
      <c r="F26" s="15">
        <v>290.7</v>
      </c>
      <c r="G26" s="15">
        <v>382.4</v>
      </c>
      <c r="H26" s="15">
        <v>523.1</v>
      </c>
      <c r="I26" s="15">
        <v>603.20000000000005</v>
      </c>
      <c r="J26" s="6" t="s">
        <v>31</v>
      </c>
    </row>
    <row r="27" spans="1:10">
      <c r="A27" s="1">
        <v>34833</v>
      </c>
      <c r="B27">
        <v>997</v>
      </c>
      <c r="C27" s="15">
        <v>308.39999999999998</v>
      </c>
      <c r="D27" s="15">
        <v>336</v>
      </c>
      <c r="E27" s="15">
        <v>284.10000000000002</v>
      </c>
      <c r="F27" s="15">
        <v>322.7</v>
      </c>
      <c r="G27" s="15">
        <v>290.7</v>
      </c>
      <c r="H27" s="15">
        <v>382.4</v>
      </c>
      <c r="I27" s="15">
        <v>523.1</v>
      </c>
      <c r="J27" s="6" t="s">
        <v>32</v>
      </c>
    </row>
    <row r="28" spans="1:10">
      <c r="A28" s="1">
        <v>34840</v>
      </c>
      <c r="B28">
        <v>834</v>
      </c>
      <c r="C28" s="15">
        <v>133.19999999999999</v>
      </c>
      <c r="D28" s="15">
        <v>308.39999999999998</v>
      </c>
      <c r="E28" s="15">
        <v>336</v>
      </c>
      <c r="F28" s="15">
        <v>284.10000000000002</v>
      </c>
      <c r="G28" s="15">
        <v>322.7</v>
      </c>
      <c r="H28" s="15">
        <v>290.7</v>
      </c>
      <c r="I28" s="15">
        <v>382.4</v>
      </c>
    </row>
    <row r="29" spans="1:10">
      <c r="A29" s="1"/>
      <c r="D29" s="15"/>
      <c r="E29" s="15"/>
      <c r="F29" s="15"/>
      <c r="G29" s="15"/>
      <c r="H29" s="15"/>
      <c r="I29" s="15"/>
    </row>
    <row r="30" spans="1:10">
      <c r="A30" s="1"/>
      <c r="B30" s="6"/>
      <c r="E30" s="15"/>
      <c r="F30" s="15"/>
      <c r="G30" s="15"/>
      <c r="H30" s="15"/>
      <c r="I30" s="15"/>
    </row>
    <row r="31" spans="1:10">
      <c r="A31" s="1"/>
      <c r="B31" s="6"/>
    </row>
    <row r="32" spans="1:10">
      <c r="A32" s="1"/>
    </row>
    <row r="33" spans="1:2">
      <c r="A33" s="1"/>
      <c r="B33" s="6"/>
    </row>
    <row r="34" spans="1:2">
      <c r="A34" s="1"/>
      <c r="B34" s="6"/>
    </row>
    <row r="35" spans="1:2">
      <c r="A35" s="1"/>
      <c r="B35" s="6"/>
    </row>
    <row r="36" spans="1:2">
      <c r="A36" s="1"/>
    </row>
    <row r="37" spans="1:2">
      <c r="A37" s="1"/>
      <c r="B37" s="16"/>
    </row>
    <row r="38" spans="1:2">
      <c r="A38" s="1"/>
      <c r="B38" s="6"/>
    </row>
    <row r="39" spans="1:2">
      <c r="A39" s="1"/>
    </row>
    <row r="40" spans="1:2">
      <c r="A40" s="1"/>
    </row>
    <row r="41" spans="1:2">
      <c r="A41" s="1"/>
      <c r="B41" s="6"/>
    </row>
    <row r="42" spans="1:2">
      <c r="A42" s="1"/>
      <c r="B42" s="9"/>
    </row>
    <row r="43" spans="1:2">
      <c r="A43" s="1"/>
    </row>
    <row r="44" spans="1:2">
      <c r="A44" s="1"/>
      <c r="B44" s="6"/>
    </row>
    <row r="45" spans="1:2">
      <c r="A45" s="1"/>
      <c r="B45" s="9"/>
    </row>
    <row r="46" spans="1:2">
      <c r="A46" s="1"/>
    </row>
    <row r="47" spans="1:2">
      <c r="A47" s="1"/>
      <c r="B47" s="6"/>
    </row>
    <row r="48" spans="1:2">
      <c r="A48" s="1"/>
      <c r="B48" s="9"/>
    </row>
    <row r="49" spans="1:1">
      <c r="A49" s="1"/>
    </row>
    <row r="50" spans="1:1">
      <c r="A50" s="1"/>
    </row>
  </sheetData>
  <scenarios current="0" show="0">
    <scenario name="pittsfield best fit" locked="1" count="1" user="Author">
      <inputCells r="D37" deleted="1" val=""/>
    </scenario>
  </scenarios>
  <mergeCells count="1">
    <mergeCell ref="J2:J5"/>
  </mergeCells>
  <printOptions gridLines="1" gridLinesSet="0"/>
  <pageMargins left="0.75" right="0.75" top="1" bottom="1" header="0.5" footer="0.5"/>
  <pageSetup orientation="portrait" r:id="rId1"/>
  <headerFooter alignWithMargins="0">
    <oddHeader>&amp;A</oddHeader>
    <oddFooter>Page &amp;P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57"/>
  <sheetViews>
    <sheetView workbookViewId="0">
      <selection activeCell="F8" sqref="F8"/>
    </sheetView>
  </sheetViews>
  <sheetFormatPr defaultRowHeight="12.75"/>
  <cols>
    <col min="1" max="1" width="12" style="2" customWidth="1"/>
    <col min="2" max="2" width="11.28515625" style="2" customWidth="1"/>
    <col min="3" max="3" width="10.5703125" style="2" customWidth="1"/>
    <col min="4" max="4" width="8.140625" style="2" customWidth="1"/>
    <col min="5" max="5" width="3.7109375" style="2" customWidth="1"/>
    <col min="6" max="6" width="8.5703125" style="2" customWidth="1"/>
    <col min="7" max="7" width="9.5703125" style="2" customWidth="1"/>
    <col min="8" max="8" width="8.42578125" style="2" customWidth="1"/>
    <col min="9" max="9" width="3.28515625" style="2" customWidth="1"/>
    <col min="10" max="10" width="9.140625" style="2" customWidth="1"/>
    <col min="11" max="11" width="9.140625" style="2"/>
    <col min="12" max="12" width="11.140625" style="2" customWidth="1"/>
    <col min="13" max="16384" width="9.140625" style="2"/>
  </cols>
  <sheetData>
    <row r="1" spans="1:12">
      <c r="A1" s="2" t="s">
        <v>96</v>
      </c>
      <c r="B1" s="17">
        <f>EXP(C1)</f>
        <v>5726.1761875768461</v>
      </c>
      <c r="C1" s="2">
        <v>8.6528032549326461</v>
      </c>
      <c r="E1" s="27"/>
      <c r="F1" s="2" t="s">
        <v>107</v>
      </c>
      <c r="G1" s="36">
        <f>-2*G2+2*LN(B3)</f>
        <v>511045.23726822913</v>
      </c>
    </row>
    <row r="2" spans="1:12">
      <c r="A2" s="2" t="s">
        <v>97</v>
      </c>
      <c r="B2" s="17">
        <f>EXP(C2)</f>
        <v>193963.9744472086</v>
      </c>
      <c r="C2" s="2">
        <v>12.175427722075593</v>
      </c>
      <c r="E2" s="27"/>
      <c r="F2" s="2" t="s">
        <v>99</v>
      </c>
      <c r="G2" s="28">
        <f>SUM(H7:H34)</f>
        <v>-255511.10570864959</v>
      </c>
    </row>
    <row r="3" spans="1:12">
      <c r="A3" s="2" t="s">
        <v>105</v>
      </c>
      <c r="B3" s="28">
        <v>100000</v>
      </c>
      <c r="F3" s="2" t="s">
        <v>130</v>
      </c>
      <c r="G3" s="146">
        <f>AVERAGE(L7:L33)</f>
        <v>8.6307686019651069</v>
      </c>
    </row>
    <row r="4" spans="1:12">
      <c r="B4" s="28"/>
    </row>
    <row r="6" spans="1:12">
      <c r="A6" s="32" t="s">
        <v>1</v>
      </c>
      <c r="B6" s="30" t="s">
        <v>100</v>
      </c>
      <c r="C6" s="30" t="s">
        <v>101</v>
      </c>
      <c r="D6" s="30" t="s">
        <v>102</v>
      </c>
      <c r="E6" s="7"/>
      <c r="F6" s="30" t="s">
        <v>103</v>
      </c>
      <c r="G6" s="32" t="s">
        <v>104</v>
      </c>
      <c r="H6" s="7"/>
      <c r="I6" s="7"/>
      <c r="J6" s="7" t="s">
        <v>106</v>
      </c>
      <c r="K6" s="7"/>
      <c r="L6" s="7"/>
    </row>
    <row r="7" spans="1:12">
      <c r="A7" s="1">
        <v>34658</v>
      </c>
      <c r="B7" s="33">
        <v>1</v>
      </c>
      <c r="C7">
        <v>1375</v>
      </c>
      <c r="D7" s="15">
        <v>1550.2</v>
      </c>
      <c r="F7" s="31">
        <f>1-(B$2/(B$2+B7))^B$1</f>
        <v>2.9090267226747901E-2</v>
      </c>
      <c r="G7" s="31">
        <f>F7</f>
        <v>2.9090267226747901E-2</v>
      </c>
      <c r="H7" s="17">
        <f>C7*IFERROR(LN(G7),-10000)</f>
        <v>-4863.8584779272014</v>
      </c>
      <c r="J7" s="67">
        <f>$B$3*F7</f>
        <v>2909.0267226747901</v>
      </c>
      <c r="K7" s="35">
        <f>J7</f>
        <v>2909.0267226747901</v>
      </c>
      <c r="L7" s="29">
        <f>ABS(C7-K7)/C7</f>
        <v>1.1156557983089384</v>
      </c>
    </row>
    <row r="8" spans="1:12">
      <c r="A8" s="1">
        <v>34665</v>
      </c>
      <c r="B8" s="33">
        <f>B7+1</f>
        <v>2</v>
      </c>
      <c r="C8">
        <v>1102</v>
      </c>
      <c r="D8" s="15">
        <v>1492.6</v>
      </c>
      <c r="F8" s="31">
        <f t="shared" ref="F8:F33" si="0">1-(B$2/(B$2+B8))^B$1</f>
        <v>5.7334147331593255E-2</v>
      </c>
      <c r="G8" s="31">
        <f>F8-F7</f>
        <v>2.8243880104845354E-2</v>
      </c>
      <c r="H8" s="17">
        <f>C8*IFERROR(LN(G8),-10000)</f>
        <v>-3930.7000831030259</v>
      </c>
      <c r="J8" s="67">
        <f>$B$3*F8</f>
        <v>5733.4147331593258</v>
      </c>
      <c r="K8" s="35">
        <f>J8-K7</f>
        <v>2824.3880104845357</v>
      </c>
      <c r="L8" s="29">
        <f t="shared" ref="L8:L33" si="1">ABS(C8-K8)/C8</f>
        <v>1.562965526755477</v>
      </c>
    </row>
    <row r="9" spans="1:12">
      <c r="A9" s="1">
        <v>34672</v>
      </c>
      <c r="B9" s="33">
        <f t="shared" ref="B9:B33" si="2">B8+1</f>
        <v>3</v>
      </c>
      <c r="C9">
        <v>1152</v>
      </c>
      <c r="D9" s="15">
        <v>2254.6999999999998</v>
      </c>
      <c r="F9" s="31">
        <f t="shared" si="0"/>
        <v>8.4756270290071933E-2</v>
      </c>
      <c r="G9" s="31">
        <f>F9-F8</f>
        <v>2.7422122958478679E-2</v>
      </c>
      <c r="H9" s="17">
        <f>C9*IFERROR(LN(G9),-10000)</f>
        <v>-4143.0587721088305</v>
      </c>
      <c r="J9" s="67">
        <f>$B$3*F9</f>
        <v>8475.6270290071934</v>
      </c>
      <c r="K9" s="35">
        <f t="shared" ref="K9:K33" si="3">J9-K8</f>
        <v>5651.2390185226577</v>
      </c>
      <c r="L9" s="29">
        <f t="shared" si="1"/>
        <v>3.9055894258009181</v>
      </c>
    </row>
    <row r="10" spans="1:12">
      <c r="A10" s="1">
        <v>34679</v>
      </c>
      <c r="B10" s="33">
        <f t="shared" si="2"/>
        <v>4</v>
      </c>
      <c r="C10">
        <v>1247</v>
      </c>
      <c r="D10" s="15">
        <v>2067.5</v>
      </c>
      <c r="F10" s="31">
        <f t="shared" si="0"/>
        <v>0.11138054922249108</v>
      </c>
      <c r="G10" s="31">
        <f t="shared" ref="G10:G33" si="4">F10-F9</f>
        <v>2.6624278932419143E-2</v>
      </c>
      <c r="H10" s="17">
        <f>C10*IFERROR(LN(G10),-10000)</f>
        <v>-4521.536876874161</v>
      </c>
      <c r="J10" s="35">
        <f>$B$3*F10</f>
        <v>11138.054922249108</v>
      </c>
      <c r="K10" s="35">
        <f t="shared" si="3"/>
        <v>5486.8159037264504</v>
      </c>
      <c r="L10" s="29">
        <f t="shared" si="1"/>
        <v>3.4000127535897757</v>
      </c>
    </row>
    <row r="11" spans="1:12">
      <c r="A11" s="1">
        <v>34686</v>
      </c>
      <c r="B11" s="33">
        <f t="shared" si="2"/>
        <v>5</v>
      </c>
      <c r="C11">
        <v>1639</v>
      </c>
      <c r="D11" s="15">
        <v>2003.2</v>
      </c>
      <c r="F11" s="31">
        <f t="shared" si="0"/>
        <v>0.13723020125808905</v>
      </c>
      <c r="G11" s="31">
        <f t="shared" si="4"/>
        <v>2.584965203559797E-2</v>
      </c>
      <c r="H11" s="17">
        <f>C11*IFERROR(LN(G11),-10000)</f>
        <v>-5991.295889859678</v>
      </c>
      <c r="J11" s="35">
        <f>$B$3*F11</f>
        <v>13723.020125808906</v>
      </c>
      <c r="K11" s="35">
        <f t="shared" si="3"/>
        <v>8236.2042220824551</v>
      </c>
      <c r="L11" s="29">
        <f t="shared" si="1"/>
        <v>4.0251398548398143</v>
      </c>
    </row>
    <row r="12" spans="1:12">
      <c r="A12" s="1">
        <v>34693</v>
      </c>
      <c r="B12" s="33">
        <f t="shared" si="2"/>
        <v>6</v>
      </c>
      <c r="C12">
        <v>2576</v>
      </c>
      <c r="D12" s="15">
        <v>2347.1999999999998</v>
      </c>
      <c r="F12" s="31">
        <f t="shared" si="0"/>
        <v>0.16232776779862013</v>
      </c>
      <c r="G12" s="31">
        <f t="shared" si="4"/>
        <v>2.509756654053108E-2</v>
      </c>
      <c r="H12" s="17">
        <f t="shared" ref="H12:H33" si="5">C12*IFERROR(LN(G12),-10000)</f>
        <v>-9492.5197837993383</v>
      </c>
      <c r="J12" s="35">
        <f t="shared" ref="J12:J14" si="6">$B$3*F12</f>
        <v>16232.776779862013</v>
      </c>
      <c r="K12" s="35">
        <f t="shared" si="3"/>
        <v>7996.5725577795583</v>
      </c>
      <c r="L12" s="29">
        <f t="shared" si="1"/>
        <v>2.1042595332995182</v>
      </c>
    </row>
    <row r="13" spans="1:12">
      <c r="A13" s="1">
        <v>34700</v>
      </c>
      <c r="B13" s="33">
        <f t="shared" si="2"/>
        <v>7</v>
      </c>
      <c r="C13">
        <v>2976</v>
      </c>
      <c r="D13" s="15">
        <v>2723.3</v>
      </c>
      <c r="F13" s="31">
        <f t="shared" si="0"/>
        <v>0.18669513418528672</v>
      </c>
      <c r="G13" s="31">
        <f t="shared" si="4"/>
        <v>2.4367366386666589E-2</v>
      </c>
      <c r="H13" s="17">
        <f t="shared" si="5"/>
        <v>-11054.38320344259</v>
      </c>
      <c r="J13" s="35">
        <f t="shared" si="6"/>
        <v>18669.51341852867</v>
      </c>
      <c r="K13" s="35">
        <f t="shared" si="3"/>
        <v>10672.940860749111</v>
      </c>
      <c r="L13" s="29">
        <f t="shared" si="1"/>
        <v>2.5863376548216102</v>
      </c>
    </row>
    <row r="14" spans="1:12">
      <c r="A14" s="1">
        <v>34707</v>
      </c>
      <c r="B14" s="33">
        <f t="shared" si="2"/>
        <v>8</v>
      </c>
      <c r="C14">
        <v>2529</v>
      </c>
      <c r="D14" s="15">
        <v>2550.8000000000002</v>
      </c>
      <c r="F14" s="31">
        <f t="shared" si="0"/>
        <v>0.21035354879956425</v>
      </c>
      <c r="G14" s="31">
        <f t="shared" si="4"/>
        <v>2.3658414614277534E-2</v>
      </c>
      <c r="H14" s="17">
        <f t="shared" si="5"/>
        <v>-9468.6681306639985</v>
      </c>
      <c r="J14" s="35">
        <f t="shared" si="6"/>
        <v>21035.354879956423</v>
      </c>
      <c r="K14" s="35">
        <f t="shared" si="3"/>
        <v>10362.414019207312</v>
      </c>
      <c r="L14" s="29">
        <f t="shared" si="1"/>
        <v>3.0974353575355127</v>
      </c>
    </row>
    <row r="15" spans="1:12">
      <c r="A15" s="1">
        <v>34714</v>
      </c>
      <c r="B15" s="33">
        <f t="shared" si="2"/>
        <v>9</v>
      </c>
      <c r="C15">
        <v>2421</v>
      </c>
      <c r="D15" s="15">
        <v>2828.8</v>
      </c>
      <c r="F15" s="31">
        <f t="shared" si="0"/>
        <v>0.23332364160112851</v>
      </c>
      <c r="G15" s="31">
        <f t="shared" si="4"/>
        <v>2.2970092801564257E-2</v>
      </c>
      <c r="H15" s="17">
        <f t="shared" si="5"/>
        <v>-9135.7941398710263</v>
      </c>
      <c r="J15" s="35">
        <f t="shared" ref="J15:J33" si="7">$B$3*F15</f>
        <v>23332.364160112851</v>
      </c>
      <c r="K15" s="35">
        <f t="shared" si="3"/>
        <v>12969.950140905539</v>
      </c>
      <c r="L15" s="29">
        <f t="shared" si="1"/>
        <v>4.3572697814562327</v>
      </c>
    </row>
    <row r="16" spans="1:12">
      <c r="A16" s="1">
        <v>34721</v>
      </c>
      <c r="B16" s="33">
        <f t="shared" si="2"/>
        <v>10</v>
      </c>
      <c r="C16">
        <v>2385</v>
      </c>
      <c r="D16" s="15">
        <v>3198</v>
      </c>
      <c r="F16" s="31">
        <f t="shared" si="0"/>
        <v>0.25562544213367078</v>
      </c>
      <c r="G16" s="31">
        <f t="shared" si="4"/>
        <v>2.2301800532542271E-2</v>
      </c>
      <c r="H16" s="17">
        <f t="shared" si="5"/>
        <v>-9070.3645518379853</v>
      </c>
      <c r="J16" s="35">
        <f t="shared" si="7"/>
        <v>25562.544213367077</v>
      </c>
      <c r="K16" s="35">
        <f t="shared" si="3"/>
        <v>12592.594072461538</v>
      </c>
      <c r="L16" s="29">
        <f t="shared" si="1"/>
        <v>4.2799136572165777</v>
      </c>
    </row>
    <row r="17" spans="1:23">
      <c r="A17" s="1">
        <v>34728</v>
      </c>
      <c r="B17" s="33">
        <f t="shared" si="2"/>
        <v>11</v>
      </c>
      <c r="C17">
        <v>2630</v>
      </c>
      <c r="D17" s="15">
        <v>2988.9</v>
      </c>
      <c r="F17" s="31">
        <f t="shared" si="0"/>
        <v>0.27727839699994783</v>
      </c>
      <c r="G17" s="31">
        <f t="shared" si="4"/>
        <v>2.1652954866277052E-2</v>
      </c>
      <c r="H17" s="17">
        <f t="shared" si="5"/>
        <v>-10079.773111593669</v>
      </c>
      <c r="J17" s="35">
        <f t="shared" si="7"/>
        <v>27727.839699994784</v>
      </c>
      <c r="K17" s="35">
        <f t="shared" si="3"/>
        <v>15135.245627533246</v>
      </c>
      <c r="L17" s="29">
        <f t="shared" si="1"/>
        <v>4.7548462462103593</v>
      </c>
    </row>
    <row r="18" spans="1:23">
      <c r="A18" s="1">
        <v>34735</v>
      </c>
      <c r="B18" s="33">
        <f t="shared" si="2"/>
        <v>12</v>
      </c>
      <c r="C18">
        <v>2794</v>
      </c>
      <c r="D18" s="15">
        <v>2113.6</v>
      </c>
      <c r="F18" s="31">
        <f t="shared" si="0"/>
        <v>0.29830138683019747</v>
      </c>
      <c r="G18" s="31">
        <f t="shared" si="4"/>
        <v>2.1022989830249639E-2</v>
      </c>
      <c r="H18" s="17">
        <f t="shared" si="5"/>
        <v>-10790.815489363717</v>
      </c>
      <c r="J18" s="35">
        <f t="shared" si="7"/>
        <v>29830.138683019748</v>
      </c>
      <c r="K18" s="35">
        <f t="shared" si="3"/>
        <v>14694.893055486502</v>
      </c>
      <c r="L18" s="29">
        <f t="shared" si="1"/>
        <v>4.259446333388154</v>
      </c>
    </row>
    <row r="19" spans="1:23">
      <c r="A19" s="1">
        <v>34742</v>
      </c>
      <c r="B19" s="33">
        <f t="shared" si="2"/>
        <v>13</v>
      </c>
      <c r="C19">
        <v>2700</v>
      </c>
      <c r="D19" s="15">
        <v>1890.6</v>
      </c>
      <c r="F19" s="31">
        <f t="shared" si="0"/>
        <v>0.31871274275876416</v>
      </c>
      <c r="G19" s="31">
        <f t="shared" si="4"/>
        <v>2.0411355928566688E-2</v>
      </c>
      <c r="H19" s="17">
        <f t="shared" si="5"/>
        <v>-10507.492448585273</v>
      </c>
      <c r="J19" s="35">
        <f t="shared" si="7"/>
        <v>31871.274275876414</v>
      </c>
      <c r="K19" s="35">
        <f t="shared" si="3"/>
        <v>17176.381220389914</v>
      </c>
      <c r="L19" s="29">
        <f t="shared" si="1"/>
        <v>5.3616226742184869</v>
      </c>
    </row>
    <row r="20" spans="1:23">
      <c r="A20" s="1">
        <v>34749</v>
      </c>
      <c r="B20" s="33">
        <f t="shared" si="2"/>
        <v>14</v>
      </c>
      <c r="C20">
        <v>3170</v>
      </c>
      <c r="D20" s="15">
        <v>1862.7</v>
      </c>
      <c r="F20" s="31">
        <f t="shared" si="0"/>
        <v>0.33853026241824569</v>
      </c>
      <c r="G20" s="31">
        <f t="shared" si="4"/>
        <v>1.9817519659481531E-2</v>
      </c>
      <c r="H20" s="17">
        <f t="shared" si="5"/>
        <v>-12430.168816890029</v>
      </c>
      <c r="J20" s="35">
        <f t="shared" si="7"/>
        <v>33853.026241824569</v>
      </c>
      <c r="K20" s="35">
        <f t="shared" si="3"/>
        <v>16676.645021434655</v>
      </c>
      <c r="L20" s="29">
        <f t="shared" si="1"/>
        <v>4.2607713001371152</v>
      </c>
    </row>
    <row r="21" spans="1:23">
      <c r="A21" s="1">
        <v>34756</v>
      </c>
      <c r="B21" s="33">
        <f t="shared" si="2"/>
        <v>15</v>
      </c>
      <c r="C21">
        <v>2567</v>
      </c>
      <c r="D21" s="15">
        <v>1242</v>
      </c>
      <c r="F21" s="31">
        <f t="shared" si="0"/>
        <v>0.35777122546812179</v>
      </c>
      <c r="G21" s="31">
        <f t="shared" si="4"/>
        <v>1.9240963049876103E-2</v>
      </c>
      <c r="H21" s="17">
        <f t="shared" si="5"/>
        <v>-10141.482274363552</v>
      </c>
      <c r="J21" s="35">
        <f t="shared" si="7"/>
        <v>35777.122546812177</v>
      </c>
      <c r="K21" s="35">
        <f t="shared" si="3"/>
        <v>19100.477525377522</v>
      </c>
      <c r="L21" s="29">
        <f t="shared" si="1"/>
        <v>6.4407781555814267</v>
      </c>
    </row>
    <row r="22" spans="1:23">
      <c r="A22" s="1">
        <v>34763</v>
      </c>
      <c r="B22" s="33">
        <f t="shared" si="2"/>
        <v>16</v>
      </c>
      <c r="C22">
        <v>3409</v>
      </c>
      <c r="D22" s="15">
        <v>755.1</v>
      </c>
      <c r="F22" s="31">
        <f t="shared" si="0"/>
        <v>0.37645240867378882</v>
      </c>
      <c r="G22" s="31">
        <f t="shared" si="4"/>
        <v>1.8681183205667029E-2</v>
      </c>
      <c r="H22" s="17">
        <f t="shared" si="5"/>
        <v>-13568.633071770633</v>
      </c>
      <c r="J22" s="35">
        <f t="shared" si="7"/>
        <v>37645.240867378881</v>
      </c>
      <c r="K22" s="35">
        <f t="shared" si="3"/>
        <v>18544.763342001359</v>
      </c>
      <c r="L22" s="29">
        <f t="shared" si="1"/>
        <v>4.439942312115388</v>
      </c>
    </row>
    <row r="23" spans="1:23">
      <c r="A23" s="1">
        <v>34770</v>
      </c>
      <c r="B23" s="33">
        <f t="shared" si="2"/>
        <v>17</v>
      </c>
      <c r="C23">
        <v>3070</v>
      </c>
      <c r="D23" s="15">
        <v>571</v>
      </c>
      <c r="F23" s="31">
        <f t="shared" si="0"/>
        <v>0.39459010054404742</v>
      </c>
      <c r="G23" s="31">
        <f t="shared" si="4"/>
        <v>1.8137691870258599E-2</v>
      </c>
      <c r="H23" s="17">
        <f t="shared" si="5"/>
        <v>-12309.972662286777</v>
      </c>
      <c r="J23" s="35">
        <f t="shared" si="7"/>
        <v>39459.010054404738</v>
      </c>
      <c r="K23" s="35">
        <f t="shared" si="3"/>
        <v>20914.246712403379</v>
      </c>
      <c r="L23" s="29">
        <f t="shared" si="1"/>
        <v>5.8124582125092443</v>
      </c>
      <c r="O23" s="19"/>
    </row>
    <row r="24" spans="1:23">
      <c r="A24" s="171">
        <v>34777</v>
      </c>
      <c r="B24" s="138">
        <f t="shared" si="2"/>
        <v>18</v>
      </c>
      <c r="C24" s="107">
        <v>3182</v>
      </c>
      <c r="D24" s="173">
        <v>470.8</v>
      </c>
      <c r="E24" s="54"/>
      <c r="F24" s="139">
        <f t="shared" si="0"/>
        <v>0.41220011554293734</v>
      </c>
      <c r="G24" s="139">
        <f t="shared" si="4"/>
        <v>1.7610014998889922E-2</v>
      </c>
      <c r="H24" s="140">
        <f t="shared" si="5"/>
        <v>-12853.012840110254</v>
      </c>
      <c r="I24" s="54"/>
      <c r="J24" s="56">
        <f t="shared" si="7"/>
        <v>41220.011554293735</v>
      </c>
      <c r="K24" s="35">
        <f t="shared" si="3"/>
        <v>20305.764841890355</v>
      </c>
      <c r="L24" s="29">
        <f t="shared" si="1"/>
        <v>5.3814471533282076</v>
      </c>
    </row>
    <row r="25" spans="1:23">
      <c r="A25" s="1">
        <v>34784</v>
      </c>
      <c r="B25" s="33">
        <f t="shared" si="2"/>
        <v>19</v>
      </c>
      <c r="C25">
        <v>2706</v>
      </c>
      <c r="D25" s="15">
        <v>603.20000000000005</v>
      </c>
      <c r="E25" s="17"/>
      <c r="F25" s="31">
        <f t="shared" si="0"/>
        <v>0.42929780788896821</v>
      </c>
      <c r="G25" s="31">
        <f t="shared" si="4"/>
        <v>1.7097692346030868E-2</v>
      </c>
      <c r="H25" s="140">
        <f t="shared" si="5"/>
        <v>-11010.204663433251</v>
      </c>
      <c r="J25" s="35">
        <f t="shared" si="7"/>
        <v>42929.780788896824</v>
      </c>
      <c r="K25" s="35">
        <f t="shared" si="3"/>
        <v>22624.015947006468</v>
      </c>
      <c r="L25" s="29">
        <f t="shared" si="1"/>
        <v>7.3606858636387535</v>
      </c>
      <c r="W25" s="5"/>
    </row>
    <row r="26" spans="1:23">
      <c r="A26" s="1">
        <v>34791</v>
      </c>
      <c r="B26" s="33">
        <f t="shared" si="2"/>
        <v>20</v>
      </c>
      <c r="C26">
        <v>1890</v>
      </c>
      <c r="D26" s="15">
        <v>523.1</v>
      </c>
      <c r="E26" s="17"/>
      <c r="F26" s="31">
        <f t="shared" si="0"/>
        <v>0.4458980849507439</v>
      </c>
      <c r="G26" s="31">
        <f t="shared" si="4"/>
        <v>1.6600277061775692E-2</v>
      </c>
      <c r="H26" s="140">
        <f t="shared" si="5"/>
        <v>-7745.8548383190619</v>
      </c>
      <c r="J26" s="35">
        <f t="shared" si="7"/>
        <v>44589.808495074387</v>
      </c>
      <c r="K26" s="35">
        <f t="shared" si="3"/>
        <v>21965.792548067919</v>
      </c>
      <c r="L26" s="29">
        <f t="shared" si="1"/>
        <v>10.622112459295195</v>
      </c>
      <c r="W26" s="5"/>
    </row>
    <row r="27" spans="1:23">
      <c r="A27" s="1">
        <v>34798</v>
      </c>
      <c r="B27" s="33">
        <f t="shared" si="2"/>
        <v>21</v>
      </c>
      <c r="C27">
        <v>1623</v>
      </c>
      <c r="D27" s="15">
        <v>382.4</v>
      </c>
      <c r="E27" s="17"/>
      <c r="F27" s="31">
        <f t="shared" si="0"/>
        <v>0.46201542025515474</v>
      </c>
      <c r="G27" s="31">
        <f t="shared" si="4"/>
        <v>1.611733530441084E-2</v>
      </c>
      <c r="H27" s="140">
        <f t="shared" si="5"/>
        <v>-6699.5165515861454</v>
      </c>
      <c r="J27" s="35">
        <f t="shared" si="7"/>
        <v>46201.542025515475</v>
      </c>
      <c r="K27" s="35">
        <f t="shared" si="3"/>
        <v>24235.749477447556</v>
      </c>
      <c r="L27" s="29">
        <f t="shared" si="1"/>
        <v>13.932686061273911</v>
      </c>
      <c r="W27" s="5"/>
    </row>
    <row r="28" spans="1:23">
      <c r="A28" s="1">
        <v>34805</v>
      </c>
      <c r="B28" s="33">
        <f t="shared" si="2"/>
        <v>22</v>
      </c>
      <c r="C28">
        <v>1587</v>
      </c>
      <c r="D28" s="15">
        <v>290.7</v>
      </c>
      <c r="E28" s="17"/>
      <c r="F28" s="31">
        <f t="shared" si="0"/>
        <v>0.47766386611467115</v>
      </c>
      <c r="G28" s="31">
        <f t="shared" si="4"/>
        <v>1.5648445859516413E-2</v>
      </c>
      <c r="H28" s="140">
        <f t="shared" si="5"/>
        <v>-6597.767889095976</v>
      </c>
      <c r="J28" s="35">
        <f t="shared" si="7"/>
        <v>47766.386611467118</v>
      </c>
      <c r="K28" s="35">
        <f t="shared" si="3"/>
        <v>23530.637134019562</v>
      </c>
      <c r="L28" s="29">
        <f t="shared" si="1"/>
        <v>13.827118546956246</v>
      </c>
      <c r="W28" s="5"/>
    </row>
    <row r="29" spans="1:23">
      <c r="A29" s="1">
        <v>34812</v>
      </c>
      <c r="B29" s="33">
        <f t="shared" si="2"/>
        <v>23</v>
      </c>
      <c r="C29">
        <v>1507</v>
      </c>
      <c r="D29" s="15">
        <v>322.7</v>
      </c>
      <c r="E29" s="17"/>
      <c r="F29" s="31">
        <f t="shared" si="0"/>
        <v>0.49285706588745126</v>
      </c>
      <c r="G29" s="31">
        <f t="shared" si="4"/>
        <v>1.5193199772780108E-2</v>
      </c>
      <c r="H29" s="140">
        <f t="shared" si="5"/>
        <v>-6309.6693532503887</v>
      </c>
      <c r="J29" s="35">
        <f t="shared" si="7"/>
        <v>49285.706588745124</v>
      </c>
      <c r="K29" s="35">
        <f t="shared" si="3"/>
        <v>25755.069454725563</v>
      </c>
      <c r="L29" s="29">
        <f t="shared" si="1"/>
        <v>16.090291608975157</v>
      </c>
      <c r="W29" s="5"/>
    </row>
    <row r="30" spans="1:23">
      <c r="A30" s="1">
        <v>34819</v>
      </c>
      <c r="B30" s="33">
        <f t="shared" si="2"/>
        <v>24</v>
      </c>
      <c r="C30">
        <v>1300</v>
      </c>
      <c r="D30" s="15">
        <v>284.10000000000002</v>
      </c>
      <c r="E30" s="17"/>
      <c r="F30" s="31">
        <f t="shared" si="0"/>
        <v>0.50760826588151431</v>
      </c>
      <c r="G30" s="31">
        <f t="shared" si="4"/>
        <v>1.4751199994063047E-2</v>
      </c>
      <c r="H30" s="140">
        <f t="shared" si="5"/>
        <v>-5481.3600971685291</v>
      </c>
      <c r="J30" s="35">
        <f t="shared" si="7"/>
        <v>50760.826588151431</v>
      </c>
      <c r="K30" s="35">
        <f t="shared" si="3"/>
        <v>25005.757133425868</v>
      </c>
      <c r="L30" s="29">
        <f t="shared" si="1"/>
        <v>18.235197794942977</v>
      </c>
      <c r="W30" s="5"/>
    </row>
    <row r="31" spans="1:23">
      <c r="A31" s="1">
        <v>34826</v>
      </c>
      <c r="B31" s="33">
        <f t="shared" si="2"/>
        <v>25</v>
      </c>
      <c r="C31">
        <v>1127</v>
      </c>
      <c r="D31" s="15">
        <v>336</v>
      </c>
      <c r="E31" s="17"/>
      <c r="F31" s="31">
        <f t="shared" si="0"/>
        <v>0.52193032691074515</v>
      </c>
      <c r="G31" s="31">
        <f t="shared" si="4"/>
        <v>1.4322061029230837E-2</v>
      </c>
      <c r="H31" s="140">
        <f t="shared" si="5"/>
        <v>-4785.1903847341591</v>
      </c>
      <c r="J31" s="35">
        <f t="shared" si="7"/>
        <v>52193.032691074513</v>
      </c>
      <c r="K31" s="35">
        <f t="shared" si="3"/>
        <v>27187.275557648645</v>
      </c>
      <c r="L31" s="29">
        <f t="shared" si="1"/>
        <v>23.123580796493918</v>
      </c>
      <c r="W31" s="5"/>
    </row>
    <row r="32" spans="1:23">
      <c r="A32" s="1">
        <v>34833</v>
      </c>
      <c r="B32" s="33">
        <f t="shared" si="2"/>
        <v>26</v>
      </c>
      <c r="C32">
        <v>997</v>
      </c>
      <c r="D32" s="15">
        <v>308.39999999999998</v>
      </c>
      <c r="E32" s="17"/>
      <c r="F32" s="31">
        <f t="shared" si="0"/>
        <v>0.53583573551668207</v>
      </c>
      <c r="G32" s="31">
        <f t="shared" si="4"/>
        <v>1.390540860593692E-2</v>
      </c>
      <c r="H32" s="140">
        <f t="shared" si="5"/>
        <v>-4262.650973969161</v>
      </c>
      <c r="J32" s="35">
        <f t="shared" si="7"/>
        <v>53583.573551668203</v>
      </c>
      <c r="K32" s="35">
        <f t="shared" si="3"/>
        <v>26396.297994019558</v>
      </c>
      <c r="L32" s="29">
        <f t="shared" si="1"/>
        <v>25.475725169528143</v>
      </c>
      <c r="W32" s="5"/>
    </row>
    <row r="33" spans="1:23">
      <c r="A33" s="1">
        <v>34840</v>
      </c>
      <c r="B33" s="33">
        <f t="shared" si="2"/>
        <v>27</v>
      </c>
      <c r="C33">
        <v>834</v>
      </c>
      <c r="D33" s="15">
        <v>133.19999999999999</v>
      </c>
      <c r="E33" s="17"/>
      <c r="F33" s="31">
        <f t="shared" si="0"/>
        <v>0.54933661486200813</v>
      </c>
      <c r="G33" s="31">
        <f t="shared" si="4"/>
        <v>1.3500879345326067E-2</v>
      </c>
      <c r="H33" s="140">
        <f t="shared" si="5"/>
        <v>-3590.3703827795084</v>
      </c>
      <c r="J33" s="35">
        <f t="shared" si="7"/>
        <v>54933.661486200814</v>
      </c>
      <c r="K33" s="35">
        <f t="shared" si="3"/>
        <v>28537.363492181255</v>
      </c>
      <c r="L33" s="29">
        <f t="shared" si="1"/>
        <v>33.217462220840837</v>
      </c>
      <c r="W33" s="5"/>
    </row>
    <row r="34" spans="1:23">
      <c r="A34" s="4"/>
      <c r="B34" s="4"/>
      <c r="H34" s="17">
        <f>(B3-SUM(C7:C33))*IFERROR(LN(1-F33),-10000)</f>
        <v>-34674.989949861665</v>
      </c>
    </row>
    <row r="35" spans="1:23">
      <c r="A35" s="4"/>
      <c r="B35" s="4"/>
    </row>
    <row r="36" spans="1:23">
      <c r="A36" s="4"/>
      <c r="B36" s="4"/>
    </row>
    <row r="37" spans="1:23">
      <c r="A37" s="4"/>
      <c r="B37" s="4"/>
      <c r="D37" s="7"/>
      <c r="E37" s="7"/>
      <c r="F37" s="7"/>
      <c r="G37" s="7"/>
      <c r="H37" s="7"/>
      <c r="I37" s="7"/>
      <c r="J37" s="7"/>
      <c r="K37" s="7"/>
    </row>
    <row r="38" spans="1:23">
      <c r="A38" s="4"/>
      <c r="B38" s="4"/>
      <c r="D38" s="7"/>
      <c r="E38" s="7"/>
      <c r="F38" s="7"/>
      <c r="G38" s="7"/>
      <c r="H38" s="7"/>
      <c r="I38" s="7"/>
      <c r="J38" s="7"/>
      <c r="K38" s="7"/>
    </row>
    <row r="39" spans="1:23">
      <c r="A39" s="4"/>
      <c r="B39" s="4"/>
      <c r="D39" s="7"/>
      <c r="E39" s="7"/>
      <c r="F39" s="7"/>
      <c r="G39" s="7"/>
      <c r="H39" s="7"/>
      <c r="I39" s="7"/>
      <c r="J39" s="7"/>
      <c r="K39" s="7"/>
    </row>
    <row r="40" spans="1:23">
      <c r="A40" s="4"/>
      <c r="B40" s="4"/>
    </row>
    <row r="41" spans="1:23">
      <c r="A41" s="4"/>
      <c r="B41" s="4"/>
      <c r="D41" s="7"/>
      <c r="E41" s="7"/>
      <c r="F41" s="7"/>
      <c r="G41" s="7"/>
      <c r="H41" s="7"/>
      <c r="I41" s="7"/>
      <c r="J41" s="7"/>
      <c r="K41" s="7"/>
    </row>
    <row r="42" spans="1:23">
      <c r="A42" s="4"/>
      <c r="B42" s="4"/>
      <c r="D42" s="20"/>
      <c r="E42" s="20"/>
      <c r="F42" s="20"/>
      <c r="G42" s="20"/>
      <c r="H42" s="20"/>
      <c r="I42" s="20"/>
      <c r="J42" s="20"/>
      <c r="K42" s="20"/>
    </row>
    <row r="43" spans="1:23">
      <c r="A43" s="4"/>
      <c r="B43" s="4"/>
    </row>
    <row r="44" spans="1:23">
      <c r="A44" s="4"/>
      <c r="B44" s="4"/>
    </row>
    <row r="45" spans="1:23">
      <c r="A45" s="4"/>
      <c r="B45" s="4"/>
    </row>
    <row r="46" spans="1:23">
      <c r="A46" s="4"/>
      <c r="B46" s="4"/>
      <c r="C46" s="9"/>
    </row>
    <row r="47" spans="1:23">
      <c r="A47" s="4"/>
      <c r="B47" s="4"/>
    </row>
    <row r="48" spans="1:23">
      <c r="A48" s="4"/>
      <c r="B48" s="4"/>
    </row>
    <row r="49" spans="1:11" ht="14.25">
      <c r="A49" s="4"/>
      <c r="B49" s="4"/>
      <c r="C49" s="9"/>
      <c r="D49" s="10"/>
      <c r="E49" s="10"/>
      <c r="F49" s="10"/>
      <c r="G49" s="10"/>
      <c r="H49" s="10"/>
      <c r="I49" s="10"/>
      <c r="J49" s="10"/>
      <c r="K49" s="10"/>
    </row>
    <row r="50" spans="1:11">
      <c r="A50" s="4"/>
      <c r="B50" s="4"/>
      <c r="C50" s="3"/>
    </row>
    <row r="51" spans="1:11">
      <c r="A51" s="4"/>
      <c r="B51" s="4"/>
      <c r="D51" s="7"/>
      <c r="E51" s="7"/>
      <c r="F51" s="7"/>
      <c r="G51" s="7"/>
      <c r="H51" s="7"/>
      <c r="I51" s="7"/>
      <c r="J51" s="7"/>
      <c r="K51" s="7"/>
    </row>
    <row r="52" spans="1:11">
      <c r="A52" s="4"/>
      <c r="B52" s="4"/>
      <c r="D52" s="14"/>
      <c r="E52" s="14"/>
      <c r="F52" s="14"/>
      <c r="G52" s="14"/>
      <c r="H52" s="14"/>
      <c r="I52" s="14"/>
      <c r="J52" s="14"/>
      <c r="K52" s="14"/>
    </row>
    <row r="54" spans="1:11">
      <c r="D54" s="7"/>
      <c r="E54" s="7"/>
      <c r="F54" s="7"/>
      <c r="G54" s="7"/>
      <c r="H54" s="7"/>
      <c r="I54" s="7"/>
      <c r="J54" s="7"/>
      <c r="K54" s="7"/>
    </row>
    <row r="57" spans="1:11" ht="15">
      <c r="D57" s="18"/>
      <c r="E57" s="18"/>
      <c r="F57" s="18"/>
      <c r="G57" s="18"/>
      <c r="H57" s="18"/>
      <c r="I57" s="18"/>
      <c r="J57" s="18"/>
      <c r="K57" s="18"/>
    </row>
  </sheetData>
  <scenarios current="0" show="0">
    <scenario name="pittsfield best fit" locked="1" count="1" user="Author">
      <inputCells r="D37" deleted="1" val=""/>
    </scenario>
  </scenarios>
  <printOptions gridLines="1" gridLinesSet="0"/>
  <pageMargins left="0.75" right="0.75" top="1" bottom="1" header="0.5" footer="0.5"/>
  <pageSetup orientation="portrait" r:id="rId1"/>
  <headerFooter alignWithMargins="0">
    <oddHeader>&amp;A</oddHeader>
    <oddFooter>Page &amp;P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C992-3F38-4A60-AE55-2BF213B237A2}">
  <dimension ref="A1:AH68"/>
  <sheetViews>
    <sheetView zoomScale="85" zoomScaleNormal="85" workbookViewId="0">
      <selection activeCell="Q28" sqref="Q28"/>
    </sheetView>
  </sheetViews>
  <sheetFormatPr defaultRowHeight="12.75"/>
  <cols>
    <col min="1" max="1" width="12" style="2" customWidth="1"/>
    <col min="2" max="2" width="10.85546875" style="2" customWidth="1"/>
    <col min="3" max="3" width="15.42578125" style="2" customWidth="1"/>
    <col min="4" max="4" width="10.5703125" style="2" customWidth="1"/>
    <col min="5" max="5" width="3.7109375" style="2" customWidth="1"/>
    <col min="6" max="6" width="10.28515625" style="2" customWidth="1"/>
    <col min="7" max="7" width="11.85546875" style="2" customWidth="1"/>
    <col min="8" max="8" width="8.42578125" style="2" customWidth="1"/>
    <col min="9" max="9" width="3.28515625" style="2" customWidth="1"/>
    <col min="10" max="12" width="9.140625" style="2" customWidth="1"/>
    <col min="13" max="13" width="7.7109375" style="2" customWidth="1"/>
    <col min="14" max="14" width="6.7109375" style="54" customWidth="1"/>
    <col min="15" max="15" width="8.28515625" style="2" customWidth="1"/>
    <col min="16" max="16" width="10.5703125" style="2" customWidth="1"/>
    <col min="17" max="17" width="11.28515625" style="2" customWidth="1"/>
    <col min="18" max="18" width="13.42578125" style="2" customWidth="1"/>
    <col min="19" max="19" width="8.5703125" style="2" customWidth="1"/>
    <col min="20" max="20" width="6.28515625" style="2" customWidth="1"/>
    <col min="21" max="22" width="6.7109375" style="2" customWidth="1"/>
    <col min="23" max="23" width="11.140625" style="2" customWidth="1"/>
    <col min="24" max="24" width="12.28515625" style="2" bestFit="1" customWidth="1"/>
    <col min="25" max="16384" width="9.140625" style="2"/>
  </cols>
  <sheetData>
    <row r="1" spans="1:34">
      <c r="A1" s="2" t="s">
        <v>117</v>
      </c>
      <c r="B1" s="90">
        <f>EXP(C1)</f>
        <v>2.9520334966957933E-2</v>
      </c>
      <c r="C1" s="27">
        <v>-3.5226759321950722</v>
      </c>
      <c r="E1" s="27"/>
      <c r="F1" s="2" t="s">
        <v>107</v>
      </c>
      <c r="G1" s="36">
        <f>-2*G2+1*LN(B5)</f>
        <v>511032.76768870576</v>
      </c>
      <c r="N1" s="46"/>
    </row>
    <row r="2" spans="1:34">
      <c r="A2" s="127" t="s">
        <v>98</v>
      </c>
      <c r="B2" s="128">
        <f>EXP(C2)</f>
        <v>1</v>
      </c>
      <c r="C2" s="27">
        <v>0</v>
      </c>
      <c r="E2" s="27"/>
      <c r="F2" s="2" t="s">
        <v>99</v>
      </c>
      <c r="G2" s="28">
        <f>SUM(H11:H38)</f>
        <v>-255510.6273816204</v>
      </c>
      <c r="N2" s="46"/>
      <c r="S2" s="192"/>
      <c r="T2" s="192"/>
      <c r="U2" s="192"/>
      <c r="V2" s="37"/>
      <c r="W2"/>
      <c r="X2"/>
      <c r="Y2"/>
      <c r="Z2"/>
      <c r="AA2"/>
      <c r="AB2"/>
      <c r="AC2"/>
      <c r="AD2"/>
      <c r="AE2"/>
      <c r="AF2"/>
      <c r="AG2"/>
      <c r="AH2"/>
    </row>
    <row r="3" spans="1:34">
      <c r="A3" s="129" t="s">
        <v>115</v>
      </c>
      <c r="B3" s="130">
        <f>C3</f>
        <v>0</v>
      </c>
      <c r="C3" s="27">
        <v>0</v>
      </c>
      <c r="E3" s="27"/>
      <c r="F3" s="2" t="s">
        <v>130</v>
      </c>
      <c r="G3" s="77">
        <f>AVERAGE(L11:L37)</f>
        <v>0.3962173505780488</v>
      </c>
      <c r="N3" s="46"/>
      <c r="S3" s="37"/>
      <c r="T3" s="37"/>
      <c r="U3" s="37"/>
      <c r="V3" s="37"/>
      <c r="W3"/>
      <c r="X3"/>
      <c r="Y3"/>
      <c r="Z3"/>
      <c r="AA3"/>
      <c r="AB3"/>
      <c r="AC3"/>
      <c r="AD3"/>
      <c r="AE3"/>
      <c r="AF3"/>
      <c r="AG3"/>
      <c r="AH3"/>
    </row>
    <row r="4" spans="1:34">
      <c r="A4" s="129" t="s">
        <v>134</v>
      </c>
      <c r="B4" s="130">
        <f>C4</f>
        <v>0</v>
      </c>
      <c r="C4" s="27">
        <v>0</v>
      </c>
      <c r="E4" s="27"/>
      <c r="F4" s="2" t="s">
        <v>139</v>
      </c>
      <c r="G4" s="77">
        <f>AVERAGE(M29:M37)</f>
        <v>5.0842607857961658E-2</v>
      </c>
      <c r="N4" s="46"/>
      <c r="S4" s="37"/>
      <c r="T4" s="37"/>
      <c r="U4" s="37"/>
      <c r="V4" s="37"/>
      <c r="W4"/>
      <c r="X4"/>
      <c r="Y4"/>
      <c r="Z4"/>
      <c r="AA4"/>
      <c r="AB4"/>
      <c r="AC4"/>
      <c r="AD4"/>
      <c r="AE4"/>
      <c r="AF4"/>
      <c r="AG4"/>
      <c r="AH4"/>
    </row>
    <row r="5" spans="1:34">
      <c r="A5" s="2" t="s">
        <v>105</v>
      </c>
      <c r="B5" s="28">
        <v>100000</v>
      </c>
      <c r="C5" s="27">
        <v>0</v>
      </c>
      <c r="E5" s="27"/>
      <c r="N5" s="46"/>
      <c r="S5" s="37"/>
      <c r="T5" s="37"/>
      <c r="U5" s="37"/>
      <c r="V5" s="37"/>
      <c r="W5"/>
      <c r="X5"/>
      <c r="Y5"/>
      <c r="Z5"/>
      <c r="AA5"/>
      <c r="AB5"/>
      <c r="AC5"/>
      <c r="AD5"/>
      <c r="AE5"/>
      <c r="AF5"/>
      <c r="AG5"/>
      <c r="AH5"/>
    </row>
    <row r="6" spans="1:34">
      <c r="B6" s="28"/>
      <c r="C6" s="27"/>
      <c r="E6" s="27"/>
      <c r="F6" s="115" t="s">
        <v>130</v>
      </c>
      <c r="G6" s="116">
        <f>AVERAGE(L11:L37)</f>
        <v>0.3962173505780488</v>
      </c>
      <c r="N6" s="46"/>
      <c r="S6" s="37"/>
      <c r="T6" s="37"/>
      <c r="U6" s="37"/>
      <c r="V6" s="37"/>
      <c r="W6"/>
      <c r="X6"/>
      <c r="Y6"/>
      <c r="Z6"/>
      <c r="AA6"/>
      <c r="AB6"/>
      <c r="AC6"/>
      <c r="AD6"/>
      <c r="AE6"/>
      <c r="AF6"/>
      <c r="AG6"/>
      <c r="AH6"/>
    </row>
    <row r="7" spans="1:34">
      <c r="C7" s="28"/>
      <c r="E7" s="27"/>
      <c r="F7" s="115" t="s">
        <v>139</v>
      </c>
      <c r="G7" s="116">
        <f>AVERAGE(L29:L37)</f>
        <v>0.21535738262155513</v>
      </c>
      <c r="N7" s="46"/>
      <c r="S7" s="8"/>
      <c r="T7" s="8"/>
      <c r="U7" s="37"/>
      <c r="V7" s="37"/>
      <c r="W7"/>
      <c r="X7"/>
      <c r="Y7"/>
      <c r="Z7"/>
      <c r="AA7"/>
      <c r="AB7"/>
      <c r="AC7"/>
      <c r="AD7"/>
      <c r="AE7"/>
      <c r="AF7"/>
      <c r="AG7"/>
      <c r="AH7"/>
    </row>
    <row r="8" spans="1:34">
      <c r="F8" s="115" t="s">
        <v>145</v>
      </c>
      <c r="G8" s="116">
        <f>MEDIAN(L11:L37)</f>
        <v>0.25042747001185295</v>
      </c>
      <c r="N8" s="46"/>
      <c r="Q8" s="27">
        <f>B3</f>
        <v>0</v>
      </c>
      <c r="R8" s="27">
        <f>B4</f>
        <v>0</v>
      </c>
      <c r="S8" s="27"/>
      <c r="T8" s="27"/>
      <c r="W8"/>
      <c r="X8"/>
      <c r="Y8"/>
      <c r="Z8"/>
      <c r="AA8"/>
      <c r="AB8"/>
      <c r="AC8"/>
      <c r="AD8"/>
      <c r="AE8"/>
      <c r="AF8"/>
      <c r="AG8"/>
      <c r="AH8"/>
    </row>
    <row r="9" spans="1:34">
      <c r="L9" s="2" t="s">
        <v>171</v>
      </c>
      <c r="M9" s="2" t="s">
        <v>172</v>
      </c>
      <c r="N9" s="46"/>
      <c r="W9"/>
      <c r="X9"/>
      <c r="Y9"/>
      <c r="Z9"/>
      <c r="AA9"/>
      <c r="AB9"/>
      <c r="AC9"/>
      <c r="AD9"/>
      <c r="AE9"/>
      <c r="AF9"/>
      <c r="AG9"/>
      <c r="AH9"/>
    </row>
    <row r="10" spans="1:34">
      <c r="A10" s="32" t="s">
        <v>1</v>
      </c>
      <c r="B10" s="37" t="s">
        <v>100</v>
      </c>
      <c r="C10" s="37" t="s">
        <v>128</v>
      </c>
      <c r="D10" s="37" t="s">
        <v>101</v>
      </c>
      <c r="E10" s="7"/>
      <c r="F10" s="37" t="s">
        <v>103</v>
      </c>
      <c r="G10" s="32" t="s">
        <v>104</v>
      </c>
      <c r="H10" s="7"/>
      <c r="I10" s="7"/>
      <c r="J10" s="7" t="s">
        <v>106</v>
      </c>
      <c r="K10" s="7" t="s">
        <v>173</v>
      </c>
      <c r="L10" s="7" t="s">
        <v>129</v>
      </c>
      <c r="M10" s="7" t="s">
        <v>129</v>
      </c>
      <c r="N10" s="44"/>
      <c r="O10" s="7" t="s">
        <v>108</v>
      </c>
      <c r="P10" s="7" t="s">
        <v>109</v>
      </c>
      <c r="Q10" s="45" t="s">
        <v>116</v>
      </c>
      <c r="R10" s="45" t="s">
        <v>142</v>
      </c>
      <c r="S10"/>
      <c r="T10" s="16" t="s">
        <v>111</v>
      </c>
      <c r="U10"/>
      <c r="V10"/>
      <c r="W10"/>
      <c r="X10"/>
      <c r="Y10"/>
      <c r="Z10"/>
      <c r="AA10"/>
      <c r="AB10"/>
      <c r="AC10"/>
      <c r="AD10"/>
      <c r="AE10"/>
      <c r="AF10"/>
      <c r="AG10"/>
      <c r="AH10"/>
    </row>
    <row r="11" spans="1:34">
      <c r="A11" s="1">
        <v>34658</v>
      </c>
      <c r="B11" s="33">
        <v>1</v>
      </c>
      <c r="C11" s="33">
        <f>D11</f>
        <v>1375</v>
      </c>
      <c r="D11">
        <v>1375</v>
      </c>
      <c r="F11" s="31">
        <f>1-EXP(-$B$1*O11)</f>
        <v>2.9088866005377079E-2</v>
      </c>
      <c r="G11" s="31">
        <f>F11</f>
        <v>2.9088866005377079E-2</v>
      </c>
      <c r="H11" s="17">
        <f t="shared" ref="H11:H37" si="0">D11*IFERROR(LN(G11),-10000)</f>
        <v>-4863.9247105875456</v>
      </c>
      <c r="J11" s="35">
        <f t="shared" ref="J11:J37" si="1">$B$5*F11</f>
        <v>2908.8866005377081</v>
      </c>
      <c r="K11" s="35">
        <f>J11</f>
        <v>2908.8866005377081</v>
      </c>
      <c r="L11" s="78">
        <f>ABS((D11-K11)/D11)</f>
        <v>1.1155538913001513</v>
      </c>
      <c r="M11" s="70">
        <f>ABS((C11-J11)/C11)</f>
        <v>1.1155538913001513</v>
      </c>
      <c r="N11" s="47"/>
      <c r="O11" s="35">
        <f>B11^B2*P11</f>
        <v>1</v>
      </c>
      <c r="P11" s="74">
        <f>EXP(SUMPRODUCT($Q$8:$R$8,Q11:R11))</f>
        <v>1</v>
      </c>
      <c r="Q11" s="67">
        <v>7.3461392338474107</v>
      </c>
      <c r="R11" s="67">
        <f>1-$E$8*(1-EXP(-(A69-58)*E$9))</f>
        <v>1</v>
      </c>
      <c r="S11"/>
      <c r="T11" s="196" t="s">
        <v>40</v>
      </c>
      <c r="U11" s="6" t="s">
        <v>49</v>
      </c>
      <c r="V11"/>
      <c r="W11"/>
      <c r="X11"/>
      <c r="Y11"/>
      <c r="Z11"/>
      <c r="AA11"/>
      <c r="AB11"/>
      <c r="AC11"/>
      <c r="AD11"/>
      <c r="AE11"/>
      <c r="AF11"/>
      <c r="AG11"/>
      <c r="AH11"/>
    </row>
    <row r="12" spans="1:34" ht="12.75" customHeight="1">
      <c r="A12" s="1">
        <v>34665</v>
      </c>
      <c r="B12" s="33">
        <f>B11+1</f>
        <v>2</v>
      </c>
      <c r="C12" s="33">
        <f>D12+C11</f>
        <v>2477</v>
      </c>
      <c r="D12">
        <v>1102</v>
      </c>
      <c r="F12" s="31">
        <f>1-EXP(-$B$1*O12)</f>
        <v>5.7331569885275435E-2</v>
      </c>
      <c r="G12" s="31">
        <f>F12-F11</f>
        <v>2.8242703879898357E-2</v>
      </c>
      <c r="H12" s="17">
        <f t="shared" si="0"/>
        <v>-3930.745977182658</v>
      </c>
      <c r="J12" s="35">
        <f t="shared" si="1"/>
        <v>5733.1569885275439</v>
      </c>
      <c r="K12" s="35">
        <f>J12-J11</f>
        <v>2824.2703879898359</v>
      </c>
      <c r="L12" s="78">
        <f t="shared" ref="L12:L37" si="2">ABS((D12-K12)/D12)</f>
        <v>1.5628587912793428</v>
      </c>
      <c r="M12" s="70">
        <f t="shared" ref="M12:M37" si="3">ABS((C12-J12)/C12)</f>
        <v>1.3145567172093435</v>
      </c>
      <c r="N12" s="47"/>
      <c r="O12" s="35">
        <f>O11+(B12^$B$2-B11^$B$2)*P12</f>
        <v>2</v>
      </c>
      <c r="P12" s="74">
        <f>EXP(SUMPRODUCT($Q$8:$R$8,Q12:R12))</f>
        <v>1</v>
      </c>
      <c r="Q12" s="67">
        <v>7.3082748446972872</v>
      </c>
      <c r="R12" s="39">
        <v>0</v>
      </c>
      <c r="S12"/>
      <c r="T12" s="196"/>
      <c r="U12" s="6" t="s">
        <v>28</v>
      </c>
      <c r="V12"/>
      <c r="X12"/>
      <c r="Y12"/>
      <c r="Z12"/>
      <c r="AA12"/>
      <c r="AB12"/>
      <c r="AC12"/>
      <c r="AD12"/>
      <c r="AE12"/>
      <c r="AF12"/>
      <c r="AG12"/>
      <c r="AH12"/>
    </row>
    <row r="13" spans="1:34">
      <c r="A13" s="1">
        <v>34672</v>
      </c>
      <c r="B13" s="33">
        <f t="shared" ref="B13:B37" si="4">B12+1</f>
        <v>3</v>
      </c>
      <c r="C13" s="33">
        <f t="shared" ref="C13:C37" si="5">D13+C12</f>
        <v>3629</v>
      </c>
      <c r="D13">
        <v>1152</v>
      </c>
      <c r="F13" s="31">
        <f>1-EXP(-$B$1*O13)</f>
        <v>8.4752725536381912E-2</v>
      </c>
      <c r="G13" s="31">
        <f>F13-F12</f>
        <v>2.7421155651106477E-2</v>
      </c>
      <c r="H13" s="17">
        <f t="shared" si="0"/>
        <v>-4143.0994092888513</v>
      </c>
      <c r="J13" s="35">
        <f t="shared" si="1"/>
        <v>8475.2725536381913</v>
      </c>
      <c r="K13" s="35">
        <f t="shared" ref="K13:K37" si="6">J13-J12</f>
        <v>2742.1155651106474</v>
      </c>
      <c r="L13" s="78">
        <f t="shared" si="2"/>
        <v>1.3803086502696591</v>
      </c>
      <c r="M13" s="70">
        <f t="shared" si="3"/>
        <v>1.3354291963731582</v>
      </c>
      <c r="N13" s="47"/>
      <c r="O13" s="35">
        <f>O12+(B13^$B$2-B12^$B$2)*P13</f>
        <v>3</v>
      </c>
      <c r="P13" s="74">
        <f>EXP(SUMPRODUCT($Q$8:$R$8,Q13:R13))</f>
        <v>1</v>
      </c>
      <c r="Q13" s="67">
        <v>7.7207722053924668</v>
      </c>
      <c r="R13" s="39">
        <v>0</v>
      </c>
      <c r="S13"/>
      <c r="T13" s="196"/>
      <c r="U13"/>
      <c r="V13"/>
      <c r="W13"/>
      <c r="X13"/>
      <c r="Y13"/>
      <c r="Z13"/>
      <c r="AA13"/>
      <c r="AB13"/>
      <c r="AC13"/>
      <c r="AD13"/>
      <c r="AE13"/>
      <c r="AF13"/>
      <c r="AG13"/>
      <c r="AH13"/>
    </row>
    <row r="14" spans="1:34">
      <c r="A14" s="1">
        <v>34679</v>
      </c>
      <c r="B14" s="33">
        <f t="shared" si="4"/>
        <v>4</v>
      </c>
      <c r="C14" s="33">
        <f t="shared" si="5"/>
        <v>4876</v>
      </c>
      <c r="D14">
        <v>1247</v>
      </c>
      <c r="F14" s="31">
        <f>1-EXP(-$B$1*O14)</f>
        <v>0.11137623086504067</v>
      </c>
      <c r="G14" s="31">
        <f>F14-F13</f>
        <v>2.6623505328658759E-2</v>
      </c>
      <c r="H14" s="17">
        <f t="shared" si="0"/>
        <v>-4521.5731106406047</v>
      </c>
      <c r="J14" s="35">
        <f t="shared" si="1"/>
        <v>11137.623086504067</v>
      </c>
      <c r="K14" s="35">
        <f t="shared" si="6"/>
        <v>2662.3505328658757</v>
      </c>
      <c r="L14" s="78">
        <f t="shared" si="2"/>
        <v>1.1350044369413599</v>
      </c>
      <c r="M14" s="70">
        <f t="shared" si="3"/>
        <v>1.2841720850090375</v>
      </c>
      <c r="N14" s="47"/>
      <c r="O14" s="35">
        <f t="shared" ref="O14:O37" si="7">O13+(B14^$B$2-B13^$B$2)*P14</f>
        <v>4</v>
      </c>
      <c r="P14" s="74">
        <f t="shared" ref="P14:P37" si="8">EXP(SUMPRODUCT($Q$8:$R$8,Q14:R14))</f>
        <v>1</v>
      </c>
      <c r="Q14" s="67">
        <v>7.6340954268978463</v>
      </c>
      <c r="R14" s="39">
        <v>0</v>
      </c>
      <c r="S14"/>
      <c r="T14" s="196"/>
      <c r="U14"/>
      <c r="V14"/>
      <c r="W14"/>
      <c r="X14"/>
      <c r="Y14"/>
      <c r="Z14"/>
      <c r="AA14"/>
      <c r="AB14"/>
      <c r="AC14"/>
      <c r="AD14"/>
      <c r="AE14"/>
      <c r="AF14"/>
      <c r="AG14"/>
      <c r="AH14"/>
    </row>
    <row r="15" spans="1:34">
      <c r="A15" s="1">
        <v>34686</v>
      </c>
      <c r="B15" s="33">
        <f t="shared" si="4"/>
        <v>5</v>
      </c>
      <c r="C15" s="33">
        <f t="shared" si="5"/>
        <v>6515</v>
      </c>
      <c r="D15">
        <v>1639</v>
      </c>
      <c r="F15" s="31">
        <f t="shared" ref="F15:F37" si="9">1-EXP(-$B$1*O15)</f>
        <v>0.1372252886146007</v>
      </c>
      <c r="G15" s="31">
        <f t="shared" ref="G15:G37" si="10">F15-F14</f>
        <v>2.5849057749560034E-2</v>
      </c>
      <c r="H15" s="17">
        <f t="shared" si="0"/>
        <v>-5991.3335710637266</v>
      </c>
      <c r="J15" s="35">
        <f t="shared" si="1"/>
        <v>13722.52886146007</v>
      </c>
      <c r="K15" s="35">
        <f t="shared" si="6"/>
        <v>2584.9057749560034</v>
      </c>
      <c r="L15" s="78">
        <f t="shared" si="2"/>
        <v>0.57712371870408996</v>
      </c>
      <c r="M15" s="78">
        <f t="shared" si="3"/>
        <v>1.1062975996101412</v>
      </c>
      <c r="N15" s="47"/>
      <c r="O15" s="35">
        <f t="shared" si="7"/>
        <v>5</v>
      </c>
      <c r="P15" s="74">
        <f t="shared" si="8"/>
        <v>1</v>
      </c>
      <c r="Q15" s="67">
        <v>7.6025011809057794</v>
      </c>
      <c r="R15" s="39">
        <v>0</v>
      </c>
      <c r="S15"/>
      <c r="T15"/>
      <c r="U15"/>
      <c r="V15"/>
      <c r="W15"/>
      <c r="X15"/>
      <c r="Y15"/>
      <c r="Z15"/>
      <c r="AA15"/>
      <c r="AB15"/>
      <c r="AC15"/>
      <c r="AD15"/>
      <c r="AE15"/>
      <c r="AF15"/>
      <c r="AG15"/>
      <c r="AH15"/>
    </row>
    <row r="16" spans="1:34">
      <c r="A16" s="1">
        <v>34693</v>
      </c>
      <c r="B16" s="33">
        <f t="shared" si="4"/>
        <v>6</v>
      </c>
      <c r="C16" s="33">
        <f t="shared" si="5"/>
        <v>9091</v>
      </c>
      <c r="D16">
        <v>2576</v>
      </c>
      <c r="F16" s="31">
        <f t="shared" si="9"/>
        <v>0.16232242658691853</v>
      </c>
      <c r="G16" s="31">
        <f t="shared" si="10"/>
        <v>2.5097137972317829E-2</v>
      </c>
      <c r="H16" s="17">
        <f t="shared" si="0"/>
        <v>-9492.5637721733328</v>
      </c>
      <c r="J16" s="35">
        <f t="shared" si="1"/>
        <v>16232.242658691854</v>
      </c>
      <c r="K16" s="35">
        <f t="shared" si="6"/>
        <v>2509.7137972317832</v>
      </c>
      <c r="L16" s="78">
        <f t="shared" si="2"/>
        <v>2.5732221571512715E-2</v>
      </c>
      <c r="M16" s="78">
        <f t="shared" si="3"/>
        <v>0.78552883716773225</v>
      </c>
      <c r="N16" s="47"/>
      <c r="O16" s="35">
        <f t="shared" si="7"/>
        <v>6</v>
      </c>
      <c r="P16" s="74">
        <f t="shared" si="8"/>
        <v>1</v>
      </c>
      <c r="Q16" s="67">
        <v>7.7609784073887171</v>
      </c>
      <c r="R16" s="39">
        <v>0</v>
      </c>
      <c r="S16"/>
      <c r="T16" s="16" t="s">
        <v>3</v>
      </c>
      <c r="U16"/>
      <c r="V16"/>
      <c r="W16"/>
      <c r="X16"/>
      <c r="Y16"/>
      <c r="Z16"/>
      <c r="AA16"/>
      <c r="AB16"/>
      <c r="AC16"/>
      <c r="AD16"/>
      <c r="AE16"/>
      <c r="AF16"/>
      <c r="AG16"/>
      <c r="AH16"/>
    </row>
    <row r="17" spans="1:34">
      <c r="A17" s="1">
        <v>34700</v>
      </c>
      <c r="B17" s="33">
        <f t="shared" si="4"/>
        <v>7</v>
      </c>
      <c r="C17" s="33">
        <f t="shared" si="5"/>
        <v>12067</v>
      </c>
      <c r="D17">
        <v>2976</v>
      </c>
      <c r="F17" s="31">
        <f t="shared" si="9"/>
        <v>0.18668951727564109</v>
      </c>
      <c r="G17" s="31">
        <f t="shared" si="10"/>
        <v>2.4367090688722559E-2</v>
      </c>
      <c r="H17" s="17">
        <f t="shared" si="0"/>
        <v>-11054.416874776207</v>
      </c>
      <c r="J17" s="35">
        <f t="shared" si="1"/>
        <v>18668.951727564108</v>
      </c>
      <c r="K17" s="35">
        <f t="shared" si="6"/>
        <v>2436.7090688722546</v>
      </c>
      <c r="L17" s="78">
        <f t="shared" si="2"/>
        <v>0.1812133505133553</v>
      </c>
      <c r="M17" s="29">
        <f t="shared" si="3"/>
        <v>0.54710795786559285</v>
      </c>
      <c r="N17" s="47"/>
      <c r="O17" s="35">
        <f t="shared" si="7"/>
        <v>7</v>
      </c>
      <c r="P17" s="74">
        <f t="shared" si="8"/>
        <v>1</v>
      </c>
      <c r="Q17" s="67">
        <v>7.9095996592089497</v>
      </c>
      <c r="R17" s="39">
        <v>0</v>
      </c>
      <c r="S17"/>
      <c r="T17" s="6" t="s">
        <v>47</v>
      </c>
      <c r="U17"/>
      <c r="V17"/>
      <c r="W17"/>
      <c r="X17" t="s">
        <v>48</v>
      </c>
      <c r="Y17"/>
      <c r="Z17"/>
      <c r="AA17"/>
      <c r="AB17"/>
      <c r="AC17"/>
      <c r="AD17"/>
      <c r="AE17"/>
      <c r="AF17"/>
      <c r="AG17"/>
      <c r="AH17"/>
    </row>
    <row r="18" spans="1:34">
      <c r="A18" s="1">
        <v>34707</v>
      </c>
      <c r="B18" s="33">
        <f t="shared" si="4"/>
        <v>8</v>
      </c>
      <c r="C18" s="33">
        <f t="shared" si="5"/>
        <v>14596</v>
      </c>
      <c r="D18">
        <v>2529</v>
      </c>
      <c r="F18" s="31">
        <f t="shared" si="9"/>
        <v>0.21034779692837857</v>
      </c>
      <c r="G18" s="31">
        <f t="shared" si="10"/>
        <v>2.3658279652737479E-2</v>
      </c>
      <c r="H18" s="17">
        <f t="shared" si="0"/>
        <v>-9468.6825576116171</v>
      </c>
      <c r="J18" s="35">
        <f t="shared" si="1"/>
        <v>21034.779692837856</v>
      </c>
      <c r="K18" s="35">
        <f t="shared" si="6"/>
        <v>2365.8279652737474</v>
      </c>
      <c r="L18" s="78">
        <f t="shared" si="2"/>
        <v>6.4520377511369159E-2</v>
      </c>
      <c r="M18" s="29">
        <f t="shared" si="3"/>
        <v>0.44113316613029979</v>
      </c>
      <c r="N18" s="47"/>
      <c r="O18" s="35">
        <f t="shared" si="7"/>
        <v>8</v>
      </c>
      <c r="P18" s="74">
        <f t="shared" si="8"/>
        <v>1</v>
      </c>
      <c r="Q18" s="67">
        <v>7.8441623144411166</v>
      </c>
      <c r="R18" s="39">
        <v>0</v>
      </c>
      <c r="S18"/>
      <c r="T18" s="87" t="s">
        <v>141</v>
      </c>
      <c r="U18"/>
      <c r="V18"/>
      <c r="W18"/>
      <c r="X18"/>
      <c r="Y18"/>
      <c r="Z18"/>
      <c r="AA18"/>
      <c r="AB18"/>
      <c r="AC18"/>
      <c r="AD18"/>
      <c r="AE18"/>
      <c r="AF18"/>
      <c r="AG18"/>
      <c r="AH18"/>
    </row>
    <row r="19" spans="1:34">
      <c r="A19" s="1">
        <v>34714</v>
      </c>
      <c r="B19" s="33">
        <f t="shared" si="4"/>
        <v>9</v>
      </c>
      <c r="C19" s="33">
        <f t="shared" si="5"/>
        <v>17017</v>
      </c>
      <c r="D19">
        <v>2421</v>
      </c>
      <c r="F19" s="31">
        <f t="shared" si="9"/>
        <v>0.23331788405437981</v>
      </c>
      <c r="G19" s="31">
        <f t="shared" si="10"/>
        <v>2.2970087126001237E-2</v>
      </c>
      <c r="H19" s="17">
        <f t="shared" si="0"/>
        <v>-9135.794738063636</v>
      </c>
      <c r="J19" s="35">
        <f t="shared" si="1"/>
        <v>23331.788405437979</v>
      </c>
      <c r="K19" s="35">
        <f t="shared" si="6"/>
        <v>2297.0087126001235</v>
      </c>
      <c r="L19" s="78">
        <f t="shared" si="2"/>
        <v>5.1214905989209608E-2</v>
      </c>
      <c r="M19" s="78">
        <f t="shared" si="3"/>
        <v>0.37108705444190981</v>
      </c>
      <c r="N19" s="47"/>
      <c r="O19" s="35">
        <f t="shared" si="7"/>
        <v>9</v>
      </c>
      <c r="P19" s="74">
        <f t="shared" si="8"/>
        <v>1</v>
      </c>
      <c r="Q19" s="67">
        <v>7.9476078724433243</v>
      </c>
      <c r="R19" s="39">
        <v>0</v>
      </c>
      <c r="S19"/>
      <c r="T19"/>
      <c r="U19"/>
      <c r="V19"/>
      <c r="W19"/>
      <c r="X19"/>
      <c r="Y19"/>
      <c r="Z19"/>
      <c r="AA19"/>
      <c r="AB19"/>
      <c r="AC19"/>
      <c r="AD19"/>
      <c r="AE19"/>
      <c r="AF19"/>
      <c r="AG19"/>
      <c r="AH19"/>
    </row>
    <row r="20" spans="1:34">
      <c r="A20" s="1">
        <v>34721</v>
      </c>
      <c r="B20" s="33">
        <f t="shared" si="4"/>
        <v>10</v>
      </c>
      <c r="C20" s="33">
        <f t="shared" si="5"/>
        <v>19402</v>
      </c>
      <c r="D20">
        <v>2385</v>
      </c>
      <c r="F20" s="31">
        <f t="shared" si="9"/>
        <v>0.255619797393841</v>
      </c>
      <c r="G20" s="31">
        <f t="shared" si="10"/>
        <v>2.2301913339461188E-2</v>
      </c>
      <c r="H20" s="17">
        <f t="shared" si="0"/>
        <v>-9070.3524880666882</v>
      </c>
      <c r="J20" s="35">
        <f t="shared" si="1"/>
        <v>25561.9797393841</v>
      </c>
      <c r="K20" s="35">
        <f t="shared" si="6"/>
        <v>2230.1913339461207</v>
      </c>
      <c r="L20" s="78">
        <f t="shared" si="2"/>
        <v>6.4909293942926327E-2</v>
      </c>
      <c r="M20" s="78">
        <f>ABS((C20-J20)/C20)</f>
        <v>0.31749199770044839</v>
      </c>
      <c r="N20" s="47"/>
      <c r="O20" s="35">
        <f t="shared" si="7"/>
        <v>10</v>
      </c>
      <c r="P20" s="74">
        <f t="shared" si="8"/>
        <v>1</v>
      </c>
      <c r="Q20" s="67">
        <v>8.0702808933938996</v>
      </c>
      <c r="R20" s="39">
        <v>0</v>
      </c>
      <c r="S20"/>
      <c r="T20"/>
      <c r="U20"/>
      <c r="V20"/>
      <c r="W20"/>
      <c r="X20"/>
      <c r="Y20"/>
      <c r="Z20"/>
      <c r="AA20"/>
      <c r="AB20"/>
      <c r="AC20"/>
      <c r="AD20"/>
      <c r="AE20"/>
      <c r="AF20"/>
      <c r="AG20"/>
      <c r="AH20"/>
    </row>
    <row r="21" spans="1:34">
      <c r="A21" s="1">
        <v>34728</v>
      </c>
      <c r="B21" s="33">
        <f t="shared" si="4"/>
        <v>11</v>
      </c>
      <c r="C21" s="33">
        <f t="shared" si="5"/>
        <v>22032</v>
      </c>
      <c r="D21">
        <v>2630</v>
      </c>
      <c r="F21" s="31">
        <f t="shared" si="9"/>
        <v>0.27727297336450696</v>
      </c>
      <c r="G21" s="31">
        <f t="shared" si="10"/>
        <v>2.1653175970665961E-2</v>
      </c>
      <c r="H21" s="17">
        <f t="shared" si="0"/>
        <v>-10079.746256063903</v>
      </c>
      <c r="J21" s="35">
        <f t="shared" si="1"/>
        <v>27727.297336450694</v>
      </c>
      <c r="K21" s="35">
        <f t="shared" si="6"/>
        <v>2165.3175970665943</v>
      </c>
      <c r="L21" s="78">
        <f t="shared" si="2"/>
        <v>0.17668532430927972</v>
      </c>
      <c r="M21" s="78">
        <f>ABS((C21-J21)/C21)</f>
        <v>0.25850114998414553</v>
      </c>
      <c r="N21" s="47"/>
      <c r="O21" s="35">
        <f t="shared" si="7"/>
        <v>11</v>
      </c>
      <c r="P21" s="74">
        <f t="shared" si="8"/>
        <v>1</v>
      </c>
      <c r="Q21" s="67">
        <v>8.0026607057189203</v>
      </c>
      <c r="R21" s="39">
        <v>0</v>
      </c>
      <c r="S21"/>
      <c r="T21"/>
      <c r="U21"/>
      <c r="V21"/>
      <c r="W21"/>
      <c r="X21"/>
      <c r="Y21"/>
      <c r="Z21"/>
      <c r="AA21"/>
      <c r="AB21"/>
      <c r="AC21"/>
      <c r="AD21"/>
      <c r="AE21"/>
      <c r="AF21"/>
      <c r="AG21"/>
      <c r="AH21"/>
    </row>
    <row r="22" spans="1:34">
      <c r="A22" s="1">
        <v>34735</v>
      </c>
      <c r="B22" s="33">
        <f t="shared" si="4"/>
        <v>12</v>
      </c>
      <c r="C22" s="33">
        <f t="shared" si="5"/>
        <v>24826</v>
      </c>
      <c r="D22">
        <v>2794</v>
      </c>
      <c r="F22" s="31">
        <f t="shared" si="9"/>
        <v>0.29829628300077149</v>
      </c>
      <c r="G22" s="31">
        <f t="shared" si="10"/>
        <v>2.1023309636264531E-2</v>
      </c>
      <c r="H22" s="17">
        <f t="shared" si="0"/>
        <v>-10790.772986788366</v>
      </c>
      <c r="J22" s="35">
        <f t="shared" si="1"/>
        <v>29829.628300077147</v>
      </c>
      <c r="K22" s="35">
        <f t="shared" si="6"/>
        <v>2102.330963626453</v>
      </c>
      <c r="L22" s="78">
        <f t="shared" si="2"/>
        <v>0.24755513112868538</v>
      </c>
      <c r="M22" s="78">
        <f>ABS((C22-J22)/C22)</f>
        <v>0.2015479054248428</v>
      </c>
      <c r="N22" s="47"/>
      <c r="O22" s="35">
        <f t="shared" si="7"/>
        <v>12</v>
      </c>
      <c r="P22" s="74">
        <f t="shared" si="8"/>
        <v>1</v>
      </c>
      <c r="Q22" s="67">
        <v>7.6561479337680609</v>
      </c>
      <c r="R22" s="39">
        <v>0</v>
      </c>
      <c r="S22"/>
      <c r="T22"/>
      <c r="U22"/>
      <c r="V22"/>
      <c r="W22"/>
      <c r="X22"/>
      <c r="Y22"/>
      <c r="Z22"/>
      <c r="AA22"/>
      <c r="AB22"/>
      <c r="AC22"/>
      <c r="AD22"/>
      <c r="AE22"/>
      <c r="AF22"/>
      <c r="AG22"/>
      <c r="AH22"/>
    </row>
    <row r="23" spans="1:34">
      <c r="A23" s="1">
        <v>34742</v>
      </c>
      <c r="B23" s="33">
        <f t="shared" si="4"/>
        <v>13</v>
      </c>
      <c r="C23" s="33">
        <f t="shared" si="5"/>
        <v>27526</v>
      </c>
      <c r="D23">
        <v>2700</v>
      </c>
      <c r="F23" s="31">
        <f t="shared" si="9"/>
        <v>0.31870804840003708</v>
      </c>
      <c r="G23" s="31">
        <f t="shared" si="10"/>
        <v>2.0411765399265591E-2</v>
      </c>
      <c r="H23" s="17">
        <f t="shared" si="0"/>
        <v>-10507.438284628619</v>
      </c>
      <c r="J23" s="35">
        <f t="shared" si="1"/>
        <v>31870.804840003708</v>
      </c>
      <c r="K23" s="35">
        <f t="shared" si="6"/>
        <v>2041.1765399265605</v>
      </c>
      <c r="L23" s="78">
        <f t="shared" si="2"/>
        <v>0.24400868891608871</v>
      </c>
      <c r="M23" s="78">
        <f>ABS((C23-J23)/C23)</f>
        <v>0.15784366925829063</v>
      </c>
      <c r="N23" s="47"/>
      <c r="O23" s="35">
        <f t="shared" si="7"/>
        <v>13</v>
      </c>
      <c r="P23" s="74">
        <f t="shared" si="8"/>
        <v>1</v>
      </c>
      <c r="Q23" s="67">
        <v>7.5446495179912842</v>
      </c>
      <c r="R23" s="39">
        <v>0</v>
      </c>
      <c r="S23"/>
      <c r="T23"/>
      <c r="U23"/>
      <c r="V23"/>
      <c r="W23"/>
      <c r="X23"/>
      <c r="Y23"/>
      <c r="Z23"/>
      <c r="AA23"/>
      <c r="AB23"/>
      <c r="AC23"/>
      <c r="AD23"/>
      <c r="AE23"/>
      <c r="AF23"/>
      <c r="AG23"/>
      <c r="AH23"/>
    </row>
    <row r="24" spans="1:34">
      <c r="A24" s="1">
        <v>34749</v>
      </c>
      <c r="B24" s="33">
        <f t="shared" si="4"/>
        <v>14</v>
      </c>
      <c r="C24" s="33">
        <f t="shared" si="5"/>
        <v>30696</v>
      </c>
      <c r="D24">
        <v>3170</v>
      </c>
      <c r="F24" s="31">
        <f t="shared" si="9"/>
        <v>0.33852605869067032</v>
      </c>
      <c r="G24" s="31">
        <f t="shared" si="10"/>
        <v>1.9818010290633237E-2</v>
      </c>
      <c r="H24" s="17">
        <f t="shared" si="0"/>
        <v>-12430.090336761066</v>
      </c>
      <c r="J24" s="35">
        <f t="shared" si="1"/>
        <v>33852.605869067032</v>
      </c>
      <c r="K24" s="35">
        <f t="shared" si="6"/>
        <v>1981.8010290633247</v>
      </c>
      <c r="L24" s="78">
        <f t="shared" si="2"/>
        <v>0.37482617379705846</v>
      </c>
      <c r="M24" s="29">
        <f t="shared" si="3"/>
        <v>0.10283443670403415</v>
      </c>
      <c r="N24" s="47"/>
      <c r="O24" s="35">
        <f t="shared" si="7"/>
        <v>14</v>
      </c>
      <c r="P24" s="74">
        <f t="shared" si="8"/>
        <v>1</v>
      </c>
      <c r="Q24" s="67">
        <v>7.5297823270389568</v>
      </c>
      <c r="R24" s="39">
        <v>0</v>
      </c>
      <c r="S24"/>
      <c r="T24"/>
      <c r="U24"/>
      <c r="V24"/>
      <c r="W24"/>
      <c r="X24"/>
      <c r="Y24"/>
      <c r="Z24"/>
      <c r="AA24"/>
      <c r="AB24"/>
      <c r="AC24"/>
      <c r="AD24"/>
      <c r="AE24"/>
      <c r="AF24"/>
      <c r="AG24"/>
      <c r="AH24"/>
    </row>
    <row r="25" spans="1:34">
      <c r="A25" s="1">
        <v>34756</v>
      </c>
      <c r="B25" s="33">
        <f t="shared" si="4"/>
        <v>15</v>
      </c>
      <c r="C25" s="33">
        <f t="shared" si="5"/>
        <v>33263</v>
      </c>
      <c r="D25">
        <v>2567</v>
      </c>
      <c r="F25" s="31">
        <f t="shared" si="9"/>
        <v>0.35776758553546606</v>
      </c>
      <c r="G25" s="31">
        <f t="shared" si="10"/>
        <v>1.9241526844795742E-2</v>
      </c>
      <c r="H25" s="17">
        <f t="shared" si="0"/>
        <v>-10141.407057735794</v>
      </c>
      <c r="J25" s="35">
        <f t="shared" si="1"/>
        <v>35776.758553546606</v>
      </c>
      <c r="K25" s="35">
        <f t="shared" si="6"/>
        <v>1924.1526844795735</v>
      </c>
      <c r="L25" s="78">
        <f t="shared" si="2"/>
        <v>0.25042747001185295</v>
      </c>
      <c r="M25" s="29">
        <f t="shared" si="3"/>
        <v>7.5572213977891531E-2</v>
      </c>
      <c r="N25" s="47"/>
      <c r="O25" s="35">
        <f t="shared" si="7"/>
        <v>15</v>
      </c>
      <c r="P25" s="74">
        <f t="shared" si="8"/>
        <v>1</v>
      </c>
      <c r="Q25" s="67">
        <v>7.1244782624934242</v>
      </c>
      <c r="R25" s="39">
        <v>0</v>
      </c>
      <c r="S25"/>
      <c r="T25"/>
      <c r="U25"/>
      <c r="V25"/>
      <c r="W25"/>
      <c r="X25"/>
      <c r="Y25"/>
      <c r="Z25"/>
      <c r="AA25"/>
      <c r="AB25"/>
      <c r="AC25"/>
      <c r="AD25"/>
      <c r="AE25"/>
      <c r="AF25"/>
      <c r="AG25"/>
      <c r="AH25"/>
    </row>
    <row r="26" spans="1:34">
      <c r="A26" s="1">
        <v>34763</v>
      </c>
      <c r="B26" s="33">
        <f t="shared" si="4"/>
        <v>16</v>
      </c>
      <c r="C26" s="33">
        <f t="shared" si="5"/>
        <v>36672</v>
      </c>
      <c r="D26">
        <v>3409</v>
      </c>
      <c r="F26" s="31">
        <f t="shared" si="9"/>
        <v>0.3764493981841347</v>
      </c>
      <c r="G26" s="31">
        <f t="shared" si="10"/>
        <v>1.8681812648668639E-2</v>
      </c>
      <c r="H26" s="17">
        <f t="shared" si="0"/>
        <v>-13568.518211002985</v>
      </c>
      <c r="J26" s="35">
        <f t="shared" si="1"/>
        <v>37644.93981841347</v>
      </c>
      <c r="K26" s="35">
        <f t="shared" si="6"/>
        <v>1868.1812648668638</v>
      </c>
      <c r="L26" s="78">
        <f t="shared" si="2"/>
        <v>0.45198554858701562</v>
      </c>
      <c r="M26" s="29">
        <f t="shared" si="3"/>
        <v>2.6530863285707619E-2</v>
      </c>
      <c r="N26" s="47"/>
      <c r="O26" s="35">
        <f t="shared" si="7"/>
        <v>16</v>
      </c>
      <c r="P26" s="74">
        <f t="shared" si="8"/>
        <v>1</v>
      </c>
      <c r="Q26" s="67">
        <v>6.62685019080938</v>
      </c>
      <c r="R26" s="39">
        <v>0</v>
      </c>
      <c r="S26"/>
      <c r="T26"/>
      <c r="U26"/>
      <c r="V26"/>
      <c r="W26"/>
      <c r="X26"/>
      <c r="Y26"/>
      <c r="Z26"/>
      <c r="AA26"/>
      <c r="AB26"/>
      <c r="AC26"/>
      <c r="AD26"/>
      <c r="AE26"/>
      <c r="AF26"/>
      <c r="AG26"/>
      <c r="AH26"/>
    </row>
    <row r="27" spans="1:34">
      <c r="A27" s="1">
        <v>34770</v>
      </c>
      <c r="B27" s="33">
        <f t="shared" si="4"/>
        <v>17</v>
      </c>
      <c r="C27" s="33">
        <f t="shared" si="5"/>
        <v>39742</v>
      </c>
      <c r="D27">
        <v>3070</v>
      </c>
      <c r="F27" s="31">
        <f t="shared" si="9"/>
        <v>0.39458777808792866</v>
      </c>
      <c r="G27" s="31">
        <f t="shared" si="10"/>
        <v>1.8138379903793966E-2</v>
      </c>
      <c r="H27" s="17">
        <f t="shared" si="0"/>
        <v>-12309.856207397888</v>
      </c>
      <c r="J27" s="35">
        <f t="shared" si="1"/>
        <v>39458.777808792867</v>
      </c>
      <c r="K27" s="35">
        <f t="shared" si="6"/>
        <v>1813.8379903793975</v>
      </c>
      <c r="L27" s="78">
        <f t="shared" si="2"/>
        <v>0.40917329303602684</v>
      </c>
      <c r="M27" s="29">
        <f t="shared" si="3"/>
        <v>7.1265208395936974E-3</v>
      </c>
      <c r="N27" s="47"/>
      <c r="O27" s="35">
        <f t="shared" si="7"/>
        <v>17</v>
      </c>
      <c r="P27" s="74">
        <f t="shared" si="8"/>
        <v>1</v>
      </c>
      <c r="Q27" s="67">
        <v>6.3473892096560105</v>
      </c>
      <c r="R27" s="39">
        <v>0</v>
      </c>
      <c r="S27"/>
      <c r="T27"/>
      <c r="U27"/>
      <c r="V27"/>
      <c r="W27"/>
      <c r="X27"/>
      <c r="Y27"/>
      <c r="Z27"/>
      <c r="AA27"/>
      <c r="AB27"/>
      <c r="AC27"/>
      <c r="AD27"/>
      <c r="AE27"/>
      <c r="AF27"/>
      <c r="AG27"/>
      <c r="AH27"/>
    </row>
    <row r="28" spans="1:34" customFormat="1">
      <c r="A28" s="80">
        <v>34777</v>
      </c>
      <c r="B28" s="49">
        <f t="shared" si="4"/>
        <v>18</v>
      </c>
      <c r="C28" s="49">
        <f t="shared" si="5"/>
        <v>42924</v>
      </c>
      <c r="D28" s="79">
        <v>3182</v>
      </c>
      <c r="E28" s="46"/>
      <c r="F28" s="51">
        <f t="shared" si="9"/>
        <v>0.41219853308914656</v>
      </c>
      <c r="G28" s="51">
        <f t="shared" si="10"/>
        <v>1.7610755001217893E-2</v>
      </c>
      <c r="H28" s="140">
        <f t="shared" si="0"/>
        <v>-12852.879129949577</v>
      </c>
      <c r="I28" s="46"/>
      <c r="J28" s="47">
        <f t="shared" si="1"/>
        <v>41219.853308914659</v>
      </c>
      <c r="K28" s="47">
        <f t="shared" si="6"/>
        <v>1761.0755001217913</v>
      </c>
      <c r="L28" s="71">
        <f t="shared" si="2"/>
        <v>0.44655075420433965</v>
      </c>
      <c r="M28" s="71">
        <f t="shared" si="3"/>
        <v>3.9701488469978133E-2</v>
      </c>
      <c r="N28" s="47"/>
      <c r="O28" s="47">
        <f t="shared" si="7"/>
        <v>18</v>
      </c>
      <c r="P28" s="74">
        <f t="shared" si="8"/>
        <v>1</v>
      </c>
      <c r="Q28" s="73">
        <v>6.1544333753861213</v>
      </c>
      <c r="R28" s="73">
        <v>0</v>
      </c>
    </row>
    <row r="29" spans="1:34">
      <c r="A29" s="1">
        <v>34784</v>
      </c>
      <c r="B29" s="33">
        <f t="shared" si="4"/>
        <v>19</v>
      </c>
      <c r="C29" s="33">
        <f t="shared" si="5"/>
        <v>45630</v>
      </c>
      <c r="D29">
        <v>2706</v>
      </c>
      <c r="E29" s="17"/>
      <c r="F29" s="31">
        <f t="shared" si="9"/>
        <v>0.42929701119788055</v>
      </c>
      <c r="G29" s="31">
        <f t="shared" si="10"/>
        <v>1.7098478108733994E-2</v>
      </c>
      <c r="H29" s="140">
        <f t="shared" si="0"/>
        <v>-11010.080306006863</v>
      </c>
      <c r="J29" s="35">
        <f t="shared" si="1"/>
        <v>42929.701119788057</v>
      </c>
      <c r="K29" s="35">
        <f t="shared" si="6"/>
        <v>1709.847810873398</v>
      </c>
      <c r="L29" s="78">
        <f t="shared" si="2"/>
        <v>0.36812719479918776</v>
      </c>
      <c r="M29" s="78">
        <f t="shared" si="3"/>
        <v>5.9178147714484847E-2</v>
      </c>
      <c r="N29" s="47"/>
      <c r="O29" s="35">
        <f>O28+(B29^$B$2-B28^$B$2)*P29</f>
        <v>19</v>
      </c>
      <c r="P29" s="74">
        <f t="shared" si="8"/>
        <v>1</v>
      </c>
      <c r="Q29" s="67">
        <v>6.4022488166937466</v>
      </c>
      <c r="R29" s="39">
        <v>0</v>
      </c>
      <c r="S29"/>
      <c r="T29"/>
      <c r="U29"/>
      <c r="V29"/>
      <c r="W29"/>
      <c r="X29"/>
      <c r="Y29"/>
      <c r="Z29"/>
      <c r="AA29"/>
      <c r="AB29"/>
      <c r="AC29"/>
      <c r="AD29"/>
      <c r="AE29"/>
      <c r="AF29"/>
      <c r="AG29"/>
      <c r="AH29"/>
    </row>
    <row r="30" spans="1:34">
      <c r="A30" s="1">
        <v>34791</v>
      </c>
      <c r="B30" s="33">
        <f t="shared" si="4"/>
        <v>20</v>
      </c>
      <c r="C30" s="33">
        <f t="shared" si="5"/>
        <v>47520</v>
      </c>
      <c r="D30">
        <v>1890</v>
      </c>
      <c r="E30" s="17"/>
      <c r="F30" s="31">
        <f t="shared" si="9"/>
        <v>0.4458981139680136</v>
      </c>
      <c r="G30" s="31">
        <f t="shared" si="10"/>
        <v>1.6601102770133047E-2</v>
      </c>
      <c r="H30" s="140">
        <f t="shared" si="0"/>
        <v>-7745.7608308528879</v>
      </c>
      <c r="J30" s="35">
        <f t="shared" si="1"/>
        <v>44589.811396801357</v>
      </c>
      <c r="K30" s="35">
        <f t="shared" si="6"/>
        <v>1660.1102770133002</v>
      </c>
      <c r="L30" s="78">
        <f t="shared" si="2"/>
        <v>0.12163477406703692</v>
      </c>
      <c r="M30" s="78">
        <f t="shared" si="3"/>
        <v>6.1662218080779527E-2</v>
      </c>
      <c r="N30" s="47"/>
      <c r="O30" s="35">
        <f t="shared" si="7"/>
        <v>20</v>
      </c>
      <c r="P30" s="74">
        <f t="shared" si="8"/>
        <v>1</v>
      </c>
      <c r="Q30" s="67">
        <v>6.2597726503765658</v>
      </c>
      <c r="R30" s="39">
        <v>0</v>
      </c>
      <c r="S30"/>
      <c r="T30"/>
      <c r="U30"/>
      <c r="V30"/>
      <c r="W30"/>
      <c r="X30"/>
      <c r="Y30"/>
      <c r="Z30"/>
      <c r="AA30"/>
      <c r="AB30"/>
      <c r="AC30"/>
      <c r="AD30"/>
      <c r="AE30"/>
      <c r="AF30"/>
      <c r="AG30"/>
      <c r="AH30"/>
    </row>
    <row r="31" spans="1:34">
      <c r="A31" s="1">
        <v>34798</v>
      </c>
      <c r="B31" s="33">
        <f t="shared" si="4"/>
        <v>21</v>
      </c>
      <c r="C31" s="33">
        <f t="shared" si="5"/>
        <v>49143</v>
      </c>
      <c r="D31">
        <v>1623</v>
      </c>
      <c r="E31" s="17"/>
      <c r="F31" s="31">
        <f t="shared" si="9"/>
        <v>0.46201630948412475</v>
      </c>
      <c r="G31" s="31">
        <f t="shared" si="10"/>
        <v>1.6118195516111156E-2</v>
      </c>
      <c r="H31" s="140">
        <f t="shared" si="0"/>
        <v>-6699.4299314155187</v>
      </c>
      <c r="J31" s="35">
        <f t="shared" si="1"/>
        <v>46201.630948412472</v>
      </c>
      <c r="K31" s="35">
        <f t="shared" si="6"/>
        <v>1611.8195516111155</v>
      </c>
      <c r="L31" s="78">
        <f t="shared" si="2"/>
        <v>6.8887543985733475E-3</v>
      </c>
      <c r="M31" s="78">
        <f t="shared" si="3"/>
        <v>5.9853266011182217E-2</v>
      </c>
      <c r="N31" s="47"/>
      <c r="O31" s="35">
        <f t="shared" si="7"/>
        <v>21</v>
      </c>
      <c r="P31" s="74">
        <f t="shared" si="8"/>
        <v>1</v>
      </c>
      <c r="Q31" s="67">
        <v>5.9464671811772458</v>
      </c>
      <c r="R31" s="39">
        <v>0</v>
      </c>
      <c r="S31"/>
      <c r="T31"/>
      <c r="U31"/>
      <c r="V31"/>
      <c r="W31"/>
      <c r="X31"/>
      <c r="Y31"/>
      <c r="Z31"/>
      <c r="AA31"/>
      <c r="AB31"/>
      <c r="AC31"/>
      <c r="AD31"/>
      <c r="AE31"/>
      <c r="AF31"/>
      <c r="AG31"/>
      <c r="AH31"/>
    </row>
    <row r="32" spans="1:34">
      <c r="A32" s="1">
        <v>34805</v>
      </c>
      <c r="B32" s="33">
        <f t="shared" si="4"/>
        <v>22</v>
      </c>
      <c r="C32" s="33">
        <f t="shared" si="5"/>
        <v>50730</v>
      </c>
      <c r="D32">
        <v>1587</v>
      </c>
      <c r="E32" s="17"/>
      <c r="F32" s="31">
        <f t="shared" si="9"/>
        <v>0.47766564497061936</v>
      </c>
      <c r="G32" s="31">
        <f t="shared" si="10"/>
        <v>1.5649335486494609E-2</v>
      </c>
      <c r="H32" s="140">
        <f t="shared" si="0"/>
        <v>-6597.6776694092077</v>
      </c>
      <c r="J32" s="35">
        <f t="shared" si="1"/>
        <v>47766.56449706194</v>
      </c>
      <c r="K32" s="35">
        <f t="shared" si="6"/>
        <v>1564.9335486494674</v>
      </c>
      <c r="L32" s="78">
        <f t="shared" si="2"/>
        <v>1.3904506207014864E-2</v>
      </c>
      <c r="M32" s="78">
        <f t="shared" si="3"/>
        <v>5.8415838812104486E-2</v>
      </c>
      <c r="N32" s="47"/>
      <c r="O32" s="35">
        <f t="shared" si="7"/>
        <v>22</v>
      </c>
      <c r="P32" s="74">
        <f t="shared" si="8"/>
        <v>1</v>
      </c>
      <c r="Q32" s="67">
        <v>5.6722918075648305</v>
      </c>
      <c r="R32" s="39">
        <v>0</v>
      </c>
      <c r="S32"/>
      <c r="T32"/>
      <c r="U32"/>
      <c r="V32"/>
      <c r="W32"/>
      <c r="X32"/>
      <c r="Y32"/>
      <c r="Z32"/>
      <c r="AA32"/>
      <c r="AB32"/>
      <c r="AC32"/>
      <c r="AD32"/>
      <c r="AE32"/>
      <c r="AF32"/>
      <c r="AG32"/>
      <c r="AH32"/>
    </row>
    <row r="33" spans="1:34">
      <c r="A33" s="1">
        <v>34812</v>
      </c>
      <c r="B33" s="33">
        <f t="shared" si="4"/>
        <v>23</v>
      </c>
      <c r="C33" s="33">
        <f t="shared" si="5"/>
        <v>52237</v>
      </c>
      <c r="D33">
        <v>1507</v>
      </c>
      <c r="E33" s="17"/>
      <c r="F33" s="31">
        <f t="shared" si="9"/>
        <v>0.49285975903407409</v>
      </c>
      <c r="G33" s="31">
        <f t="shared" si="10"/>
        <v>1.5194114063454722E-2</v>
      </c>
      <c r="H33" s="140">
        <f t="shared" si="0"/>
        <v>-6309.5786682984726</v>
      </c>
      <c r="J33" s="35">
        <f t="shared" si="1"/>
        <v>49285.975903407409</v>
      </c>
      <c r="K33" s="35">
        <f t="shared" si="6"/>
        <v>1519.411406345469</v>
      </c>
      <c r="L33" s="78">
        <f t="shared" si="2"/>
        <v>8.2358369910212371E-3</v>
      </c>
      <c r="M33" s="78">
        <f>ABS((C33-J33)/C33)</f>
        <v>5.6492985749422658E-2</v>
      </c>
      <c r="N33" s="47"/>
      <c r="O33" s="35">
        <f t="shared" si="7"/>
        <v>23</v>
      </c>
      <c r="P33" s="74">
        <f t="shared" si="8"/>
        <v>1</v>
      </c>
      <c r="Q33" s="67">
        <v>5.7767230990579161</v>
      </c>
      <c r="R33" s="39">
        <v>0</v>
      </c>
      <c r="S33"/>
      <c r="T33"/>
      <c r="U33"/>
      <c r="V33"/>
      <c r="W33"/>
      <c r="X33"/>
      <c r="Y33"/>
      <c r="Z33"/>
      <c r="AA33"/>
      <c r="AB33"/>
      <c r="AC33"/>
      <c r="AD33"/>
      <c r="AE33"/>
      <c r="AF33"/>
      <c r="AG33"/>
      <c r="AH33"/>
    </row>
    <row r="34" spans="1:34">
      <c r="A34" s="1">
        <v>34819</v>
      </c>
      <c r="B34" s="33">
        <f t="shared" si="4"/>
        <v>24</v>
      </c>
      <c r="C34" s="33">
        <f t="shared" si="5"/>
        <v>53537</v>
      </c>
      <c r="D34">
        <v>1300</v>
      </c>
      <c r="E34" s="17"/>
      <c r="F34" s="31">
        <f t="shared" si="9"/>
        <v>0.50761189354946656</v>
      </c>
      <c r="G34" s="31">
        <f t="shared" si="10"/>
        <v>1.4752134515392479E-2</v>
      </c>
      <c r="H34" s="140">
        <f t="shared" si="0"/>
        <v>-5481.2777418857204</v>
      </c>
      <c r="J34" s="35">
        <f t="shared" si="1"/>
        <v>50761.189354946655</v>
      </c>
      <c r="K34" s="35">
        <f t="shared" si="6"/>
        <v>1475.2134515392463</v>
      </c>
      <c r="L34" s="78">
        <f t="shared" si="2"/>
        <v>0.13477957810711255</v>
      </c>
      <c r="M34" s="70">
        <f t="shared" si="3"/>
        <v>5.1848453313658685E-2</v>
      </c>
      <c r="N34" s="47"/>
      <c r="O34" s="35">
        <f t="shared" si="7"/>
        <v>24</v>
      </c>
      <c r="P34" s="74">
        <f t="shared" si="8"/>
        <v>1</v>
      </c>
      <c r="Q34" s="67">
        <v>5.6493262888601423</v>
      </c>
      <c r="R34" s="39">
        <v>0</v>
      </c>
      <c r="S34"/>
      <c r="T34" s="6" t="s">
        <v>30</v>
      </c>
      <c r="U34"/>
      <c r="V34"/>
      <c r="W34"/>
      <c r="X34"/>
      <c r="AH34" s="5"/>
    </row>
    <row r="35" spans="1:34">
      <c r="A35" s="1">
        <v>34826</v>
      </c>
      <c r="B35" s="33">
        <f t="shared" si="4"/>
        <v>25</v>
      </c>
      <c r="C35" s="33">
        <f t="shared" si="5"/>
        <v>54664</v>
      </c>
      <c r="D35">
        <v>1127</v>
      </c>
      <c r="E35" s="17"/>
      <c r="F35" s="31">
        <f t="shared" si="9"/>
        <v>0.52193490520064745</v>
      </c>
      <c r="G35" s="31">
        <f t="shared" si="10"/>
        <v>1.4323011651180884E-2</v>
      </c>
      <c r="H35" s="140">
        <f t="shared" si="0"/>
        <v>-4785.1155829733088</v>
      </c>
      <c r="J35" s="35">
        <f t="shared" si="1"/>
        <v>52193.490520064748</v>
      </c>
      <c r="K35" s="35">
        <f t="shared" si="6"/>
        <v>1432.3011651180932</v>
      </c>
      <c r="L35" s="78">
        <f t="shared" si="2"/>
        <v>0.27089721838340125</v>
      </c>
      <c r="M35" s="70">
        <f t="shared" si="3"/>
        <v>4.5194451191556635E-2</v>
      </c>
      <c r="N35" s="47"/>
      <c r="O35" s="35">
        <f t="shared" si="7"/>
        <v>25</v>
      </c>
      <c r="P35" s="74">
        <f t="shared" si="8"/>
        <v>1</v>
      </c>
      <c r="Q35" s="67">
        <v>5.8171111599632042</v>
      </c>
      <c r="R35" s="39">
        <v>0</v>
      </c>
      <c r="S35"/>
      <c r="T35" s="6" t="s">
        <v>31</v>
      </c>
      <c r="U35"/>
      <c r="V35"/>
      <c r="W35"/>
      <c r="X35"/>
      <c r="AH35" s="5"/>
    </row>
    <row r="36" spans="1:34">
      <c r="A36" s="1">
        <v>34833</v>
      </c>
      <c r="B36" s="33">
        <f t="shared" si="4"/>
        <v>26</v>
      </c>
      <c r="C36" s="33">
        <f t="shared" si="5"/>
        <v>55661</v>
      </c>
      <c r="D36">
        <v>997</v>
      </c>
      <c r="E36" s="17"/>
      <c r="F36" s="31">
        <f t="shared" si="9"/>
        <v>0.53584127668511372</v>
      </c>
      <c r="G36" s="31">
        <f t="shared" si="10"/>
        <v>1.3906371484466273E-2</v>
      </c>
      <c r="H36" s="140">
        <f t="shared" si="0"/>
        <v>-4262.5819392010853</v>
      </c>
      <c r="J36" s="35">
        <f t="shared" si="1"/>
        <v>53584.12766851137</v>
      </c>
      <c r="K36" s="35">
        <f t="shared" si="6"/>
        <v>1390.6371484466217</v>
      </c>
      <c r="L36" s="78">
        <f t="shared" si="2"/>
        <v>0.39482161328648119</v>
      </c>
      <c r="M36" s="70">
        <f t="shared" si="3"/>
        <v>3.7312882116538153E-2</v>
      </c>
      <c r="N36" s="47"/>
      <c r="O36" s="35">
        <f t="shared" si="7"/>
        <v>26</v>
      </c>
      <c r="P36" s="74">
        <f t="shared" si="8"/>
        <v>1</v>
      </c>
      <c r="Q36" s="67">
        <v>5.7313976416891741</v>
      </c>
      <c r="R36" s="39">
        <v>0</v>
      </c>
      <c r="S36"/>
      <c r="T36" s="6" t="s">
        <v>32</v>
      </c>
      <c r="U36"/>
      <c r="V36"/>
      <c r="W36"/>
      <c r="X36"/>
      <c r="AH36" s="5"/>
    </row>
    <row r="37" spans="1:34">
      <c r="A37" s="1">
        <v>34840</v>
      </c>
      <c r="B37" s="33">
        <f t="shared" si="4"/>
        <v>27</v>
      </c>
      <c r="C37" s="33">
        <f t="shared" si="5"/>
        <v>56495</v>
      </c>
      <c r="D37">
        <v>834</v>
      </c>
      <c r="E37" s="17"/>
      <c r="F37" s="31">
        <f t="shared" si="9"/>
        <v>0.54934312759284742</v>
      </c>
      <c r="G37" s="31">
        <f t="shared" si="10"/>
        <v>1.3501850907733703E-2</v>
      </c>
      <c r="H37" s="140">
        <f t="shared" si="0"/>
        <v>-3590.3103678817019</v>
      </c>
      <c r="J37" s="35">
        <f t="shared" si="1"/>
        <v>54934.312759284745</v>
      </c>
      <c r="K37" s="35">
        <f t="shared" si="6"/>
        <v>1350.1850907733751</v>
      </c>
      <c r="L37" s="78">
        <f t="shared" si="2"/>
        <v>0.61892696735416686</v>
      </c>
      <c r="M37" s="70">
        <f t="shared" si="3"/>
        <v>2.7625227731927694E-2</v>
      </c>
      <c r="N37" s="47"/>
      <c r="O37" s="35">
        <f t="shared" si="7"/>
        <v>27</v>
      </c>
      <c r="P37" s="74">
        <f t="shared" si="8"/>
        <v>1</v>
      </c>
      <c r="Q37" s="67">
        <v>4.8918517581062888</v>
      </c>
      <c r="R37" s="39">
        <v>0</v>
      </c>
      <c r="S37"/>
      <c r="T37"/>
      <c r="U37"/>
      <c r="V37"/>
      <c r="W37"/>
      <c r="X37"/>
      <c r="AH37" s="5"/>
    </row>
    <row r="38" spans="1:34">
      <c r="A38" s="4"/>
      <c r="B38" s="4"/>
      <c r="C38" s="4"/>
      <c r="H38" s="17">
        <f>(B5-SUM(D11:D37))*IFERROR(LN(1-F37),-10000)</f>
        <v>-34675.618663912632</v>
      </c>
    </row>
    <row r="39" spans="1:34">
      <c r="A39" s="4"/>
      <c r="B39" s="4"/>
      <c r="C39" s="4"/>
    </row>
    <row r="40" spans="1:34">
      <c r="A40" s="4"/>
      <c r="B40" s="4" t="s">
        <v>119</v>
      </c>
      <c r="C40" s="4"/>
      <c r="H40"/>
      <c r="I40"/>
      <c r="J40"/>
      <c r="K40"/>
      <c r="L40"/>
      <c r="M40"/>
      <c r="N40"/>
      <c r="O40"/>
      <c r="P40"/>
      <c r="Q40"/>
      <c r="R40"/>
      <c r="S40"/>
      <c r="T40"/>
      <c r="U40"/>
      <c r="V40"/>
      <c r="W40"/>
      <c r="X40"/>
    </row>
    <row r="41" spans="1:34">
      <c r="A41" s="4"/>
      <c r="B41" s="4"/>
      <c r="C41" s="4"/>
      <c r="E41" s="7"/>
      <c r="F41" s="7"/>
      <c r="G41" s="7"/>
      <c r="H41"/>
      <c r="I41"/>
      <c r="J41"/>
      <c r="K41"/>
      <c r="L41"/>
      <c r="M41"/>
      <c r="N41"/>
      <c r="O41"/>
      <c r="P41"/>
      <c r="Q41"/>
      <c r="R41"/>
      <c r="S41"/>
      <c r="T41"/>
      <c r="U41"/>
      <c r="V41"/>
      <c r="W41"/>
      <c r="X41"/>
    </row>
    <row r="42" spans="1:34">
      <c r="A42" s="4"/>
      <c r="B42" s="69" t="s">
        <v>127</v>
      </c>
      <c r="C42" s="69"/>
      <c r="E42" s="7"/>
      <c r="F42" s="7"/>
      <c r="G42" s="7"/>
      <c r="H42"/>
      <c r="I42"/>
      <c r="J42"/>
      <c r="K42"/>
      <c r="L42"/>
      <c r="M42"/>
      <c r="N42"/>
      <c r="O42"/>
      <c r="P42"/>
      <c r="Q42"/>
      <c r="R42"/>
      <c r="S42"/>
      <c r="T42"/>
      <c r="U42"/>
      <c r="V42"/>
      <c r="W42"/>
      <c r="X42"/>
    </row>
    <row r="43" spans="1:34">
      <c r="A43" s="4"/>
      <c r="B43" s="69" t="s">
        <v>136</v>
      </c>
      <c r="C43" s="4"/>
      <c r="E43" s="7"/>
      <c r="F43" s="7"/>
      <c r="G43" s="7"/>
      <c r="H43"/>
      <c r="I43"/>
      <c r="J43"/>
      <c r="K43"/>
      <c r="L43"/>
      <c r="M43"/>
      <c r="N43"/>
      <c r="O43"/>
      <c r="P43"/>
      <c r="Q43"/>
      <c r="R43"/>
      <c r="S43"/>
      <c r="T43"/>
      <c r="U43"/>
      <c r="V43"/>
      <c r="W43"/>
      <c r="X43"/>
    </row>
    <row r="44" spans="1:34">
      <c r="A44" s="4"/>
      <c r="B44" s="69" t="s">
        <v>135</v>
      </c>
      <c r="C44" s="4"/>
      <c r="H44"/>
      <c r="I44"/>
      <c r="J44"/>
      <c r="K44"/>
      <c r="L44"/>
      <c r="M44"/>
      <c r="N44"/>
      <c r="O44"/>
      <c r="P44"/>
      <c r="Q44"/>
      <c r="R44"/>
      <c r="S44"/>
      <c r="T44"/>
      <c r="U44"/>
      <c r="V44"/>
      <c r="W44"/>
      <c r="X44"/>
    </row>
    <row r="45" spans="1:34">
      <c r="A45" s="4"/>
      <c r="B45" s="4"/>
      <c r="C45" s="4"/>
      <c r="E45" s="7"/>
      <c r="F45" s="7"/>
      <c r="G45" s="7"/>
      <c r="H45"/>
      <c r="I45"/>
      <c r="J45"/>
      <c r="K45"/>
      <c r="L45"/>
      <c r="M45"/>
      <c r="N45"/>
      <c r="O45"/>
      <c r="P45"/>
      <c r="Q45"/>
      <c r="R45"/>
      <c r="S45"/>
      <c r="T45"/>
      <c r="U45"/>
      <c r="V45"/>
      <c r="W45"/>
      <c r="X45"/>
    </row>
    <row r="46" spans="1:34">
      <c r="A46" s="4"/>
      <c r="B46" s="68" t="s">
        <v>137</v>
      </c>
      <c r="C46" s="4"/>
      <c r="E46" s="20"/>
      <c r="F46" s="20"/>
      <c r="G46" s="20"/>
      <c r="H46"/>
      <c r="I46"/>
      <c r="J46"/>
      <c r="K46"/>
      <c r="L46"/>
      <c r="M46"/>
      <c r="N46"/>
      <c r="O46"/>
      <c r="P46"/>
      <c r="Q46"/>
      <c r="R46"/>
      <c r="S46"/>
      <c r="T46"/>
      <c r="U46"/>
      <c r="V46"/>
      <c r="W46"/>
      <c r="X46"/>
    </row>
    <row r="47" spans="1:34">
      <c r="A47" s="4"/>
      <c r="C47" s="4"/>
      <c r="H47"/>
      <c r="I47"/>
      <c r="J47"/>
      <c r="K47"/>
      <c r="L47"/>
      <c r="M47"/>
      <c r="N47"/>
      <c r="O47"/>
      <c r="P47"/>
      <c r="Q47"/>
      <c r="R47"/>
      <c r="S47"/>
      <c r="T47"/>
      <c r="U47"/>
      <c r="V47"/>
      <c r="W47"/>
      <c r="X47"/>
    </row>
    <row r="48" spans="1:34">
      <c r="A48" s="4"/>
      <c r="B48" s="4"/>
      <c r="C48" s="4"/>
      <c r="H48"/>
      <c r="I48"/>
      <c r="J48"/>
      <c r="K48"/>
      <c r="L48"/>
      <c r="M48"/>
      <c r="N48"/>
      <c r="O48"/>
      <c r="P48"/>
      <c r="Q48"/>
      <c r="R48"/>
      <c r="S48"/>
      <c r="T48"/>
      <c r="U48"/>
      <c r="V48"/>
      <c r="W48"/>
      <c r="X48"/>
    </row>
    <row r="49" spans="1:24">
      <c r="A49" s="4"/>
      <c r="B49" s="4"/>
      <c r="C49" s="4"/>
      <c r="H49"/>
      <c r="I49"/>
      <c r="J49"/>
      <c r="K49"/>
      <c r="L49"/>
      <c r="M49"/>
      <c r="N49"/>
      <c r="O49"/>
      <c r="P49"/>
      <c r="Q49"/>
      <c r="R49"/>
      <c r="S49"/>
      <c r="T49"/>
      <c r="U49"/>
      <c r="V49"/>
      <c r="W49"/>
      <c r="X49"/>
    </row>
    <row r="50" spans="1:24">
      <c r="A50" s="4"/>
      <c r="C50" s="4"/>
      <c r="D50" s="9"/>
      <c r="H50"/>
      <c r="I50"/>
      <c r="J50"/>
      <c r="K50"/>
      <c r="L50"/>
      <c r="M50"/>
      <c r="N50"/>
      <c r="O50"/>
      <c r="P50"/>
      <c r="Q50"/>
      <c r="R50"/>
      <c r="S50"/>
      <c r="T50"/>
      <c r="U50"/>
      <c r="V50"/>
      <c r="W50"/>
      <c r="X50"/>
    </row>
    <row r="51" spans="1:24">
      <c r="A51" s="4"/>
      <c r="B51" s="4"/>
      <c r="C51" s="4"/>
      <c r="H51"/>
      <c r="I51"/>
      <c r="J51"/>
      <c r="K51"/>
      <c r="L51"/>
      <c r="M51"/>
      <c r="N51"/>
      <c r="O51"/>
      <c r="P51"/>
      <c r="Q51"/>
      <c r="R51"/>
      <c r="S51"/>
      <c r="T51"/>
      <c r="U51"/>
      <c r="V51"/>
      <c r="W51"/>
      <c r="X51"/>
    </row>
    <row r="52" spans="1:24">
      <c r="A52" s="4"/>
      <c r="B52" s="4"/>
      <c r="C52" s="4"/>
      <c r="H52"/>
      <c r="I52"/>
      <c r="J52"/>
      <c r="K52"/>
      <c r="L52"/>
      <c r="M52"/>
      <c r="N52"/>
      <c r="O52"/>
      <c r="P52"/>
      <c r="Q52"/>
      <c r="R52"/>
      <c r="S52"/>
      <c r="T52"/>
      <c r="U52"/>
      <c r="V52"/>
      <c r="W52"/>
      <c r="X52"/>
    </row>
    <row r="53" spans="1:24" ht="14.25">
      <c r="A53" s="4"/>
      <c r="B53" s="4"/>
      <c r="C53" s="4"/>
      <c r="D53" s="9"/>
      <c r="E53" s="10"/>
      <c r="F53" s="10"/>
      <c r="G53" s="10"/>
      <c r="H53"/>
      <c r="I53"/>
      <c r="J53"/>
      <c r="K53"/>
      <c r="L53"/>
      <c r="M53"/>
      <c r="N53"/>
      <c r="O53"/>
      <c r="P53"/>
      <c r="Q53"/>
      <c r="R53"/>
      <c r="S53"/>
      <c r="T53"/>
      <c r="U53"/>
      <c r="V53"/>
      <c r="W53"/>
      <c r="X53"/>
    </row>
    <row r="54" spans="1:24">
      <c r="A54" s="4"/>
      <c r="B54" s="4"/>
      <c r="C54" s="4"/>
      <c r="D54" s="3"/>
      <c r="H54"/>
      <c r="I54"/>
      <c r="J54"/>
      <c r="K54"/>
      <c r="L54"/>
      <c r="M54"/>
      <c r="N54"/>
      <c r="O54"/>
      <c r="P54"/>
      <c r="Q54"/>
      <c r="R54"/>
      <c r="S54"/>
      <c r="T54"/>
      <c r="U54"/>
      <c r="V54"/>
      <c r="W54"/>
      <c r="X54"/>
    </row>
    <row r="55" spans="1:24">
      <c r="A55" s="4"/>
      <c r="B55" s="4"/>
      <c r="C55" s="4"/>
      <c r="E55" s="7"/>
      <c r="F55" s="7"/>
      <c r="G55" s="7"/>
      <c r="H55"/>
      <c r="I55"/>
      <c r="J55"/>
      <c r="K55"/>
      <c r="L55"/>
      <c r="M55"/>
      <c r="N55"/>
      <c r="O55"/>
      <c r="P55"/>
      <c r="Q55"/>
      <c r="R55"/>
      <c r="S55"/>
      <c r="T55"/>
      <c r="U55"/>
      <c r="V55"/>
      <c r="W55"/>
      <c r="X55"/>
    </row>
    <row r="56" spans="1:24">
      <c r="A56" s="4"/>
      <c r="B56" s="4"/>
      <c r="C56" s="4"/>
      <c r="E56" s="14"/>
      <c r="F56" s="14"/>
      <c r="G56" s="14"/>
      <c r="H56"/>
      <c r="I56"/>
      <c r="J56"/>
      <c r="K56"/>
      <c r="L56"/>
      <c r="M56"/>
      <c r="N56"/>
      <c r="O56"/>
      <c r="P56"/>
      <c r="Q56"/>
      <c r="R56"/>
      <c r="S56"/>
      <c r="T56"/>
      <c r="U56"/>
      <c r="V56"/>
      <c r="W56"/>
      <c r="X56"/>
    </row>
    <row r="57" spans="1:24">
      <c r="H57"/>
      <c r="I57"/>
      <c r="J57"/>
      <c r="K57"/>
      <c r="L57"/>
      <c r="M57"/>
      <c r="N57"/>
      <c r="O57"/>
      <c r="P57"/>
      <c r="Q57"/>
      <c r="R57"/>
      <c r="S57"/>
      <c r="T57"/>
      <c r="U57"/>
      <c r="V57"/>
      <c r="W57"/>
      <c r="X57"/>
    </row>
    <row r="58" spans="1:24">
      <c r="E58" s="7"/>
      <c r="F58" s="7"/>
      <c r="G58" s="7"/>
      <c r="H58"/>
      <c r="I58"/>
      <c r="J58"/>
      <c r="K58"/>
      <c r="L58"/>
      <c r="M58"/>
      <c r="N58"/>
      <c r="O58"/>
      <c r="P58"/>
      <c r="Q58"/>
      <c r="R58"/>
      <c r="S58"/>
      <c r="T58"/>
      <c r="U58"/>
      <c r="V58"/>
      <c r="W58"/>
      <c r="X58"/>
    </row>
    <row r="59" spans="1:24">
      <c r="H59"/>
      <c r="I59"/>
      <c r="J59"/>
      <c r="K59"/>
      <c r="L59"/>
      <c r="M59"/>
      <c r="N59"/>
      <c r="O59"/>
      <c r="P59"/>
      <c r="Q59"/>
      <c r="R59"/>
      <c r="S59"/>
      <c r="T59"/>
      <c r="U59"/>
      <c r="V59"/>
      <c r="W59"/>
      <c r="X59"/>
    </row>
    <row r="60" spans="1:24">
      <c r="H60"/>
      <c r="I60"/>
      <c r="J60"/>
      <c r="K60"/>
      <c r="L60"/>
      <c r="M60"/>
      <c r="N60"/>
      <c r="O60"/>
      <c r="P60"/>
      <c r="Q60"/>
      <c r="R60"/>
      <c r="S60"/>
      <c r="T60"/>
      <c r="U60"/>
      <c r="V60"/>
      <c r="W60"/>
      <c r="X60"/>
    </row>
    <row r="61" spans="1:24" ht="15">
      <c r="E61" s="18"/>
      <c r="F61" s="18"/>
      <c r="G61" s="18"/>
      <c r="H61"/>
      <c r="I61"/>
      <c r="J61"/>
      <c r="K61"/>
      <c r="L61"/>
      <c r="M61"/>
      <c r="N61"/>
      <c r="O61"/>
      <c r="P61"/>
      <c r="Q61"/>
      <c r="R61"/>
      <c r="S61"/>
      <c r="T61"/>
      <c r="U61"/>
      <c r="V61"/>
      <c r="W61"/>
      <c r="X61"/>
    </row>
    <row r="62" spans="1:24">
      <c r="H62"/>
      <c r="I62"/>
      <c r="J62"/>
      <c r="K62"/>
      <c r="L62"/>
      <c r="M62"/>
      <c r="N62"/>
      <c r="O62"/>
      <c r="P62"/>
      <c r="Q62"/>
      <c r="R62"/>
      <c r="S62"/>
      <c r="T62"/>
      <c r="U62"/>
      <c r="V62"/>
      <c r="W62"/>
      <c r="X62"/>
    </row>
    <row r="63" spans="1:24">
      <c r="H63"/>
      <c r="I63"/>
      <c r="J63"/>
      <c r="K63"/>
      <c r="L63"/>
      <c r="M63"/>
      <c r="N63"/>
      <c r="O63"/>
      <c r="P63"/>
      <c r="Q63"/>
      <c r="R63"/>
      <c r="S63"/>
      <c r="T63"/>
      <c r="U63"/>
      <c r="V63"/>
      <c r="W63"/>
      <c r="X63"/>
    </row>
    <row r="64" spans="1:24">
      <c r="H64"/>
      <c r="I64"/>
      <c r="J64"/>
      <c r="K64"/>
      <c r="L64"/>
      <c r="M64"/>
      <c r="N64"/>
      <c r="O64"/>
      <c r="P64"/>
      <c r="Q64"/>
      <c r="R64"/>
      <c r="S64"/>
      <c r="T64"/>
      <c r="U64"/>
      <c r="V64"/>
      <c r="W64"/>
      <c r="X64"/>
    </row>
    <row r="65" spans="8:24">
      <c r="H65"/>
      <c r="I65"/>
      <c r="J65"/>
      <c r="K65"/>
      <c r="L65"/>
      <c r="M65"/>
      <c r="N65"/>
      <c r="O65"/>
      <c r="P65"/>
      <c r="Q65"/>
      <c r="R65"/>
      <c r="S65"/>
      <c r="T65"/>
      <c r="U65"/>
      <c r="V65"/>
      <c r="W65"/>
      <c r="X65"/>
    </row>
    <row r="66" spans="8:24">
      <c r="H66"/>
      <c r="I66"/>
      <c r="J66"/>
      <c r="K66"/>
      <c r="L66"/>
      <c r="M66"/>
      <c r="N66"/>
      <c r="O66"/>
      <c r="P66"/>
      <c r="Q66"/>
      <c r="R66"/>
      <c r="S66"/>
      <c r="T66"/>
      <c r="U66"/>
      <c r="V66"/>
      <c r="W66"/>
      <c r="X66"/>
    </row>
    <row r="67" spans="8:24">
      <c r="H67"/>
      <c r="I67"/>
      <c r="J67"/>
      <c r="K67"/>
      <c r="L67"/>
      <c r="M67"/>
      <c r="N67"/>
      <c r="O67"/>
      <c r="P67"/>
      <c r="Q67"/>
      <c r="R67"/>
      <c r="S67"/>
      <c r="T67"/>
      <c r="U67"/>
      <c r="V67"/>
      <c r="W67"/>
      <c r="X67"/>
    </row>
    <row r="68" spans="8:24">
      <c r="H68"/>
      <c r="I68"/>
      <c r="J68"/>
      <c r="K68"/>
      <c r="L68"/>
      <c r="M68"/>
      <c r="N68"/>
      <c r="O68"/>
      <c r="P68"/>
      <c r="Q68"/>
      <c r="R68"/>
      <c r="S68"/>
      <c r="T68"/>
      <c r="U68"/>
      <c r="V68"/>
      <c r="W68"/>
      <c r="X68"/>
    </row>
  </sheetData>
  <scenarios current="0" show="0">
    <scenario name="pittsfield best fit" locked="1" count="1" user="Author">
      <inputCells r="D37" deleted="1" val=""/>
    </scenario>
  </scenarios>
  <mergeCells count="2">
    <mergeCell ref="S2:U2"/>
    <mergeCell ref="T11:T14"/>
  </mergeCells>
  <printOptions gridLines="1" gridLinesSet="0"/>
  <pageMargins left="0.75" right="0.75" top="1" bottom="1" header="0.5" footer="0.5"/>
  <pageSetup orientation="portrait" r:id="rId1"/>
  <headerFooter alignWithMargins="0">
    <oddHeader>&amp;A</oddHeader>
    <oddFooter>Page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713CB-2632-4CF3-A934-0C2288CEFF4F}">
  <dimension ref="A1:AH69"/>
  <sheetViews>
    <sheetView topLeftCell="A4" zoomScale="85" zoomScaleNormal="85" workbookViewId="0">
      <selection activeCell="Q12" sqref="Q12"/>
    </sheetView>
  </sheetViews>
  <sheetFormatPr defaultRowHeight="12.75"/>
  <cols>
    <col min="1" max="1" width="12" style="2" customWidth="1"/>
    <col min="2" max="2" width="10.85546875" style="2" customWidth="1"/>
    <col min="3" max="3" width="15.42578125" style="2" customWidth="1"/>
    <col min="4" max="4" width="10.5703125" style="2" customWidth="1"/>
    <col min="5" max="5" width="3.7109375" style="2" customWidth="1"/>
    <col min="6" max="6" width="10.28515625" style="2" customWidth="1"/>
    <col min="7" max="7" width="11.85546875" style="2" customWidth="1"/>
    <col min="8" max="8" width="8.42578125" style="2" customWidth="1"/>
    <col min="9" max="9" width="3.28515625" style="2" customWidth="1"/>
    <col min="10" max="12" width="9.140625" style="2" customWidth="1"/>
    <col min="13" max="13" width="7.7109375" style="2" customWidth="1"/>
    <col min="14" max="14" width="6.7109375" style="54" customWidth="1"/>
    <col min="15" max="15" width="8.28515625" style="2" customWidth="1"/>
    <col min="16" max="16" width="10.5703125" style="2" customWidth="1"/>
    <col min="17" max="17" width="11.28515625" style="2" customWidth="1"/>
    <col min="18" max="18" width="13.42578125" style="2" customWidth="1"/>
    <col min="19" max="19" width="8.5703125" style="2" customWidth="1"/>
    <col min="20" max="20" width="6.28515625" style="2" customWidth="1"/>
    <col min="21" max="22" width="6.7109375" style="2" customWidth="1"/>
    <col min="23" max="23" width="11.140625" style="2" customWidth="1"/>
    <col min="24" max="24" width="12.28515625" style="2" bestFit="1" customWidth="1"/>
    <col min="25" max="16384" width="9.140625" style="2"/>
  </cols>
  <sheetData>
    <row r="1" spans="1:34">
      <c r="A1" s="2" t="s">
        <v>117</v>
      </c>
      <c r="B1" s="90">
        <f>EXP(C1)</f>
        <v>1.0463174307662026E-2</v>
      </c>
      <c r="C1" s="17">
        <v>-4.5598933952876033</v>
      </c>
      <c r="E1" s="27"/>
      <c r="F1" s="2" t="s">
        <v>107</v>
      </c>
      <c r="G1" s="36">
        <f>-2*G2+2*LN(B5)</f>
        <v>506048.01883234503</v>
      </c>
      <c r="N1" s="46"/>
    </row>
    <row r="2" spans="1:34">
      <c r="A2" s="2" t="s">
        <v>98</v>
      </c>
      <c r="B2" s="27">
        <f>EXP(C2)</f>
        <v>1.3351736808328385</v>
      </c>
      <c r="C2" s="17">
        <v>0.2890613813923279</v>
      </c>
      <c r="E2" s="27"/>
      <c r="F2" s="2" t="s">
        <v>99</v>
      </c>
      <c r="G2" s="28">
        <f>SUM(H12:H39)</f>
        <v>-253012.49649070753</v>
      </c>
      <c r="N2" s="46"/>
      <c r="S2" s="192"/>
      <c r="T2" s="192"/>
      <c r="U2" s="192"/>
      <c r="V2" s="119"/>
      <c r="W2"/>
      <c r="X2"/>
      <c r="Y2"/>
      <c r="Z2"/>
      <c r="AA2"/>
      <c r="AB2"/>
      <c r="AC2"/>
      <c r="AD2"/>
      <c r="AE2"/>
      <c r="AF2"/>
      <c r="AG2"/>
      <c r="AH2"/>
    </row>
    <row r="3" spans="1:34">
      <c r="A3" s="129" t="s">
        <v>115</v>
      </c>
      <c r="B3" s="130">
        <f>C3</f>
        <v>0</v>
      </c>
      <c r="C3" s="27">
        <v>0</v>
      </c>
      <c r="E3" s="27"/>
      <c r="F3" s="2" t="s">
        <v>130</v>
      </c>
      <c r="G3" s="77">
        <f>AVERAGE(M12:M29)</f>
        <v>0.10574760430229929</v>
      </c>
      <c r="N3" s="46"/>
      <c r="S3" s="119"/>
      <c r="T3" s="119"/>
      <c r="U3" s="119"/>
      <c r="V3" s="119"/>
      <c r="W3"/>
      <c r="X3"/>
      <c r="Y3"/>
      <c r="Z3"/>
      <c r="AA3"/>
      <c r="AB3"/>
      <c r="AC3"/>
      <c r="AD3"/>
      <c r="AE3"/>
      <c r="AF3"/>
      <c r="AG3"/>
      <c r="AH3"/>
    </row>
    <row r="4" spans="1:34">
      <c r="A4" s="129" t="s">
        <v>134</v>
      </c>
      <c r="B4" s="130">
        <f>C4</f>
        <v>0</v>
      </c>
      <c r="C4" s="27">
        <v>0</v>
      </c>
      <c r="E4" s="27"/>
      <c r="F4" s="2" t="s">
        <v>139</v>
      </c>
      <c r="G4" s="77">
        <f>AVERAGE(M30:M38)</f>
        <v>4.7276577950162837E-2</v>
      </c>
      <c r="N4" s="46"/>
      <c r="S4" s="119"/>
      <c r="T4" s="119"/>
      <c r="U4" s="119"/>
      <c r="V4" s="119"/>
      <c r="W4"/>
      <c r="X4"/>
      <c r="Y4"/>
      <c r="Z4"/>
      <c r="AA4"/>
      <c r="AB4"/>
      <c r="AC4"/>
      <c r="AD4"/>
      <c r="AE4"/>
      <c r="AF4"/>
      <c r="AG4"/>
      <c r="AH4"/>
    </row>
    <row r="5" spans="1:34">
      <c r="A5" s="2" t="s">
        <v>105</v>
      </c>
      <c r="B5" s="28">
        <v>100000</v>
      </c>
      <c r="C5" s="27">
        <v>0</v>
      </c>
      <c r="E5" s="27"/>
      <c r="N5" s="46"/>
      <c r="S5" s="119"/>
      <c r="T5" s="119"/>
      <c r="U5" s="119"/>
      <c r="V5" s="119"/>
      <c r="W5"/>
      <c r="X5"/>
      <c r="Y5"/>
      <c r="Z5"/>
      <c r="AA5"/>
      <c r="AB5"/>
      <c r="AC5"/>
      <c r="AD5"/>
      <c r="AE5"/>
      <c r="AF5"/>
      <c r="AG5"/>
      <c r="AH5"/>
    </row>
    <row r="6" spans="1:34" customFormat="1">
      <c r="F6" s="115" t="s">
        <v>130</v>
      </c>
      <c r="G6" s="116">
        <f>AVERAGE(L12:L38)</f>
        <v>0.32396702857988047</v>
      </c>
      <c r="N6" s="46"/>
    </row>
    <row r="7" spans="1:34" customFormat="1">
      <c r="F7" s="115" t="s">
        <v>139</v>
      </c>
      <c r="G7" s="116">
        <f>AVERAGE(L30:L38)</f>
        <v>0.51245970410843467</v>
      </c>
      <c r="N7" s="46"/>
    </row>
    <row r="8" spans="1:34">
      <c r="C8" s="28"/>
      <c r="E8" s="27"/>
      <c r="F8" s="115" t="s">
        <v>145</v>
      </c>
      <c r="G8" s="116">
        <f>MEDIAN(L12:L38)</f>
        <v>0.2514284725138432</v>
      </c>
      <c r="N8" s="46"/>
      <c r="S8" s="8"/>
      <c r="T8" s="8"/>
      <c r="U8" s="119"/>
      <c r="V8" s="119"/>
      <c r="W8"/>
      <c r="X8"/>
      <c r="Y8"/>
      <c r="Z8"/>
      <c r="AA8"/>
      <c r="AB8"/>
      <c r="AC8"/>
      <c r="AD8"/>
      <c r="AE8"/>
      <c r="AF8"/>
      <c r="AG8"/>
      <c r="AH8"/>
    </row>
    <row r="9" spans="1:34">
      <c r="N9" s="46"/>
      <c r="Q9" s="27">
        <f>B3</f>
        <v>0</v>
      </c>
      <c r="R9" s="27">
        <f>B4</f>
        <v>0</v>
      </c>
      <c r="S9" s="27"/>
      <c r="T9" s="27"/>
      <c r="W9"/>
      <c r="X9"/>
      <c r="Y9"/>
      <c r="Z9"/>
      <c r="AA9"/>
      <c r="AB9"/>
      <c r="AC9"/>
      <c r="AD9"/>
      <c r="AE9"/>
      <c r="AF9"/>
      <c r="AG9"/>
      <c r="AH9"/>
    </row>
    <row r="10" spans="1:34">
      <c r="L10" s="2" t="s">
        <v>171</v>
      </c>
      <c r="M10" s="2" t="s">
        <v>172</v>
      </c>
      <c r="N10" s="46"/>
      <c r="W10"/>
      <c r="X10"/>
      <c r="Y10"/>
      <c r="Z10"/>
      <c r="AA10"/>
      <c r="AB10"/>
      <c r="AC10"/>
      <c r="AD10"/>
      <c r="AE10"/>
      <c r="AF10"/>
      <c r="AG10"/>
      <c r="AH10"/>
    </row>
    <row r="11" spans="1:34">
      <c r="A11" s="32" t="s">
        <v>1</v>
      </c>
      <c r="B11" s="119" t="s">
        <v>100</v>
      </c>
      <c r="C11" s="119" t="s">
        <v>128</v>
      </c>
      <c r="D11" s="119" t="s">
        <v>101</v>
      </c>
      <c r="E11" s="7"/>
      <c r="F11" s="119" t="s">
        <v>103</v>
      </c>
      <c r="G11" s="32" t="s">
        <v>104</v>
      </c>
      <c r="H11" s="7"/>
      <c r="I11" s="7"/>
      <c r="J11" s="7" t="s">
        <v>106</v>
      </c>
      <c r="K11" s="7" t="s">
        <v>173</v>
      </c>
      <c r="L11" s="7" t="s">
        <v>129</v>
      </c>
      <c r="M11" s="7" t="s">
        <v>129</v>
      </c>
      <c r="N11" s="44"/>
      <c r="O11" s="7" t="s">
        <v>108</v>
      </c>
      <c r="P11" s="7" t="s">
        <v>109</v>
      </c>
      <c r="Q11" s="45" t="s">
        <v>116</v>
      </c>
      <c r="R11" s="45" t="s">
        <v>142</v>
      </c>
      <c r="S11"/>
      <c r="T11" s="16" t="s">
        <v>111</v>
      </c>
      <c r="U11"/>
      <c r="V11"/>
      <c r="W11"/>
      <c r="X11"/>
      <c r="Y11"/>
      <c r="Z11"/>
      <c r="AA11"/>
      <c r="AB11"/>
      <c r="AC11"/>
      <c r="AD11"/>
      <c r="AE11"/>
      <c r="AF11"/>
      <c r="AG11"/>
      <c r="AH11"/>
    </row>
    <row r="12" spans="1:34">
      <c r="A12" s="1">
        <v>34658</v>
      </c>
      <c r="B12" s="33">
        <v>1</v>
      </c>
      <c r="C12" s="33">
        <f>D12</f>
        <v>1375</v>
      </c>
      <c r="D12">
        <v>1375</v>
      </c>
      <c r="F12" s="31">
        <f>1-EXP(-$B$1*O12)</f>
        <v>1.0408625715610853E-2</v>
      </c>
      <c r="G12" s="31">
        <f>F12</f>
        <v>1.0408625715610853E-2</v>
      </c>
      <c r="H12" s="17">
        <f t="shared" ref="H12:H38" si="0">D12*IFERROR(LN(G12),-10000)</f>
        <v>-6277.0405786846668</v>
      </c>
      <c r="J12" s="35">
        <f t="shared" ref="J12:J38" si="1">$B$5*F12</f>
        <v>1040.8625715610854</v>
      </c>
      <c r="K12" s="35">
        <f>J12</f>
        <v>1040.8625715610854</v>
      </c>
      <c r="L12" s="78">
        <f>ABS((D12-K12)/D12)</f>
        <v>0.24300903886466518</v>
      </c>
      <c r="M12" s="70">
        <f>ABS((C12-J12)/C12)</f>
        <v>0.24300903886466518</v>
      </c>
      <c r="N12" s="47"/>
      <c r="O12" s="35">
        <f>B12^B2*P12</f>
        <v>1</v>
      </c>
      <c r="P12" s="74">
        <f>EXP(SUMPRODUCT($Q$9:$R$9,Q12:R12))</f>
        <v>1</v>
      </c>
      <c r="Q12" s="67">
        <v>7.3461392338474107</v>
      </c>
      <c r="R12" s="67">
        <f>1-$E$9*(1-EXP(-(A70-58)*E$10))</f>
        <v>1</v>
      </c>
      <c r="S12"/>
      <c r="T12" s="196" t="s">
        <v>40</v>
      </c>
      <c r="U12" s="6" t="s">
        <v>49</v>
      </c>
      <c r="V12"/>
      <c r="W12"/>
      <c r="X12"/>
      <c r="Y12"/>
      <c r="Z12"/>
      <c r="AA12"/>
      <c r="AB12"/>
      <c r="AC12"/>
      <c r="AD12"/>
      <c r="AE12"/>
      <c r="AF12"/>
      <c r="AG12"/>
      <c r="AH12"/>
    </row>
    <row r="13" spans="1:34" ht="12.75" customHeight="1">
      <c r="A13" s="1">
        <v>34665</v>
      </c>
      <c r="B13" s="33">
        <f>B12+1</f>
        <v>2</v>
      </c>
      <c r="C13" s="33">
        <f>D13+C12</f>
        <v>2477</v>
      </c>
      <c r="D13">
        <v>1102</v>
      </c>
      <c r="F13" s="31">
        <f>1-EXP(-$B$1*O13)</f>
        <v>2.605378860567642E-2</v>
      </c>
      <c r="G13" s="31">
        <f>F13-F12</f>
        <v>1.5645162890065567E-2</v>
      </c>
      <c r="H13" s="17">
        <f t="shared" si="0"/>
        <v>-4581.6680262865675</v>
      </c>
      <c r="J13" s="35">
        <f t="shared" si="1"/>
        <v>2605.3788605676418</v>
      </c>
      <c r="K13" s="35">
        <f>J13-J12</f>
        <v>1564.5162890065565</v>
      </c>
      <c r="L13" s="78">
        <f t="shared" ref="L13:L38" si="2">ABS((D13-K13)/D13)</f>
        <v>0.41970625136711115</v>
      </c>
      <c r="M13" s="70">
        <f t="shared" ref="M13:M38" si="3">ABS((C13-J13)/C13)</f>
        <v>5.1828365186775062E-2</v>
      </c>
      <c r="N13" s="47"/>
      <c r="O13" s="35">
        <f>O12+(B13^$B$2-B12^$B$2)*P13</f>
        <v>2.5230585412633397</v>
      </c>
      <c r="P13" s="74">
        <f>EXP(SUMPRODUCT($Q$9:$R$9,Q13:R13))</f>
        <v>1</v>
      </c>
      <c r="Q13" s="67">
        <v>7.3082748446972872</v>
      </c>
      <c r="R13" s="39">
        <v>0</v>
      </c>
      <c r="S13"/>
      <c r="T13" s="196"/>
      <c r="U13" s="6" t="s">
        <v>28</v>
      </c>
      <c r="V13"/>
      <c r="X13"/>
      <c r="Y13"/>
      <c r="Z13"/>
      <c r="AA13"/>
      <c r="AB13"/>
      <c r="AC13"/>
      <c r="AD13"/>
      <c r="AE13"/>
      <c r="AF13"/>
      <c r="AG13"/>
      <c r="AH13"/>
    </row>
    <row r="14" spans="1:34">
      <c r="A14" s="1">
        <v>34672</v>
      </c>
      <c r="B14" s="33">
        <f t="shared" ref="B14:B38" si="4">B13+1</f>
        <v>3</v>
      </c>
      <c r="C14" s="33">
        <f t="shared" ref="C14:C38" si="5">D14+C13</f>
        <v>3629</v>
      </c>
      <c r="D14">
        <v>1152</v>
      </c>
      <c r="F14" s="31">
        <f>1-EXP(-$B$1*O14)</f>
        <v>4.4349625427970052E-2</v>
      </c>
      <c r="G14" s="31">
        <f>F14-F13</f>
        <v>1.8295836822293632E-2</v>
      </c>
      <c r="H14" s="17">
        <f t="shared" si="0"/>
        <v>-4609.2461657073891</v>
      </c>
      <c r="J14" s="35">
        <f t="shared" si="1"/>
        <v>4434.962542797005</v>
      </c>
      <c r="K14" s="35">
        <f t="shared" ref="K14:K38" si="6">J14-J13</f>
        <v>1829.5836822293631</v>
      </c>
      <c r="L14" s="78">
        <f t="shared" si="2"/>
        <v>0.58818027971298881</v>
      </c>
      <c r="M14" s="70">
        <f t="shared" si="3"/>
        <v>0.22208943036566683</v>
      </c>
      <c r="N14" s="47"/>
      <c r="O14" s="35">
        <f>O13+(B14^$B$2-B13^$B$2)*P14</f>
        <v>4.3355055036350816</v>
      </c>
      <c r="P14" s="74">
        <f>EXP(SUMPRODUCT($Q$9:$R$9,Q14:R14))</f>
        <v>1</v>
      </c>
      <c r="Q14" s="67">
        <v>7.7207722053924668</v>
      </c>
      <c r="R14" s="39">
        <v>0</v>
      </c>
      <c r="S14"/>
      <c r="T14" s="196"/>
      <c r="U14"/>
      <c r="V14"/>
      <c r="W14"/>
      <c r="X14"/>
      <c r="Y14"/>
      <c r="Z14"/>
      <c r="AA14"/>
      <c r="AB14"/>
      <c r="AC14"/>
      <c r="AD14"/>
      <c r="AE14"/>
      <c r="AF14"/>
      <c r="AG14"/>
      <c r="AH14"/>
    </row>
    <row r="15" spans="1:34">
      <c r="A15" s="1">
        <v>34679</v>
      </c>
      <c r="B15" s="33">
        <f t="shared" si="4"/>
        <v>4</v>
      </c>
      <c r="C15" s="33">
        <f t="shared" si="5"/>
        <v>4876</v>
      </c>
      <c r="D15">
        <v>1247</v>
      </c>
      <c r="F15" s="31">
        <f>1-EXP(-$B$1*O15)</f>
        <v>6.4436942432770539E-2</v>
      </c>
      <c r="G15" s="31">
        <f>F15-F14</f>
        <v>2.0087317004800487E-2</v>
      </c>
      <c r="H15" s="17">
        <f t="shared" si="0"/>
        <v>-4872.8603223565906</v>
      </c>
      <c r="J15" s="35">
        <f t="shared" si="1"/>
        <v>6443.6942432770538</v>
      </c>
      <c r="K15" s="35">
        <f t="shared" si="6"/>
        <v>2008.7317004800489</v>
      </c>
      <c r="L15" s="78">
        <f t="shared" si="2"/>
        <v>0.61085140375304636</v>
      </c>
      <c r="M15" s="70">
        <f t="shared" si="3"/>
        <v>0.32151235506092163</v>
      </c>
      <c r="N15" s="47"/>
      <c r="O15" s="35">
        <f t="shared" ref="O15:O38" si="7">O14+(B15^$B$2-B14^$B$2)*P15</f>
        <v>6.3658244026418913</v>
      </c>
      <c r="P15" s="74">
        <f t="shared" ref="P15:P38" si="8">EXP(SUMPRODUCT($Q$9:$R$9,Q15:R15))</f>
        <v>1</v>
      </c>
      <c r="Q15" s="67">
        <v>7.6340954268978463</v>
      </c>
      <c r="R15" s="39">
        <v>0</v>
      </c>
      <c r="S15"/>
      <c r="T15" s="196"/>
      <c r="U15"/>
      <c r="V15"/>
      <c r="W15"/>
      <c r="X15"/>
      <c r="Y15"/>
      <c r="Z15"/>
      <c r="AA15"/>
      <c r="AB15"/>
      <c r="AC15"/>
      <c r="AD15"/>
      <c r="AE15"/>
      <c r="AF15"/>
      <c r="AG15"/>
      <c r="AH15"/>
    </row>
    <row r="16" spans="1:34">
      <c r="A16" s="1">
        <v>34686</v>
      </c>
      <c r="B16" s="33">
        <f t="shared" si="4"/>
        <v>5</v>
      </c>
      <c r="C16" s="33">
        <f t="shared" si="5"/>
        <v>6515</v>
      </c>
      <c r="D16">
        <v>1639</v>
      </c>
      <c r="F16" s="31">
        <f t="shared" ref="F16:F38" si="9">1-EXP(-$B$1*O16)</f>
        <v>8.581675912248099E-2</v>
      </c>
      <c r="G16" s="31">
        <f t="shared" ref="G16:G38" si="10">F16-F15</f>
        <v>2.1379816689710451E-2</v>
      </c>
      <c r="H16" s="17">
        <f t="shared" si="0"/>
        <v>-6302.4597256843253</v>
      </c>
      <c r="J16" s="35">
        <f t="shared" si="1"/>
        <v>8581.6759122480998</v>
      </c>
      <c r="K16" s="35">
        <f t="shared" si="6"/>
        <v>2137.981668971046</v>
      </c>
      <c r="L16" s="78">
        <f t="shared" si="2"/>
        <v>0.30444275105005858</v>
      </c>
      <c r="M16" s="78">
        <f t="shared" si="3"/>
        <v>0.3172180985799079</v>
      </c>
      <c r="N16" s="47"/>
      <c r="O16" s="35">
        <f t="shared" si="7"/>
        <v>8.5752413773382425</v>
      </c>
      <c r="P16" s="74">
        <f t="shared" si="8"/>
        <v>1</v>
      </c>
      <c r="Q16" s="67">
        <v>7.6025011809057794</v>
      </c>
      <c r="R16" s="39">
        <v>0</v>
      </c>
      <c r="S16"/>
      <c r="T16"/>
      <c r="U16"/>
      <c r="V16"/>
      <c r="W16"/>
      <c r="X16"/>
      <c r="Y16"/>
      <c r="Z16"/>
      <c r="AA16"/>
      <c r="AB16"/>
      <c r="AC16"/>
      <c r="AD16"/>
      <c r="AE16"/>
      <c r="AF16"/>
      <c r="AG16"/>
      <c r="AH16"/>
    </row>
    <row r="17" spans="1:34">
      <c r="A17" s="1">
        <v>34693</v>
      </c>
      <c r="B17" s="33">
        <f t="shared" si="4"/>
        <v>6</v>
      </c>
      <c r="C17" s="33">
        <f t="shared" si="5"/>
        <v>9091</v>
      </c>
      <c r="D17">
        <v>2576</v>
      </c>
      <c r="F17" s="31">
        <f t="shared" si="9"/>
        <v>0.10814693254308783</v>
      </c>
      <c r="G17" s="31">
        <f t="shared" si="10"/>
        <v>2.2330173420606836E-2</v>
      </c>
      <c r="H17" s="17">
        <f t="shared" si="0"/>
        <v>-9793.4791672125593</v>
      </c>
      <c r="J17" s="35">
        <f t="shared" si="1"/>
        <v>10814.693254308782</v>
      </c>
      <c r="K17" s="35">
        <f t="shared" si="6"/>
        <v>2233.0173420606825</v>
      </c>
      <c r="L17" s="78">
        <f t="shared" si="2"/>
        <v>0.13314544174662946</v>
      </c>
      <c r="M17" s="78">
        <f t="shared" si="3"/>
        <v>0.18960436193034674</v>
      </c>
      <c r="N17" s="47"/>
      <c r="O17" s="35">
        <f t="shared" si="7"/>
        <v>10.938734191640707</v>
      </c>
      <c r="P17" s="74">
        <f t="shared" si="8"/>
        <v>1</v>
      </c>
      <c r="Q17" s="67">
        <v>7.7609784073887171</v>
      </c>
      <c r="R17" s="39">
        <v>0</v>
      </c>
      <c r="S17"/>
      <c r="T17" s="16" t="s">
        <v>3</v>
      </c>
      <c r="U17"/>
      <c r="V17"/>
      <c r="W17"/>
      <c r="X17"/>
      <c r="Y17"/>
      <c r="Z17"/>
      <c r="AA17"/>
      <c r="AB17"/>
      <c r="AC17"/>
      <c r="AD17"/>
      <c r="AE17"/>
      <c r="AF17"/>
      <c r="AG17"/>
      <c r="AH17"/>
    </row>
    <row r="18" spans="1:34">
      <c r="A18" s="1">
        <v>34700</v>
      </c>
      <c r="B18" s="33">
        <f t="shared" si="4"/>
        <v>7</v>
      </c>
      <c r="C18" s="33">
        <f t="shared" si="5"/>
        <v>12067</v>
      </c>
      <c r="D18">
        <v>2976</v>
      </c>
      <c r="F18" s="31">
        <f t="shared" si="9"/>
        <v>0.13117188690415404</v>
      </c>
      <c r="G18" s="31">
        <f t="shared" si="10"/>
        <v>2.3024954361066219E-2</v>
      </c>
      <c r="H18" s="17">
        <f t="shared" si="0"/>
        <v>-11223.021796673323</v>
      </c>
      <c r="J18" s="35">
        <f t="shared" si="1"/>
        <v>13117.188690415405</v>
      </c>
      <c r="K18" s="35">
        <f t="shared" si="6"/>
        <v>2302.4954361066229</v>
      </c>
      <c r="L18" s="78">
        <f t="shared" si="2"/>
        <v>0.22631201743729068</v>
      </c>
      <c r="M18" s="29">
        <f t="shared" si="3"/>
        <v>8.7029807774542584E-2</v>
      </c>
      <c r="N18" s="47"/>
      <c r="O18" s="35">
        <f t="shared" si="7"/>
        <v>13.43855771257593</v>
      </c>
      <c r="P18" s="74">
        <f t="shared" si="8"/>
        <v>1</v>
      </c>
      <c r="Q18" s="67">
        <v>7.9095996592089497</v>
      </c>
      <c r="R18" s="39">
        <v>0</v>
      </c>
      <c r="S18"/>
      <c r="T18" s="6" t="s">
        <v>47</v>
      </c>
      <c r="U18"/>
      <c r="V18"/>
      <c r="W18"/>
      <c r="X18" t="s">
        <v>48</v>
      </c>
      <c r="Y18"/>
      <c r="Z18"/>
      <c r="AA18"/>
      <c r="AB18"/>
      <c r="AC18"/>
      <c r="AD18"/>
      <c r="AE18"/>
      <c r="AF18"/>
      <c r="AG18"/>
      <c r="AH18"/>
    </row>
    <row r="19" spans="1:34">
      <c r="A19" s="1">
        <v>34707</v>
      </c>
      <c r="B19" s="33">
        <f t="shared" si="4"/>
        <v>8</v>
      </c>
      <c r="C19" s="33">
        <f t="shared" si="5"/>
        <v>14596</v>
      </c>
      <c r="D19">
        <v>2529</v>
      </c>
      <c r="F19" s="31">
        <f t="shared" si="9"/>
        <v>0.15469069728254825</v>
      </c>
      <c r="G19" s="31">
        <f t="shared" si="10"/>
        <v>2.3518810378394206E-2</v>
      </c>
      <c r="H19" s="17">
        <f t="shared" si="0"/>
        <v>-9483.6355283070061</v>
      </c>
      <c r="J19" s="35">
        <f t="shared" si="1"/>
        <v>15469.069728254824</v>
      </c>
      <c r="K19" s="35">
        <f t="shared" si="6"/>
        <v>2351.8810378394192</v>
      </c>
      <c r="L19" s="78">
        <f t="shared" si="2"/>
        <v>7.0035176813199235E-2</v>
      </c>
      <c r="M19" s="29">
        <f t="shared" si="3"/>
        <v>5.9815684314526205E-2</v>
      </c>
      <c r="N19" s="47"/>
      <c r="O19" s="35">
        <f t="shared" si="7"/>
        <v>16.06134763126822</v>
      </c>
      <c r="P19" s="74">
        <f t="shared" si="8"/>
        <v>1</v>
      </c>
      <c r="Q19" s="67">
        <v>7.8441623144411166</v>
      </c>
      <c r="R19" s="39">
        <v>0</v>
      </c>
      <c r="S19"/>
      <c r="T19" s="87" t="s">
        <v>141</v>
      </c>
      <c r="U19"/>
      <c r="V19"/>
      <c r="W19"/>
      <c r="X19"/>
      <c r="Y19"/>
      <c r="Z19"/>
      <c r="AA19"/>
      <c r="AB19"/>
      <c r="AC19"/>
      <c r="AD19"/>
      <c r="AE19"/>
      <c r="AF19"/>
      <c r="AG19"/>
      <c r="AH19"/>
    </row>
    <row r="20" spans="1:34">
      <c r="A20" s="1">
        <v>34714</v>
      </c>
      <c r="B20" s="33">
        <f t="shared" si="4"/>
        <v>9</v>
      </c>
      <c r="C20" s="33">
        <f t="shared" si="5"/>
        <v>17017</v>
      </c>
      <c r="D20">
        <v>2421</v>
      </c>
      <c r="F20" s="31">
        <f t="shared" si="9"/>
        <v>0.17854012444783907</v>
      </c>
      <c r="G20" s="31">
        <f t="shared" si="10"/>
        <v>2.3849427165290815E-2</v>
      </c>
      <c r="H20" s="17">
        <f t="shared" si="0"/>
        <v>-9044.8440890746933</v>
      </c>
      <c r="J20" s="35">
        <f t="shared" si="1"/>
        <v>17854.012444783908</v>
      </c>
      <c r="K20" s="35">
        <f t="shared" si="6"/>
        <v>2384.9427165290836</v>
      </c>
      <c r="L20" s="78">
        <f t="shared" si="2"/>
        <v>1.4893549554281885E-2</v>
      </c>
      <c r="M20" s="78">
        <f t="shared" si="3"/>
        <v>4.9186839324434857E-2</v>
      </c>
      <c r="N20" s="47"/>
      <c r="O20" s="35">
        <f t="shared" si="7"/>
        <v>18.796607972050079</v>
      </c>
      <c r="P20" s="74">
        <f t="shared" si="8"/>
        <v>1</v>
      </c>
      <c r="Q20" s="67">
        <v>7.9476078724433243</v>
      </c>
      <c r="R20" s="39">
        <v>0</v>
      </c>
      <c r="S20"/>
      <c r="T20"/>
      <c r="U20"/>
      <c r="V20"/>
      <c r="W20"/>
      <c r="X20"/>
      <c r="Y20"/>
      <c r="Z20"/>
      <c r="AA20"/>
      <c r="AB20"/>
      <c r="AC20"/>
      <c r="AD20"/>
      <c r="AE20"/>
      <c r="AF20"/>
      <c r="AG20"/>
      <c r="AH20"/>
    </row>
    <row r="21" spans="1:34">
      <c r="A21" s="1">
        <v>34721</v>
      </c>
      <c r="B21" s="33">
        <f t="shared" si="4"/>
        <v>10</v>
      </c>
      <c r="C21" s="33">
        <f t="shared" si="5"/>
        <v>19402</v>
      </c>
      <c r="D21">
        <v>2385</v>
      </c>
      <c r="F21" s="31">
        <f t="shared" si="9"/>
        <v>0.20258459354908132</v>
      </c>
      <c r="G21" s="31">
        <f t="shared" si="10"/>
        <v>2.404446910124225E-2</v>
      </c>
      <c r="H21" s="17">
        <f t="shared" si="0"/>
        <v>-8890.9229270514024</v>
      </c>
      <c r="J21" s="35">
        <f t="shared" si="1"/>
        <v>20258.459354908133</v>
      </c>
      <c r="K21" s="35">
        <f t="shared" si="6"/>
        <v>2404.4469101242248</v>
      </c>
      <c r="L21" s="78">
        <f t="shared" si="2"/>
        <v>8.1538407229454143E-3</v>
      </c>
      <c r="M21" s="78">
        <f>ABS((C21-J21)/C21)</f>
        <v>4.4142838620149095E-2</v>
      </c>
      <c r="N21" s="47"/>
      <c r="O21" s="35">
        <f t="shared" si="7"/>
        <v>21.635836000488073</v>
      </c>
      <c r="P21" s="74">
        <f t="shared" si="8"/>
        <v>1</v>
      </c>
      <c r="Q21" s="67">
        <v>8.0702808933938996</v>
      </c>
      <c r="R21" s="39">
        <v>0</v>
      </c>
      <c r="S21"/>
      <c r="T21"/>
      <c r="U21"/>
      <c r="V21"/>
      <c r="W21"/>
      <c r="X21"/>
      <c r="Y21"/>
      <c r="Z21"/>
      <c r="AA21"/>
      <c r="AB21"/>
      <c r="AC21"/>
      <c r="AD21"/>
      <c r="AE21"/>
      <c r="AF21"/>
      <c r="AG21"/>
      <c r="AH21"/>
    </row>
    <row r="22" spans="1:34">
      <c r="A22" s="1">
        <v>34728</v>
      </c>
      <c r="B22" s="33">
        <f t="shared" si="4"/>
        <v>11</v>
      </c>
      <c r="C22" s="33">
        <f t="shared" si="5"/>
        <v>22032</v>
      </c>
      <c r="D22">
        <v>2630</v>
      </c>
      <c r="F22" s="31">
        <f t="shared" si="9"/>
        <v>0.2267098005337701</v>
      </c>
      <c r="G22" s="31">
        <f t="shared" si="10"/>
        <v>2.4125206984688785E-2</v>
      </c>
      <c r="H22" s="17">
        <f t="shared" si="0"/>
        <v>-9795.4298770694804</v>
      </c>
      <c r="J22" s="35">
        <f t="shared" si="1"/>
        <v>22670.98005337701</v>
      </c>
      <c r="K22" s="35">
        <f t="shared" si="6"/>
        <v>2412.5206984688775</v>
      </c>
      <c r="L22" s="78">
        <f t="shared" si="2"/>
        <v>8.2691749631605499E-2</v>
      </c>
      <c r="M22" s="78">
        <f>ABS((C22-J22)/C22)</f>
        <v>2.9002362626044404E-2</v>
      </c>
      <c r="N22" s="47"/>
      <c r="O22" s="35">
        <f t="shared" si="7"/>
        <v>24.571977254500922</v>
      </c>
      <c r="P22" s="74">
        <f t="shared" si="8"/>
        <v>1</v>
      </c>
      <c r="Q22" s="67">
        <v>8.0026607057189203</v>
      </c>
      <c r="R22" s="39">
        <v>0</v>
      </c>
      <c r="S22"/>
      <c r="T22"/>
      <c r="U22"/>
      <c r="V22"/>
      <c r="W22"/>
      <c r="X22"/>
      <c r="Y22"/>
      <c r="Z22"/>
      <c r="AA22"/>
      <c r="AB22"/>
      <c r="AC22"/>
      <c r="AD22"/>
      <c r="AE22"/>
      <c r="AF22"/>
      <c r="AG22"/>
      <c r="AH22"/>
    </row>
    <row r="23" spans="1:34">
      <c r="A23" s="1">
        <v>34735</v>
      </c>
      <c r="B23" s="33">
        <f t="shared" si="4"/>
        <v>12</v>
      </c>
      <c r="C23" s="33">
        <f t="shared" si="5"/>
        <v>24826</v>
      </c>
      <c r="D23">
        <v>2794</v>
      </c>
      <c r="F23" s="31">
        <f t="shared" si="9"/>
        <v>0.25081838330105721</v>
      </c>
      <c r="G23" s="31">
        <f t="shared" si="10"/>
        <v>2.4108582767287112E-2</v>
      </c>
      <c r="H23" s="17">
        <f t="shared" si="0"/>
        <v>-10408.173513072417</v>
      </c>
      <c r="J23" s="35">
        <f t="shared" si="1"/>
        <v>25081.838330105722</v>
      </c>
      <c r="K23" s="35">
        <f t="shared" si="6"/>
        <v>2410.8582767287116</v>
      </c>
      <c r="L23" s="78">
        <f t="shared" si="2"/>
        <v>0.13713018012572956</v>
      </c>
      <c r="M23" s="78">
        <f>ABS((C23-J23)/C23)</f>
        <v>1.0305257798506485E-2</v>
      </c>
      <c r="N23" s="47"/>
      <c r="O23" s="35">
        <f t="shared" si="7"/>
        <v>27.599066732828426</v>
      </c>
      <c r="P23" s="74">
        <f t="shared" si="8"/>
        <v>1</v>
      </c>
      <c r="Q23" s="67">
        <v>7.6561479337680609</v>
      </c>
      <c r="R23" s="39">
        <v>0</v>
      </c>
      <c r="S23"/>
      <c r="T23"/>
      <c r="U23"/>
      <c r="V23"/>
      <c r="W23"/>
      <c r="X23"/>
      <c r="Y23"/>
      <c r="Z23"/>
      <c r="AA23"/>
      <c r="AB23"/>
      <c r="AC23"/>
      <c r="AD23"/>
      <c r="AE23"/>
      <c r="AF23"/>
      <c r="AG23"/>
      <c r="AH23"/>
    </row>
    <row r="24" spans="1:34">
      <c r="A24" s="1">
        <v>34742</v>
      </c>
      <c r="B24" s="33">
        <f t="shared" si="4"/>
        <v>13</v>
      </c>
      <c r="C24" s="33">
        <f t="shared" si="5"/>
        <v>27526</v>
      </c>
      <c r="D24">
        <v>2700</v>
      </c>
      <c r="F24" s="31">
        <f t="shared" si="9"/>
        <v>0.27482684779106292</v>
      </c>
      <c r="G24" s="31">
        <f t="shared" si="10"/>
        <v>2.400846449000571E-2</v>
      </c>
      <c r="H24" s="17">
        <f t="shared" si="0"/>
        <v>-10069.241824071243</v>
      </c>
      <c r="J24" s="35">
        <f t="shared" si="1"/>
        <v>27482.684779106294</v>
      </c>
      <c r="K24" s="35">
        <f t="shared" si="6"/>
        <v>2400.8464490005717</v>
      </c>
      <c r="L24" s="78">
        <f t="shared" si="2"/>
        <v>0.11079761148126972</v>
      </c>
      <c r="M24" s="78">
        <f>ABS((C24-J24)/C24)</f>
        <v>1.5736111637617628E-3</v>
      </c>
      <c r="N24" s="47"/>
      <c r="O24" s="35">
        <f t="shared" si="7"/>
        <v>30.711982096544553</v>
      </c>
      <c r="P24" s="74">
        <f t="shared" si="8"/>
        <v>1</v>
      </c>
      <c r="Q24" s="67">
        <v>7.5446495179912842</v>
      </c>
      <c r="R24" s="39">
        <v>0</v>
      </c>
      <c r="S24"/>
      <c r="T24"/>
      <c r="U24"/>
      <c r="V24"/>
      <c r="W24"/>
      <c r="X24"/>
      <c r="Y24"/>
      <c r="Z24"/>
      <c r="AA24"/>
      <c r="AB24"/>
      <c r="AC24"/>
      <c r="AD24"/>
      <c r="AE24"/>
      <c r="AF24"/>
      <c r="AG24"/>
      <c r="AH24"/>
    </row>
    <row r="25" spans="1:34">
      <c r="A25" s="1">
        <v>34749</v>
      </c>
      <c r="B25" s="33">
        <f t="shared" si="4"/>
        <v>14</v>
      </c>
      <c r="C25" s="33">
        <f t="shared" si="5"/>
        <v>30696</v>
      </c>
      <c r="D25">
        <v>3170</v>
      </c>
      <c r="F25" s="31">
        <f t="shared" si="9"/>
        <v>0.29866329781762779</v>
      </c>
      <c r="G25" s="31">
        <f t="shared" si="10"/>
        <v>2.383645002656487E-2</v>
      </c>
      <c r="H25" s="17">
        <f t="shared" si="0"/>
        <v>-11844.829759010088</v>
      </c>
      <c r="J25" s="35">
        <f t="shared" si="1"/>
        <v>29866.329781762779</v>
      </c>
      <c r="K25" s="35">
        <f t="shared" si="6"/>
        <v>2383.6450026564853</v>
      </c>
      <c r="L25" s="78">
        <f t="shared" si="2"/>
        <v>0.24806151335757562</v>
      </c>
      <c r="M25" s="29">
        <f t="shared" si="3"/>
        <v>2.7028610184949863E-2</v>
      </c>
      <c r="N25" s="47"/>
      <c r="O25" s="35">
        <f t="shared" si="7"/>
        <v>33.906267818975039</v>
      </c>
      <c r="P25" s="74">
        <f t="shared" si="8"/>
        <v>1</v>
      </c>
      <c r="Q25" s="67">
        <v>7.5297823270389568</v>
      </c>
      <c r="R25" s="39">
        <v>0</v>
      </c>
      <c r="S25"/>
      <c r="T25"/>
      <c r="U25"/>
      <c r="V25"/>
      <c r="W25"/>
      <c r="X25"/>
      <c r="Y25"/>
      <c r="Z25"/>
      <c r="AA25"/>
      <c r="AB25"/>
      <c r="AC25"/>
      <c r="AD25"/>
      <c r="AE25"/>
      <c r="AF25"/>
      <c r="AG25"/>
      <c r="AH25"/>
    </row>
    <row r="26" spans="1:34">
      <c r="A26" s="1">
        <v>34756</v>
      </c>
      <c r="B26" s="33">
        <f t="shared" si="4"/>
        <v>15</v>
      </c>
      <c r="C26" s="33">
        <f t="shared" si="5"/>
        <v>33263</v>
      </c>
      <c r="D26">
        <v>2567</v>
      </c>
      <c r="F26" s="31">
        <f t="shared" si="9"/>
        <v>0.32226570229391138</v>
      </c>
      <c r="G26" s="31">
        <f t="shared" si="10"/>
        <v>2.3602404476283589E-2</v>
      </c>
      <c r="H26" s="17">
        <f t="shared" si="0"/>
        <v>-9617.0259669464122</v>
      </c>
      <c r="J26" s="35">
        <f t="shared" si="1"/>
        <v>32226.570229391138</v>
      </c>
      <c r="K26" s="35">
        <f t="shared" si="6"/>
        <v>2360.2404476283591</v>
      </c>
      <c r="L26" s="78">
        <f t="shared" si="2"/>
        <v>8.0545209338387574E-2</v>
      </c>
      <c r="M26" s="29">
        <f t="shared" si="3"/>
        <v>3.1158637844116942E-2</v>
      </c>
      <c r="N26" s="47"/>
      <c r="O26" s="35">
        <f t="shared" si="7"/>
        <v>37.178006186449231</v>
      </c>
      <c r="P26" s="74">
        <f t="shared" si="8"/>
        <v>1</v>
      </c>
      <c r="Q26" s="67">
        <v>7.1244782624934242</v>
      </c>
      <c r="R26" s="39">
        <v>0</v>
      </c>
      <c r="S26"/>
      <c r="T26"/>
      <c r="U26"/>
      <c r="V26"/>
      <c r="W26"/>
      <c r="X26"/>
      <c r="Y26"/>
      <c r="Z26"/>
      <c r="AA26"/>
      <c r="AB26"/>
      <c r="AC26"/>
      <c r="AD26"/>
      <c r="AE26"/>
      <c r="AF26"/>
      <c r="AG26"/>
      <c r="AH26"/>
    </row>
    <row r="27" spans="1:34">
      <c r="A27" s="1">
        <v>34763</v>
      </c>
      <c r="B27" s="33">
        <f t="shared" si="4"/>
        <v>16</v>
      </c>
      <c r="C27" s="33">
        <f t="shared" si="5"/>
        <v>36672</v>
      </c>
      <c r="D27">
        <v>3409</v>
      </c>
      <c r="F27" s="31">
        <f t="shared" si="9"/>
        <v>0.34558053501746666</v>
      </c>
      <c r="G27" s="31">
        <f t="shared" si="10"/>
        <v>2.3314832723555279E-2</v>
      </c>
      <c r="H27" s="17">
        <f t="shared" si="0"/>
        <v>-12813.290769186351</v>
      </c>
      <c r="J27" s="35">
        <f t="shared" si="1"/>
        <v>34558.053501746668</v>
      </c>
      <c r="K27" s="35">
        <f t="shared" si="6"/>
        <v>2331.4832723555301</v>
      </c>
      <c r="L27" s="78">
        <f t="shared" si="2"/>
        <v>0.31608000224243765</v>
      </c>
      <c r="M27" s="29">
        <f t="shared" si="3"/>
        <v>5.7644701632126191E-2</v>
      </c>
      <c r="N27" s="47"/>
      <c r="O27" s="35">
        <f t="shared" si="7"/>
        <v>40.523720325270993</v>
      </c>
      <c r="P27" s="74">
        <f t="shared" si="8"/>
        <v>1</v>
      </c>
      <c r="Q27" s="67">
        <v>6.62685019080938</v>
      </c>
      <c r="R27" s="39">
        <v>0</v>
      </c>
      <c r="S27"/>
      <c r="T27"/>
      <c r="U27"/>
      <c r="V27"/>
      <c r="W27"/>
      <c r="X27"/>
      <c r="Y27"/>
      <c r="Z27"/>
      <c r="AA27"/>
      <c r="AB27"/>
      <c r="AC27"/>
      <c r="AD27"/>
      <c r="AE27"/>
      <c r="AF27"/>
      <c r="AG27"/>
      <c r="AH27"/>
    </row>
    <row r="28" spans="1:34">
      <c r="A28" s="1">
        <v>34770</v>
      </c>
      <c r="B28" s="33">
        <f t="shared" si="4"/>
        <v>17</v>
      </c>
      <c r="C28" s="33">
        <f t="shared" si="5"/>
        <v>39742</v>
      </c>
      <c r="D28">
        <v>3070</v>
      </c>
      <c r="F28" s="31">
        <f t="shared" si="9"/>
        <v>0.36856168091129171</v>
      </c>
      <c r="G28" s="31">
        <f t="shared" si="10"/>
        <v>2.298114589382505E-2</v>
      </c>
      <c r="H28" s="17">
        <f t="shared" si="0"/>
        <v>-11583.359108928214</v>
      </c>
      <c r="J28" s="35">
        <f t="shared" si="1"/>
        <v>36856.16809112917</v>
      </c>
      <c r="K28" s="35">
        <f t="shared" si="6"/>
        <v>2298.1145893825014</v>
      </c>
      <c r="L28" s="78">
        <f t="shared" si="2"/>
        <v>0.2514284725138432</v>
      </c>
      <c r="M28" s="29">
        <f t="shared" si="3"/>
        <v>7.2614159047627955E-2</v>
      </c>
      <c r="N28" s="47"/>
      <c r="O28" s="35">
        <f t="shared" si="7"/>
        <v>43.940299769008568</v>
      </c>
      <c r="P28" s="74">
        <f t="shared" si="8"/>
        <v>1</v>
      </c>
      <c r="Q28" s="67">
        <v>6.3473892096560105</v>
      </c>
      <c r="R28" s="39">
        <v>0</v>
      </c>
      <c r="S28"/>
      <c r="T28"/>
      <c r="U28"/>
      <c r="V28"/>
      <c r="W28"/>
      <c r="X28"/>
      <c r="Y28"/>
      <c r="Z28"/>
      <c r="AA28"/>
      <c r="AB28"/>
      <c r="AC28"/>
      <c r="AD28"/>
      <c r="AE28"/>
      <c r="AF28"/>
      <c r="AG28"/>
      <c r="AH28"/>
    </row>
    <row r="29" spans="1:34" customFormat="1">
      <c r="A29" s="80">
        <v>34777</v>
      </c>
      <c r="B29" s="49">
        <f t="shared" si="4"/>
        <v>18</v>
      </c>
      <c r="C29" s="49">
        <f t="shared" si="5"/>
        <v>42924</v>
      </c>
      <c r="D29" s="79">
        <v>3182</v>
      </c>
      <c r="E29" s="46"/>
      <c r="F29" s="51">
        <f t="shared" si="9"/>
        <v>0.3911695381024165</v>
      </c>
      <c r="G29" s="51">
        <f t="shared" si="10"/>
        <v>2.2607857191124792E-2</v>
      </c>
      <c r="H29" s="52">
        <f t="shared" si="0"/>
        <v>-12058.054623505766</v>
      </c>
      <c r="I29" s="46"/>
      <c r="J29" s="47">
        <f t="shared" si="1"/>
        <v>39116.953810241648</v>
      </c>
      <c r="K29" s="47">
        <f t="shared" si="6"/>
        <v>2260.7857191124785</v>
      </c>
      <c r="L29" s="71">
        <f t="shared" si="2"/>
        <v>0.28950794496779431</v>
      </c>
      <c r="M29" s="71">
        <f t="shared" si="3"/>
        <v>8.8692717122317397E-2</v>
      </c>
      <c r="N29" s="47"/>
      <c r="O29" s="47">
        <f t="shared" si="7"/>
        <v>47.424942290659509</v>
      </c>
      <c r="P29" s="74">
        <f t="shared" si="8"/>
        <v>1</v>
      </c>
      <c r="Q29" s="73">
        <v>6.1544333753861213</v>
      </c>
      <c r="R29" s="73">
        <v>0</v>
      </c>
    </row>
    <row r="30" spans="1:34">
      <c r="A30" s="1">
        <v>34784</v>
      </c>
      <c r="B30" s="33">
        <f t="shared" si="4"/>
        <v>19</v>
      </c>
      <c r="C30" s="33">
        <f t="shared" si="5"/>
        <v>45630</v>
      </c>
      <c r="D30">
        <v>2706</v>
      </c>
      <c r="E30" s="17"/>
      <c r="F30" s="31">
        <f t="shared" si="9"/>
        <v>0.41337026746516103</v>
      </c>
      <c r="G30" s="31">
        <f t="shared" si="10"/>
        <v>2.2200729362744531E-2</v>
      </c>
      <c r="H30" s="52">
        <f t="shared" si="0"/>
        <v>-10303.447149276748</v>
      </c>
      <c r="J30" s="35">
        <f t="shared" si="1"/>
        <v>41337.026746516101</v>
      </c>
      <c r="K30" s="35">
        <f t="shared" si="6"/>
        <v>2220.0729362744532</v>
      </c>
      <c r="L30" s="78">
        <f t="shared" si="2"/>
        <v>0.17957393337972904</v>
      </c>
      <c r="M30" s="78">
        <f t="shared" si="3"/>
        <v>9.4082254075912752E-2</v>
      </c>
      <c r="N30" s="47"/>
      <c r="O30" s="35">
        <f>O29+(B30^$B$2-B29^$B$2)*P30</f>
        <v>50.975107727662277</v>
      </c>
      <c r="P30" s="74">
        <f t="shared" si="8"/>
        <v>1</v>
      </c>
      <c r="Q30" s="67">
        <v>6.4022488166937466</v>
      </c>
      <c r="R30" s="39">
        <v>0</v>
      </c>
      <c r="S30"/>
      <c r="T30"/>
      <c r="U30"/>
      <c r="V30"/>
      <c r="W30"/>
      <c r="X30"/>
      <c r="Y30"/>
      <c r="Z30"/>
      <c r="AA30"/>
      <c r="AB30"/>
      <c r="AC30"/>
      <c r="AD30"/>
      <c r="AE30"/>
      <c r="AF30"/>
      <c r="AG30"/>
      <c r="AH30"/>
    </row>
    <row r="31" spans="1:34">
      <c r="A31" s="1">
        <v>34791</v>
      </c>
      <c r="B31" s="33">
        <f t="shared" si="4"/>
        <v>20</v>
      </c>
      <c r="C31" s="33">
        <f t="shared" si="5"/>
        <v>47520</v>
      </c>
      <c r="D31">
        <v>1890</v>
      </c>
      <c r="E31" s="17"/>
      <c r="F31" s="31">
        <f t="shared" si="9"/>
        <v>0.43513515565100958</v>
      </c>
      <c r="G31" s="31">
        <f t="shared" si="10"/>
        <v>2.1764888185848541E-2</v>
      </c>
      <c r="H31" s="52">
        <f t="shared" si="0"/>
        <v>-7233.8941861110688</v>
      </c>
      <c r="J31" s="35">
        <f t="shared" si="1"/>
        <v>43513.515565100955</v>
      </c>
      <c r="K31" s="35">
        <f t="shared" si="6"/>
        <v>2176.488818584854</v>
      </c>
      <c r="L31" s="78">
        <f t="shared" si="2"/>
        <v>0.15158138549463177</v>
      </c>
      <c r="M31" s="78">
        <f t="shared" si="3"/>
        <v>8.431154113844791E-2</v>
      </c>
      <c r="N31" s="47"/>
      <c r="O31" s="35">
        <f t="shared" si="7"/>
        <v>54.588480818404257</v>
      </c>
      <c r="P31" s="74">
        <f t="shared" si="8"/>
        <v>1</v>
      </c>
      <c r="Q31" s="67">
        <v>6.2597726503765658</v>
      </c>
      <c r="R31" s="39">
        <v>0</v>
      </c>
      <c r="S31"/>
      <c r="T31"/>
      <c r="U31"/>
      <c r="V31"/>
      <c r="W31"/>
      <c r="X31"/>
      <c r="Y31"/>
      <c r="Z31"/>
      <c r="AA31"/>
      <c r="AB31"/>
      <c r="AC31"/>
      <c r="AD31"/>
      <c r="AE31"/>
      <c r="AF31"/>
      <c r="AG31"/>
      <c r="AH31"/>
    </row>
    <row r="32" spans="1:34">
      <c r="A32" s="1">
        <v>34798</v>
      </c>
      <c r="B32" s="33">
        <f t="shared" si="4"/>
        <v>21</v>
      </c>
      <c r="C32" s="33">
        <f t="shared" si="5"/>
        <v>49143</v>
      </c>
      <c r="D32">
        <v>1623</v>
      </c>
      <c r="E32" s="17"/>
      <c r="F32" s="31">
        <f t="shared" si="9"/>
        <v>0.4564400672018385</v>
      </c>
      <c r="G32" s="31">
        <f t="shared" si="10"/>
        <v>2.130491155082892E-2</v>
      </c>
      <c r="H32" s="52">
        <f t="shared" si="0"/>
        <v>-6246.6310355750957</v>
      </c>
      <c r="J32" s="35">
        <f t="shared" si="1"/>
        <v>45644.006720183846</v>
      </c>
      <c r="K32" s="35">
        <f t="shared" si="6"/>
        <v>2130.4911550828911</v>
      </c>
      <c r="L32" s="78">
        <f t="shared" si="2"/>
        <v>0.3126870949370863</v>
      </c>
      <c r="M32" s="78">
        <f t="shared" si="3"/>
        <v>7.1200237669986635E-2</v>
      </c>
      <c r="N32" s="47"/>
      <c r="O32" s="35">
        <f t="shared" si="7"/>
        <v>58.262940923790616</v>
      </c>
      <c r="P32" s="74">
        <f t="shared" si="8"/>
        <v>1</v>
      </c>
      <c r="Q32" s="67">
        <v>5.9464671811772458</v>
      </c>
      <c r="R32" s="39">
        <v>0</v>
      </c>
      <c r="S32"/>
      <c r="T32"/>
      <c r="U32"/>
      <c r="V32"/>
      <c r="W32"/>
      <c r="X32"/>
      <c r="Y32"/>
      <c r="Z32"/>
      <c r="AA32"/>
      <c r="AB32"/>
      <c r="AC32"/>
      <c r="AD32"/>
      <c r="AE32"/>
      <c r="AF32"/>
      <c r="AG32"/>
      <c r="AH32"/>
    </row>
    <row r="33" spans="1:34">
      <c r="A33" s="1">
        <v>34805</v>
      </c>
      <c r="B33" s="33">
        <f t="shared" si="4"/>
        <v>22</v>
      </c>
      <c r="C33" s="33">
        <f t="shared" si="5"/>
        <v>50730</v>
      </c>
      <c r="D33">
        <v>1587</v>
      </c>
      <c r="E33" s="17"/>
      <c r="F33" s="31">
        <f t="shared" si="9"/>
        <v>0.47726496786765149</v>
      </c>
      <c r="G33" s="31">
        <f t="shared" si="10"/>
        <v>2.0824900665812995E-2</v>
      </c>
      <c r="H33" s="52">
        <f t="shared" si="0"/>
        <v>-6144.2385012317363</v>
      </c>
      <c r="J33" s="35">
        <f t="shared" si="1"/>
        <v>47726.49678676515</v>
      </c>
      <c r="K33" s="35">
        <f t="shared" si="6"/>
        <v>2082.4900665813038</v>
      </c>
      <c r="L33" s="78">
        <f t="shared" si="2"/>
        <v>0.3122180633782633</v>
      </c>
      <c r="M33" s="78">
        <f t="shared" si="3"/>
        <v>5.9205661605260196E-2</v>
      </c>
      <c r="N33" s="47"/>
      <c r="O33" s="35">
        <f t="shared" si="7"/>
        <v>61.996537087697099</v>
      </c>
      <c r="P33" s="74">
        <f t="shared" si="8"/>
        <v>1</v>
      </c>
      <c r="Q33" s="67">
        <v>5.6722918075648305</v>
      </c>
      <c r="R33" s="39">
        <v>0</v>
      </c>
      <c r="S33"/>
      <c r="T33"/>
      <c r="U33"/>
      <c r="V33"/>
      <c r="W33"/>
      <c r="X33"/>
      <c r="Y33"/>
      <c r="Z33"/>
      <c r="AA33"/>
      <c r="AB33"/>
      <c r="AC33"/>
      <c r="AD33"/>
      <c r="AE33"/>
      <c r="AF33"/>
      <c r="AG33"/>
      <c r="AH33"/>
    </row>
    <row r="34" spans="1:34">
      <c r="A34" s="1">
        <v>34812</v>
      </c>
      <c r="B34" s="33">
        <f t="shared" si="4"/>
        <v>23</v>
      </c>
      <c r="C34" s="33">
        <f t="shared" si="5"/>
        <v>52237</v>
      </c>
      <c r="D34">
        <v>1507</v>
      </c>
      <c r="E34" s="17"/>
      <c r="F34" s="31">
        <f t="shared" si="9"/>
        <v>0.49759350579184802</v>
      </c>
      <c r="G34" s="31">
        <f t="shared" si="10"/>
        <v>2.0328537924196532E-2</v>
      </c>
      <c r="H34" s="52">
        <f t="shared" si="0"/>
        <v>-5870.8644636252848</v>
      </c>
      <c r="J34" s="35">
        <f t="shared" si="1"/>
        <v>49759.3505791848</v>
      </c>
      <c r="K34" s="35">
        <f t="shared" si="6"/>
        <v>2032.8537924196498</v>
      </c>
      <c r="L34" s="78">
        <f t="shared" si="2"/>
        <v>0.34894080452531506</v>
      </c>
      <c r="M34" s="78">
        <f>ABS((C34-J34)/C34)</f>
        <v>4.7430928667710627E-2</v>
      </c>
      <c r="N34" s="47"/>
      <c r="O34" s="35">
        <f t="shared" si="7"/>
        <v>65.78746729258809</v>
      </c>
      <c r="P34" s="74">
        <f t="shared" si="8"/>
        <v>1</v>
      </c>
      <c r="Q34" s="67">
        <v>5.7767230990579161</v>
      </c>
      <c r="R34" s="39">
        <v>0</v>
      </c>
      <c r="S34"/>
      <c r="T34"/>
      <c r="U34"/>
      <c r="V34"/>
      <c r="W34"/>
      <c r="X34"/>
      <c r="Y34"/>
      <c r="Z34"/>
      <c r="AA34"/>
      <c r="AB34"/>
      <c r="AC34"/>
      <c r="AD34"/>
      <c r="AE34"/>
      <c r="AF34"/>
      <c r="AG34"/>
      <c r="AH34"/>
    </row>
    <row r="35" spans="1:34">
      <c r="A35" s="1">
        <v>34819</v>
      </c>
      <c r="B35" s="33">
        <f t="shared" si="4"/>
        <v>24</v>
      </c>
      <c r="C35" s="33">
        <f t="shared" si="5"/>
        <v>53537</v>
      </c>
      <c r="D35">
        <v>1300</v>
      </c>
      <c r="E35" s="17"/>
      <c r="F35" s="31">
        <f t="shared" si="9"/>
        <v>0.51741264044955204</v>
      </c>
      <c r="G35" s="31">
        <f t="shared" si="10"/>
        <v>1.9819134657704018E-2</v>
      </c>
      <c r="H35" s="52">
        <f t="shared" si="0"/>
        <v>-5097.4396344153356</v>
      </c>
      <c r="J35" s="35">
        <f t="shared" si="1"/>
        <v>51741.264044955205</v>
      </c>
      <c r="K35" s="35">
        <f t="shared" si="6"/>
        <v>1981.9134657704053</v>
      </c>
      <c r="L35" s="78">
        <f t="shared" si="2"/>
        <v>0.52454881982338875</v>
      </c>
      <c r="M35" s="70">
        <f t="shared" si="3"/>
        <v>3.3541960794306637E-2</v>
      </c>
      <c r="N35" s="47"/>
      <c r="O35" s="35">
        <f t="shared" si="7"/>
        <v>69.634061051159662</v>
      </c>
      <c r="P35" s="74">
        <f t="shared" si="8"/>
        <v>1</v>
      </c>
      <c r="Q35" s="67">
        <v>5.6493262888601423</v>
      </c>
      <c r="R35" s="39">
        <v>0</v>
      </c>
      <c r="S35"/>
      <c r="T35" s="6" t="s">
        <v>30</v>
      </c>
      <c r="U35"/>
      <c r="V35"/>
      <c r="W35"/>
      <c r="X35"/>
      <c r="AH35" s="5"/>
    </row>
    <row r="36" spans="1:34">
      <c r="A36" s="1">
        <v>34826</v>
      </c>
      <c r="B36" s="33">
        <f t="shared" si="4"/>
        <v>25</v>
      </c>
      <c r="C36" s="33">
        <f t="shared" si="5"/>
        <v>54664</v>
      </c>
      <c r="D36">
        <v>1127</v>
      </c>
      <c r="E36" s="17"/>
      <c r="F36" s="31">
        <f t="shared" si="9"/>
        <v>0.53671231155031174</v>
      </c>
      <c r="G36" s="31">
        <f t="shared" si="10"/>
        <v>1.9299671100759697E-2</v>
      </c>
      <c r="H36" s="52">
        <f t="shared" si="0"/>
        <v>-4449.0209621556642</v>
      </c>
      <c r="J36" s="35">
        <f t="shared" si="1"/>
        <v>53671.231155031172</v>
      </c>
      <c r="K36" s="35">
        <f t="shared" si="6"/>
        <v>1929.967110075966</v>
      </c>
      <c r="L36" s="78">
        <f t="shared" si="2"/>
        <v>0.71248190778701515</v>
      </c>
      <c r="M36" s="70">
        <f t="shared" si="3"/>
        <v>1.8161291617313561E-2</v>
      </c>
      <c r="N36" s="47"/>
      <c r="O36" s="35">
        <f t="shared" si="7"/>
        <v>73.534764679613886</v>
      </c>
      <c r="P36" s="74">
        <f t="shared" si="8"/>
        <v>1</v>
      </c>
      <c r="Q36" s="67">
        <v>5.8171111599632042</v>
      </c>
      <c r="R36" s="39">
        <v>0</v>
      </c>
      <c r="S36"/>
      <c r="T36" s="6" t="s">
        <v>31</v>
      </c>
      <c r="U36"/>
      <c r="V36"/>
      <c r="W36"/>
      <c r="X36"/>
      <c r="AH36" s="5"/>
    </row>
    <row r="37" spans="1:34">
      <c r="A37" s="1">
        <v>34833</v>
      </c>
      <c r="B37" s="33">
        <f t="shared" si="4"/>
        <v>26</v>
      </c>
      <c r="C37" s="33">
        <f t="shared" si="5"/>
        <v>55661</v>
      </c>
      <c r="D37">
        <v>997</v>
      </c>
      <c r="E37" s="17"/>
      <c r="F37" s="31">
        <f t="shared" si="9"/>
        <v>0.55548514182122277</v>
      </c>
      <c r="G37" s="31">
        <f t="shared" si="10"/>
        <v>1.8772830270911034E-2</v>
      </c>
      <c r="H37" s="52">
        <f t="shared" si="0"/>
        <v>-3963.4186188499862</v>
      </c>
      <c r="J37" s="35">
        <f t="shared" si="1"/>
        <v>55548.514182122279</v>
      </c>
      <c r="K37" s="35">
        <f t="shared" si="6"/>
        <v>1877.2830270911072</v>
      </c>
      <c r="L37" s="78">
        <f t="shared" si="2"/>
        <v>0.88293182255878355</v>
      </c>
      <c r="M37" s="70">
        <f t="shared" si="3"/>
        <v>2.0209090364478048E-3</v>
      </c>
      <c r="N37" s="47"/>
      <c r="O37" s="35">
        <f t="shared" si="7"/>
        <v>77.488128747813548</v>
      </c>
      <c r="P37" s="74">
        <f t="shared" si="8"/>
        <v>1</v>
      </c>
      <c r="Q37" s="67">
        <v>5.7313976416891741</v>
      </c>
      <c r="R37" s="39">
        <v>0</v>
      </c>
      <c r="S37"/>
      <c r="T37" s="6" t="s">
        <v>32</v>
      </c>
      <c r="U37"/>
      <c r="V37"/>
      <c r="W37"/>
      <c r="X37"/>
      <c r="AH37" s="5"/>
    </row>
    <row r="38" spans="1:34">
      <c r="A38" s="1">
        <v>34840</v>
      </c>
      <c r="B38" s="33">
        <f t="shared" si="4"/>
        <v>27</v>
      </c>
      <c r="C38" s="33">
        <f t="shared" si="5"/>
        <v>56495</v>
      </c>
      <c r="D38">
        <v>834</v>
      </c>
      <c r="E38" s="17"/>
      <c r="F38" s="31">
        <f t="shared" si="9"/>
        <v>0.57372616885368755</v>
      </c>
      <c r="G38" s="31">
        <f t="shared" si="10"/>
        <v>1.8241027032464774E-2</v>
      </c>
      <c r="H38" s="52">
        <f t="shared" si="0"/>
        <v>-3339.4043790901114</v>
      </c>
      <c r="J38" s="35">
        <f t="shared" si="1"/>
        <v>57372.616885368756</v>
      </c>
      <c r="K38" s="35">
        <f t="shared" si="6"/>
        <v>1824.1027032464772</v>
      </c>
      <c r="L38" s="78">
        <f t="shared" si="2"/>
        <v>1.1871735050916992</v>
      </c>
      <c r="M38" s="70">
        <f t="shared" si="3"/>
        <v>1.5534416946079403E-2</v>
      </c>
      <c r="N38" s="47"/>
      <c r="O38" s="35">
        <f t="shared" si="7"/>
        <v>81.492797312494176</v>
      </c>
      <c r="P38" s="74">
        <f t="shared" si="8"/>
        <v>1</v>
      </c>
      <c r="Q38" s="67">
        <v>4.8918517581062888</v>
      </c>
      <c r="R38" s="39">
        <v>0</v>
      </c>
      <c r="S38"/>
      <c r="T38"/>
      <c r="U38"/>
      <c r="V38"/>
      <c r="W38"/>
      <c r="X38"/>
      <c r="AH38" s="5"/>
    </row>
    <row r="39" spans="1:34">
      <c r="A39" s="4"/>
      <c r="B39" s="4"/>
      <c r="C39" s="4"/>
      <c r="H39" s="17">
        <f>(B5-SUM(D12:D38))*IFERROR(LN(1-F38),-10000)</f>
        <v>-37095.553791548016</v>
      </c>
    </row>
    <row r="40" spans="1:34">
      <c r="A40" s="4"/>
      <c r="B40" s="4"/>
      <c r="C40" s="4"/>
    </row>
    <row r="41" spans="1:34">
      <c r="A41" s="4"/>
      <c r="B41" s="4" t="s">
        <v>119</v>
      </c>
      <c r="C41" s="4"/>
      <c r="H41"/>
      <c r="I41"/>
      <c r="J41"/>
      <c r="K41"/>
      <c r="L41"/>
      <c r="M41"/>
      <c r="N41"/>
      <c r="O41"/>
      <c r="P41"/>
      <c r="Q41"/>
      <c r="R41"/>
      <c r="S41"/>
      <c r="T41"/>
      <c r="U41"/>
      <c r="V41"/>
      <c r="W41"/>
      <c r="X41"/>
    </row>
    <row r="42" spans="1:34">
      <c r="A42" s="4"/>
      <c r="B42" s="4"/>
      <c r="C42" s="4"/>
      <c r="E42" s="7"/>
      <c r="F42" s="7"/>
      <c r="G42" s="7"/>
      <c r="H42"/>
      <c r="I42"/>
      <c r="J42"/>
      <c r="K42"/>
      <c r="L42"/>
      <c r="M42"/>
      <c r="N42"/>
      <c r="O42"/>
      <c r="P42"/>
      <c r="Q42"/>
      <c r="R42"/>
      <c r="S42"/>
      <c r="T42"/>
      <c r="U42"/>
      <c r="V42"/>
      <c r="W42"/>
      <c r="X42"/>
    </row>
    <row r="43" spans="1:34">
      <c r="A43" s="4"/>
      <c r="B43" s="69" t="s">
        <v>127</v>
      </c>
      <c r="C43" s="69"/>
      <c r="E43" s="7"/>
      <c r="F43" s="7"/>
      <c r="G43" s="7"/>
      <c r="H43"/>
      <c r="I43"/>
      <c r="J43"/>
      <c r="K43"/>
      <c r="L43"/>
      <c r="M43"/>
      <c r="N43"/>
      <c r="O43"/>
      <c r="P43"/>
      <c r="Q43"/>
      <c r="R43"/>
      <c r="S43"/>
      <c r="T43"/>
      <c r="U43"/>
      <c r="V43"/>
      <c r="W43"/>
      <c r="X43"/>
    </row>
    <row r="44" spans="1:34">
      <c r="A44" s="4"/>
      <c r="B44" s="69" t="s">
        <v>136</v>
      </c>
      <c r="C44" s="4"/>
      <c r="E44" s="7"/>
      <c r="F44" s="7"/>
      <c r="G44" s="7"/>
      <c r="H44"/>
      <c r="I44"/>
      <c r="J44"/>
      <c r="K44"/>
      <c r="L44"/>
      <c r="M44"/>
      <c r="N44"/>
      <c r="O44"/>
      <c r="P44"/>
      <c r="Q44"/>
      <c r="R44"/>
      <c r="S44"/>
      <c r="T44"/>
      <c r="U44"/>
      <c r="V44"/>
      <c r="W44"/>
      <c r="X44"/>
    </row>
    <row r="45" spans="1:34">
      <c r="A45" s="4"/>
      <c r="B45" s="69" t="s">
        <v>135</v>
      </c>
      <c r="C45" s="4"/>
      <c r="H45"/>
      <c r="I45"/>
      <c r="J45"/>
      <c r="K45"/>
      <c r="L45"/>
      <c r="M45"/>
      <c r="N45"/>
      <c r="O45"/>
      <c r="P45"/>
      <c r="Q45"/>
      <c r="R45"/>
      <c r="S45"/>
      <c r="T45"/>
      <c r="U45"/>
      <c r="V45"/>
      <c r="W45"/>
      <c r="X45"/>
    </row>
    <row r="46" spans="1:34">
      <c r="A46" s="4"/>
      <c r="B46" s="4"/>
      <c r="C46" s="4"/>
      <c r="E46" s="7"/>
      <c r="F46" s="7"/>
      <c r="G46" s="7"/>
      <c r="H46"/>
      <c r="I46"/>
      <c r="J46"/>
      <c r="K46"/>
      <c r="L46"/>
      <c r="M46"/>
      <c r="N46"/>
      <c r="O46"/>
      <c r="P46"/>
      <c r="Q46"/>
      <c r="R46"/>
      <c r="S46"/>
      <c r="T46"/>
      <c r="U46"/>
      <c r="V46"/>
      <c r="W46"/>
      <c r="X46"/>
    </row>
    <row r="47" spans="1:34">
      <c r="A47" s="4"/>
      <c r="B47" s="68" t="s">
        <v>137</v>
      </c>
      <c r="C47" s="4"/>
      <c r="E47" s="20"/>
      <c r="F47" s="20"/>
      <c r="G47" s="20"/>
      <c r="H47"/>
      <c r="I47"/>
      <c r="J47"/>
      <c r="K47"/>
      <c r="L47"/>
      <c r="M47"/>
      <c r="N47"/>
      <c r="O47"/>
      <c r="P47"/>
      <c r="Q47"/>
      <c r="R47"/>
      <c r="S47"/>
      <c r="T47"/>
      <c r="U47"/>
      <c r="V47"/>
      <c r="W47"/>
      <c r="X47"/>
    </row>
    <row r="48" spans="1:34">
      <c r="A48" s="4"/>
      <c r="C48" s="4"/>
      <c r="H48"/>
      <c r="I48"/>
      <c r="J48"/>
      <c r="K48"/>
      <c r="L48"/>
      <c r="M48"/>
      <c r="N48"/>
      <c r="O48"/>
      <c r="P48"/>
      <c r="Q48"/>
      <c r="R48"/>
      <c r="S48"/>
      <c r="T48"/>
      <c r="U48"/>
      <c r="V48"/>
      <c r="W48"/>
      <c r="X48"/>
    </row>
    <row r="49" spans="1:24">
      <c r="A49" s="4"/>
      <c r="B49" s="4"/>
      <c r="C49" s="4"/>
      <c r="H49"/>
      <c r="I49"/>
      <c r="J49"/>
      <c r="K49"/>
      <c r="L49"/>
      <c r="M49"/>
      <c r="N49"/>
      <c r="O49"/>
      <c r="P49"/>
      <c r="Q49"/>
      <c r="R49"/>
      <c r="S49"/>
      <c r="T49"/>
      <c r="U49"/>
      <c r="V49"/>
      <c r="W49"/>
      <c r="X49"/>
    </row>
    <row r="50" spans="1:24">
      <c r="A50" s="4"/>
      <c r="B50" s="4"/>
      <c r="C50" s="4"/>
      <c r="H50"/>
      <c r="I50"/>
      <c r="J50"/>
      <c r="K50"/>
      <c r="L50"/>
      <c r="M50"/>
      <c r="N50"/>
      <c r="O50"/>
      <c r="P50"/>
      <c r="Q50"/>
      <c r="R50"/>
      <c r="S50"/>
      <c r="T50"/>
      <c r="U50"/>
      <c r="V50"/>
      <c r="W50"/>
      <c r="X50"/>
    </row>
    <row r="51" spans="1:24">
      <c r="A51" s="4"/>
      <c r="C51" s="4"/>
      <c r="D51" s="9"/>
      <c r="H51"/>
      <c r="I51"/>
      <c r="J51"/>
      <c r="K51"/>
      <c r="L51"/>
      <c r="M51"/>
      <c r="N51"/>
      <c r="O51"/>
      <c r="P51"/>
      <c r="Q51"/>
      <c r="R51"/>
      <c r="S51"/>
      <c r="T51"/>
      <c r="U51"/>
      <c r="V51"/>
      <c r="W51"/>
      <c r="X51"/>
    </row>
    <row r="52" spans="1:24">
      <c r="A52" s="4"/>
      <c r="B52" s="4"/>
      <c r="C52" s="4"/>
      <c r="H52"/>
      <c r="I52"/>
      <c r="J52"/>
      <c r="K52"/>
      <c r="L52"/>
      <c r="M52"/>
      <c r="N52"/>
      <c r="O52"/>
      <c r="P52"/>
      <c r="Q52"/>
      <c r="R52"/>
      <c r="S52"/>
      <c r="T52"/>
      <c r="U52"/>
      <c r="V52"/>
      <c r="W52"/>
      <c r="X52"/>
    </row>
    <row r="53" spans="1:24">
      <c r="A53" s="4"/>
      <c r="B53" s="4"/>
      <c r="C53" s="4"/>
      <c r="H53"/>
      <c r="I53"/>
      <c r="J53"/>
      <c r="K53"/>
      <c r="L53"/>
      <c r="M53"/>
      <c r="N53"/>
      <c r="O53"/>
      <c r="P53"/>
      <c r="Q53"/>
      <c r="R53"/>
      <c r="S53"/>
      <c r="T53"/>
      <c r="U53"/>
      <c r="V53"/>
      <c r="W53"/>
      <c r="X53"/>
    </row>
    <row r="54" spans="1:24" ht="14.25">
      <c r="A54" s="4"/>
      <c r="B54" s="4"/>
      <c r="C54" s="4"/>
      <c r="D54" s="9"/>
      <c r="E54" s="10"/>
      <c r="F54" s="10"/>
      <c r="G54" s="10"/>
      <c r="H54"/>
      <c r="I54"/>
      <c r="J54"/>
      <c r="K54"/>
      <c r="L54"/>
      <c r="M54"/>
      <c r="N54"/>
      <c r="O54"/>
      <c r="P54"/>
      <c r="Q54"/>
      <c r="R54"/>
      <c r="S54"/>
      <c r="T54"/>
      <c r="U54"/>
      <c r="V54"/>
      <c r="W54"/>
      <c r="X54"/>
    </row>
    <row r="55" spans="1:24">
      <c r="A55" s="4"/>
      <c r="B55" s="4"/>
      <c r="C55" s="4"/>
      <c r="D55" s="3"/>
      <c r="H55"/>
      <c r="I55"/>
      <c r="J55"/>
      <c r="K55"/>
      <c r="L55"/>
      <c r="M55"/>
      <c r="N55"/>
      <c r="O55"/>
      <c r="P55"/>
      <c r="Q55"/>
      <c r="R55"/>
      <c r="S55"/>
      <c r="T55"/>
      <c r="U55"/>
      <c r="V55"/>
      <c r="W55"/>
      <c r="X55"/>
    </row>
    <row r="56" spans="1:24">
      <c r="A56" s="4"/>
      <c r="B56" s="4"/>
      <c r="C56" s="4"/>
      <c r="E56" s="7"/>
      <c r="F56" s="7"/>
      <c r="G56" s="7"/>
      <c r="H56"/>
      <c r="I56"/>
      <c r="J56"/>
      <c r="K56"/>
      <c r="L56"/>
      <c r="M56"/>
      <c r="N56"/>
      <c r="O56"/>
      <c r="P56"/>
      <c r="Q56"/>
      <c r="R56"/>
      <c r="S56"/>
      <c r="T56"/>
      <c r="U56"/>
      <c r="V56"/>
      <c r="W56"/>
      <c r="X56"/>
    </row>
    <row r="57" spans="1:24">
      <c r="A57" s="4"/>
      <c r="B57" s="4"/>
      <c r="C57" s="4"/>
      <c r="E57" s="14"/>
      <c r="F57" s="14"/>
      <c r="G57" s="14"/>
      <c r="H57"/>
      <c r="I57"/>
      <c r="J57"/>
      <c r="K57"/>
      <c r="L57"/>
      <c r="M57"/>
      <c r="N57"/>
      <c r="O57"/>
      <c r="P57"/>
      <c r="Q57"/>
      <c r="R57"/>
      <c r="S57"/>
      <c r="T57"/>
      <c r="U57"/>
      <c r="V57"/>
      <c r="W57"/>
      <c r="X57"/>
    </row>
    <row r="58" spans="1:24">
      <c r="H58"/>
      <c r="I58"/>
      <c r="J58"/>
      <c r="K58"/>
      <c r="L58"/>
      <c r="M58"/>
      <c r="N58"/>
      <c r="O58"/>
      <c r="P58"/>
      <c r="Q58"/>
      <c r="R58"/>
      <c r="S58"/>
      <c r="T58"/>
      <c r="U58"/>
      <c r="V58"/>
      <c r="W58"/>
      <c r="X58"/>
    </row>
    <row r="59" spans="1:24">
      <c r="E59" s="7"/>
      <c r="F59" s="7"/>
      <c r="G59" s="7"/>
      <c r="H59"/>
      <c r="I59"/>
      <c r="J59"/>
      <c r="K59"/>
      <c r="L59"/>
      <c r="M59"/>
      <c r="N59"/>
      <c r="O59"/>
      <c r="P59"/>
      <c r="Q59"/>
      <c r="R59"/>
      <c r="S59"/>
      <c r="T59"/>
      <c r="U59"/>
      <c r="V59"/>
      <c r="W59"/>
      <c r="X59"/>
    </row>
    <row r="60" spans="1:24">
      <c r="H60"/>
      <c r="I60"/>
      <c r="J60"/>
      <c r="K60"/>
      <c r="L60"/>
      <c r="M60"/>
      <c r="N60"/>
      <c r="O60"/>
      <c r="P60"/>
      <c r="Q60"/>
      <c r="R60"/>
      <c r="S60"/>
      <c r="T60"/>
      <c r="U60"/>
      <c r="V60"/>
      <c r="W60"/>
      <c r="X60"/>
    </row>
    <row r="61" spans="1:24">
      <c r="H61"/>
      <c r="I61"/>
      <c r="J61"/>
      <c r="K61"/>
      <c r="L61"/>
      <c r="M61"/>
      <c r="N61"/>
      <c r="O61"/>
      <c r="P61"/>
      <c r="Q61"/>
      <c r="R61"/>
      <c r="S61"/>
      <c r="T61"/>
      <c r="U61"/>
      <c r="V61"/>
      <c r="W61"/>
      <c r="X61"/>
    </row>
    <row r="62" spans="1:24" ht="15">
      <c r="E62" s="18"/>
      <c r="F62" s="18"/>
      <c r="G62" s="18"/>
      <c r="H62"/>
      <c r="I62"/>
      <c r="J62"/>
      <c r="K62"/>
      <c r="L62"/>
      <c r="M62"/>
      <c r="N62"/>
      <c r="O62"/>
      <c r="P62"/>
      <c r="Q62"/>
      <c r="R62"/>
      <c r="S62"/>
      <c r="T62"/>
      <c r="U62"/>
      <c r="V62"/>
      <c r="W62"/>
      <c r="X62"/>
    </row>
    <row r="63" spans="1:24">
      <c r="H63"/>
      <c r="I63"/>
      <c r="J63"/>
      <c r="K63"/>
      <c r="L63"/>
      <c r="M63"/>
      <c r="N63"/>
      <c r="O63"/>
      <c r="P63"/>
      <c r="Q63"/>
      <c r="R63"/>
      <c r="S63"/>
      <c r="T63"/>
      <c r="U63"/>
      <c r="V63"/>
      <c r="W63"/>
      <c r="X63"/>
    </row>
    <row r="64" spans="1:24">
      <c r="H64"/>
      <c r="I64"/>
      <c r="J64"/>
      <c r="K64"/>
      <c r="L64"/>
      <c r="M64"/>
      <c r="N64"/>
      <c r="O64"/>
      <c r="P64"/>
      <c r="Q64"/>
      <c r="R64"/>
      <c r="S64"/>
      <c r="T64"/>
      <c r="U64"/>
      <c r="V64"/>
      <c r="W64"/>
      <c r="X64"/>
    </row>
    <row r="65" spans="8:24">
      <c r="H65"/>
      <c r="I65"/>
      <c r="J65"/>
      <c r="K65"/>
      <c r="L65"/>
      <c r="M65"/>
      <c r="N65"/>
      <c r="O65"/>
      <c r="P65"/>
      <c r="Q65"/>
      <c r="R65"/>
      <c r="S65"/>
      <c r="T65"/>
      <c r="U65"/>
      <c r="V65"/>
      <c r="W65"/>
      <c r="X65"/>
    </row>
    <row r="66" spans="8:24">
      <c r="H66"/>
      <c r="I66"/>
      <c r="J66"/>
      <c r="K66"/>
      <c r="L66"/>
      <c r="M66"/>
      <c r="N66"/>
      <c r="O66"/>
      <c r="P66"/>
      <c r="Q66"/>
      <c r="R66"/>
      <c r="S66"/>
      <c r="T66"/>
      <c r="U66"/>
      <c r="V66"/>
      <c r="W66"/>
      <c r="X66"/>
    </row>
    <row r="67" spans="8:24">
      <c r="H67"/>
      <c r="I67"/>
      <c r="J67"/>
      <c r="K67"/>
      <c r="L67"/>
      <c r="M67"/>
      <c r="N67"/>
      <c r="O67"/>
      <c r="P67"/>
      <c r="Q67"/>
      <c r="R67"/>
      <c r="S67"/>
      <c r="T67"/>
      <c r="U67"/>
      <c r="V67"/>
      <c r="W67"/>
      <c r="X67"/>
    </row>
    <row r="68" spans="8:24">
      <c r="H68"/>
      <c r="I68"/>
      <c r="J68"/>
      <c r="K68"/>
      <c r="L68"/>
      <c r="M68"/>
      <c r="N68"/>
      <c r="O68"/>
      <c r="P68"/>
      <c r="Q68"/>
      <c r="R68"/>
      <c r="S68"/>
      <c r="T68"/>
      <c r="U68"/>
      <c r="V68"/>
      <c r="W68"/>
      <c r="X68"/>
    </row>
    <row r="69" spans="8:24">
      <c r="H69"/>
      <c r="I69"/>
      <c r="J69"/>
      <c r="K69"/>
      <c r="L69"/>
      <c r="M69"/>
      <c r="N69"/>
      <c r="O69"/>
      <c r="P69"/>
      <c r="Q69"/>
      <c r="R69"/>
      <c r="S69"/>
      <c r="T69"/>
      <c r="U69"/>
      <c r="V69"/>
      <c r="W69"/>
      <c r="X69"/>
    </row>
  </sheetData>
  <scenarios current="0" show="0">
    <scenario name="pittsfield best fit" locked="1" count="1" user="Author">
      <inputCells r="D37" deleted="1" val=""/>
    </scenario>
  </scenarios>
  <mergeCells count="2">
    <mergeCell ref="S2:U2"/>
    <mergeCell ref="T12:T15"/>
  </mergeCells>
  <printOptions gridLines="1" gridLinesSet="0"/>
  <pageMargins left="0.75" right="0.75" top="1" bottom="1" header="0.5" footer="0.5"/>
  <pageSetup orientation="portrait" r:id="rId1"/>
  <headerFooter alignWithMargins="0">
    <oddHeader>&amp;A</oddHeader>
    <oddFooter>Page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B1A2-BE89-4ACF-90A1-F5661C2DB244}">
  <dimension ref="A1:AH69"/>
  <sheetViews>
    <sheetView zoomScale="85" zoomScaleNormal="85" workbookViewId="0">
      <selection activeCell="G2" sqref="G2"/>
    </sheetView>
  </sheetViews>
  <sheetFormatPr defaultRowHeight="12.75"/>
  <cols>
    <col min="1" max="1" width="12" style="2" customWidth="1"/>
    <col min="2" max="2" width="10.85546875" style="2" customWidth="1"/>
    <col min="3" max="3" width="15.42578125" style="2" customWidth="1"/>
    <col min="4" max="4" width="10.5703125" style="2" customWidth="1"/>
    <col min="5" max="5" width="3.7109375" style="2" customWidth="1"/>
    <col min="6" max="6" width="10.28515625" style="2" customWidth="1"/>
    <col min="7" max="7" width="11.85546875" style="2" customWidth="1"/>
    <col min="8" max="8" width="8.42578125" style="2" customWidth="1"/>
    <col min="9" max="9" width="3.28515625" style="2" customWidth="1"/>
    <col min="10" max="12" width="9.140625" style="2" customWidth="1"/>
    <col min="13" max="13" width="7.7109375" style="2" customWidth="1"/>
    <col min="14" max="14" width="6.7109375" style="54" customWidth="1"/>
    <col min="15" max="15" width="8.28515625" style="2" customWidth="1"/>
    <col min="16" max="16" width="10.5703125" style="2" customWidth="1"/>
    <col min="17" max="17" width="11.28515625" style="2" customWidth="1"/>
    <col min="18" max="18" width="13.42578125" style="2" customWidth="1"/>
    <col min="19" max="19" width="8.5703125" style="2" customWidth="1"/>
    <col min="20" max="20" width="6.28515625" style="2" customWidth="1"/>
    <col min="21" max="22" width="6.7109375" style="2" customWidth="1"/>
    <col min="23" max="23" width="11.140625" style="2" customWidth="1"/>
    <col min="24" max="24" width="12.28515625" style="2" bestFit="1" customWidth="1"/>
    <col min="25" max="16384" width="9.140625" style="2"/>
  </cols>
  <sheetData>
    <row r="1" spans="1:34">
      <c r="A1" s="2" t="s">
        <v>117</v>
      </c>
      <c r="B1" s="27">
        <f>EXP(C1)</f>
        <v>6.5590178399243379E-3</v>
      </c>
      <c r="C1" s="17">
        <v>-5.0269144067589551</v>
      </c>
      <c r="E1" s="27"/>
      <c r="F1" s="2" t="s">
        <v>107</v>
      </c>
      <c r="G1" s="36">
        <f>-2*G2+2*LN(B5)</f>
        <v>381964.76783406449</v>
      </c>
      <c r="N1" s="46"/>
    </row>
    <row r="2" spans="1:34">
      <c r="A2" s="2" t="s">
        <v>98</v>
      </c>
      <c r="B2" s="27">
        <f>EXP(C2)</f>
        <v>1.5359156671731142</v>
      </c>
      <c r="C2" s="17">
        <v>0.42912672903402005</v>
      </c>
      <c r="E2" s="27"/>
      <c r="F2" s="2" t="s">
        <v>99</v>
      </c>
      <c r="G2" s="28">
        <f>SUM(H12:H30)</f>
        <v>-190970.87099156727</v>
      </c>
      <c r="N2" s="46"/>
      <c r="S2" s="192"/>
      <c r="T2" s="192"/>
      <c r="U2" s="192"/>
      <c r="V2" s="37"/>
      <c r="W2"/>
      <c r="X2"/>
      <c r="Y2"/>
      <c r="Z2"/>
      <c r="AA2"/>
      <c r="AB2"/>
      <c r="AC2"/>
      <c r="AD2"/>
      <c r="AE2"/>
      <c r="AF2"/>
      <c r="AG2"/>
      <c r="AH2"/>
    </row>
    <row r="3" spans="1:34">
      <c r="A3" s="129" t="s">
        <v>115</v>
      </c>
      <c r="B3" s="130">
        <f>C3</f>
        <v>0</v>
      </c>
      <c r="C3" s="27">
        <v>0</v>
      </c>
      <c r="E3" s="27"/>
      <c r="F3" s="2" t="s">
        <v>130</v>
      </c>
      <c r="G3" s="77">
        <f>AVERAGE(M12:M29)</f>
        <v>7.8556501725500535E-2</v>
      </c>
      <c r="N3" s="46"/>
      <c r="S3" s="37"/>
      <c r="T3" s="37"/>
      <c r="U3" s="37"/>
      <c r="V3" s="37"/>
      <c r="W3"/>
      <c r="X3"/>
      <c r="Y3"/>
      <c r="Z3"/>
      <c r="AA3"/>
      <c r="AB3"/>
      <c r="AC3"/>
      <c r="AD3"/>
      <c r="AE3"/>
      <c r="AF3"/>
      <c r="AG3"/>
      <c r="AH3"/>
    </row>
    <row r="4" spans="1:34">
      <c r="A4" s="129" t="s">
        <v>134</v>
      </c>
      <c r="B4" s="130">
        <f>C4</f>
        <v>0</v>
      </c>
      <c r="C4" s="27">
        <v>0</v>
      </c>
      <c r="E4" s="27"/>
      <c r="F4" s="2" t="s">
        <v>139</v>
      </c>
      <c r="G4" s="77">
        <f>AVERAGE(M30:M38)</f>
        <v>6.6333661308992348E-2</v>
      </c>
      <c r="N4" s="46"/>
      <c r="S4" s="37"/>
      <c r="T4" s="37"/>
      <c r="U4" s="37"/>
      <c r="V4" s="37"/>
      <c r="W4"/>
      <c r="X4"/>
      <c r="Y4"/>
      <c r="Z4"/>
      <c r="AA4"/>
      <c r="AB4"/>
      <c r="AC4"/>
      <c r="AD4"/>
      <c r="AE4"/>
      <c r="AF4"/>
      <c r="AG4"/>
      <c r="AH4"/>
    </row>
    <row r="5" spans="1:34">
      <c r="A5" s="2" t="s">
        <v>105</v>
      </c>
      <c r="B5" s="28">
        <v>100000</v>
      </c>
      <c r="C5" s="27">
        <v>0</v>
      </c>
      <c r="E5" s="27"/>
      <c r="N5" s="46"/>
      <c r="S5" s="37"/>
      <c r="T5" s="37"/>
      <c r="U5" s="37"/>
      <c r="V5" s="37"/>
      <c r="W5"/>
      <c r="X5"/>
      <c r="Y5"/>
      <c r="Z5"/>
      <c r="AA5"/>
      <c r="AB5"/>
      <c r="AC5"/>
      <c r="AD5"/>
      <c r="AE5"/>
      <c r="AF5"/>
      <c r="AG5"/>
      <c r="AH5"/>
    </row>
    <row r="6" spans="1:34" customFormat="1">
      <c r="F6" s="115" t="s">
        <v>130</v>
      </c>
      <c r="G6" s="116">
        <f>AVERAGE(L12:L29)</f>
        <v>0.17256616811671949</v>
      </c>
      <c r="N6" s="46"/>
    </row>
    <row r="7" spans="1:34" customFormat="1">
      <c r="F7" s="115" t="s">
        <v>139</v>
      </c>
      <c r="G7" s="116">
        <f>AVERAGE(L30:L38)</f>
        <v>0.75841563844761228</v>
      </c>
      <c r="N7" s="46"/>
    </row>
    <row r="8" spans="1:34">
      <c r="C8" s="28"/>
      <c r="E8" s="27"/>
      <c r="F8" s="115" t="s">
        <v>145</v>
      </c>
      <c r="G8" s="116">
        <f>MEDIAN(L12:L38)</f>
        <v>0.17468465007648515</v>
      </c>
      <c r="N8" s="46"/>
      <c r="S8" s="8"/>
      <c r="T8" s="8"/>
      <c r="U8" s="37"/>
      <c r="V8" s="37"/>
      <c r="W8"/>
      <c r="X8"/>
      <c r="Y8"/>
      <c r="Z8"/>
      <c r="AA8"/>
      <c r="AB8"/>
      <c r="AC8"/>
      <c r="AD8"/>
      <c r="AE8"/>
      <c r="AF8"/>
      <c r="AG8"/>
      <c r="AH8"/>
    </row>
    <row r="9" spans="1:34">
      <c r="N9" s="46"/>
      <c r="Q9" s="27">
        <f>B3</f>
        <v>0</v>
      </c>
      <c r="R9" s="27">
        <f>B4</f>
        <v>0</v>
      </c>
      <c r="S9" s="27"/>
      <c r="T9" s="27"/>
      <c r="W9"/>
      <c r="X9"/>
      <c r="Y9"/>
      <c r="Z9"/>
      <c r="AA9"/>
      <c r="AB9"/>
      <c r="AC9"/>
      <c r="AD9"/>
      <c r="AE9"/>
      <c r="AF9"/>
      <c r="AG9"/>
      <c r="AH9"/>
    </row>
    <row r="10" spans="1:34">
      <c r="L10" s="2" t="s">
        <v>171</v>
      </c>
      <c r="M10" s="2" t="s">
        <v>172</v>
      </c>
      <c r="N10" s="46"/>
      <c r="W10"/>
      <c r="X10"/>
      <c r="Y10"/>
      <c r="Z10"/>
      <c r="AA10"/>
      <c r="AB10"/>
      <c r="AC10"/>
      <c r="AD10"/>
      <c r="AE10"/>
      <c r="AF10"/>
      <c r="AG10"/>
      <c r="AH10"/>
    </row>
    <row r="11" spans="1:34">
      <c r="A11" s="32" t="s">
        <v>1</v>
      </c>
      <c r="B11" s="37" t="s">
        <v>100</v>
      </c>
      <c r="C11" s="37" t="s">
        <v>128</v>
      </c>
      <c r="D11" s="37" t="s">
        <v>101</v>
      </c>
      <c r="E11" s="7"/>
      <c r="F11" s="37" t="s">
        <v>103</v>
      </c>
      <c r="G11" s="32" t="s">
        <v>104</v>
      </c>
      <c r="H11" s="7"/>
      <c r="I11" s="7"/>
      <c r="J11" s="7" t="s">
        <v>106</v>
      </c>
      <c r="K11" s="7" t="s">
        <v>173</v>
      </c>
      <c r="L11" s="7" t="s">
        <v>129</v>
      </c>
      <c r="M11" s="7" t="s">
        <v>129</v>
      </c>
      <c r="N11" s="44"/>
      <c r="O11" s="7" t="s">
        <v>108</v>
      </c>
      <c r="P11" s="7" t="s">
        <v>109</v>
      </c>
      <c r="Q11" s="45" t="s">
        <v>116</v>
      </c>
      <c r="R11" s="45" t="s">
        <v>142</v>
      </c>
      <c r="S11"/>
      <c r="T11" s="16" t="s">
        <v>111</v>
      </c>
      <c r="U11"/>
      <c r="V11"/>
      <c r="W11"/>
      <c r="X11"/>
      <c r="Y11"/>
      <c r="Z11"/>
      <c r="AA11"/>
      <c r="AB11"/>
      <c r="AC11"/>
      <c r="AD11"/>
      <c r="AE11"/>
      <c r="AF11"/>
      <c r="AG11"/>
      <c r="AH11"/>
    </row>
    <row r="12" spans="1:34">
      <c r="A12" s="1">
        <v>34658</v>
      </c>
      <c r="B12" s="33">
        <v>1</v>
      </c>
      <c r="C12" s="33">
        <f>D12</f>
        <v>1375</v>
      </c>
      <c r="D12">
        <v>1375</v>
      </c>
      <c r="F12" s="31">
        <f>1-EXP(-$B$1*O12)</f>
        <v>6.5375544343367897E-3</v>
      </c>
      <c r="G12" s="31">
        <f>F12</f>
        <v>6.5375544343367897E-3</v>
      </c>
      <c r="H12" s="17">
        <f t="shared" ref="H12:H29" si="0">D12*IFERROR(LN(G12),-10000)</f>
        <v>-6916.5141693309333</v>
      </c>
      <c r="J12" s="35">
        <f t="shared" ref="J12:J38" si="1">$B$5*F12</f>
        <v>653.75544343367892</v>
      </c>
      <c r="K12" s="35">
        <f>J12</f>
        <v>653.75544343367892</v>
      </c>
      <c r="L12" s="78">
        <f>ABS((D12-K12)/D12)</f>
        <v>0.52454149568459718</v>
      </c>
      <c r="M12" s="70">
        <f>ABS((C12-J12)/C12)</f>
        <v>0.52454149568459718</v>
      </c>
      <c r="N12" s="47"/>
      <c r="O12" s="35">
        <f>B12^B2*P12</f>
        <v>1</v>
      </c>
      <c r="P12" s="74">
        <f>EXP(SUMPRODUCT($Q$9:$R$9,Q12:R12))</f>
        <v>1</v>
      </c>
      <c r="Q12" s="67">
        <v>7.3461392338474107</v>
      </c>
      <c r="R12" s="67">
        <f>1-$E$9*(1-EXP(-(A70-58)*E$10))</f>
        <v>1</v>
      </c>
      <c r="S12"/>
      <c r="T12" s="196" t="s">
        <v>40</v>
      </c>
      <c r="U12" s="6" t="s">
        <v>49</v>
      </c>
      <c r="V12"/>
      <c r="W12"/>
      <c r="X12"/>
      <c r="Y12"/>
      <c r="Z12"/>
      <c r="AA12"/>
      <c r="AB12"/>
      <c r="AC12"/>
      <c r="AD12"/>
      <c r="AE12"/>
      <c r="AF12"/>
      <c r="AG12"/>
      <c r="AH12"/>
    </row>
    <row r="13" spans="1:34" ht="12.75" customHeight="1">
      <c r="A13" s="1">
        <v>34665</v>
      </c>
      <c r="B13" s="33">
        <f>B12+1</f>
        <v>2</v>
      </c>
      <c r="C13" s="33">
        <f>D13+C12</f>
        <v>2477</v>
      </c>
      <c r="D13">
        <v>1102</v>
      </c>
      <c r="F13" s="31">
        <f>1-EXP(-$B$1*O13)</f>
        <v>1.8839616014138416E-2</v>
      </c>
      <c r="G13" s="31">
        <f>F13-F12</f>
        <v>1.2302061579801626E-2</v>
      </c>
      <c r="H13" s="17">
        <f t="shared" si="0"/>
        <v>-4846.5832416330004</v>
      </c>
      <c r="J13" s="35">
        <f t="shared" si="1"/>
        <v>1883.9616014138417</v>
      </c>
      <c r="K13" s="35">
        <f>J13-J12</f>
        <v>1230.2061579801627</v>
      </c>
      <c r="L13" s="78">
        <f t="shared" ref="L13:L38" si="2">ABS((D13-K13)/D13)</f>
        <v>0.11633952629778833</v>
      </c>
      <c r="M13" s="70">
        <f t="shared" ref="M13:M38" si="3">ABS((C13-J13)/C13)</f>
        <v>0.23941800508121047</v>
      </c>
      <c r="N13" s="47"/>
      <c r="O13" s="35">
        <f>O12+(B13^$B$2-B12^$B$2)*P13</f>
        <v>2.8997241572504064</v>
      </c>
      <c r="P13" s="74">
        <f>EXP(SUMPRODUCT($Q$9:$R$9,Q13:R13))</f>
        <v>1</v>
      </c>
      <c r="Q13" s="67">
        <v>7.3082748446972872</v>
      </c>
      <c r="R13" s="39">
        <v>0</v>
      </c>
      <c r="S13"/>
      <c r="T13" s="196"/>
      <c r="U13" s="6" t="s">
        <v>28</v>
      </c>
      <c r="V13"/>
      <c r="X13"/>
      <c r="Y13"/>
      <c r="Z13"/>
      <c r="AA13"/>
      <c r="AB13"/>
      <c r="AC13"/>
      <c r="AD13"/>
      <c r="AE13"/>
      <c r="AF13"/>
      <c r="AG13"/>
      <c r="AH13"/>
    </row>
    <row r="14" spans="1:34">
      <c r="A14" s="1">
        <v>34672</v>
      </c>
      <c r="B14" s="33">
        <f t="shared" ref="B14:B38" si="4">B13+1</f>
        <v>3</v>
      </c>
      <c r="C14" s="33">
        <f t="shared" ref="C14:C38" si="5">D14+C13</f>
        <v>3629</v>
      </c>
      <c r="D14">
        <v>1152</v>
      </c>
      <c r="F14" s="31">
        <f>1-EXP(-$B$1*O14)</f>
        <v>3.4832205839892327E-2</v>
      </c>
      <c r="G14" s="31">
        <f>F14-F13</f>
        <v>1.5992589825753911E-2</v>
      </c>
      <c r="H14" s="17">
        <f t="shared" si="0"/>
        <v>-4764.2455295001073</v>
      </c>
      <c r="J14" s="35">
        <f t="shared" si="1"/>
        <v>3483.2205839892326</v>
      </c>
      <c r="K14" s="35">
        <f t="shared" ref="K14:K38" si="6">J14-J13</f>
        <v>1599.258982575391</v>
      </c>
      <c r="L14" s="78">
        <f t="shared" si="2"/>
        <v>0.38824564459669353</v>
      </c>
      <c r="M14" s="70">
        <f t="shared" si="3"/>
        <v>4.0170685040167367E-2</v>
      </c>
      <c r="N14" s="47"/>
      <c r="O14" s="35">
        <f>O13+(B14^$B$2-B13^$B$2)*P14</f>
        <v>5.4052776902139392</v>
      </c>
      <c r="P14" s="74">
        <f>EXP(SUMPRODUCT($Q$9:$R$9,Q14:R14))</f>
        <v>1</v>
      </c>
      <c r="Q14" s="67">
        <v>7.7207722053924668</v>
      </c>
      <c r="R14" s="39">
        <v>0</v>
      </c>
      <c r="S14"/>
      <c r="T14" s="196"/>
      <c r="U14"/>
      <c r="V14"/>
      <c r="W14"/>
      <c r="X14"/>
      <c r="Y14"/>
      <c r="Z14"/>
      <c r="AA14"/>
      <c r="AB14"/>
      <c r="AC14"/>
      <c r="AD14"/>
      <c r="AE14"/>
      <c r="AF14"/>
      <c r="AG14"/>
      <c r="AH14"/>
    </row>
    <row r="15" spans="1:34">
      <c r="A15" s="1">
        <v>34679</v>
      </c>
      <c r="B15" s="33">
        <f t="shared" si="4"/>
        <v>4</v>
      </c>
      <c r="C15" s="33">
        <f t="shared" si="5"/>
        <v>4876</v>
      </c>
      <c r="D15">
        <v>1247</v>
      </c>
      <c r="F15" s="31">
        <f>1-EXP(-$B$1*O15)</f>
        <v>5.3657615571492179E-2</v>
      </c>
      <c r="G15" s="31">
        <f>F15-F14</f>
        <v>1.8825409731599851E-2</v>
      </c>
      <c r="H15" s="17">
        <f t="shared" si="0"/>
        <v>-4953.767032082038</v>
      </c>
      <c r="J15" s="35">
        <f t="shared" si="1"/>
        <v>5365.7615571492179</v>
      </c>
      <c r="K15" s="35">
        <f t="shared" si="6"/>
        <v>1882.5409731599852</v>
      </c>
      <c r="L15" s="78">
        <f t="shared" si="2"/>
        <v>0.50965595281474363</v>
      </c>
      <c r="M15" s="70">
        <f t="shared" si="3"/>
        <v>0.10044330540385929</v>
      </c>
      <c r="N15" s="47"/>
      <c r="O15" s="35">
        <f t="shared" ref="O15:O38" si="7">O14+(B15^$B$2-B14^$B$2)*P15</f>
        <v>8.4084001881415791</v>
      </c>
      <c r="P15" s="74">
        <f t="shared" ref="P15:P38" si="8">EXP(SUMPRODUCT($Q$9:$R$9,Q15:R15))</f>
        <v>1</v>
      </c>
      <c r="Q15" s="67">
        <v>7.6340954268978463</v>
      </c>
      <c r="R15" s="39">
        <v>0</v>
      </c>
      <c r="S15"/>
      <c r="T15" s="196"/>
      <c r="U15"/>
      <c r="V15"/>
      <c r="W15"/>
      <c r="X15"/>
      <c r="Y15"/>
      <c r="Z15"/>
      <c r="AA15"/>
      <c r="AB15"/>
      <c r="AC15"/>
      <c r="AD15"/>
      <c r="AE15"/>
      <c r="AF15"/>
      <c r="AG15"/>
      <c r="AH15"/>
    </row>
    <row r="16" spans="1:34">
      <c r="A16" s="1">
        <v>34686</v>
      </c>
      <c r="B16" s="33">
        <f t="shared" si="4"/>
        <v>5</v>
      </c>
      <c r="C16" s="33">
        <f t="shared" si="5"/>
        <v>6515</v>
      </c>
      <c r="D16">
        <v>1639</v>
      </c>
      <c r="F16" s="31">
        <f t="shared" ref="F16:F38" si="9">1-EXP(-$B$1*O16)</f>
        <v>7.4754197841801151E-2</v>
      </c>
      <c r="G16" s="31">
        <f t="shared" ref="G16:G38" si="10">F16-F15</f>
        <v>2.1096582270308972E-2</v>
      </c>
      <c r="H16" s="17">
        <f t="shared" si="0"/>
        <v>-6324.3178918725216</v>
      </c>
      <c r="J16" s="35">
        <f t="shared" si="1"/>
        <v>7475.4197841801151</v>
      </c>
      <c r="K16" s="35">
        <f t="shared" si="6"/>
        <v>2109.6582270308973</v>
      </c>
      <c r="L16" s="78">
        <f t="shared" si="2"/>
        <v>0.28716182247156635</v>
      </c>
      <c r="M16" s="78">
        <f t="shared" si="3"/>
        <v>0.14741669749502917</v>
      </c>
      <c r="N16" s="47"/>
      <c r="O16" s="35">
        <f t="shared" si="7"/>
        <v>11.845652291776901</v>
      </c>
      <c r="P16" s="74">
        <f t="shared" si="8"/>
        <v>1</v>
      </c>
      <c r="Q16" s="67">
        <v>7.6025011809057794</v>
      </c>
      <c r="R16" s="39">
        <v>0</v>
      </c>
      <c r="S16"/>
      <c r="T16"/>
      <c r="U16"/>
      <c r="V16"/>
      <c r="W16"/>
      <c r="X16"/>
      <c r="Y16"/>
      <c r="Z16"/>
      <c r="AA16"/>
      <c r="AB16"/>
      <c r="AC16"/>
      <c r="AD16"/>
      <c r="AE16"/>
      <c r="AF16"/>
      <c r="AG16"/>
      <c r="AH16"/>
    </row>
    <row r="17" spans="1:34">
      <c r="A17" s="1">
        <v>34693</v>
      </c>
      <c r="B17" s="33">
        <f t="shared" si="4"/>
        <v>6</v>
      </c>
      <c r="C17" s="33">
        <f t="shared" si="5"/>
        <v>9091</v>
      </c>
      <c r="D17">
        <v>2576</v>
      </c>
      <c r="F17" s="31">
        <f t="shared" si="9"/>
        <v>9.7696939031044594E-2</v>
      </c>
      <c r="G17" s="31">
        <f t="shared" si="10"/>
        <v>2.2942741189243443E-2</v>
      </c>
      <c r="H17" s="17">
        <f t="shared" si="0"/>
        <v>-9723.7654811112061</v>
      </c>
      <c r="J17" s="35">
        <f t="shared" si="1"/>
        <v>9769.6939031044585</v>
      </c>
      <c r="K17" s="35">
        <f t="shared" si="6"/>
        <v>2294.2741189243434</v>
      </c>
      <c r="L17" s="78">
        <f t="shared" si="2"/>
        <v>0.10936563706353129</v>
      </c>
      <c r="M17" s="78">
        <f t="shared" si="3"/>
        <v>7.4655582785662575E-2</v>
      </c>
      <c r="N17" s="47"/>
      <c r="O17" s="35">
        <f t="shared" si="7"/>
        <v>15.673814294960035</v>
      </c>
      <c r="P17" s="74">
        <f t="shared" si="8"/>
        <v>1</v>
      </c>
      <c r="Q17" s="67">
        <v>7.7609784073887171</v>
      </c>
      <c r="R17" s="39">
        <v>0</v>
      </c>
      <c r="S17"/>
      <c r="T17" s="16" t="s">
        <v>3</v>
      </c>
      <c r="U17"/>
      <c r="V17"/>
      <c r="W17"/>
      <c r="X17"/>
      <c r="Y17"/>
      <c r="Z17"/>
      <c r="AA17"/>
      <c r="AB17"/>
      <c r="AC17"/>
      <c r="AD17"/>
      <c r="AE17"/>
      <c r="AF17"/>
      <c r="AG17"/>
      <c r="AH17"/>
    </row>
    <row r="18" spans="1:34">
      <c r="A18" s="1">
        <v>34700</v>
      </c>
      <c r="B18" s="33">
        <f t="shared" si="4"/>
        <v>7</v>
      </c>
      <c r="C18" s="33">
        <f t="shared" si="5"/>
        <v>12067</v>
      </c>
      <c r="D18">
        <v>2976</v>
      </c>
      <c r="F18" s="31">
        <f t="shared" si="9"/>
        <v>0.1221399689249506</v>
      </c>
      <c r="G18" s="31">
        <f t="shared" si="10"/>
        <v>2.444302989390601E-2</v>
      </c>
      <c r="H18" s="17">
        <f t="shared" si="0"/>
        <v>-11045.156694540143</v>
      </c>
      <c r="J18" s="35">
        <f t="shared" si="1"/>
        <v>12213.996892495061</v>
      </c>
      <c r="K18" s="35">
        <f t="shared" si="6"/>
        <v>2444.3029893906023</v>
      </c>
      <c r="L18" s="78">
        <f t="shared" si="2"/>
        <v>0.17866162990907181</v>
      </c>
      <c r="M18" s="29">
        <f t="shared" si="3"/>
        <v>1.2181726402176251E-2</v>
      </c>
      <c r="N18" s="47"/>
      <c r="O18" s="35">
        <f t="shared" si="7"/>
        <v>19.860918074111421</v>
      </c>
      <c r="P18" s="74">
        <f t="shared" si="8"/>
        <v>1</v>
      </c>
      <c r="Q18" s="67">
        <v>7.9095996592089497</v>
      </c>
      <c r="R18" s="39">
        <v>0</v>
      </c>
      <c r="S18"/>
      <c r="T18" s="6" t="s">
        <v>47</v>
      </c>
      <c r="U18"/>
      <c r="V18"/>
      <c r="W18"/>
      <c r="X18" t="s">
        <v>48</v>
      </c>
      <c r="Y18"/>
      <c r="Z18"/>
      <c r="AA18"/>
      <c r="AB18"/>
      <c r="AC18"/>
      <c r="AD18"/>
      <c r="AE18"/>
      <c r="AF18"/>
      <c r="AG18"/>
      <c r="AH18"/>
    </row>
    <row r="19" spans="1:34">
      <c r="A19" s="1">
        <v>34707</v>
      </c>
      <c r="B19" s="33">
        <f t="shared" si="4"/>
        <v>8</v>
      </c>
      <c r="C19" s="33">
        <f t="shared" si="5"/>
        <v>14596</v>
      </c>
      <c r="D19">
        <v>2529</v>
      </c>
      <c r="F19" s="31">
        <f t="shared" si="9"/>
        <v>0.14778994820443314</v>
      </c>
      <c r="G19" s="31">
        <f t="shared" si="10"/>
        <v>2.5649979279482538E-2</v>
      </c>
      <c r="H19" s="17">
        <f t="shared" si="0"/>
        <v>-9264.2644508981357</v>
      </c>
      <c r="J19" s="35">
        <f t="shared" si="1"/>
        <v>14778.994820443315</v>
      </c>
      <c r="K19" s="35">
        <f t="shared" si="6"/>
        <v>2564.9979279482541</v>
      </c>
      <c r="L19" s="78">
        <f t="shared" si="2"/>
        <v>1.4234056128214344E-2</v>
      </c>
      <c r="M19" s="29">
        <f t="shared" si="3"/>
        <v>1.2537326695212037E-2</v>
      </c>
      <c r="N19" s="47"/>
      <c r="O19" s="35">
        <f t="shared" si="7"/>
        <v>24.382041149382992</v>
      </c>
      <c r="P19" s="74">
        <f t="shared" si="8"/>
        <v>1</v>
      </c>
      <c r="Q19" s="67">
        <v>7.8441623144411166</v>
      </c>
      <c r="R19" s="39">
        <v>0</v>
      </c>
      <c r="S19"/>
      <c r="T19" s="87" t="s">
        <v>141</v>
      </c>
      <c r="U19"/>
      <c r="V19"/>
      <c r="W19"/>
      <c r="X19"/>
      <c r="Y19"/>
      <c r="Z19"/>
      <c r="AA19"/>
      <c r="AB19"/>
      <c r="AC19"/>
      <c r="AD19"/>
      <c r="AE19"/>
      <c r="AF19"/>
      <c r="AG19"/>
      <c r="AH19"/>
    </row>
    <row r="20" spans="1:34">
      <c r="A20" s="1">
        <v>34714</v>
      </c>
      <c r="B20" s="33">
        <f t="shared" si="4"/>
        <v>9</v>
      </c>
      <c r="C20" s="33">
        <f t="shared" si="5"/>
        <v>17017</v>
      </c>
      <c r="D20">
        <v>2421</v>
      </c>
      <c r="F20" s="31">
        <f t="shared" si="9"/>
        <v>0.17439184011434505</v>
      </c>
      <c r="G20" s="31">
        <f t="shared" si="10"/>
        <v>2.6601891909911912E-2</v>
      </c>
      <c r="H20" s="17">
        <f t="shared" si="0"/>
        <v>-8780.4172908653363</v>
      </c>
      <c r="J20" s="35">
        <f t="shared" si="1"/>
        <v>17439.184011434507</v>
      </c>
      <c r="K20" s="35">
        <f t="shared" si="6"/>
        <v>2660.1891909911919</v>
      </c>
      <c r="L20" s="78">
        <f t="shared" si="2"/>
        <v>9.8797683185126786E-2</v>
      </c>
      <c r="M20" s="78">
        <f t="shared" si="3"/>
        <v>2.4809544069724795E-2</v>
      </c>
      <c r="N20" s="47"/>
      <c r="O20" s="35">
        <f t="shared" si="7"/>
        <v>29.217026908324542</v>
      </c>
      <c r="P20" s="74">
        <f t="shared" si="8"/>
        <v>1</v>
      </c>
      <c r="Q20" s="67">
        <v>7.9476078724433243</v>
      </c>
      <c r="R20" s="39">
        <v>0</v>
      </c>
      <c r="S20"/>
      <c r="T20"/>
      <c r="U20"/>
      <c r="V20"/>
      <c r="W20"/>
      <c r="X20"/>
      <c r="Y20"/>
      <c r="Z20"/>
      <c r="AA20"/>
      <c r="AB20"/>
      <c r="AC20"/>
      <c r="AD20"/>
      <c r="AE20"/>
      <c r="AF20"/>
      <c r="AG20"/>
      <c r="AH20"/>
    </row>
    <row r="21" spans="1:34">
      <c r="A21" s="1">
        <v>34721</v>
      </c>
      <c r="B21" s="33">
        <f t="shared" si="4"/>
        <v>10</v>
      </c>
      <c r="C21" s="33">
        <f t="shared" si="5"/>
        <v>19402</v>
      </c>
      <c r="D21">
        <v>2385</v>
      </c>
      <c r="F21" s="31">
        <f t="shared" si="9"/>
        <v>0.20172052042522248</v>
      </c>
      <c r="G21" s="31">
        <f t="shared" si="10"/>
        <v>2.7328680310877429E-2</v>
      </c>
      <c r="H21" s="17">
        <f t="shared" si="0"/>
        <v>-8585.5672832634755</v>
      </c>
      <c r="J21" s="35">
        <f t="shared" si="1"/>
        <v>20172.052042522249</v>
      </c>
      <c r="K21" s="35">
        <f t="shared" si="6"/>
        <v>2732.8680310877426</v>
      </c>
      <c r="L21" s="78">
        <f t="shared" si="2"/>
        <v>0.1458566168082778</v>
      </c>
      <c r="M21" s="78">
        <f>ABS((C21-J21)/C21)</f>
        <v>3.9689312572015738E-2</v>
      </c>
      <c r="N21" s="47"/>
      <c r="O21" s="35">
        <f t="shared" si="7"/>
        <v>34.349124108854141</v>
      </c>
      <c r="P21" s="74">
        <f t="shared" si="8"/>
        <v>1</v>
      </c>
      <c r="Q21" s="67">
        <v>8.0702808933938996</v>
      </c>
      <c r="R21" s="39">
        <v>0</v>
      </c>
      <c r="S21"/>
      <c r="T21"/>
      <c r="U21"/>
      <c r="V21"/>
      <c r="W21"/>
      <c r="X21"/>
      <c r="Y21"/>
      <c r="Z21"/>
      <c r="AA21"/>
      <c r="AB21"/>
      <c r="AC21"/>
      <c r="AD21"/>
      <c r="AE21"/>
      <c r="AF21"/>
      <c r="AG21"/>
      <c r="AH21"/>
    </row>
    <row r="22" spans="1:34">
      <c r="A22" s="1">
        <v>34728</v>
      </c>
      <c r="B22" s="33">
        <f t="shared" si="4"/>
        <v>11</v>
      </c>
      <c r="C22" s="33">
        <f t="shared" si="5"/>
        <v>22032</v>
      </c>
      <c r="D22">
        <v>2630</v>
      </c>
      <c r="F22" s="31">
        <f t="shared" si="9"/>
        <v>0.22957544926917062</v>
      </c>
      <c r="G22" s="31">
        <f t="shared" si="10"/>
        <v>2.7854928843948135E-2</v>
      </c>
      <c r="H22" s="17">
        <f t="shared" si="0"/>
        <v>-9417.3602705760932</v>
      </c>
      <c r="J22" s="35">
        <f t="shared" si="1"/>
        <v>22957.54492691706</v>
      </c>
      <c r="K22" s="35">
        <f t="shared" si="6"/>
        <v>2785.492884394811</v>
      </c>
      <c r="L22" s="78">
        <f t="shared" si="2"/>
        <v>5.9122769731867288E-2</v>
      </c>
      <c r="M22" s="78">
        <f>ABS((C22-J22)/C22)</f>
        <v>4.2009119776555026E-2</v>
      </c>
      <c r="N22" s="47"/>
      <c r="O22" s="35">
        <f t="shared" si="7"/>
        <v>39.764116802208214</v>
      </c>
      <c r="P22" s="74">
        <f t="shared" si="8"/>
        <v>1</v>
      </c>
      <c r="Q22" s="67">
        <v>8.0026607057189203</v>
      </c>
      <c r="R22" s="39">
        <v>0</v>
      </c>
      <c r="S22"/>
      <c r="T22"/>
      <c r="U22"/>
      <c r="V22"/>
      <c r="W22"/>
      <c r="X22"/>
      <c r="Y22"/>
      <c r="Z22"/>
      <c r="AA22"/>
      <c r="AB22"/>
      <c r="AC22"/>
      <c r="AD22"/>
      <c r="AE22"/>
      <c r="AF22"/>
      <c r="AG22"/>
      <c r="AH22"/>
    </row>
    <row r="23" spans="1:34">
      <c r="A23" s="1">
        <v>34735</v>
      </c>
      <c r="B23" s="33">
        <f t="shared" si="4"/>
        <v>12</v>
      </c>
      <c r="C23" s="33">
        <f t="shared" si="5"/>
        <v>24826</v>
      </c>
      <c r="D23">
        <v>2794</v>
      </c>
      <c r="F23" s="31">
        <f t="shared" si="9"/>
        <v>0.25777707432067642</v>
      </c>
      <c r="G23" s="31">
        <f t="shared" si="10"/>
        <v>2.8201625051505808E-2</v>
      </c>
      <c r="H23" s="17">
        <f t="shared" si="0"/>
        <v>-9970.0416408631318</v>
      </c>
      <c r="J23" s="35">
        <f t="shared" si="1"/>
        <v>25777.707432067644</v>
      </c>
      <c r="K23" s="35">
        <f t="shared" si="6"/>
        <v>2820.1625051505835</v>
      </c>
      <c r="L23" s="78">
        <f t="shared" si="2"/>
        <v>9.3638171619840581E-3</v>
      </c>
      <c r="M23" s="78">
        <f>ABS((C23-J23)/C23)</f>
        <v>3.8335109645840804E-2</v>
      </c>
      <c r="N23" s="47"/>
      <c r="O23" s="35">
        <f t="shared" si="7"/>
        <v>45.449737947352368</v>
      </c>
      <c r="P23" s="74">
        <f t="shared" si="8"/>
        <v>1</v>
      </c>
      <c r="Q23" s="67">
        <v>7.6561479337680609</v>
      </c>
      <c r="R23" s="39">
        <v>0</v>
      </c>
      <c r="S23"/>
      <c r="T23"/>
      <c r="U23"/>
      <c r="V23"/>
      <c r="W23"/>
      <c r="X23"/>
      <c r="Y23"/>
      <c r="Z23"/>
      <c r="AA23"/>
      <c r="AB23"/>
      <c r="AC23"/>
      <c r="AD23"/>
      <c r="AE23"/>
      <c r="AF23"/>
      <c r="AG23"/>
      <c r="AH23"/>
    </row>
    <row r="24" spans="1:34">
      <c r="A24" s="1">
        <v>34742</v>
      </c>
      <c r="B24" s="33">
        <f t="shared" si="4"/>
        <v>13</v>
      </c>
      <c r="C24" s="33">
        <f t="shared" si="5"/>
        <v>27526</v>
      </c>
      <c r="D24">
        <v>2700</v>
      </c>
      <c r="F24" s="31">
        <f t="shared" si="9"/>
        <v>0.28616426882299661</v>
      </c>
      <c r="G24" s="31">
        <f t="shared" si="10"/>
        <v>2.838719450232019E-2</v>
      </c>
      <c r="H24" s="17">
        <f t="shared" si="0"/>
        <v>-9616.9062599250847</v>
      </c>
      <c r="J24" s="35">
        <f t="shared" si="1"/>
        <v>28616.42688229966</v>
      </c>
      <c r="K24" s="35">
        <f t="shared" si="6"/>
        <v>2838.7194502320162</v>
      </c>
      <c r="L24" s="78">
        <f t="shared" si="2"/>
        <v>5.1377574160006018E-2</v>
      </c>
      <c r="M24" s="78">
        <f>ABS((C24-J24)/C24)</f>
        <v>3.9614432983348838E-2</v>
      </c>
      <c r="N24" s="47"/>
      <c r="O24" s="35">
        <f t="shared" si="7"/>
        <v>51.395257600912082</v>
      </c>
      <c r="P24" s="74">
        <f t="shared" si="8"/>
        <v>1</v>
      </c>
      <c r="Q24" s="67">
        <v>7.5446495179912842</v>
      </c>
      <c r="R24" s="39">
        <v>0</v>
      </c>
      <c r="S24"/>
      <c r="T24"/>
      <c r="U24"/>
      <c r="V24"/>
      <c r="W24"/>
      <c r="X24"/>
      <c r="Y24"/>
      <c r="Z24"/>
      <c r="AA24"/>
      <c r="AB24"/>
      <c r="AC24"/>
      <c r="AD24"/>
      <c r="AE24"/>
      <c r="AF24"/>
      <c r="AG24"/>
      <c r="AH24"/>
    </row>
    <row r="25" spans="1:34">
      <c r="A25" s="1">
        <v>34749</v>
      </c>
      <c r="B25" s="33">
        <f t="shared" si="4"/>
        <v>14</v>
      </c>
      <c r="C25" s="33">
        <f t="shared" si="5"/>
        <v>30696</v>
      </c>
      <c r="D25">
        <v>3170</v>
      </c>
      <c r="F25" s="31">
        <f t="shared" si="9"/>
        <v>0.31459241480254718</v>
      </c>
      <c r="G25" s="31">
        <f t="shared" si="10"/>
        <v>2.8428145979550568E-2</v>
      </c>
      <c r="H25" s="17">
        <f t="shared" si="0"/>
        <v>-11286.390553629797</v>
      </c>
      <c r="J25" s="35">
        <f t="shared" si="1"/>
        <v>31459.241480254717</v>
      </c>
      <c r="K25" s="35">
        <f t="shared" si="6"/>
        <v>2842.8145979550573</v>
      </c>
      <c r="L25" s="78">
        <f t="shared" si="2"/>
        <v>0.10321306058200087</v>
      </c>
      <c r="M25" s="29">
        <f t="shared" si="3"/>
        <v>2.4864525679395275E-2</v>
      </c>
      <c r="N25" s="47"/>
      <c r="O25" s="35">
        <f t="shared" si="7"/>
        <v>57.591183924672116</v>
      </c>
      <c r="P25" s="74">
        <f t="shared" si="8"/>
        <v>1</v>
      </c>
      <c r="Q25" s="67">
        <v>7.5297823270389568</v>
      </c>
      <c r="R25" s="39">
        <v>0</v>
      </c>
      <c r="S25"/>
      <c r="T25"/>
      <c r="U25"/>
      <c r="V25"/>
      <c r="W25"/>
      <c r="X25"/>
      <c r="Y25"/>
      <c r="Z25"/>
      <c r="AA25"/>
      <c r="AB25"/>
      <c r="AC25"/>
      <c r="AD25"/>
      <c r="AE25"/>
      <c r="AF25"/>
      <c r="AG25"/>
      <c r="AH25"/>
    </row>
    <row r="26" spans="1:34">
      <c r="A26" s="1">
        <v>34756</v>
      </c>
      <c r="B26" s="33">
        <f t="shared" si="4"/>
        <v>15</v>
      </c>
      <c r="C26" s="33">
        <f t="shared" si="5"/>
        <v>33263</v>
      </c>
      <c r="D26">
        <v>2567</v>
      </c>
      <c r="F26" s="31">
        <f t="shared" si="9"/>
        <v>0.34293190204849933</v>
      </c>
      <c r="G26" s="31">
        <f t="shared" si="10"/>
        <v>2.8339487245952144E-2</v>
      </c>
      <c r="H26" s="17">
        <f t="shared" si="0"/>
        <v>-9147.5022868039814</v>
      </c>
      <c r="J26" s="35">
        <f t="shared" si="1"/>
        <v>34293.190204849932</v>
      </c>
      <c r="K26" s="35">
        <f t="shared" si="6"/>
        <v>2833.948724595215</v>
      </c>
      <c r="L26" s="78">
        <f t="shared" si="2"/>
        <v>0.1039924910772166</v>
      </c>
      <c r="M26" s="29">
        <f t="shared" si="3"/>
        <v>3.0971055071699255E-2</v>
      </c>
      <c r="N26" s="47"/>
      <c r="O26" s="35">
        <f t="shared" si="7"/>
        <v>64.029040058773276</v>
      </c>
      <c r="P26" s="74">
        <f t="shared" si="8"/>
        <v>1</v>
      </c>
      <c r="Q26" s="67">
        <v>7.1244782624934242</v>
      </c>
      <c r="R26" s="39">
        <v>0</v>
      </c>
      <c r="S26"/>
      <c r="T26"/>
      <c r="U26"/>
      <c r="V26"/>
      <c r="W26"/>
      <c r="X26"/>
      <c r="Y26"/>
      <c r="Z26"/>
      <c r="AA26"/>
      <c r="AB26"/>
      <c r="AC26"/>
      <c r="AD26"/>
      <c r="AE26"/>
      <c r="AF26"/>
      <c r="AG26"/>
      <c r="AH26"/>
    </row>
    <row r="27" spans="1:34">
      <c r="A27" s="1">
        <v>34763</v>
      </c>
      <c r="B27" s="33">
        <f t="shared" si="4"/>
        <v>16</v>
      </c>
      <c r="C27" s="33">
        <f t="shared" si="5"/>
        <v>36672</v>
      </c>
      <c r="D27">
        <v>3409</v>
      </c>
      <c r="F27" s="31">
        <f t="shared" si="9"/>
        <v>0.37106690232739192</v>
      </c>
      <c r="G27" s="31">
        <f t="shared" si="10"/>
        <v>2.8135000278892597E-2</v>
      </c>
      <c r="H27" s="17">
        <f t="shared" si="0"/>
        <v>-12172.655783272068</v>
      </c>
      <c r="J27" s="35">
        <f t="shared" si="1"/>
        <v>37106.690232739194</v>
      </c>
      <c r="K27" s="35">
        <f t="shared" si="6"/>
        <v>2813.5000278892621</v>
      </c>
      <c r="L27" s="78">
        <f t="shared" si="2"/>
        <v>0.17468465007648515</v>
      </c>
      <c r="M27" s="29">
        <f t="shared" si="3"/>
        <v>1.1853464025392519E-2</v>
      </c>
      <c r="N27" s="47"/>
      <c r="O27" s="35">
        <f t="shared" si="7"/>
        <v>70.70119372393934</v>
      </c>
      <c r="P27" s="74">
        <f t="shared" si="8"/>
        <v>1</v>
      </c>
      <c r="Q27" s="67">
        <v>6.62685019080938</v>
      </c>
      <c r="R27" s="39">
        <v>0</v>
      </c>
      <c r="S27"/>
      <c r="T27"/>
      <c r="U27"/>
      <c r="V27"/>
      <c r="W27"/>
      <c r="X27"/>
      <c r="Y27"/>
      <c r="Z27"/>
      <c r="AA27"/>
      <c r="AB27"/>
      <c r="AC27"/>
      <c r="AD27"/>
      <c r="AE27"/>
      <c r="AF27"/>
      <c r="AG27"/>
      <c r="AH27"/>
    </row>
    <row r="28" spans="1:34">
      <c r="A28" s="1">
        <v>34770</v>
      </c>
      <c r="B28" s="33">
        <f t="shared" si="4"/>
        <v>17</v>
      </c>
      <c r="C28" s="33">
        <f t="shared" si="5"/>
        <v>39742</v>
      </c>
      <c r="D28">
        <v>3070</v>
      </c>
      <c r="F28" s="31">
        <f t="shared" si="9"/>
        <v>0.39889433009595676</v>
      </c>
      <c r="G28" s="31">
        <f t="shared" si="10"/>
        <v>2.7827427768564839E-2</v>
      </c>
      <c r="H28" s="17">
        <f t="shared" si="0"/>
        <v>-10995.920722256948</v>
      </c>
      <c r="J28" s="35">
        <f t="shared" si="1"/>
        <v>39889.433009595676</v>
      </c>
      <c r="K28" s="35">
        <f t="shared" si="6"/>
        <v>2782.7427768564812</v>
      </c>
      <c r="L28" s="78">
        <f t="shared" si="2"/>
        <v>9.3569128059778101E-2</v>
      </c>
      <c r="M28" s="29">
        <f t="shared" si="3"/>
        <v>3.7097531476945216E-3</v>
      </c>
      <c r="N28" s="47"/>
      <c r="O28" s="35">
        <f t="shared" si="7"/>
        <v>77.600724507300498</v>
      </c>
      <c r="P28" s="74">
        <f t="shared" si="8"/>
        <v>1</v>
      </c>
      <c r="Q28" s="67">
        <v>6.3473892096560105</v>
      </c>
      <c r="R28" s="39">
        <v>0</v>
      </c>
      <c r="S28"/>
      <c r="T28"/>
      <c r="U28"/>
      <c r="V28"/>
      <c r="W28"/>
      <c r="X28"/>
      <c r="Y28"/>
      <c r="Z28"/>
      <c r="AA28"/>
      <c r="AB28"/>
      <c r="AC28"/>
      <c r="AD28"/>
      <c r="AE28"/>
      <c r="AF28"/>
      <c r="AG28"/>
      <c r="AH28"/>
    </row>
    <row r="29" spans="1:34" customFormat="1">
      <c r="A29" s="80">
        <v>34777</v>
      </c>
      <c r="B29" s="49">
        <f t="shared" si="4"/>
        <v>18</v>
      </c>
      <c r="C29" s="49">
        <f t="shared" si="5"/>
        <v>42924</v>
      </c>
      <c r="D29" s="79">
        <v>3182</v>
      </c>
      <c r="E29" s="46"/>
      <c r="F29" s="51">
        <f t="shared" si="9"/>
        <v>0.42632293239126529</v>
      </c>
      <c r="G29" s="51">
        <f t="shared" si="10"/>
        <v>2.7428602295308524E-2</v>
      </c>
      <c r="H29" s="52">
        <f t="shared" si="0"/>
        <v>-11443.00953736175</v>
      </c>
      <c r="I29" s="46"/>
      <c r="J29" s="47">
        <f t="shared" si="1"/>
        <v>42632.293239126528</v>
      </c>
      <c r="K29" s="47">
        <f t="shared" si="6"/>
        <v>2742.8602295308519</v>
      </c>
      <c r="L29" s="71">
        <f t="shared" si="2"/>
        <v>0.13800747029200128</v>
      </c>
      <c r="M29" s="71">
        <f t="shared" si="3"/>
        <v>6.7958894994285804E-3</v>
      </c>
      <c r="N29" s="47"/>
      <c r="O29" s="47">
        <f t="shared" si="7"/>
        <v>84.721318729103771</v>
      </c>
      <c r="P29" s="74">
        <f t="shared" si="8"/>
        <v>1</v>
      </c>
      <c r="Q29" s="73">
        <v>6.1544333753861213</v>
      </c>
      <c r="R29" s="73">
        <v>0</v>
      </c>
    </row>
    <row r="30" spans="1:34">
      <c r="A30" s="1">
        <v>34784</v>
      </c>
      <c r="B30" s="33">
        <f t="shared" si="4"/>
        <v>19</v>
      </c>
      <c r="C30" s="33">
        <f t="shared" si="5"/>
        <v>45630</v>
      </c>
      <c r="D30">
        <v>2706</v>
      </c>
      <c r="E30" s="17"/>
      <c r="F30" s="31">
        <f t="shared" si="9"/>
        <v>0.45327247027387185</v>
      </c>
      <c r="G30" s="31">
        <f t="shared" si="10"/>
        <v>2.6949537882606567E-2</v>
      </c>
      <c r="H30" s="17">
        <f>(B5-SUM(D12:D29))*IFERROR(LN(1-F29),-10000)</f>
        <v>-31716.484871781562</v>
      </c>
      <c r="J30" s="35">
        <f t="shared" si="1"/>
        <v>45327.247027387188</v>
      </c>
      <c r="K30" s="35">
        <f t="shared" si="6"/>
        <v>2694.9537882606601</v>
      </c>
      <c r="L30" s="78">
        <f t="shared" si="2"/>
        <v>4.0821181594013021E-3</v>
      </c>
      <c r="M30" s="78">
        <f t="shared" si="3"/>
        <v>6.6349544732152597E-3</v>
      </c>
      <c r="N30" s="47"/>
      <c r="O30" s="35">
        <f>O29+(B30^$B$2-B29^$B$2)*P30</f>
        <v>92.057184917088946</v>
      </c>
      <c r="P30" s="74">
        <f t="shared" si="8"/>
        <v>1</v>
      </c>
      <c r="Q30" s="67">
        <v>6.4022488166937466</v>
      </c>
      <c r="R30" s="39">
        <v>0</v>
      </c>
      <c r="S30"/>
      <c r="T30"/>
      <c r="U30"/>
      <c r="V30"/>
      <c r="W30"/>
      <c r="X30"/>
      <c r="Y30"/>
      <c r="Z30"/>
      <c r="AA30"/>
      <c r="AB30"/>
      <c r="AC30"/>
      <c r="AD30"/>
      <c r="AE30"/>
      <c r="AF30"/>
      <c r="AG30"/>
      <c r="AH30"/>
    </row>
    <row r="31" spans="1:34">
      <c r="A31" s="1">
        <v>34791</v>
      </c>
      <c r="B31" s="33">
        <f t="shared" si="4"/>
        <v>20</v>
      </c>
      <c r="C31" s="33">
        <f t="shared" si="5"/>
        <v>47520</v>
      </c>
      <c r="D31">
        <v>1890</v>
      </c>
      <c r="E31" s="17"/>
      <c r="F31" s="31">
        <f t="shared" si="9"/>
        <v>0.47967296688691796</v>
      </c>
      <c r="G31" s="31">
        <f t="shared" si="10"/>
        <v>2.6400496613046109E-2</v>
      </c>
      <c r="H31" s="17"/>
      <c r="J31" s="35">
        <f t="shared" si="1"/>
        <v>47967.296688691793</v>
      </c>
      <c r="K31" s="35">
        <f t="shared" si="6"/>
        <v>2640.0496613046053</v>
      </c>
      <c r="L31" s="78">
        <f t="shared" si="2"/>
        <v>0.3968516726479393</v>
      </c>
      <c r="M31" s="78">
        <f t="shared" si="3"/>
        <v>9.4128091054670234E-3</v>
      </c>
      <c r="N31" s="47"/>
      <c r="O31" s="35">
        <f t="shared" si="7"/>
        <v>99.602984958836615</v>
      </c>
      <c r="P31" s="74">
        <f t="shared" si="8"/>
        <v>1</v>
      </c>
      <c r="Q31" s="67">
        <v>6.2597726503765658</v>
      </c>
      <c r="R31" s="39">
        <v>0</v>
      </c>
      <c r="S31"/>
      <c r="T31"/>
      <c r="U31"/>
      <c r="V31"/>
      <c r="W31"/>
      <c r="X31"/>
      <c r="Y31"/>
      <c r="Z31"/>
      <c r="AA31"/>
      <c r="AB31"/>
      <c r="AC31"/>
      <c r="AD31"/>
      <c r="AE31"/>
      <c r="AF31"/>
      <c r="AG31"/>
      <c r="AH31"/>
    </row>
    <row r="32" spans="1:34">
      <c r="A32" s="1">
        <v>34798</v>
      </c>
      <c r="B32" s="33">
        <f t="shared" si="4"/>
        <v>21</v>
      </c>
      <c r="C32" s="33">
        <f t="shared" si="5"/>
        <v>49143</v>
      </c>
      <c r="D32">
        <v>1623</v>
      </c>
      <c r="E32" s="17"/>
      <c r="F32" s="31">
        <f t="shared" si="9"/>
        <v>0.50546400554548332</v>
      </c>
      <c r="G32" s="31">
        <f t="shared" si="10"/>
        <v>2.5791038658565357E-2</v>
      </c>
      <c r="H32" s="17"/>
      <c r="J32" s="35">
        <f t="shared" si="1"/>
        <v>50546.400554548331</v>
      </c>
      <c r="K32" s="35">
        <f t="shared" si="6"/>
        <v>2579.1038658565376</v>
      </c>
      <c r="L32" s="78">
        <f t="shared" si="2"/>
        <v>0.58909665179084258</v>
      </c>
      <c r="M32" s="78">
        <f t="shared" si="3"/>
        <v>2.8557486407999728E-2</v>
      </c>
      <c r="N32" s="47"/>
      <c r="O32" s="35">
        <f t="shared" si="7"/>
        <v>107.35377737316126</v>
      </c>
      <c r="P32" s="74">
        <f t="shared" si="8"/>
        <v>1</v>
      </c>
      <c r="Q32" s="67">
        <v>5.9464671811772458</v>
      </c>
      <c r="R32" s="39">
        <v>0</v>
      </c>
      <c r="S32"/>
      <c r="T32"/>
      <c r="U32"/>
      <c r="V32"/>
      <c r="W32"/>
      <c r="X32"/>
      <c r="Y32"/>
      <c r="Z32"/>
      <c r="AA32"/>
      <c r="AB32"/>
      <c r="AC32"/>
      <c r="AD32"/>
      <c r="AE32"/>
      <c r="AF32"/>
      <c r="AG32"/>
      <c r="AH32"/>
    </row>
    <row r="33" spans="1:34">
      <c r="A33" s="1">
        <v>34805</v>
      </c>
      <c r="B33" s="33">
        <f t="shared" si="4"/>
        <v>22</v>
      </c>
      <c r="C33" s="33">
        <f t="shared" si="5"/>
        <v>50730</v>
      </c>
      <c r="D33">
        <v>1587</v>
      </c>
      <c r="E33" s="17"/>
      <c r="F33" s="31">
        <f t="shared" si="9"/>
        <v>0.53059406685996469</v>
      </c>
      <c r="G33" s="31">
        <f t="shared" si="10"/>
        <v>2.5130061314481367E-2</v>
      </c>
      <c r="H33" s="17"/>
      <c r="J33" s="35">
        <f t="shared" si="1"/>
        <v>53059.406685996466</v>
      </c>
      <c r="K33" s="35">
        <f t="shared" si="6"/>
        <v>2513.0061314481354</v>
      </c>
      <c r="L33" s="78">
        <f t="shared" si="2"/>
        <v>0.58349472681041925</v>
      </c>
      <c r="M33" s="78">
        <f t="shared" si="3"/>
        <v>4.5917734791966605E-2</v>
      </c>
      <c r="N33" s="47"/>
      <c r="O33" s="35">
        <f t="shared" si="7"/>
        <v>115.30497008309003</v>
      </c>
      <c r="P33" s="74">
        <f t="shared" si="8"/>
        <v>1</v>
      </c>
      <c r="Q33" s="67">
        <v>5.6722918075648305</v>
      </c>
      <c r="R33" s="39">
        <v>0</v>
      </c>
      <c r="S33"/>
      <c r="T33"/>
      <c r="U33"/>
      <c r="V33"/>
      <c r="W33"/>
      <c r="X33"/>
      <c r="Y33"/>
      <c r="Z33"/>
      <c r="AA33"/>
      <c r="AB33"/>
      <c r="AC33"/>
      <c r="AD33"/>
      <c r="AE33"/>
      <c r="AF33"/>
      <c r="AG33"/>
      <c r="AH33"/>
    </row>
    <row r="34" spans="1:34">
      <c r="A34" s="1">
        <v>34812</v>
      </c>
      <c r="B34" s="33">
        <f t="shared" si="4"/>
        <v>23</v>
      </c>
      <c r="C34" s="33">
        <f t="shared" si="5"/>
        <v>52237</v>
      </c>
      <c r="D34">
        <v>1507</v>
      </c>
      <c r="E34" s="17"/>
      <c r="F34" s="31">
        <f t="shared" si="9"/>
        <v>0.55501989768255067</v>
      </c>
      <c r="G34" s="31">
        <f t="shared" si="10"/>
        <v>2.4425830822585981E-2</v>
      </c>
      <c r="H34" s="17"/>
      <c r="J34" s="35">
        <f t="shared" si="1"/>
        <v>55501.989768255065</v>
      </c>
      <c r="K34" s="35">
        <f t="shared" si="6"/>
        <v>2442.5830822585995</v>
      </c>
      <c r="L34" s="78">
        <f t="shared" si="2"/>
        <v>0.62082487210258752</v>
      </c>
      <c r="M34" s="78">
        <f>ABS((C34-J34)/C34)</f>
        <v>6.250339353820214E-2</v>
      </c>
      <c r="N34" s="47"/>
      <c r="O34" s="35">
        <f t="shared" si="7"/>
        <v>123.45228073328515</v>
      </c>
      <c r="P34" s="74">
        <f t="shared" si="8"/>
        <v>1</v>
      </c>
      <c r="Q34" s="67">
        <v>5.7767230990579161</v>
      </c>
      <c r="R34" s="39">
        <v>0</v>
      </c>
      <c r="S34"/>
      <c r="T34"/>
      <c r="U34"/>
      <c r="V34"/>
      <c r="W34"/>
      <c r="X34"/>
      <c r="Y34"/>
      <c r="Z34"/>
      <c r="AA34"/>
      <c r="AB34"/>
      <c r="AC34"/>
      <c r="AD34"/>
      <c r="AE34"/>
      <c r="AF34"/>
      <c r="AG34"/>
      <c r="AH34"/>
    </row>
    <row r="35" spans="1:34">
      <c r="A35" s="1">
        <v>34819</v>
      </c>
      <c r="B35" s="33">
        <f t="shared" si="4"/>
        <v>24</v>
      </c>
      <c r="C35" s="33">
        <f t="shared" si="5"/>
        <v>53537</v>
      </c>
      <c r="D35">
        <v>1300</v>
      </c>
      <c r="E35" s="17"/>
      <c r="F35" s="31">
        <f t="shared" si="9"/>
        <v>0.57870590724641624</v>
      </c>
      <c r="G35" s="31">
        <f t="shared" si="10"/>
        <v>2.3686009563865573E-2</v>
      </c>
      <c r="H35" s="17"/>
      <c r="J35" s="35">
        <f t="shared" si="1"/>
        <v>57870.590724641625</v>
      </c>
      <c r="K35" s="35">
        <f t="shared" si="6"/>
        <v>2368.6009563865591</v>
      </c>
      <c r="L35" s="78">
        <f t="shared" si="2"/>
        <v>0.82200073568196852</v>
      </c>
      <c r="M35" s="70">
        <f t="shared" si="3"/>
        <v>8.094571463925182E-2</v>
      </c>
      <c r="N35" s="47"/>
      <c r="O35" s="35">
        <f t="shared" si="7"/>
        <v>131.79170306663823</v>
      </c>
      <c r="P35" s="74">
        <f t="shared" si="8"/>
        <v>1</v>
      </c>
      <c r="Q35" s="67">
        <v>5.6493262888601423</v>
      </c>
      <c r="R35" s="39">
        <v>0</v>
      </c>
      <c r="S35"/>
      <c r="T35" s="6" t="s">
        <v>30</v>
      </c>
      <c r="U35"/>
      <c r="V35"/>
      <c r="W35"/>
      <c r="X35"/>
      <c r="AH35" s="5"/>
    </row>
    <row r="36" spans="1:34">
      <c r="A36" s="1">
        <v>34826</v>
      </c>
      <c r="B36" s="33">
        <f t="shared" si="4"/>
        <v>25</v>
      </c>
      <c r="C36" s="33">
        <f t="shared" si="5"/>
        <v>54664</v>
      </c>
      <c r="D36">
        <v>1127</v>
      </c>
      <c r="E36" s="17"/>
      <c r="F36" s="31">
        <f t="shared" si="9"/>
        <v>0.60162358762824986</v>
      </c>
      <c r="G36" s="31">
        <f t="shared" si="10"/>
        <v>2.2917680381833616E-2</v>
      </c>
      <c r="H36" s="17"/>
      <c r="J36" s="35">
        <f t="shared" si="1"/>
        <v>60162.358762824988</v>
      </c>
      <c r="K36" s="35">
        <f t="shared" si="6"/>
        <v>2291.7680381833634</v>
      </c>
      <c r="L36" s="78">
        <f t="shared" si="2"/>
        <v>1.0335120125850608</v>
      </c>
      <c r="M36" s="70">
        <f t="shared" si="3"/>
        <v>0.1005846400341173</v>
      </c>
      <c r="N36" s="47"/>
      <c r="O36" s="35">
        <f t="shared" si="7"/>
        <v>140.31947821767935</v>
      </c>
      <c r="P36" s="74">
        <f t="shared" si="8"/>
        <v>1</v>
      </c>
      <c r="Q36" s="67">
        <v>5.8171111599632042</v>
      </c>
      <c r="R36" s="39">
        <v>0</v>
      </c>
      <c r="S36"/>
      <c r="T36" s="6" t="s">
        <v>31</v>
      </c>
      <c r="U36"/>
      <c r="V36"/>
      <c r="W36"/>
      <c r="X36"/>
      <c r="AH36" s="5"/>
    </row>
    <row r="37" spans="1:34">
      <c r="A37" s="1">
        <v>34833</v>
      </c>
      <c r="B37" s="33">
        <f t="shared" si="4"/>
        <v>26</v>
      </c>
      <c r="C37" s="33">
        <f t="shared" si="5"/>
        <v>55661</v>
      </c>
      <c r="D37">
        <v>997</v>
      </c>
      <c r="E37" s="17"/>
      <c r="F37" s="31">
        <f t="shared" si="9"/>
        <v>0.62375095685947757</v>
      </c>
      <c r="G37" s="31">
        <f t="shared" si="10"/>
        <v>2.2127369231227711E-2</v>
      </c>
      <c r="H37" s="17"/>
      <c r="J37" s="35">
        <f t="shared" si="1"/>
        <v>62375.095685947759</v>
      </c>
      <c r="K37" s="35">
        <f t="shared" si="6"/>
        <v>2212.7369231227713</v>
      </c>
      <c r="L37" s="78">
        <f t="shared" si="2"/>
        <v>1.2193951084481156</v>
      </c>
      <c r="M37" s="70">
        <f t="shared" si="3"/>
        <v>0.12062477652122239</v>
      </c>
      <c r="N37" s="47"/>
      <c r="O37" s="35">
        <f t="shared" si="7"/>
        <v>149.03207003347237</v>
      </c>
      <c r="P37" s="74">
        <f t="shared" si="8"/>
        <v>1</v>
      </c>
      <c r="Q37" s="67">
        <v>5.7313976416891741</v>
      </c>
      <c r="R37" s="39">
        <v>0</v>
      </c>
      <c r="S37"/>
      <c r="T37" s="6" t="s">
        <v>32</v>
      </c>
      <c r="U37"/>
      <c r="V37"/>
      <c r="W37"/>
      <c r="X37"/>
      <c r="AH37" s="5"/>
    </row>
    <row r="38" spans="1:34">
      <c r="A38" s="1">
        <v>34840</v>
      </c>
      <c r="B38" s="33">
        <f t="shared" si="4"/>
        <v>27</v>
      </c>
      <c r="C38" s="33">
        <f t="shared" si="5"/>
        <v>56495</v>
      </c>
      <c r="D38">
        <v>834</v>
      </c>
      <c r="E38" s="17"/>
      <c r="F38" s="31">
        <f t="shared" si="9"/>
        <v>0.64507202381014772</v>
      </c>
      <c r="G38" s="31">
        <f t="shared" si="10"/>
        <v>2.1321066950670153E-2</v>
      </c>
      <c r="H38" s="17"/>
      <c r="J38" s="35">
        <f t="shared" si="1"/>
        <v>64507.202381014773</v>
      </c>
      <c r="K38" s="35">
        <f t="shared" si="6"/>
        <v>2132.1066950670138</v>
      </c>
      <c r="L38" s="78">
        <f t="shared" si="2"/>
        <v>1.5564828478021748</v>
      </c>
      <c r="M38" s="70">
        <f t="shared" si="3"/>
        <v>0.14182144226948887</v>
      </c>
      <c r="N38" s="47"/>
      <c r="O38" s="35">
        <f t="shared" si="7"/>
        <v>157.926143721947</v>
      </c>
      <c r="P38" s="74">
        <f t="shared" si="8"/>
        <v>1</v>
      </c>
      <c r="Q38" s="67">
        <v>4.8918517581062888</v>
      </c>
      <c r="R38" s="39">
        <v>0</v>
      </c>
      <c r="S38"/>
      <c r="T38"/>
      <c r="U38"/>
      <c r="V38"/>
      <c r="W38"/>
      <c r="X38"/>
      <c r="AH38" s="5"/>
    </row>
    <row r="39" spans="1:34">
      <c r="A39" s="4"/>
      <c r="B39" s="4"/>
      <c r="C39" s="4"/>
      <c r="H39" s="17"/>
    </row>
    <row r="40" spans="1:34">
      <c r="A40" s="4"/>
      <c r="B40" s="4"/>
      <c r="C40" s="4"/>
    </row>
    <row r="41" spans="1:34">
      <c r="A41" s="4"/>
      <c r="B41" s="4" t="s">
        <v>119</v>
      </c>
      <c r="C41" s="4"/>
      <c r="H41"/>
      <c r="I41"/>
      <c r="J41"/>
      <c r="K41"/>
      <c r="L41"/>
      <c r="M41"/>
      <c r="N41"/>
      <c r="O41"/>
      <c r="P41"/>
      <c r="Q41"/>
      <c r="R41"/>
      <c r="S41"/>
      <c r="T41"/>
      <c r="U41"/>
      <c r="V41"/>
      <c r="W41"/>
      <c r="X41"/>
    </row>
    <row r="42" spans="1:34">
      <c r="A42" s="4"/>
      <c r="B42" s="4"/>
      <c r="C42" s="4"/>
      <c r="E42" s="7"/>
      <c r="F42" s="7"/>
      <c r="G42" s="7"/>
      <c r="H42"/>
      <c r="I42"/>
      <c r="J42"/>
      <c r="K42"/>
      <c r="L42"/>
      <c r="M42"/>
      <c r="N42"/>
      <c r="O42"/>
      <c r="P42"/>
      <c r="Q42"/>
      <c r="R42"/>
      <c r="S42"/>
      <c r="T42"/>
      <c r="U42"/>
      <c r="V42"/>
      <c r="W42"/>
      <c r="X42"/>
    </row>
    <row r="43" spans="1:34">
      <c r="A43" s="4"/>
      <c r="B43" s="69" t="s">
        <v>127</v>
      </c>
      <c r="C43" s="69"/>
      <c r="E43" s="7"/>
      <c r="F43" s="7"/>
      <c r="G43" s="7"/>
      <c r="H43"/>
      <c r="I43"/>
      <c r="J43"/>
      <c r="K43"/>
      <c r="L43"/>
      <c r="M43"/>
      <c r="N43"/>
      <c r="O43"/>
      <c r="P43"/>
      <c r="Q43"/>
      <c r="R43"/>
      <c r="S43"/>
      <c r="T43"/>
      <c r="U43"/>
      <c r="V43"/>
      <c r="W43"/>
      <c r="X43"/>
    </row>
    <row r="44" spans="1:34">
      <c r="A44" s="4"/>
      <c r="B44" s="69" t="s">
        <v>136</v>
      </c>
      <c r="C44" s="4"/>
      <c r="E44" s="7"/>
      <c r="F44" s="7"/>
      <c r="G44" s="7"/>
      <c r="H44"/>
      <c r="I44"/>
      <c r="J44"/>
      <c r="K44"/>
      <c r="L44"/>
      <c r="M44"/>
      <c r="N44"/>
      <c r="O44"/>
      <c r="P44"/>
      <c r="Q44"/>
      <c r="R44"/>
      <c r="S44"/>
      <c r="T44"/>
      <c r="U44"/>
      <c r="V44"/>
      <c r="W44"/>
      <c r="X44"/>
    </row>
    <row r="45" spans="1:34">
      <c r="A45" s="4"/>
      <c r="B45" s="69" t="s">
        <v>135</v>
      </c>
      <c r="C45" s="4"/>
      <c r="H45"/>
      <c r="I45"/>
      <c r="J45"/>
      <c r="K45"/>
      <c r="L45"/>
      <c r="M45"/>
      <c r="N45"/>
      <c r="O45"/>
      <c r="P45"/>
      <c r="Q45"/>
      <c r="R45"/>
      <c r="S45"/>
      <c r="T45"/>
      <c r="U45"/>
      <c r="V45"/>
      <c r="W45"/>
      <c r="X45"/>
    </row>
    <row r="46" spans="1:34">
      <c r="A46" s="4"/>
      <c r="B46" s="4"/>
      <c r="C46" s="4"/>
      <c r="E46" s="7"/>
      <c r="F46" s="7"/>
      <c r="G46" s="7"/>
      <c r="H46"/>
      <c r="I46"/>
      <c r="J46"/>
      <c r="K46"/>
      <c r="L46"/>
      <c r="M46"/>
      <c r="N46"/>
      <c r="O46"/>
      <c r="P46"/>
      <c r="Q46"/>
      <c r="R46"/>
      <c r="S46"/>
      <c r="T46"/>
      <c r="U46"/>
      <c r="V46"/>
      <c r="W46"/>
      <c r="X46"/>
    </row>
    <row r="47" spans="1:34">
      <c r="A47" s="4"/>
      <c r="B47" s="68" t="s">
        <v>137</v>
      </c>
      <c r="C47" s="4"/>
      <c r="E47" s="20"/>
      <c r="F47" s="20"/>
      <c r="G47" s="20"/>
      <c r="H47"/>
      <c r="I47"/>
      <c r="J47"/>
      <c r="K47"/>
      <c r="L47"/>
      <c r="M47"/>
      <c r="N47"/>
      <c r="O47"/>
      <c r="P47"/>
      <c r="Q47"/>
      <c r="R47"/>
      <c r="S47"/>
      <c r="T47"/>
      <c r="U47"/>
      <c r="V47"/>
      <c r="W47"/>
      <c r="X47"/>
    </row>
    <row r="48" spans="1:34">
      <c r="A48" s="4"/>
      <c r="C48" s="4"/>
      <c r="H48"/>
      <c r="I48"/>
      <c r="J48"/>
      <c r="K48"/>
      <c r="L48"/>
      <c r="M48"/>
      <c r="N48"/>
      <c r="O48"/>
      <c r="P48"/>
      <c r="Q48"/>
      <c r="R48"/>
      <c r="S48"/>
      <c r="T48"/>
      <c r="U48"/>
      <c r="V48"/>
      <c r="W48"/>
      <c r="X48"/>
    </row>
    <row r="49" spans="1:24">
      <c r="A49" s="4"/>
      <c r="B49" s="4"/>
      <c r="C49" s="4"/>
      <c r="H49"/>
      <c r="I49"/>
      <c r="J49"/>
      <c r="K49"/>
      <c r="L49"/>
      <c r="M49"/>
      <c r="N49"/>
      <c r="O49"/>
      <c r="P49"/>
      <c r="Q49"/>
      <c r="R49"/>
      <c r="S49"/>
      <c r="T49"/>
      <c r="U49"/>
      <c r="V49"/>
      <c r="W49"/>
      <c r="X49"/>
    </row>
    <row r="50" spans="1:24">
      <c r="A50" s="4"/>
      <c r="B50" s="4"/>
      <c r="C50" s="4"/>
      <c r="H50"/>
      <c r="I50"/>
      <c r="J50"/>
      <c r="K50"/>
      <c r="L50"/>
      <c r="M50"/>
      <c r="N50"/>
      <c r="O50"/>
      <c r="P50"/>
      <c r="Q50"/>
      <c r="R50"/>
      <c r="S50"/>
      <c r="T50"/>
      <c r="U50"/>
      <c r="V50"/>
      <c r="W50"/>
      <c r="X50"/>
    </row>
    <row r="51" spans="1:24">
      <c r="A51" s="4"/>
      <c r="C51" s="4"/>
      <c r="D51" s="9"/>
      <c r="H51"/>
      <c r="I51"/>
      <c r="J51"/>
      <c r="K51"/>
      <c r="L51"/>
      <c r="M51"/>
      <c r="N51"/>
      <c r="O51"/>
      <c r="P51"/>
      <c r="Q51"/>
      <c r="R51"/>
      <c r="S51"/>
      <c r="T51"/>
      <c r="U51"/>
      <c r="V51"/>
      <c r="W51"/>
      <c r="X51"/>
    </row>
    <row r="52" spans="1:24">
      <c r="A52" s="4"/>
      <c r="B52" s="4"/>
      <c r="C52" s="4"/>
      <c r="H52"/>
      <c r="I52"/>
      <c r="J52"/>
      <c r="K52"/>
      <c r="L52"/>
      <c r="M52"/>
      <c r="N52"/>
      <c r="O52"/>
      <c r="P52"/>
      <c r="Q52"/>
      <c r="R52"/>
      <c r="S52"/>
      <c r="T52"/>
      <c r="U52"/>
      <c r="V52"/>
      <c r="W52"/>
      <c r="X52"/>
    </row>
    <row r="53" spans="1:24">
      <c r="A53" s="4"/>
      <c r="B53" s="4"/>
      <c r="C53" s="4"/>
      <c r="H53"/>
      <c r="I53"/>
      <c r="J53"/>
      <c r="K53"/>
      <c r="L53"/>
      <c r="M53"/>
      <c r="N53"/>
      <c r="O53"/>
      <c r="P53"/>
      <c r="Q53"/>
      <c r="R53"/>
      <c r="S53"/>
      <c r="T53"/>
      <c r="U53"/>
      <c r="V53"/>
      <c r="W53"/>
      <c r="X53"/>
    </row>
    <row r="54" spans="1:24" ht="14.25">
      <c r="A54" s="4"/>
      <c r="B54" s="4"/>
      <c r="C54" s="4"/>
      <c r="D54" s="9"/>
      <c r="E54" s="10"/>
      <c r="F54" s="10"/>
      <c r="G54" s="10"/>
      <c r="H54"/>
      <c r="I54"/>
      <c r="J54"/>
      <c r="K54"/>
      <c r="L54"/>
      <c r="M54"/>
      <c r="N54"/>
      <c r="O54"/>
      <c r="P54"/>
      <c r="Q54"/>
      <c r="R54"/>
      <c r="S54"/>
      <c r="T54"/>
      <c r="U54"/>
      <c r="V54"/>
      <c r="W54"/>
      <c r="X54"/>
    </row>
    <row r="55" spans="1:24">
      <c r="A55" s="4"/>
      <c r="B55" s="4"/>
      <c r="C55" s="4"/>
      <c r="D55" s="3"/>
      <c r="H55"/>
      <c r="I55"/>
      <c r="J55"/>
      <c r="K55"/>
      <c r="L55"/>
      <c r="M55"/>
      <c r="N55"/>
      <c r="O55"/>
      <c r="P55"/>
      <c r="Q55"/>
      <c r="R55"/>
      <c r="S55"/>
      <c r="T55"/>
      <c r="U55"/>
      <c r="V55"/>
      <c r="W55"/>
      <c r="X55"/>
    </row>
    <row r="56" spans="1:24">
      <c r="A56" s="4"/>
      <c r="B56" s="4"/>
      <c r="C56" s="4"/>
      <c r="E56" s="7"/>
      <c r="F56" s="7"/>
      <c r="G56" s="7"/>
      <c r="H56"/>
      <c r="I56"/>
      <c r="J56"/>
      <c r="K56"/>
      <c r="L56"/>
      <c r="M56"/>
      <c r="N56"/>
      <c r="O56"/>
      <c r="P56"/>
      <c r="Q56"/>
      <c r="R56"/>
      <c r="S56"/>
      <c r="T56"/>
      <c r="U56"/>
      <c r="V56"/>
      <c r="W56"/>
      <c r="X56"/>
    </row>
    <row r="57" spans="1:24">
      <c r="A57" s="4"/>
      <c r="B57" s="4"/>
      <c r="C57" s="4"/>
      <c r="E57" s="14"/>
      <c r="F57" s="14"/>
      <c r="G57" s="14"/>
      <c r="H57"/>
      <c r="I57"/>
      <c r="J57"/>
      <c r="K57"/>
      <c r="L57"/>
      <c r="M57"/>
      <c r="N57"/>
      <c r="O57"/>
      <c r="P57"/>
      <c r="Q57"/>
      <c r="R57"/>
      <c r="S57"/>
      <c r="T57"/>
      <c r="U57"/>
      <c r="V57"/>
      <c r="W57"/>
      <c r="X57"/>
    </row>
    <row r="58" spans="1:24">
      <c r="H58"/>
      <c r="I58"/>
      <c r="J58"/>
      <c r="K58"/>
      <c r="L58"/>
      <c r="M58"/>
      <c r="N58"/>
      <c r="O58"/>
      <c r="P58"/>
      <c r="Q58"/>
      <c r="R58"/>
      <c r="S58"/>
      <c r="T58"/>
      <c r="U58"/>
      <c r="V58"/>
      <c r="W58"/>
      <c r="X58"/>
    </row>
    <row r="59" spans="1:24">
      <c r="E59" s="7"/>
      <c r="F59" s="7"/>
      <c r="G59" s="7"/>
      <c r="H59"/>
      <c r="I59"/>
      <c r="J59"/>
      <c r="K59"/>
      <c r="L59"/>
      <c r="M59"/>
      <c r="N59"/>
      <c r="O59"/>
      <c r="P59"/>
      <c r="Q59"/>
      <c r="R59"/>
      <c r="S59"/>
      <c r="T59"/>
      <c r="U59"/>
      <c r="V59"/>
      <c r="W59"/>
      <c r="X59"/>
    </row>
    <row r="60" spans="1:24">
      <c r="H60"/>
      <c r="I60"/>
      <c r="J60"/>
      <c r="K60"/>
      <c r="L60"/>
      <c r="M60"/>
      <c r="N60"/>
      <c r="O60"/>
      <c r="P60"/>
      <c r="Q60"/>
      <c r="R60"/>
      <c r="S60"/>
      <c r="T60"/>
      <c r="U60"/>
      <c r="V60"/>
      <c r="W60"/>
      <c r="X60"/>
    </row>
    <row r="61" spans="1:24">
      <c r="H61"/>
      <c r="I61"/>
      <c r="J61"/>
      <c r="K61"/>
      <c r="L61"/>
      <c r="M61"/>
      <c r="N61"/>
      <c r="O61"/>
      <c r="P61"/>
      <c r="Q61"/>
      <c r="R61"/>
      <c r="S61"/>
      <c r="T61"/>
      <c r="U61"/>
      <c r="V61"/>
      <c r="W61"/>
      <c r="X61"/>
    </row>
    <row r="62" spans="1:24" ht="15">
      <c r="E62" s="18"/>
      <c r="F62" s="18"/>
      <c r="G62" s="18"/>
      <c r="H62"/>
      <c r="I62"/>
      <c r="J62"/>
      <c r="K62"/>
      <c r="L62"/>
      <c r="M62"/>
      <c r="N62"/>
      <c r="O62"/>
      <c r="P62"/>
      <c r="Q62"/>
      <c r="R62"/>
      <c r="S62"/>
      <c r="T62"/>
      <c r="U62"/>
      <c r="V62"/>
      <c r="W62"/>
      <c r="X62"/>
    </row>
    <row r="63" spans="1:24">
      <c r="H63"/>
      <c r="I63"/>
      <c r="J63"/>
      <c r="K63"/>
      <c r="L63"/>
      <c r="M63"/>
      <c r="N63"/>
      <c r="O63"/>
      <c r="P63"/>
      <c r="Q63"/>
      <c r="R63"/>
      <c r="S63"/>
      <c r="T63"/>
      <c r="U63"/>
      <c r="V63"/>
      <c r="W63"/>
      <c r="X63"/>
    </row>
    <row r="64" spans="1:24">
      <c r="H64"/>
      <c r="I64"/>
      <c r="J64"/>
      <c r="K64"/>
      <c r="L64"/>
      <c r="M64"/>
      <c r="N64"/>
      <c r="O64"/>
      <c r="P64"/>
      <c r="Q64"/>
      <c r="R64"/>
      <c r="S64"/>
      <c r="T64"/>
      <c r="U64"/>
      <c r="V64"/>
      <c r="W64"/>
      <c r="X64"/>
    </row>
    <row r="65" spans="8:24">
      <c r="H65"/>
      <c r="I65"/>
      <c r="J65"/>
      <c r="K65"/>
      <c r="L65"/>
      <c r="M65"/>
      <c r="N65"/>
      <c r="O65"/>
      <c r="P65"/>
      <c r="Q65"/>
      <c r="R65"/>
      <c r="S65"/>
      <c r="T65"/>
      <c r="U65"/>
      <c r="V65"/>
      <c r="W65"/>
      <c r="X65"/>
    </row>
    <row r="66" spans="8:24">
      <c r="H66"/>
      <c r="I66"/>
      <c r="J66"/>
      <c r="K66"/>
      <c r="L66"/>
      <c r="M66"/>
      <c r="N66"/>
      <c r="O66"/>
      <c r="P66"/>
      <c r="Q66"/>
      <c r="R66"/>
      <c r="S66"/>
      <c r="T66"/>
      <c r="U66"/>
      <c r="V66"/>
      <c r="W66"/>
      <c r="X66"/>
    </row>
    <row r="67" spans="8:24">
      <c r="H67"/>
      <c r="I67"/>
      <c r="J67"/>
      <c r="K67"/>
      <c r="L67"/>
      <c r="M67"/>
      <c r="N67"/>
      <c r="O67"/>
      <c r="P67"/>
      <c r="Q67"/>
      <c r="R67"/>
      <c r="S67"/>
      <c r="T67"/>
      <c r="U67"/>
      <c r="V67"/>
      <c r="W67"/>
      <c r="X67"/>
    </row>
    <row r="68" spans="8:24">
      <c r="H68"/>
      <c r="I68"/>
      <c r="J68"/>
      <c r="K68"/>
      <c r="L68"/>
      <c r="M68"/>
      <c r="N68"/>
      <c r="O68"/>
      <c r="P68"/>
      <c r="Q68"/>
      <c r="R68"/>
      <c r="S68"/>
      <c r="T68"/>
      <c r="U68"/>
      <c r="V68"/>
      <c r="W68"/>
      <c r="X68"/>
    </row>
    <row r="69" spans="8:24">
      <c r="H69"/>
      <c r="I69"/>
      <c r="J69"/>
      <c r="K69"/>
      <c r="L69"/>
      <c r="M69"/>
      <c r="N69"/>
      <c r="O69"/>
      <c r="P69"/>
      <c r="Q69"/>
      <c r="R69"/>
      <c r="S69"/>
      <c r="T69"/>
      <c r="U69"/>
      <c r="V69"/>
      <c r="W69"/>
      <c r="X69"/>
    </row>
  </sheetData>
  <scenarios current="0" show="0">
    <scenario name="pittsfield best fit" locked="1" count="1" user="Author">
      <inputCells r="D37" deleted="1" val=""/>
    </scenario>
  </scenarios>
  <mergeCells count="2">
    <mergeCell ref="S2:U2"/>
    <mergeCell ref="T12:T15"/>
  </mergeCells>
  <printOptions gridLines="1" gridLinesSet="0"/>
  <pageMargins left="0.75" right="0.75" top="1" bottom="1" header="0.5" footer="0.5"/>
  <pageSetup orientation="portrait" r:id="rId1"/>
  <headerFooter alignWithMargins="0">
    <oddHeader>&amp;A</oddHeader>
    <oddFooter>Page &amp;P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5D988-AC9A-40FF-B0E7-F49032728C6D}">
  <dimension ref="A1:AH71"/>
  <sheetViews>
    <sheetView zoomScale="85" zoomScaleNormal="85" workbookViewId="0">
      <selection activeCell="G9" sqref="G9"/>
    </sheetView>
  </sheetViews>
  <sheetFormatPr defaultRowHeight="12.75"/>
  <cols>
    <col min="1" max="1" width="12" style="2" customWidth="1"/>
    <col min="2" max="2" width="10.85546875" style="2" customWidth="1"/>
    <col min="3" max="3" width="15.42578125" style="2" customWidth="1"/>
    <col min="4" max="4" width="10.5703125" style="2" customWidth="1"/>
    <col min="5" max="5" width="3.7109375" style="2" customWidth="1"/>
    <col min="6" max="6" width="10.28515625" style="2" customWidth="1"/>
    <col min="7" max="7" width="11.85546875" style="2" customWidth="1"/>
    <col min="8" max="8" width="10.5703125" style="2" customWidth="1"/>
    <col min="9" max="9" width="3.28515625" style="2" customWidth="1"/>
    <col min="10" max="10" width="11.140625" style="2" customWidth="1"/>
    <col min="11" max="11" width="13" style="2" customWidth="1"/>
    <col min="12" max="12" width="13.28515625" style="2" customWidth="1"/>
    <col min="13" max="13" width="7.7109375" style="2" customWidth="1"/>
    <col min="14" max="14" width="6.7109375" style="54" customWidth="1"/>
    <col min="15" max="15" width="11" style="2" customWidth="1"/>
    <col min="16" max="16" width="10.5703125" style="2" customWidth="1"/>
    <col min="17" max="17" width="11.28515625" style="2" customWidth="1"/>
    <col min="18" max="18" width="13.5703125" style="2" customWidth="1"/>
    <col min="19" max="19" width="6.85546875" style="2" customWidth="1"/>
    <col min="20" max="20" width="7.140625" style="2" customWidth="1"/>
    <col min="21" max="22" width="6.7109375" style="2" customWidth="1"/>
    <col min="23" max="23" width="11.140625" style="2" customWidth="1"/>
    <col min="24" max="24" width="12.28515625" style="2" bestFit="1" customWidth="1"/>
    <col min="25" max="16384" width="9.140625" style="2"/>
  </cols>
  <sheetData>
    <row r="1" spans="1:34" customFormat="1">
      <c r="K1" s="50" t="s">
        <v>174</v>
      </c>
      <c r="L1" s="50" t="s">
        <v>175</v>
      </c>
      <c r="Q1" s="50" t="s">
        <v>174</v>
      </c>
      <c r="R1" s="50" t="s">
        <v>175</v>
      </c>
    </row>
    <row r="2" spans="1:34">
      <c r="A2" s="2" t="s">
        <v>117</v>
      </c>
      <c r="B2" s="90">
        <f>EXP(C2)</f>
        <v>1.0265634287360348E-2</v>
      </c>
      <c r="C2" s="27">
        <v>-4.5789534391527944</v>
      </c>
      <c r="E2" s="27"/>
      <c r="F2" s="2" t="s">
        <v>107</v>
      </c>
      <c r="G2" s="28">
        <f>-2*G3+3*LN(B7)</f>
        <v>506017.87433552986</v>
      </c>
      <c r="J2" s="2" t="s">
        <v>107</v>
      </c>
      <c r="K2" s="28">
        <v>381220.0458037841</v>
      </c>
      <c r="L2" s="28">
        <v>380895.22142140713</v>
      </c>
      <c r="N2" s="46"/>
      <c r="P2" s="2" t="s">
        <v>117</v>
      </c>
      <c r="Q2" s="27">
        <v>0.11670869495634509</v>
      </c>
      <c r="R2" s="27">
        <v>4.5703560626051818</v>
      </c>
    </row>
    <row r="3" spans="1:34">
      <c r="A3" s="2" t="s">
        <v>98</v>
      </c>
      <c r="B3" s="27">
        <f>EXP(C3)</f>
        <v>1.3248645532306162</v>
      </c>
      <c r="C3" s="27">
        <v>0.28131023023606527</v>
      </c>
      <c r="E3" s="27"/>
      <c r="F3" s="2" t="s">
        <v>99</v>
      </c>
      <c r="G3" s="28">
        <f>SUM(H13:H40)</f>
        <v>-252991.66777956748</v>
      </c>
      <c r="J3" s="2" t="s">
        <v>99</v>
      </c>
      <c r="K3" s="28">
        <v>-190586.99705096212</v>
      </c>
      <c r="L3" s="28">
        <v>-190424.58485977363</v>
      </c>
      <c r="N3" s="46"/>
      <c r="P3" s="2" t="s">
        <v>115</v>
      </c>
      <c r="Q3" s="27">
        <v>-0.10286892122675609</v>
      </c>
      <c r="R3" s="27">
        <v>-0.27673821713283719</v>
      </c>
      <c r="S3" s="192"/>
      <c r="T3" s="192"/>
      <c r="U3" s="192"/>
      <c r="V3" s="37"/>
      <c r="W3"/>
      <c r="X3"/>
      <c r="Y3"/>
      <c r="Z3"/>
      <c r="AA3"/>
      <c r="AB3"/>
      <c r="AC3"/>
      <c r="AD3"/>
      <c r="AE3"/>
      <c r="AF3"/>
      <c r="AG3"/>
      <c r="AH3"/>
    </row>
    <row r="4" spans="1:34">
      <c r="A4" s="75" t="s">
        <v>115</v>
      </c>
      <c r="B4" s="186">
        <f>C4</f>
        <v>5.7566586123310268E-4</v>
      </c>
      <c r="C4" s="27">
        <v>5.7566586123310268E-4</v>
      </c>
      <c r="E4" s="27"/>
      <c r="F4" s="2" t="s">
        <v>130</v>
      </c>
      <c r="G4" s="77">
        <f>AVERAGE(M13:M30)</f>
        <v>0.15494600631417355</v>
      </c>
      <c r="J4" s="2" t="s">
        <v>130</v>
      </c>
      <c r="K4" s="84">
        <v>4.24989853747288E-2</v>
      </c>
      <c r="L4" s="84">
        <v>1.8549944541159224E-2</v>
      </c>
      <c r="N4" s="46"/>
      <c r="P4" s="2" t="s">
        <v>134</v>
      </c>
      <c r="Q4" s="27">
        <v>-1.6752135517449864</v>
      </c>
      <c r="R4" s="27">
        <v>-3.7587152258840972</v>
      </c>
      <c r="S4" s="37"/>
      <c r="T4" s="37"/>
      <c r="U4" s="37"/>
      <c r="V4" s="37"/>
      <c r="W4"/>
      <c r="X4"/>
      <c r="Y4"/>
      <c r="Z4"/>
      <c r="AA4"/>
      <c r="AB4"/>
      <c r="AC4"/>
      <c r="AD4"/>
      <c r="AE4"/>
      <c r="AF4"/>
      <c r="AG4"/>
      <c r="AH4"/>
    </row>
    <row r="5" spans="1:34">
      <c r="A5" s="75" t="s">
        <v>134</v>
      </c>
      <c r="B5" s="76">
        <f>C5</f>
        <v>0</v>
      </c>
      <c r="C5" s="27">
        <v>0</v>
      </c>
      <c r="E5" s="27"/>
      <c r="F5" s="2" t="s">
        <v>139</v>
      </c>
      <c r="G5" s="77">
        <f>AVERAGE(M31:M39)</f>
        <v>2.8575662930413734E-2</v>
      </c>
      <c r="J5" s="2" t="s">
        <v>139</v>
      </c>
      <c r="K5" s="84">
        <v>9.1279598127253711E-2</v>
      </c>
      <c r="L5" s="84">
        <v>7.1293667778686121E-2</v>
      </c>
      <c r="N5" s="46"/>
      <c r="P5" s="2" t="s">
        <v>143</v>
      </c>
      <c r="Q5" s="27">
        <v>0.13996363852565474</v>
      </c>
      <c r="R5" s="27">
        <v>0.24137354602104738</v>
      </c>
      <c r="S5" s="37"/>
      <c r="T5" s="37"/>
      <c r="U5" s="37"/>
      <c r="V5" s="37"/>
      <c r="W5"/>
      <c r="X5"/>
      <c r="Y5"/>
      <c r="Z5"/>
      <c r="AA5"/>
      <c r="AB5"/>
      <c r="AC5"/>
      <c r="AD5"/>
      <c r="AE5"/>
      <c r="AF5"/>
      <c r="AG5"/>
      <c r="AH5"/>
    </row>
    <row r="6" spans="1:34">
      <c r="A6" s="2" t="s">
        <v>143</v>
      </c>
      <c r="B6" s="27">
        <f>EXP(C6)</f>
        <v>1</v>
      </c>
      <c r="C6" s="27">
        <v>0</v>
      </c>
      <c r="E6" s="27"/>
      <c r="F6" s="2" t="s">
        <v>144</v>
      </c>
      <c r="G6" s="90">
        <f>CORREL(C13:C39,J13:J39)^2</f>
        <v>0.99406106069478584</v>
      </c>
      <c r="J6" s="2" t="s">
        <v>144</v>
      </c>
      <c r="K6" s="84">
        <v>0.98980634403025325</v>
      </c>
      <c r="L6" s="84">
        <v>0.99317876558895657</v>
      </c>
      <c r="N6" s="46"/>
      <c r="P6" s="2" t="s">
        <v>98</v>
      </c>
      <c r="Q6" s="27"/>
      <c r="R6" s="27">
        <v>0.39086370201274029</v>
      </c>
      <c r="S6" s="37"/>
      <c r="T6" s="37"/>
      <c r="U6" s="37"/>
      <c r="V6" s="37"/>
      <c r="W6"/>
      <c r="X6"/>
      <c r="Y6"/>
      <c r="Z6"/>
      <c r="AA6"/>
      <c r="AB6"/>
      <c r="AC6"/>
      <c r="AD6"/>
      <c r="AE6"/>
      <c r="AF6"/>
      <c r="AG6"/>
      <c r="AH6"/>
    </row>
    <row r="7" spans="1:34">
      <c r="A7" s="2" t="s">
        <v>105</v>
      </c>
      <c r="B7" s="28">
        <v>100000</v>
      </c>
      <c r="C7" s="27">
        <v>0</v>
      </c>
      <c r="E7" s="27"/>
      <c r="N7" s="46"/>
      <c r="S7" s="37"/>
      <c r="T7" s="37"/>
      <c r="U7" s="37"/>
      <c r="V7" s="37"/>
      <c r="W7"/>
      <c r="X7"/>
      <c r="Y7"/>
      <c r="Z7"/>
      <c r="AA7"/>
      <c r="AB7"/>
      <c r="AC7"/>
      <c r="AD7"/>
      <c r="AE7"/>
      <c r="AF7"/>
      <c r="AG7"/>
      <c r="AH7"/>
    </row>
    <row r="8" spans="1:34">
      <c r="B8" s="28"/>
      <c r="C8" s="27"/>
      <c r="E8" s="27"/>
      <c r="F8" s="115" t="s">
        <v>130</v>
      </c>
      <c r="G8" s="116">
        <f>AVERAGE(L13:L39)</f>
        <v>0.30912034588546938</v>
      </c>
      <c r="J8" s="115" t="s">
        <v>130</v>
      </c>
      <c r="K8" s="29">
        <v>0.12706300589379194</v>
      </c>
      <c r="L8" s="120">
        <v>8.9826638898003741E-2</v>
      </c>
      <c r="N8" s="46"/>
      <c r="S8" s="37"/>
      <c r="T8" s="37"/>
      <c r="U8" s="37"/>
      <c r="V8" s="37"/>
      <c r="W8"/>
      <c r="X8"/>
      <c r="Y8"/>
      <c r="Z8"/>
      <c r="AA8"/>
      <c r="AB8"/>
      <c r="AC8"/>
      <c r="AD8"/>
      <c r="AE8"/>
      <c r="AF8"/>
      <c r="AG8"/>
      <c r="AH8"/>
    </row>
    <row r="9" spans="1:34">
      <c r="B9" s="28"/>
      <c r="C9" s="27"/>
      <c r="E9" s="27"/>
      <c r="F9" s="115" t="s">
        <v>139</v>
      </c>
      <c r="G9" s="116">
        <f>AVERAGE(L31:L39)</f>
        <v>0.42935490039288199</v>
      </c>
      <c r="J9" s="115" t="s">
        <v>139</v>
      </c>
      <c r="K9" s="29">
        <v>0.89117399829838162</v>
      </c>
      <c r="L9" s="120">
        <v>0.73292518043545341</v>
      </c>
      <c r="N9" s="46"/>
      <c r="S9" s="37"/>
      <c r="T9" s="37"/>
      <c r="U9" s="37"/>
      <c r="V9" s="37"/>
      <c r="W9"/>
      <c r="X9"/>
      <c r="Y9"/>
      <c r="Z9"/>
      <c r="AA9"/>
      <c r="AB9"/>
      <c r="AC9"/>
      <c r="AD9"/>
      <c r="AE9"/>
      <c r="AF9"/>
      <c r="AG9"/>
      <c r="AH9"/>
    </row>
    <row r="10" spans="1:34">
      <c r="F10" s="115" t="s">
        <v>145</v>
      </c>
      <c r="G10" s="116">
        <f>MEDIAN(L13:L39)</f>
        <v>0.23041068396630085</v>
      </c>
      <c r="J10" s="115" t="s">
        <v>145</v>
      </c>
      <c r="K10" s="29">
        <v>0.17200685178261463</v>
      </c>
      <c r="L10" s="120">
        <v>0.13497189378736282</v>
      </c>
      <c r="N10" s="46"/>
      <c r="Q10" s="27">
        <f>B4</f>
        <v>5.7566586123310268E-4</v>
      </c>
      <c r="R10" s="27">
        <f>B5</f>
        <v>0</v>
      </c>
      <c r="S10" s="27"/>
      <c r="T10" s="27"/>
      <c r="W10"/>
      <c r="X10"/>
      <c r="Y10"/>
      <c r="Z10"/>
      <c r="AA10"/>
      <c r="AB10"/>
      <c r="AC10"/>
      <c r="AD10"/>
      <c r="AE10"/>
      <c r="AF10"/>
      <c r="AG10"/>
      <c r="AH10"/>
    </row>
    <row r="11" spans="1:34">
      <c r="L11" s="2" t="s">
        <v>171</v>
      </c>
      <c r="M11" s="2" t="s">
        <v>172</v>
      </c>
      <c r="N11" s="46"/>
      <c r="W11"/>
      <c r="X11"/>
      <c r="Y11"/>
      <c r="Z11"/>
      <c r="AA11"/>
      <c r="AB11"/>
      <c r="AC11"/>
      <c r="AD11"/>
      <c r="AE11"/>
      <c r="AF11"/>
      <c r="AG11"/>
      <c r="AH11"/>
    </row>
    <row r="12" spans="1:34">
      <c r="A12" s="32" t="s">
        <v>1</v>
      </c>
      <c r="B12" s="37" t="s">
        <v>100</v>
      </c>
      <c r="C12" s="37" t="s">
        <v>128</v>
      </c>
      <c r="D12" s="37" t="s">
        <v>101</v>
      </c>
      <c r="E12" s="7"/>
      <c r="F12" s="37" t="s">
        <v>103</v>
      </c>
      <c r="G12" s="32" t="s">
        <v>104</v>
      </c>
      <c r="H12" s="7"/>
      <c r="I12" s="7"/>
      <c r="J12" s="7" t="s">
        <v>106</v>
      </c>
      <c r="K12" s="7" t="s">
        <v>173</v>
      </c>
      <c r="L12" s="7" t="s">
        <v>129</v>
      </c>
      <c r="M12" s="7" t="s">
        <v>129</v>
      </c>
      <c r="N12" s="44"/>
      <c r="O12" s="7" t="s">
        <v>108</v>
      </c>
      <c r="P12" s="7" t="s">
        <v>109</v>
      </c>
      <c r="Q12" s="45" t="s">
        <v>116</v>
      </c>
      <c r="R12" s="45" t="s">
        <v>142</v>
      </c>
      <c r="S12"/>
      <c r="T12" s="16" t="s">
        <v>111</v>
      </c>
      <c r="U12"/>
      <c r="V12"/>
      <c r="W12"/>
      <c r="X12"/>
      <c r="Y12"/>
      <c r="Z12"/>
      <c r="AA12"/>
      <c r="AB12"/>
      <c r="AC12"/>
      <c r="AD12"/>
      <c r="AE12"/>
      <c r="AF12"/>
      <c r="AG12"/>
      <c r="AH12"/>
    </row>
    <row r="13" spans="1:34">
      <c r="A13" s="1">
        <v>34658</v>
      </c>
      <c r="B13" s="33">
        <v>1</v>
      </c>
      <c r="C13" s="33">
        <f>D13</f>
        <v>1375</v>
      </c>
      <c r="D13">
        <v>1375</v>
      </c>
      <c r="F13" s="31">
        <f>1-EXP(-$B$2*O13)</f>
        <v>1.1161104061659377E-2</v>
      </c>
      <c r="G13" s="31">
        <f>F13</f>
        <v>1.1161104061659377E-2</v>
      </c>
      <c r="H13" s="17">
        <f t="shared" ref="H13:H39" si="0">D13*IFERROR(LN(G13),-10000)</f>
        <v>-6181.0655454157913</v>
      </c>
      <c r="J13" s="35">
        <f t="shared" ref="J13:J39" si="1">$B$7*F13</f>
        <v>1116.1104061659378</v>
      </c>
      <c r="K13" s="35">
        <f>J13</f>
        <v>1116.1104061659378</v>
      </c>
      <c r="L13" s="78">
        <f>ABS((D13-K13)/D13)</f>
        <v>0.18828334097022709</v>
      </c>
      <c r="M13" s="78">
        <f>ABS((C13-J13)/C13)</f>
        <v>0.18828334097022709</v>
      </c>
      <c r="N13" s="47"/>
      <c r="O13" s="35">
        <f>B13^B3*P13</f>
        <v>1.0933427230082378</v>
      </c>
      <c r="P13" s="74">
        <f t="shared" ref="P13:P39" si="2">EXP(SUMPRODUCT($Q$10:$R$10,Q13:R13))</f>
        <v>1.0933427230082378</v>
      </c>
      <c r="Q13" s="67">
        <v>155.01999999999995</v>
      </c>
      <c r="R13" s="67">
        <f t="shared" ref="R13:R39" si="3">1-(1-EXP(-(B13-1)*$B$6))</f>
        <v>1</v>
      </c>
      <c r="S13" s="172"/>
      <c r="T13" s="196" t="s">
        <v>40</v>
      </c>
      <c r="U13" s="6" t="s">
        <v>49</v>
      </c>
      <c r="V13"/>
      <c r="W13"/>
      <c r="X13"/>
      <c r="Y13"/>
      <c r="Z13"/>
      <c r="AA13"/>
      <c r="AB13"/>
      <c r="AC13"/>
      <c r="AD13"/>
      <c r="AE13"/>
      <c r="AF13"/>
      <c r="AG13"/>
      <c r="AH13"/>
    </row>
    <row r="14" spans="1:34" ht="12.75" customHeight="1">
      <c r="A14" s="1">
        <v>34665</v>
      </c>
      <c r="B14" s="33">
        <f>B13+1</f>
        <v>2</v>
      </c>
      <c r="C14" s="33">
        <f>D14+C13</f>
        <v>2477</v>
      </c>
      <c r="D14">
        <v>1102</v>
      </c>
      <c r="F14" s="31">
        <f>1-EXP(-$B$2*O14)</f>
        <v>2.767084067205805E-2</v>
      </c>
      <c r="G14" s="31">
        <f>F14-F13</f>
        <v>1.6509736610398673E-2</v>
      </c>
      <c r="H14" s="17">
        <f t="shared" si="0"/>
        <v>-4522.3930819153184</v>
      </c>
      <c r="J14" s="35">
        <f t="shared" si="1"/>
        <v>2767.0840672058052</v>
      </c>
      <c r="K14" s="35">
        <f>J14-J13</f>
        <v>1650.9736610398675</v>
      </c>
      <c r="L14" s="78">
        <f t="shared" ref="L14:L39" si="4">ABS((D14-K14)/D14)</f>
        <v>0.49816121691458026</v>
      </c>
      <c r="M14" s="78">
        <f t="shared" ref="M14:M39" si="5">ABS((C14-J14)/C14)</f>
        <v>0.11711104852878694</v>
      </c>
      <c r="N14" s="47"/>
      <c r="O14" s="35">
        <f>O13+(B14^$B$3-B13^$B$3)*P14</f>
        <v>2.7334784951744533</v>
      </c>
      <c r="P14" s="74">
        <f t="shared" si="2"/>
        <v>1.0897233824308037</v>
      </c>
      <c r="Q14" s="67">
        <v>149.26000000000002</v>
      </c>
      <c r="R14" s="67">
        <f t="shared" si="3"/>
        <v>0.36787944117144233</v>
      </c>
      <c r="S14" s="172"/>
      <c r="T14" s="196"/>
      <c r="U14" s="6" t="s">
        <v>28</v>
      </c>
      <c r="V14"/>
      <c r="X14"/>
      <c r="Y14"/>
      <c r="Z14"/>
      <c r="AA14"/>
      <c r="AB14"/>
      <c r="AC14"/>
      <c r="AD14"/>
      <c r="AE14"/>
      <c r="AF14"/>
      <c r="AG14"/>
      <c r="AH14"/>
    </row>
    <row r="15" spans="1:34">
      <c r="A15" s="1">
        <v>34672</v>
      </c>
      <c r="B15" s="33">
        <f t="shared" ref="B15:B39" si="6">B14+1</f>
        <v>3</v>
      </c>
      <c r="C15" s="33">
        <f t="shared" ref="C15:C39" si="7">D15+C14</f>
        <v>3629</v>
      </c>
      <c r="D15">
        <v>1152</v>
      </c>
      <c r="F15" s="31">
        <f>1-EXP(-$B$2*O15)</f>
        <v>4.7709161118374643E-2</v>
      </c>
      <c r="G15" s="31">
        <f>F15-F14</f>
        <v>2.0038320446316593E-2</v>
      </c>
      <c r="H15" s="17">
        <f t="shared" si="0"/>
        <v>-4504.4453564257246</v>
      </c>
      <c r="J15" s="35">
        <f t="shared" si="1"/>
        <v>4770.9161118374641</v>
      </c>
      <c r="K15" s="35">
        <f t="shared" ref="K15:K39" si="8">J15-J14</f>
        <v>2003.8320446316588</v>
      </c>
      <c r="L15" s="78">
        <f t="shared" si="4"/>
        <v>0.73943753874275941</v>
      </c>
      <c r="M15" s="78">
        <f t="shared" si="5"/>
        <v>0.31466412560966217</v>
      </c>
      <c r="N15" s="47"/>
      <c r="O15" s="35">
        <f>O14+(B15^$B$3-B14^$B$3)*P15</f>
        <v>4.761984155289035</v>
      </c>
      <c r="P15" s="74">
        <f t="shared" si="2"/>
        <v>1.1385953820725052</v>
      </c>
      <c r="Q15" s="67">
        <v>225.47000000000008</v>
      </c>
      <c r="R15" s="67">
        <f t="shared" si="3"/>
        <v>0.1353352832366127</v>
      </c>
      <c r="S15" s="172"/>
      <c r="T15" s="196"/>
      <c r="U15"/>
      <c r="V15"/>
      <c r="W15"/>
      <c r="X15"/>
      <c r="Y15"/>
      <c r="Z15"/>
      <c r="AA15"/>
      <c r="AB15"/>
      <c r="AC15"/>
      <c r="AD15"/>
      <c r="AE15"/>
      <c r="AF15"/>
      <c r="AG15"/>
      <c r="AH15"/>
    </row>
    <row r="16" spans="1:34">
      <c r="A16" s="1">
        <v>34679</v>
      </c>
      <c r="B16" s="33">
        <f t="shared" si="6"/>
        <v>4</v>
      </c>
      <c r="C16" s="33">
        <f t="shared" si="7"/>
        <v>4876</v>
      </c>
      <c r="D16">
        <v>1247</v>
      </c>
      <c r="F16" s="31">
        <f>1-EXP(-$B$2*O16)</f>
        <v>6.935900692385577E-2</v>
      </c>
      <c r="G16" s="31">
        <f>F16-F15</f>
        <v>2.1649845805481127E-2</v>
      </c>
      <c r="H16" s="17">
        <f t="shared" si="0"/>
        <v>-4779.447912544475</v>
      </c>
      <c r="J16" s="35">
        <f t="shared" si="1"/>
        <v>6935.9006923855768</v>
      </c>
      <c r="K16" s="35">
        <f t="shared" si="8"/>
        <v>2164.9845805481127</v>
      </c>
      <c r="L16" s="78">
        <f t="shared" si="4"/>
        <v>0.73615443508268863</v>
      </c>
      <c r="M16" s="70">
        <f t="shared" si="5"/>
        <v>0.42245707391008547</v>
      </c>
      <c r="N16" s="47"/>
      <c r="O16" s="35">
        <f t="shared" ref="O16:O39" si="9">O15+(B16^$B$3-B15^$B$3)*P16</f>
        <v>7.0021674620954073</v>
      </c>
      <c r="P16" s="74">
        <f t="shared" si="2"/>
        <v>1.1263912258155584</v>
      </c>
      <c r="Q16" s="67">
        <v>206.74999999999994</v>
      </c>
      <c r="R16" s="67">
        <f t="shared" si="3"/>
        <v>4.9787068367863951E-2</v>
      </c>
      <c r="S16" s="172"/>
      <c r="T16" s="196"/>
      <c r="U16"/>
      <c r="V16"/>
      <c r="W16"/>
      <c r="X16"/>
      <c r="Y16"/>
      <c r="Z16"/>
      <c r="AA16"/>
      <c r="AB16"/>
      <c r="AC16"/>
      <c r="AD16"/>
      <c r="AE16"/>
      <c r="AF16"/>
      <c r="AG16"/>
      <c r="AH16"/>
    </row>
    <row r="17" spans="1:34">
      <c r="A17" s="1">
        <v>34686</v>
      </c>
      <c r="B17" s="33">
        <f t="shared" si="6"/>
        <v>5</v>
      </c>
      <c r="C17" s="33">
        <f t="shared" si="7"/>
        <v>6515</v>
      </c>
      <c r="D17">
        <v>1639</v>
      </c>
      <c r="F17" s="31">
        <f t="shared" ref="F17:F39" si="10">1-EXP(-$B$2*O17)</f>
        <v>9.2217165713877614E-2</v>
      </c>
      <c r="G17" s="31">
        <f t="shared" ref="G17:G39" si="11">F17-F16</f>
        <v>2.2858158790021843E-2</v>
      </c>
      <c r="H17" s="17">
        <f t="shared" si="0"/>
        <v>-6192.8749062670431</v>
      </c>
      <c r="J17" s="35">
        <f t="shared" si="1"/>
        <v>9221.7165713877621</v>
      </c>
      <c r="K17" s="35">
        <f t="shared" si="8"/>
        <v>2285.8158790021853</v>
      </c>
      <c r="L17" s="78">
        <f t="shared" si="4"/>
        <v>0.39464056070908193</v>
      </c>
      <c r="M17" s="70">
        <f t="shared" si="5"/>
        <v>0.41545918210096117</v>
      </c>
      <c r="N17" s="47"/>
      <c r="O17" s="35">
        <f t="shared" si="9"/>
        <v>9.4246585809037615</v>
      </c>
      <c r="P17" s="74">
        <f t="shared" si="2"/>
        <v>1.1222295602454719</v>
      </c>
      <c r="Q17" s="67">
        <v>200.32</v>
      </c>
      <c r="R17" s="67">
        <f t="shared" si="3"/>
        <v>1.831563888873422E-2</v>
      </c>
      <c r="S17" s="172"/>
      <c r="T17"/>
      <c r="U17"/>
      <c r="V17"/>
      <c r="W17"/>
      <c r="X17"/>
      <c r="Y17"/>
      <c r="Z17"/>
      <c r="AA17"/>
      <c r="AB17"/>
      <c r="AC17"/>
      <c r="AD17"/>
      <c r="AE17"/>
      <c r="AF17"/>
      <c r="AG17"/>
      <c r="AH17"/>
    </row>
    <row r="18" spans="1:34">
      <c r="A18" s="1">
        <v>34693</v>
      </c>
      <c r="B18" s="33">
        <f t="shared" si="6"/>
        <v>6</v>
      </c>
      <c r="C18" s="33">
        <f t="shared" si="7"/>
        <v>9091</v>
      </c>
      <c r="D18">
        <v>2576</v>
      </c>
      <c r="F18" s="31">
        <f t="shared" si="10"/>
        <v>0.11646877690392665</v>
      </c>
      <c r="G18" s="31">
        <f t="shared" si="11"/>
        <v>2.4251611190049038E-2</v>
      </c>
      <c r="H18" s="17">
        <f t="shared" si="0"/>
        <v>-9580.8452463938393</v>
      </c>
      <c r="J18" s="35">
        <f t="shared" si="1"/>
        <v>11646.877690392665</v>
      </c>
      <c r="K18" s="35">
        <f t="shared" si="8"/>
        <v>2425.1611190049025</v>
      </c>
      <c r="L18" s="78">
        <f t="shared" si="4"/>
        <v>5.8555466224804932E-2</v>
      </c>
      <c r="M18" s="78">
        <f t="shared" si="5"/>
        <v>0.28114373450584806</v>
      </c>
      <c r="N18" s="47"/>
      <c r="O18" s="35">
        <f t="shared" si="9"/>
        <v>12.062444866758575</v>
      </c>
      <c r="P18" s="74">
        <f t="shared" si="2"/>
        <v>1.1446744700478559</v>
      </c>
      <c r="Q18" s="67">
        <v>234.71999999999997</v>
      </c>
      <c r="R18" s="67">
        <f t="shared" si="3"/>
        <v>6.7379469990854757E-3</v>
      </c>
      <c r="S18" s="172"/>
      <c r="T18" s="16" t="s">
        <v>3</v>
      </c>
      <c r="U18"/>
      <c r="V18"/>
      <c r="W18"/>
      <c r="X18"/>
      <c r="Y18"/>
      <c r="Z18"/>
      <c r="AA18"/>
      <c r="AB18"/>
      <c r="AC18"/>
      <c r="AD18"/>
      <c r="AE18"/>
      <c r="AF18"/>
      <c r="AG18"/>
      <c r="AH18"/>
    </row>
    <row r="19" spans="1:34">
      <c r="A19" s="1">
        <v>34700</v>
      </c>
      <c r="B19" s="33">
        <f t="shared" si="6"/>
        <v>7</v>
      </c>
      <c r="C19" s="33">
        <f t="shared" si="7"/>
        <v>12067</v>
      </c>
      <c r="D19">
        <v>2976</v>
      </c>
      <c r="F19" s="31">
        <f t="shared" si="10"/>
        <v>0.14190939847706063</v>
      </c>
      <c r="G19" s="31">
        <f t="shared" si="11"/>
        <v>2.5440621573133981E-2</v>
      </c>
      <c r="H19" s="17">
        <f t="shared" si="0"/>
        <v>-10926.110529117794</v>
      </c>
      <c r="J19" s="35">
        <f t="shared" si="1"/>
        <v>14190.939847706064</v>
      </c>
      <c r="K19" s="35">
        <f t="shared" si="8"/>
        <v>2544.0621573133994</v>
      </c>
      <c r="L19" s="78">
        <f t="shared" si="4"/>
        <v>0.14514040412856202</v>
      </c>
      <c r="M19" s="29">
        <f t="shared" si="5"/>
        <v>0.17601225223386624</v>
      </c>
      <c r="N19" s="47"/>
      <c r="O19" s="35">
        <f t="shared" si="9"/>
        <v>14.908537027947279</v>
      </c>
      <c r="P19" s="74">
        <f t="shared" si="2"/>
        <v>1.1697278138258385</v>
      </c>
      <c r="Q19" s="67">
        <v>272.32999999999993</v>
      </c>
      <c r="R19" s="67">
        <f t="shared" si="3"/>
        <v>2.4787521766663767E-3</v>
      </c>
      <c r="S19" s="172"/>
      <c r="T19" s="6" t="s">
        <v>47</v>
      </c>
      <c r="U19"/>
      <c r="V19"/>
      <c r="W19"/>
      <c r="X19" t="s">
        <v>48</v>
      </c>
      <c r="Y19"/>
      <c r="Z19"/>
      <c r="AA19"/>
      <c r="AB19"/>
      <c r="AC19"/>
      <c r="AD19"/>
      <c r="AE19"/>
      <c r="AF19"/>
      <c r="AG19"/>
      <c r="AH19"/>
    </row>
    <row r="20" spans="1:34">
      <c r="A20" s="1">
        <v>34707</v>
      </c>
      <c r="B20" s="33">
        <f t="shared" si="6"/>
        <v>8</v>
      </c>
      <c r="C20" s="33">
        <f t="shared" si="7"/>
        <v>14596</v>
      </c>
      <c r="D20">
        <v>2529</v>
      </c>
      <c r="F20" s="31">
        <f t="shared" si="10"/>
        <v>0.16752496666231886</v>
      </c>
      <c r="G20" s="31">
        <f t="shared" si="11"/>
        <v>2.5615568185258231E-2</v>
      </c>
      <c r="H20" s="17">
        <f t="shared" si="0"/>
        <v>-9267.6595446664414</v>
      </c>
      <c r="J20" s="35">
        <f t="shared" si="1"/>
        <v>16752.496666231888</v>
      </c>
      <c r="K20" s="35">
        <f t="shared" si="8"/>
        <v>2561.5568185258235</v>
      </c>
      <c r="L20" s="78">
        <f t="shared" si="4"/>
        <v>1.2873396016537553E-2</v>
      </c>
      <c r="M20" s="29">
        <f t="shared" si="5"/>
        <v>0.14774572939379882</v>
      </c>
      <c r="N20" s="47"/>
      <c r="O20" s="35">
        <f t="shared" si="9"/>
        <v>17.86076168598446</v>
      </c>
      <c r="P20" s="74">
        <f t="shared" si="2"/>
        <v>1.1581696232142225</v>
      </c>
      <c r="Q20" s="67">
        <v>255.08</v>
      </c>
      <c r="R20" s="67">
        <f t="shared" si="3"/>
        <v>9.1188196555447298E-4</v>
      </c>
      <c r="S20" s="172"/>
      <c r="T20" s="87" t="s">
        <v>141</v>
      </c>
      <c r="U20"/>
      <c r="V20"/>
      <c r="W20"/>
      <c r="X20"/>
      <c r="Y20"/>
      <c r="Z20"/>
      <c r="AA20"/>
      <c r="AB20"/>
      <c r="AC20"/>
      <c r="AD20"/>
      <c r="AE20"/>
      <c r="AF20"/>
      <c r="AG20"/>
      <c r="AH20"/>
    </row>
    <row r="21" spans="1:34">
      <c r="A21" s="1">
        <v>34714</v>
      </c>
      <c r="B21" s="33">
        <f t="shared" si="6"/>
        <v>9</v>
      </c>
      <c r="C21" s="33">
        <f t="shared" si="7"/>
        <v>17017</v>
      </c>
      <c r="D21">
        <v>2421</v>
      </c>
      <c r="F21" s="31">
        <f t="shared" si="10"/>
        <v>0.19380251868555431</v>
      </c>
      <c r="G21" s="31">
        <f t="shared" si="11"/>
        <v>2.6277552023235451E-2</v>
      </c>
      <c r="H21" s="17">
        <f t="shared" si="0"/>
        <v>-8810.1164198421411</v>
      </c>
      <c r="J21" s="35">
        <f t="shared" si="1"/>
        <v>19380.251868555431</v>
      </c>
      <c r="K21" s="35">
        <f t="shared" si="8"/>
        <v>2627.7552023235439</v>
      </c>
      <c r="L21" s="78">
        <f t="shared" si="4"/>
        <v>8.5400744454169328E-2</v>
      </c>
      <c r="M21" s="78">
        <f t="shared" si="5"/>
        <v>0.13887593985752081</v>
      </c>
      <c r="N21" s="47"/>
      <c r="O21" s="35">
        <f t="shared" si="9"/>
        <v>20.98521595631145</v>
      </c>
      <c r="P21" s="74">
        <f t="shared" si="2"/>
        <v>1.1768535085714276</v>
      </c>
      <c r="Q21" s="67">
        <v>282.88</v>
      </c>
      <c r="R21" s="67">
        <f t="shared" si="3"/>
        <v>3.3546262790251635E-4</v>
      </c>
      <c r="S21" s="172"/>
      <c r="T21"/>
      <c r="U21"/>
      <c r="V21"/>
      <c r="W21"/>
      <c r="X21"/>
      <c r="Y21"/>
      <c r="Z21"/>
      <c r="AA21"/>
      <c r="AB21"/>
      <c r="AC21"/>
      <c r="AD21"/>
      <c r="AE21"/>
      <c r="AF21"/>
      <c r="AG21"/>
      <c r="AH21"/>
    </row>
    <row r="22" spans="1:34">
      <c r="A22" s="1">
        <v>34721</v>
      </c>
      <c r="B22" s="33">
        <f t="shared" si="6"/>
        <v>10</v>
      </c>
      <c r="C22" s="33">
        <f t="shared" si="7"/>
        <v>19402</v>
      </c>
      <c r="D22">
        <v>2385</v>
      </c>
      <c r="F22" s="31">
        <f t="shared" si="10"/>
        <v>0.22072899868771745</v>
      </c>
      <c r="G22" s="31">
        <f t="shared" si="11"/>
        <v>2.6926480002163133E-2</v>
      </c>
      <c r="H22" s="17">
        <f t="shared" si="0"/>
        <v>-8620.9285393344326</v>
      </c>
      <c r="J22" s="35">
        <f t="shared" si="1"/>
        <v>22072.899868771743</v>
      </c>
      <c r="K22" s="35">
        <f t="shared" si="8"/>
        <v>2692.6480002163116</v>
      </c>
      <c r="L22" s="78">
        <f t="shared" si="4"/>
        <v>0.12899287220809713</v>
      </c>
      <c r="M22" s="78">
        <f>ABS((C22-J22)/C22)</f>
        <v>0.13766105910585213</v>
      </c>
      <c r="N22" s="47"/>
      <c r="O22" s="35">
        <f t="shared" si="9"/>
        <v>24.294301067346542</v>
      </c>
      <c r="P22" s="74">
        <f t="shared" si="2"/>
        <v>1.2021335572032017</v>
      </c>
      <c r="Q22" s="67">
        <v>319.80000000000007</v>
      </c>
      <c r="R22" s="67">
        <f t="shared" si="3"/>
        <v>1.2340980408664937E-4</v>
      </c>
      <c r="S22" s="172"/>
      <c r="T22"/>
      <c r="U22"/>
      <c r="V22"/>
      <c r="W22"/>
      <c r="X22"/>
      <c r="Y22"/>
      <c r="Z22"/>
      <c r="AA22"/>
      <c r="AB22"/>
      <c r="AC22"/>
      <c r="AD22"/>
      <c r="AE22"/>
      <c r="AF22"/>
      <c r="AG22"/>
      <c r="AH22"/>
    </row>
    <row r="23" spans="1:34">
      <c r="A23" s="1">
        <v>34728</v>
      </c>
      <c r="B23" s="33">
        <f t="shared" si="6"/>
        <v>11</v>
      </c>
      <c r="C23" s="33">
        <f t="shared" si="7"/>
        <v>22032</v>
      </c>
      <c r="D23">
        <v>2630</v>
      </c>
      <c r="F23" s="31">
        <f t="shared" si="10"/>
        <v>0.24728578806802692</v>
      </c>
      <c r="G23" s="31">
        <f t="shared" si="11"/>
        <v>2.6556789380309476E-2</v>
      </c>
      <c r="H23" s="17">
        <f t="shared" si="0"/>
        <v>-9542.8756882633734</v>
      </c>
      <c r="J23" s="35">
        <f t="shared" si="1"/>
        <v>24728.578806802692</v>
      </c>
      <c r="K23" s="35">
        <f t="shared" si="8"/>
        <v>2655.6789380309492</v>
      </c>
      <c r="L23" s="78">
        <f t="shared" si="4"/>
        <v>9.7638547646194725E-3</v>
      </c>
      <c r="M23" s="78">
        <f>ABS((C23-J23)/C23)</f>
        <v>0.12239373669220643</v>
      </c>
      <c r="N23" s="47"/>
      <c r="O23" s="35">
        <f t="shared" si="9"/>
        <v>27.671904910893272</v>
      </c>
      <c r="P23" s="74">
        <f t="shared" si="2"/>
        <v>1.1877500097146885</v>
      </c>
      <c r="Q23" s="67">
        <v>298.89</v>
      </c>
      <c r="R23" s="67">
        <f t="shared" si="3"/>
        <v>4.5399929762490743E-5</v>
      </c>
      <c r="S23" s="172"/>
      <c r="T23"/>
      <c r="U23"/>
      <c r="V23"/>
      <c r="W23"/>
      <c r="X23"/>
      <c r="Y23"/>
      <c r="Z23"/>
      <c r="AA23"/>
      <c r="AB23"/>
      <c r="AC23"/>
      <c r="AD23"/>
      <c r="AE23"/>
      <c r="AF23"/>
      <c r="AG23"/>
      <c r="AH23"/>
    </row>
    <row r="24" spans="1:34">
      <c r="A24" s="1">
        <v>34735</v>
      </c>
      <c r="B24" s="33">
        <f t="shared" si="6"/>
        <v>12</v>
      </c>
      <c r="C24" s="33">
        <f t="shared" si="7"/>
        <v>24826</v>
      </c>
      <c r="D24">
        <v>2794</v>
      </c>
      <c r="F24" s="31">
        <f t="shared" si="10"/>
        <v>0.27241790662677701</v>
      </c>
      <c r="G24" s="31">
        <f t="shared" si="11"/>
        <v>2.5132118558750083E-2</v>
      </c>
      <c r="H24" s="17">
        <f t="shared" si="0"/>
        <v>-10292.002503867767</v>
      </c>
      <c r="J24" s="35">
        <f t="shared" si="1"/>
        <v>27241.7906626777</v>
      </c>
      <c r="K24" s="35">
        <f t="shared" si="8"/>
        <v>2513.211855875008</v>
      </c>
      <c r="L24" s="78">
        <f t="shared" si="4"/>
        <v>0.10049683039548746</v>
      </c>
      <c r="M24" s="78">
        <f>ABS((C24-J24)/C24)</f>
        <v>9.7308896426234609E-2</v>
      </c>
      <c r="N24" s="47"/>
      <c r="O24" s="35">
        <f t="shared" si="9"/>
        <v>30.97991164264112</v>
      </c>
      <c r="P24" s="74">
        <f t="shared" si="2"/>
        <v>1.1293844349125548</v>
      </c>
      <c r="Q24" s="67">
        <v>211.35999999999999</v>
      </c>
      <c r="R24" s="67">
        <f t="shared" si="3"/>
        <v>1.6701700790267004E-5</v>
      </c>
      <c r="S24" s="172"/>
      <c r="T24"/>
      <c r="U24"/>
      <c r="V24"/>
      <c r="W24"/>
      <c r="X24"/>
      <c r="Y24"/>
      <c r="Z24"/>
      <c r="AA24"/>
      <c r="AB24"/>
      <c r="AC24"/>
      <c r="AD24"/>
      <c r="AE24"/>
      <c r="AF24"/>
      <c r="AG24"/>
      <c r="AH24"/>
    </row>
    <row r="25" spans="1:34">
      <c r="A25" s="1">
        <v>34742</v>
      </c>
      <c r="B25" s="33">
        <f t="shared" si="6"/>
        <v>13</v>
      </c>
      <c r="C25" s="33">
        <f t="shared" si="7"/>
        <v>27526</v>
      </c>
      <c r="D25">
        <v>2700</v>
      </c>
      <c r="F25" s="31">
        <f t="shared" si="10"/>
        <v>0.29705384731208828</v>
      </c>
      <c r="G25" s="31">
        <f t="shared" si="11"/>
        <v>2.4635940685311275E-2</v>
      </c>
      <c r="H25" s="17">
        <f t="shared" si="0"/>
        <v>-9999.5820267682811</v>
      </c>
      <c r="J25" s="35">
        <f t="shared" si="1"/>
        <v>29705.384731208829</v>
      </c>
      <c r="K25" s="35">
        <f t="shared" si="8"/>
        <v>2463.5940685311289</v>
      </c>
      <c r="L25" s="78">
        <f t="shared" si="4"/>
        <v>8.7557752395878194E-2</v>
      </c>
      <c r="M25" s="78">
        <f>ABS((C25-J25)/C25)</f>
        <v>7.9175497028584951E-2</v>
      </c>
      <c r="N25" s="47"/>
      <c r="O25" s="35">
        <f t="shared" si="9"/>
        <v>34.335431859298389</v>
      </c>
      <c r="P25" s="74">
        <f t="shared" si="2"/>
        <v>1.1149787960377233</v>
      </c>
      <c r="Q25" s="67">
        <v>189.06000000000006</v>
      </c>
      <c r="R25" s="67">
        <f t="shared" si="3"/>
        <v>6.1442123533428372E-6</v>
      </c>
      <c r="S25" s="172"/>
      <c r="T25"/>
      <c r="U25"/>
      <c r="V25"/>
      <c r="W25"/>
      <c r="X25"/>
      <c r="Y25"/>
      <c r="Z25"/>
      <c r="AA25"/>
      <c r="AB25"/>
      <c r="AC25"/>
      <c r="AD25"/>
      <c r="AE25"/>
      <c r="AF25"/>
      <c r="AG25"/>
      <c r="AH25"/>
    </row>
    <row r="26" spans="1:34">
      <c r="A26" s="1">
        <v>34749</v>
      </c>
      <c r="B26" s="33">
        <f t="shared" si="6"/>
        <v>14</v>
      </c>
      <c r="C26" s="33">
        <f t="shared" si="7"/>
        <v>30696</v>
      </c>
      <c r="D26">
        <v>3170</v>
      </c>
      <c r="F26" s="31">
        <f t="shared" si="10"/>
        <v>0.32140936717199264</v>
      </c>
      <c r="G26" s="31">
        <f t="shared" si="11"/>
        <v>2.4355519859904362E-2</v>
      </c>
      <c r="H26" s="17">
        <f t="shared" si="0"/>
        <v>-11776.539750919846</v>
      </c>
      <c r="J26" s="35">
        <f t="shared" si="1"/>
        <v>32140.936717199264</v>
      </c>
      <c r="K26" s="35">
        <f t="shared" si="8"/>
        <v>2435.5519859904343</v>
      </c>
      <c r="L26" s="78">
        <f t="shared" si="4"/>
        <v>0.23168707066547814</v>
      </c>
      <c r="M26" s="78">
        <f t="shared" si="5"/>
        <v>4.7072475801383358E-2</v>
      </c>
      <c r="N26" s="47"/>
      <c r="O26" s="35">
        <f t="shared" si="9"/>
        <v>37.770411408181502</v>
      </c>
      <c r="P26" s="74">
        <f t="shared" si="2"/>
        <v>1.1131894572692342</v>
      </c>
      <c r="Q26" s="67">
        <v>186.27</v>
      </c>
      <c r="R26" s="67">
        <f t="shared" si="3"/>
        <v>2.2603294069778457E-6</v>
      </c>
      <c r="S26" s="172"/>
      <c r="T26"/>
      <c r="U26"/>
      <c r="V26"/>
      <c r="W26"/>
      <c r="X26"/>
      <c r="Y26"/>
      <c r="Z26"/>
      <c r="AA26"/>
      <c r="AB26"/>
      <c r="AC26"/>
      <c r="AD26"/>
      <c r="AE26"/>
      <c r="AF26"/>
      <c r="AG26"/>
      <c r="AH26"/>
    </row>
    <row r="27" spans="1:34">
      <c r="A27" s="1">
        <v>34756</v>
      </c>
      <c r="B27" s="33">
        <f t="shared" si="6"/>
        <v>15</v>
      </c>
      <c r="C27" s="33">
        <f t="shared" si="7"/>
        <v>33263</v>
      </c>
      <c r="D27">
        <v>2567</v>
      </c>
      <c r="F27" s="31">
        <f t="shared" si="10"/>
        <v>0.34463377467320411</v>
      </c>
      <c r="G27" s="31">
        <f t="shared" si="11"/>
        <v>2.3224407501211464E-2</v>
      </c>
      <c r="H27" s="17">
        <f t="shared" si="0"/>
        <v>-9658.4697155373979</v>
      </c>
      <c r="J27" s="35">
        <f t="shared" si="1"/>
        <v>34463.37746732041</v>
      </c>
      <c r="K27" s="35">
        <f t="shared" si="8"/>
        <v>2322.4407501211463</v>
      </c>
      <c r="L27" s="78">
        <f t="shared" si="4"/>
        <v>9.5270451842171297E-2</v>
      </c>
      <c r="M27" s="29">
        <f t="shared" si="5"/>
        <v>3.6087468578312534E-2</v>
      </c>
      <c r="N27" s="47"/>
      <c r="O27" s="35">
        <f t="shared" si="9"/>
        <v>41.162685629826029</v>
      </c>
      <c r="P27" s="74">
        <f t="shared" si="2"/>
        <v>1.0741156801949767</v>
      </c>
      <c r="Q27" s="67">
        <v>124.20000000000002</v>
      </c>
      <c r="R27" s="67">
        <f t="shared" si="3"/>
        <v>8.3152871910296966E-7</v>
      </c>
      <c r="S27" s="172"/>
      <c r="T27"/>
      <c r="U27"/>
      <c r="V27"/>
      <c r="W27"/>
      <c r="X27"/>
      <c r="Y27"/>
      <c r="Z27"/>
      <c r="AA27"/>
      <c r="AB27"/>
      <c r="AC27"/>
      <c r="AD27"/>
      <c r="AE27"/>
      <c r="AF27"/>
      <c r="AG27"/>
      <c r="AH27"/>
    </row>
    <row r="28" spans="1:34">
      <c r="A28" s="1">
        <v>34763</v>
      </c>
      <c r="B28" s="33">
        <f t="shared" si="6"/>
        <v>16</v>
      </c>
      <c r="C28" s="33">
        <f t="shared" si="7"/>
        <v>36672</v>
      </c>
      <c r="D28">
        <v>3409</v>
      </c>
      <c r="F28" s="31">
        <f t="shared" si="10"/>
        <v>0.36692362798631573</v>
      </c>
      <c r="G28" s="31">
        <f t="shared" si="11"/>
        <v>2.2289853313111618E-2</v>
      </c>
      <c r="H28" s="17">
        <f t="shared" si="0"/>
        <v>-12966.553235723073</v>
      </c>
      <c r="J28" s="35">
        <f t="shared" si="1"/>
        <v>36692.36279863157</v>
      </c>
      <c r="K28" s="35">
        <f t="shared" si="8"/>
        <v>2228.9853313111598</v>
      </c>
      <c r="L28" s="78">
        <f t="shared" si="4"/>
        <v>0.34614686673183931</v>
      </c>
      <c r="M28" s="29">
        <f t="shared" si="5"/>
        <v>5.5526828729192857E-4</v>
      </c>
      <c r="N28" s="47"/>
      <c r="O28" s="35">
        <f t="shared" si="9"/>
        <v>44.533459933214758</v>
      </c>
      <c r="P28" s="74">
        <f t="shared" si="2"/>
        <v>1.0444271248185533</v>
      </c>
      <c r="Q28" s="67">
        <v>75.510000000000005</v>
      </c>
      <c r="R28" s="67">
        <f t="shared" si="3"/>
        <v>3.059023204743383E-7</v>
      </c>
      <c r="S28" s="172"/>
      <c r="T28"/>
      <c r="U28"/>
      <c r="V28"/>
      <c r="W28"/>
      <c r="X28"/>
      <c r="Y28"/>
      <c r="Z28"/>
      <c r="AA28"/>
      <c r="AB28"/>
      <c r="AC28"/>
      <c r="AD28"/>
      <c r="AE28"/>
      <c r="AF28"/>
      <c r="AG28"/>
      <c r="AH28"/>
    </row>
    <row r="29" spans="1:34">
      <c r="A29" s="1">
        <v>34770</v>
      </c>
      <c r="B29" s="33">
        <f t="shared" si="6"/>
        <v>17</v>
      </c>
      <c r="C29" s="33">
        <f t="shared" si="7"/>
        <v>39742</v>
      </c>
      <c r="D29">
        <v>3070</v>
      </c>
      <c r="F29" s="31">
        <f t="shared" si="10"/>
        <v>0.38866196927207175</v>
      </c>
      <c r="G29" s="31">
        <f t="shared" si="11"/>
        <v>2.1738341285756024E-2</v>
      </c>
      <c r="H29" s="17">
        <f t="shared" si="0"/>
        <v>-11754.040532869854</v>
      </c>
      <c r="J29" s="35">
        <f t="shared" si="1"/>
        <v>38866.196927207173</v>
      </c>
      <c r="K29" s="35">
        <f t="shared" si="8"/>
        <v>2173.8341285756032</v>
      </c>
      <c r="L29" s="78">
        <f t="shared" si="4"/>
        <v>0.29191070730436375</v>
      </c>
      <c r="M29" s="29">
        <f t="shared" si="5"/>
        <v>2.20372168686233E-2</v>
      </c>
      <c r="N29" s="47"/>
      <c r="O29" s="35">
        <f t="shared" si="9"/>
        <v>47.937148084234131</v>
      </c>
      <c r="P29" s="74">
        <f t="shared" si="2"/>
        <v>1.033416724479898</v>
      </c>
      <c r="Q29" s="67">
        <v>57.100000000000009</v>
      </c>
      <c r="R29" s="67">
        <f t="shared" si="3"/>
        <v>1.1253517473441832E-7</v>
      </c>
      <c r="S29" s="172"/>
      <c r="T29"/>
      <c r="U29"/>
      <c r="V29"/>
      <c r="W29"/>
      <c r="X29"/>
      <c r="Y29"/>
      <c r="Z29"/>
      <c r="AA29"/>
      <c r="AB29"/>
      <c r="AC29"/>
      <c r="AD29"/>
      <c r="AE29"/>
      <c r="AF29"/>
      <c r="AG29"/>
      <c r="AH29"/>
    </row>
    <row r="30" spans="1:34" customFormat="1">
      <c r="A30" s="171">
        <v>34777</v>
      </c>
      <c r="B30" s="138">
        <f t="shared" si="6"/>
        <v>18</v>
      </c>
      <c r="C30" s="138">
        <f t="shared" si="7"/>
        <v>42924</v>
      </c>
      <c r="D30" s="107">
        <v>3182</v>
      </c>
      <c r="E30" s="54"/>
      <c r="F30" s="139">
        <f t="shared" si="10"/>
        <v>0.40993103875646697</v>
      </c>
      <c r="G30" s="139">
        <f t="shared" si="11"/>
        <v>2.126906948439522E-2</v>
      </c>
      <c r="H30" s="140">
        <f t="shared" si="0"/>
        <v>-12252.295450097625</v>
      </c>
      <c r="I30" s="54"/>
      <c r="J30" s="56">
        <f t="shared" si="1"/>
        <v>40993.103875646695</v>
      </c>
      <c r="K30" s="185">
        <f t="shared" si="8"/>
        <v>2126.9069484395222</v>
      </c>
      <c r="L30" s="78">
        <f t="shared" si="4"/>
        <v>0.33158172582038897</v>
      </c>
      <c r="M30" s="78">
        <f t="shared" si="5"/>
        <v>4.4984067755877946E-2</v>
      </c>
      <c r="N30" s="56"/>
      <c r="O30" s="56">
        <f t="shared" si="9"/>
        <v>51.386582716920373</v>
      </c>
      <c r="P30" s="172">
        <f t="shared" si="2"/>
        <v>1.02747295795182</v>
      </c>
      <c r="Q30" s="141">
        <v>47.079999999999984</v>
      </c>
      <c r="R30" s="141">
        <f t="shared" si="3"/>
        <v>4.1399377148643168E-8</v>
      </c>
      <c r="S30" s="172"/>
    </row>
    <row r="31" spans="1:34">
      <c r="A31" s="1">
        <v>34784</v>
      </c>
      <c r="B31" s="33">
        <f t="shared" si="6"/>
        <v>19</v>
      </c>
      <c r="C31" s="33">
        <f t="shared" si="7"/>
        <v>45630</v>
      </c>
      <c r="D31">
        <v>2706</v>
      </c>
      <c r="E31" s="17"/>
      <c r="F31" s="31">
        <f t="shared" si="10"/>
        <v>0.43098446075650976</v>
      </c>
      <c r="G31" s="31">
        <f t="shared" si="11"/>
        <v>2.1053422000042787E-2</v>
      </c>
      <c r="H31" s="140">
        <f t="shared" si="0"/>
        <v>-10447.033003207529</v>
      </c>
      <c r="J31" s="35">
        <f t="shared" si="1"/>
        <v>43098.446075650972</v>
      </c>
      <c r="K31" s="35">
        <f t="shared" si="8"/>
        <v>2105.3422000042774</v>
      </c>
      <c r="L31" s="78">
        <f t="shared" si="4"/>
        <v>0.22197257945148655</v>
      </c>
      <c r="M31" s="78">
        <f t="shared" si="5"/>
        <v>5.5480033406728635E-2</v>
      </c>
      <c r="N31" s="47"/>
      <c r="O31" s="35">
        <f>O30+(B31^$B$3-B30^$B$3)*P31</f>
        <v>54.925737631277102</v>
      </c>
      <c r="P31" s="74">
        <f t="shared" si="2"/>
        <v>1.0353340877718922</v>
      </c>
      <c r="Q31" s="67">
        <v>60.320000000000014</v>
      </c>
      <c r="R31" s="67">
        <f t="shared" si="3"/>
        <v>1.5229979721809173E-8</v>
      </c>
      <c r="S31" s="172"/>
      <c r="T31"/>
      <c r="U31"/>
      <c r="V31"/>
      <c r="W31"/>
      <c r="X31"/>
      <c r="Y31"/>
      <c r="Z31"/>
      <c r="AA31"/>
      <c r="AB31"/>
      <c r="AC31"/>
      <c r="AD31"/>
      <c r="AE31"/>
      <c r="AF31"/>
      <c r="AG31"/>
      <c r="AH31"/>
    </row>
    <row r="32" spans="1:34">
      <c r="A32" s="1">
        <v>34791</v>
      </c>
      <c r="B32" s="33">
        <f t="shared" si="6"/>
        <v>20</v>
      </c>
      <c r="C32" s="33">
        <f t="shared" si="7"/>
        <v>47520</v>
      </c>
      <c r="D32">
        <v>1890</v>
      </c>
      <c r="E32" s="17"/>
      <c r="F32" s="31">
        <f t="shared" si="10"/>
        <v>0.45153727999764937</v>
      </c>
      <c r="G32" s="31">
        <f t="shared" si="11"/>
        <v>2.0552819241139608E-2</v>
      </c>
      <c r="H32" s="140">
        <f t="shared" si="0"/>
        <v>-7342.1910288083054</v>
      </c>
      <c r="J32" s="35">
        <f t="shared" si="1"/>
        <v>45153.727999764938</v>
      </c>
      <c r="K32" s="35">
        <f t="shared" si="8"/>
        <v>2055.2819241139659</v>
      </c>
      <c r="L32" s="78">
        <f t="shared" si="4"/>
        <v>8.7450753499452874E-2</v>
      </c>
      <c r="M32" s="78">
        <f t="shared" si="5"/>
        <v>4.9795286200232776E-2</v>
      </c>
      <c r="N32" s="47"/>
      <c r="O32" s="35">
        <f t="shared" si="9"/>
        <v>58.509386945062445</v>
      </c>
      <c r="P32" s="74">
        <f t="shared" si="2"/>
        <v>1.0305710655785429</v>
      </c>
      <c r="Q32" s="67">
        <v>52.310000000000024</v>
      </c>
      <c r="R32" s="67">
        <f t="shared" si="3"/>
        <v>5.6027964490112936E-9</v>
      </c>
      <c r="S32" s="172"/>
      <c r="T32"/>
      <c r="U32"/>
      <c r="V32"/>
      <c r="W32"/>
      <c r="X32"/>
      <c r="Y32"/>
      <c r="Z32"/>
      <c r="AA32"/>
      <c r="AB32"/>
      <c r="AC32"/>
      <c r="AD32"/>
      <c r="AE32"/>
      <c r="AF32"/>
      <c r="AG32"/>
      <c r="AH32"/>
    </row>
    <row r="33" spans="1:34">
      <c r="A33" s="1">
        <v>34798</v>
      </c>
      <c r="B33" s="33">
        <f t="shared" si="6"/>
        <v>21</v>
      </c>
      <c r="C33" s="33">
        <f t="shared" si="7"/>
        <v>49143</v>
      </c>
      <c r="D33">
        <v>1623</v>
      </c>
      <c r="E33" s="17"/>
      <c r="F33" s="31">
        <f t="shared" si="10"/>
        <v>0.47150684539842247</v>
      </c>
      <c r="G33" s="31">
        <f t="shared" si="11"/>
        <v>1.9969565400773104E-2</v>
      </c>
      <c r="H33" s="140">
        <f t="shared" si="0"/>
        <v>-6351.6849866054781</v>
      </c>
      <c r="J33" s="35">
        <f t="shared" si="1"/>
        <v>47150.684539842245</v>
      </c>
      <c r="K33" s="35">
        <f t="shared" si="8"/>
        <v>1996.9565400773063</v>
      </c>
      <c r="L33" s="78">
        <f t="shared" si="4"/>
        <v>0.23041068396630085</v>
      </c>
      <c r="M33" s="78">
        <f t="shared" si="5"/>
        <v>4.0541185116044105E-2</v>
      </c>
      <c r="N33" s="47"/>
      <c r="O33" s="35">
        <f t="shared" si="9"/>
        <v>62.122359749854404</v>
      </c>
      <c r="P33" s="74">
        <f t="shared" si="2"/>
        <v>1.0222575465543229</v>
      </c>
      <c r="Q33" s="67">
        <v>38.239999999999988</v>
      </c>
      <c r="R33" s="67">
        <f t="shared" si="3"/>
        <v>2.0611535811454473E-9</v>
      </c>
      <c r="S33" s="172"/>
      <c r="T33"/>
      <c r="U33"/>
      <c r="V33"/>
      <c r="W33"/>
      <c r="X33"/>
      <c r="Y33"/>
      <c r="Z33"/>
      <c r="AA33"/>
      <c r="AB33"/>
      <c r="AC33"/>
      <c r="AD33"/>
      <c r="AE33"/>
      <c r="AF33"/>
      <c r="AG33"/>
      <c r="AH33"/>
    </row>
    <row r="34" spans="1:34">
      <c r="A34" s="1">
        <v>34805</v>
      </c>
      <c r="B34" s="33">
        <f t="shared" si="6"/>
        <v>22</v>
      </c>
      <c r="C34" s="33">
        <f t="shared" si="7"/>
        <v>50730</v>
      </c>
      <c r="D34">
        <v>1587</v>
      </c>
      <c r="E34" s="17"/>
      <c r="F34" s="31">
        <f t="shared" si="10"/>
        <v>0.4909428421200035</v>
      </c>
      <c r="G34" s="31">
        <f t="shared" si="11"/>
        <v>1.9435996721581028E-2</v>
      </c>
      <c r="H34" s="140">
        <f t="shared" si="0"/>
        <v>-6253.7773201813352</v>
      </c>
      <c r="J34" s="35">
        <f t="shared" si="1"/>
        <v>49094.284212000348</v>
      </c>
      <c r="K34" s="35">
        <f t="shared" si="8"/>
        <v>1943.5996721581032</v>
      </c>
      <c r="L34" s="78">
        <f t="shared" si="4"/>
        <v>0.22470048655204991</v>
      </c>
      <c r="M34" s="78">
        <f t="shared" si="5"/>
        <v>3.2243559787101361E-2</v>
      </c>
      <c r="N34" s="47"/>
      <c r="O34" s="35">
        <f t="shared" si="9"/>
        <v>65.77235808096016</v>
      </c>
      <c r="P34" s="74">
        <f t="shared" si="2"/>
        <v>1.0168754144731291</v>
      </c>
      <c r="Q34" s="67">
        <v>29.070000000000011</v>
      </c>
      <c r="R34" s="67">
        <f t="shared" si="3"/>
        <v>7.582560135332983E-10</v>
      </c>
      <c r="S34" s="172"/>
      <c r="T34"/>
      <c r="U34"/>
      <c r="V34"/>
      <c r="W34"/>
      <c r="X34"/>
      <c r="Y34"/>
      <c r="Z34"/>
      <c r="AA34"/>
      <c r="AB34"/>
      <c r="AC34"/>
      <c r="AD34"/>
      <c r="AE34"/>
      <c r="AF34"/>
      <c r="AG34"/>
      <c r="AH34"/>
    </row>
    <row r="35" spans="1:34">
      <c r="A35" s="1">
        <v>34812</v>
      </c>
      <c r="B35" s="33">
        <f t="shared" si="6"/>
        <v>23</v>
      </c>
      <c r="C35" s="33">
        <f t="shared" si="7"/>
        <v>52237</v>
      </c>
      <c r="D35">
        <v>1507</v>
      </c>
      <c r="E35" s="17"/>
      <c r="F35" s="31">
        <f t="shared" si="10"/>
        <v>0.50997173305198729</v>
      </c>
      <c r="G35" s="31">
        <f t="shared" si="11"/>
        <v>1.9028890931983788E-2</v>
      </c>
      <c r="H35" s="140">
        <f t="shared" si="0"/>
        <v>-5970.4278971838494</v>
      </c>
      <c r="J35" s="35">
        <f t="shared" si="1"/>
        <v>50997.173305198732</v>
      </c>
      <c r="K35" s="35">
        <f t="shared" si="8"/>
        <v>1902.8890931983842</v>
      </c>
      <c r="L35" s="78">
        <f t="shared" si="4"/>
        <v>0.26270012820065308</v>
      </c>
      <c r="M35" s="70">
        <f>ABS((C35-J35)/C35)</f>
        <v>2.3734645841094776E-2</v>
      </c>
      <c r="N35" s="47"/>
      <c r="O35" s="35">
        <f t="shared" si="9"/>
        <v>69.483500183770914</v>
      </c>
      <c r="P35" s="74">
        <f t="shared" si="2"/>
        <v>1.0187503583647897</v>
      </c>
      <c r="Q35" s="67">
        <v>32.269999999999996</v>
      </c>
      <c r="R35" s="67">
        <f t="shared" si="3"/>
        <v>2.7894675458384199E-10</v>
      </c>
      <c r="S35" s="172"/>
      <c r="T35"/>
      <c r="U35"/>
      <c r="V35"/>
      <c r="W35"/>
      <c r="X35"/>
      <c r="Y35"/>
      <c r="Z35"/>
      <c r="AA35"/>
      <c r="AB35"/>
      <c r="AC35"/>
      <c r="AD35"/>
      <c r="AE35"/>
      <c r="AF35"/>
      <c r="AG35"/>
      <c r="AH35"/>
    </row>
    <row r="36" spans="1:34">
      <c r="A36" s="1">
        <v>34819</v>
      </c>
      <c r="B36" s="33">
        <f t="shared" si="6"/>
        <v>24</v>
      </c>
      <c r="C36" s="33">
        <f t="shared" si="7"/>
        <v>53537</v>
      </c>
      <c r="D36">
        <v>1300</v>
      </c>
      <c r="E36" s="17"/>
      <c r="F36" s="31">
        <f t="shared" si="10"/>
        <v>0.52850450612574484</v>
      </c>
      <c r="G36" s="31">
        <f t="shared" si="11"/>
        <v>1.8532773073757558E-2</v>
      </c>
      <c r="H36" s="140">
        <f t="shared" si="0"/>
        <v>-5184.6789756890257</v>
      </c>
      <c r="J36" s="35">
        <f t="shared" si="1"/>
        <v>52850.450612574481</v>
      </c>
      <c r="K36" s="35">
        <f t="shared" si="8"/>
        <v>1853.2773073757489</v>
      </c>
      <c r="L36" s="78">
        <f t="shared" si="4"/>
        <v>0.42559792875057612</v>
      </c>
      <c r="M36" s="70">
        <f t="shared" si="5"/>
        <v>1.2823830013364942E-2</v>
      </c>
      <c r="N36" s="47"/>
      <c r="O36" s="35">
        <f t="shared" si="9"/>
        <v>73.239091994591035</v>
      </c>
      <c r="P36" s="74">
        <f t="shared" si="2"/>
        <v>1.0164891367544335</v>
      </c>
      <c r="Q36" s="67">
        <v>28.410000000000004</v>
      </c>
      <c r="R36" s="67">
        <f t="shared" si="3"/>
        <v>1.0261880234452292E-10</v>
      </c>
      <c r="S36" s="172"/>
      <c r="T36" s="6" t="s">
        <v>30</v>
      </c>
      <c r="U36"/>
      <c r="V36"/>
      <c r="W36"/>
      <c r="X36"/>
      <c r="AH36" s="5"/>
    </row>
    <row r="37" spans="1:34">
      <c r="A37" s="1">
        <v>34826</v>
      </c>
      <c r="B37" s="33">
        <f t="shared" si="6"/>
        <v>25</v>
      </c>
      <c r="C37" s="33">
        <f t="shared" si="7"/>
        <v>54664</v>
      </c>
      <c r="D37">
        <v>1127</v>
      </c>
      <c r="E37" s="17"/>
      <c r="F37" s="31">
        <f t="shared" si="10"/>
        <v>0.5466277445974419</v>
      </c>
      <c r="G37" s="31">
        <f t="shared" si="11"/>
        <v>1.8123238471697056E-2</v>
      </c>
      <c r="H37" s="140">
        <f t="shared" si="0"/>
        <v>-4519.9014251159497</v>
      </c>
      <c r="J37" s="35">
        <f t="shared" si="1"/>
        <v>54662.774459744192</v>
      </c>
      <c r="K37" s="35">
        <f t="shared" si="8"/>
        <v>1812.3238471697114</v>
      </c>
      <c r="L37" s="78">
        <f t="shared" si="4"/>
        <v>0.6080956940281379</v>
      </c>
      <c r="M37" s="70">
        <f t="shared" si="5"/>
        <v>2.2419512948331132E-5</v>
      </c>
      <c r="N37" s="47"/>
      <c r="O37" s="35">
        <f t="shared" si="9"/>
        <v>77.057268256090879</v>
      </c>
      <c r="P37" s="74">
        <f t="shared" si="2"/>
        <v>1.019530648572883</v>
      </c>
      <c r="Q37" s="67">
        <v>33.6</v>
      </c>
      <c r="R37" s="67">
        <f t="shared" si="3"/>
        <v>3.7751357595539048E-11</v>
      </c>
      <c r="S37" s="172"/>
      <c r="T37" s="6" t="s">
        <v>31</v>
      </c>
      <c r="U37"/>
      <c r="V37"/>
      <c r="W37"/>
      <c r="X37"/>
      <c r="AH37" s="5"/>
    </row>
    <row r="38" spans="1:34">
      <c r="A38" s="1">
        <v>34833</v>
      </c>
      <c r="B38" s="33">
        <f t="shared" si="6"/>
        <v>26</v>
      </c>
      <c r="C38" s="33">
        <f t="shared" si="7"/>
        <v>55661</v>
      </c>
      <c r="D38">
        <v>997</v>
      </c>
      <c r="E38" s="17"/>
      <c r="F38" s="31">
        <f t="shared" si="10"/>
        <v>0.56425038154466711</v>
      </c>
      <c r="G38" s="31">
        <f t="shared" si="11"/>
        <v>1.7622636947225212E-2</v>
      </c>
      <c r="H38" s="140">
        <f t="shared" si="0"/>
        <v>-4026.4553001492491</v>
      </c>
      <c r="J38" s="35">
        <f t="shared" si="1"/>
        <v>56425.038154466711</v>
      </c>
      <c r="K38" s="35">
        <f t="shared" si="8"/>
        <v>1762.2636947225183</v>
      </c>
      <c r="L38" s="78">
        <f t="shared" si="4"/>
        <v>0.76756639390423098</v>
      </c>
      <c r="M38" s="70">
        <f t="shared" si="5"/>
        <v>1.3726633629771487E-2</v>
      </c>
      <c r="N38" s="47"/>
      <c r="O38" s="35">
        <f t="shared" si="9"/>
        <v>80.919254176986968</v>
      </c>
      <c r="P38" s="74">
        <f t="shared" si="2"/>
        <v>1.0179120659367331</v>
      </c>
      <c r="Q38" s="67">
        <v>30.839999999999993</v>
      </c>
      <c r="R38" s="67">
        <f t="shared" si="3"/>
        <v>1.3887890837338546E-11</v>
      </c>
      <c r="S38" s="172"/>
      <c r="T38" s="6" t="s">
        <v>32</v>
      </c>
      <c r="U38"/>
      <c r="V38"/>
      <c r="W38"/>
      <c r="X38"/>
      <c r="AH38" s="5"/>
    </row>
    <row r="39" spans="1:34">
      <c r="A39" s="1">
        <v>34840</v>
      </c>
      <c r="B39" s="33">
        <f t="shared" si="6"/>
        <v>27</v>
      </c>
      <c r="C39" s="33">
        <f t="shared" si="7"/>
        <v>56495</v>
      </c>
      <c r="D39">
        <v>834</v>
      </c>
      <c r="E39" s="17"/>
      <c r="F39" s="31">
        <f t="shared" si="10"/>
        <v>0.58122811500089377</v>
      </c>
      <c r="G39" s="31">
        <f t="shared" si="11"/>
        <v>1.6977733456226662E-2</v>
      </c>
      <c r="H39" s="140">
        <f t="shared" si="0"/>
        <v>-3399.2610601866927</v>
      </c>
      <c r="J39" s="35">
        <f t="shared" si="1"/>
        <v>58122.811500089374</v>
      </c>
      <c r="K39" s="35">
        <f t="shared" si="8"/>
        <v>1697.7733456226633</v>
      </c>
      <c r="L39" s="78">
        <f t="shared" si="4"/>
        <v>1.0356994551830496</v>
      </c>
      <c r="M39" s="70">
        <f t="shared" si="5"/>
        <v>2.8813372866437276E-2</v>
      </c>
      <c r="N39" s="47"/>
      <c r="O39" s="35">
        <f t="shared" si="9"/>
        <v>84.790565313221578</v>
      </c>
      <c r="P39" s="74">
        <f t="shared" si="2"/>
        <v>1.0076973426657581</v>
      </c>
      <c r="Q39" s="67">
        <v>13.320000000000002</v>
      </c>
      <c r="R39" s="67">
        <f t="shared" si="3"/>
        <v>5.1091353370225079E-12</v>
      </c>
      <c r="S39" s="172"/>
      <c r="T39"/>
      <c r="U39"/>
      <c r="V39"/>
      <c r="W39"/>
      <c r="X39"/>
      <c r="AH39" s="5"/>
    </row>
    <row r="40" spans="1:34">
      <c r="A40" s="4"/>
      <c r="B40" s="4"/>
      <c r="C40" s="4"/>
      <c r="H40" s="17">
        <f>(B7-SUM(D13:D39))*IFERROR(LN(1-F39),-10000)</f>
        <v>-37868.010796469862</v>
      </c>
    </row>
    <row r="41" spans="1:34">
      <c r="A41" s="4"/>
      <c r="B41"/>
      <c r="C41"/>
      <c r="D41"/>
      <c r="E41"/>
      <c r="F41"/>
      <c r="G41"/>
      <c r="H41"/>
      <c r="I41"/>
      <c r="J41"/>
      <c r="K41"/>
      <c r="L41"/>
      <c r="M41"/>
      <c r="N41"/>
      <c r="O41"/>
      <c r="P41" s="172">
        <f>10</f>
        <v>10</v>
      </c>
      <c r="Q41"/>
      <c r="R41"/>
      <c r="S41"/>
      <c r="T41"/>
      <c r="U41"/>
      <c r="V41"/>
      <c r="W41"/>
      <c r="X41"/>
    </row>
    <row r="42" spans="1:34">
      <c r="A42" s="4"/>
      <c r="B42"/>
      <c r="C42"/>
      <c r="D42"/>
      <c r="E42"/>
      <c r="F42"/>
      <c r="G42"/>
      <c r="H42"/>
      <c r="I42"/>
      <c r="J42"/>
      <c r="K42"/>
      <c r="L42"/>
      <c r="M42"/>
      <c r="N42"/>
      <c r="O42"/>
      <c r="P42"/>
      <c r="Q42"/>
      <c r="R42"/>
      <c r="S42"/>
      <c r="T42"/>
      <c r="U42"/>
      <c r="V42"/>
      <c r="W42"/>
      <c r="X42"/>
    </row>
    <row r="43" spans="1:34">
      <c r="A43" s="4"/>
      <c r="B43"/>
      <c r="C43"/>
      <c r="D43"/>
      <c r="E43"/>
      <c r="F43"/>
      <c r="G43"/>
      <c r="H43"/>
      <c r="I43"/>
      <c r="J43"/>
      <c r="K43"/>
      <c r="L43"/>
      <c r="M43"/>
      <c r="N43"/>
      <c r="O43"/>
      <c r="P43"/>
      <c r="Q43"/>
      <c r="R43"/>
      <c r="S43"/>
      <c r="T43"/>
      <c r="U43"/>
      <c r="V43"/>
      <c r="W43"/>
      <c r="X43"/>
    </row>
    <row r="44" spans="1:34">
      <c r="A44" s="4"/>
      <c r="B44"/>
      <c r="C44"/>
      <c r="D44"/>
      <c r="E44"/>
      <c r="F44"/>
      <c r="G44"/>
      <c r="H44"/>
      <c r="I44"/>
      <c r="J44"/>
      <c r="K44"/>
      <c r="L44"/>
      <c r="M44"/>
      <c r="N44"/>
      <c r="O44"/>
      <c r="P44"/>
      <c r="Q44"/>
      <c r="R44"/>
      <c r="S44"/>
      <c r="T44"/>
      <c r="U44"/>
      <c r="V44"/>
      <c r="W44"/>
      <c r="X44"/>
    </row>
    <row r="45" spans="1:34">
      <c r="A45" s="4"/>
      <c r="B45"/>
      <c r="C45"/>
      <c r="D45"/>
      <c r="E45"/>
      <c r="F45"/>
      <c r="G45"/>
      <c r="H45"/>
      <c r="I45"/>
      <c r="J45"/>
      <c r="K45"/>
      <c r="L45"/>
      <c r="M45"/>
      <c r="N45"/>
      <c r="O45"/>
      <c r="P45"/>
      <c r="Q45"/>
      <c r="R45"/>
      <c r="S45"/>
      <c r="T45"/>
      <c r="U45"/>
      <c r="V45"/>
      <c r="W45"/>
      <c r="X45"/>
    </row>
    <row r="46" spans="1:34">
      <c r="A46" s="4"/>
      <c r="B46"/>
      <c r="C46"/>
      <c r="D46"/>
      <c r="E46"/>
      <c r="F46"/>
      <c r="G46"/>
      <c r="H46"/>
      <c r="I46"/>
      <c r="J46"/>
      <c r="K46"/>
      <c r="L46"/>
      <c r="M46"/>
      <c r="N46"/>
      <c r="O46"/>
      <c r="P46"/>
      <c r="Q46"/>
      <c r="R46"/>
      <c r="S46"/>
      <c r="T46"/>
      <c r="U46"/>
      <c r="V46"/>
      <c r="W46"/>
      <c r="X46"/>
    </row>
    <row r="47" spans="1:34">
      <c r="A47" s="4"/>
      <c r="B47"/>
      <c r="C47"/>
      <c r="D47"/>
      <c r="E47"/>
      <c r="F47"/>
      <c r="G47"/>
      <c r="H47"/>
      <c r="I47"/>
      <c r="J47"/>
      <c r="K47"/>
      <c r="L47"/>
      <c r="M47"/>
      <c r="N47"/>
      <c r="O47"/>
      <c r="P47"/>
      <c r="Q47"/>
      <c r="R47"/>
      <c r="S47"/>
      <c r="T47"/>
      <c r="U47"/>
      <c r="V47"/>
      <c r="W47"/>
      <c r="X47"/>
    </row>
    <row r="48" spans="1:34">
      <c r="A48" s="4"/>
      <c r="B48"/>
      <c r="C48"/>
      <c r="D48"/>
      <c r="E48"/>
      <c r="F48"/>
      <c r="G48"/>
      <c r="H48"/>
      <c r="I48"/>
      <c r="J48"/>
      <c r="K48"/>
      <c r="L48"/>
      <c r="M48"/>
      <c r="N48"/>
      <c r="O48"/>
      <c r="P48"/>
      <c r="Q48"/>
      <c r="R48"/>
      <c r="S48"/>
      <c r="T48"/>
      <c r="U48"/>
      <c r="V48"/>
      <c r="W48"/>
      <c r="X48"/>
    </row>
    <row r="49" spans="1:24">
      <c r="A49" s="4"/>
      <c r="B49"/>
      <c r="C49"/>
      <c r="D49"/>
      <c r="E49"/>
      <c r="F49"/>
      <c r="G49"/>
      <c r="H49"/>
      <c r="I49"/>
      <c r="J49"/>
      <c r="K49"/>
      <c r="L49"/>
      <c r="M49"/>
      <c r="N49"/>
      <c r="O49"/>
      <c r="P49"/>
      <c r="Q49"/>
      <c r="R49"/>
      <c r="S49"/>
      <c r="T49"/>
      <c r="U49"/>
      <c r="V49"/>
      <c r="W49"/>
      <c r="X49"/>
    </row>
    <row r="50" spans="1:24">
      <c r="A50" s="4"/>
      <c r="B50"/>
      <c r="C50"/>
      <c r="D50"/>
      <c r="E50"/>
      <c r="F50"/>
      <c r="G50"/>
      <c r="H50"/>
      <c r="I50"/>
      <c r="J50"/>
      <c r="K50"/>
      <c r="L50"/>
      <c r="M50"/>
      <c r="N50"/>
      <c r="O50"/>
      <c r="P50"/>
      <c r="Q50"/>
      <c r="R50"/>
      <c r="S50"/>
      <c r="T50"/>
      <c r="U50"/>
      <c r="V50"/>
      <c r="W50"/>
      <c r="X50"/>
    </row>
    <row r="51" spans="1:24">
      <c r="A51" s="4"/>
      <c r="B51"/>
      <c r="C51"/>
      <c r="D51"/>
      <c r="E51"/>
      <c r="F51"/>
      <c r="G51"/>
      <c r="H51"/>
      <c r="I51"/>
      <c r="J51"/>
      <c r="K51"/>
      <c r="L51"/>
      <c r="M51"/>
      <c r="N51"/>
      <c r="O51"/>
      <c r="P51"/>
      <c r="Q51"/>
      <c r="R51"/>
      <c r="S51"/>
      <c r="T51"/>
      <c r="U51"/>
      <c r="V51"/>
      <c r="W51"/>
      <c r="X51"/>
    </row>
    <row r="52" spans="1:24">
      <c r="A52" s="4"/>
      <c r="B52"/>
      <c r="C52"/>
      <c r="D52"/>
      <c r="E52"/>
      <c r="F52"/>
      <c r="G52"/>
      <c r="H52"/>
      <c r="I52"/>
      <c r="J52"/>
      <c r="K52"/>
      <c r="L52"/>
      <c r="M52"/>
      <c r="N52"/>
      <c r="O52"/>
      <c r="P52"/>
      <c r="Q52"/>
      <c r="R52"/>
      <c r="S52"/>
      <c r="T52"/>
      <c r="U52"/>
      <c r="V52"/>
      <c r="W52"/>
      <c r="X52"/>
    </row>
    <row r="53" spans="1:24">
      <c r="A53" s="4"/>
      <c r="B53"/>
      <c r="C53"/>
      <c r="D53"/>
      <c r="E53"/>
      <c r="F53"/>
      <c r="G53"/>
      <c r="H53"/>
      <c r="I53"/>
      <c r="J53"/>
      <c r="K53"/>
      <c r="L53"/>
      <c r="M53"/>
      <c r="N53"/>
      <c r="O53"/>
      <c r="P53"/>
      <c r="Q53"/>
      <c r="R53"/>
      <c r="S53"/>
      <c r="T53"/>
      <c r="U53"/>
      <c r="V53"/>
      <c r="W53"/>
      <c r="X53"/>
    </row>
    <row r="54" spans="1:24">
      <c r="A54" s="4"/>
      <c r="B54"/>
      <c r="C54"/>
      <c r="D54"/>
      <c r="E54"/>
      <c r="F54"/>
      <c r="G54"/>
      <c r="H54"/>
      <c r="I54"/>
      <c r="J54"/>
      <c r="K54"/>
      <c r="L54"/>
      <c r="M54"/>
      <c r="N54"/>
      <c r="O54"/>
      <c r="P54"/>
      <c r="Q54"/>
      <c r="R54"/>
      <c r="S54"/>
      <c r="T54"/>
      <c r="U54"/>
      <c r="V54"/>
      <c r="W54"/>
      <c r="X54"/>
    </row>
    <row r="55" spans="1:24">
      <c r="A55" s="4"/>
      <c r="B55"/>
      <c r="C55"/>
      <c r="D55"/>
      <c r="E55"/>
      <c r="F55"/>
      <c r="G55"/>
      <c r="H55"/>
      <c r="I55"/>
      <c r="J55"/>
      <c r="K55"/>
      <c r="L55"/>
      <c r="M55"/>
      <c r="N55"/>
      <c r="O55"/>
      <c r="P55"/>
      <c r="Q55"/>
      <c r="R55"/>
      <c r="S55"/>
      <c r="T55"/>
      <c r="U55"/>
      <c r="V55"/>
      <c r="W55"/>
      <c r="X55"/>
    </row>
    <row r="56" spans="1:24">
      <c r="A56" s="4"/>
      <c r="B56"/>
      <c r="C56"/>
      <c r="D56"/>
      <c r="E56"/>
      <c r="F56"/>
      <c r="G56"/>
      <c r="H56"/>
      <c r="I56"/>
      <c r="J56"/>
      <c r="K56"/>
      <c r="L56"/>
      <c r="M56"/>
      <c r="N56"/>
      <c r="O56"/>
      <c r="P56"/>
      <c r="Q56"/>
      <c r="R56"/>
      <c r="S56"/>
      <c r="T56"/>
      <c r="U56"/>
      <c r="V56"/>
      <c r="W56"/>
      <c r="X56"/>
    </row>
    <row r="57" spans="1:24">
      <c r="A57" s="4"/>
      <c r="B57"/>
      <c r="C57"/>
      <c r="D57"/>
      <c r="E57"/>
      <c r="F57"/>
      <c r="G57"/>
      <c r="H57"/>
      <c r="I57"/>
      <c r="J57"/>
      <c r="K57"/>
      <c r="L57"/>
      <c r="M57"/>
      <c r="N57"/>
      <c r="O57"/>
      <c r="P57"/>
      <c r="Q57"/>
      <c r="R57"/>
      <c r="S57"/>
      <c r="T57"/>
      <c r="U57"/>
      <c r="V57"/>
      <c r="W57"/>
      <c r="X57"/>
    </row>
    <row r="58" spans="1:24">
      <c r="A58" s="4"/>
      <c r="B58"/>
      <c r="C58"/>
      <c r="D58"/>
      <c r="E58"/>
      <c r="F58"/>
      <c r="G58"/>
      <c r="H58"/>
      <c r="I58"/>
      <c r="J58"/>
      <c r="K58"/>
      <c r="L58"/>
      <c r="M58"/>
      <c r="N58"/>
      <c r="O58"/>
      <c r="P58"/>
      <c r="Q58"/>
      <c r="R58"/>
      <c r="S58"/>
      <c r="T58"/>
      <c r="U58"/>
      <c r="V58"/>
      <c r="W58"/>
      <c r="X58"/>
    </row>
    <row r="59" spans="1:24">
      <c r="B59"/>
      <c r="C59"/>
      <c r="D59"/>
      <c r="E59"/>
      <c r="F59"/>
      <c r="G59"/>
      <c r="H59"/>
      <c r="I59"/>
      <c r="J59"/>
      <c r="K59"/>
      <c r="L59"/>
      <c r="M59"/>
      <c r="N59"/>
      <c r="O59"/>
      <c r="P59"/>
      <c r="Q59"/>
      <c r="R59"/>
      <c r="S59"/>
      <c r="T59"/>
      <c r="U59"/>
      <c r="V59"/>
      <c r="W59"/>
      <c r="X59"/>
    </row>
    <row r="60" spans="1:24">
      <c r="B60"/>
      <c r="C60"/>
      <c r="D60"/>
      <c r="E60"/>
      <c r="F60"/>
      <c r="G60"/>
      <c r="H60"/>
      <c r="I60"/>
      <c r="J60"/>
      <c r="K60"/>
      <c r="L60"/>
      <c r="M60"/>
      <c r="N60"/>
      <c r="O60"/>
      <c r="P60"/>
      <c r="Q60"/>
      <c r="R60"/>
      <c r="S60"/>
      <c r="T60"/>
      <c r="U60"/>
      <c r="V60"/>
      <c r="W60"/>
      <c r="X60"/>
    </row>
    <row r="61" spans="1:24">
      <c r="B61"/>
      <c r="C61"/>
      <c r="D61"/>
      <c r="E61"/>
      <c r="F61"/>
      <c r="G61"/>
      <c r="H61"/>
      <c r="I61"/>
      <c r="J61"/>
      <c r="K61"/>
      <c r="L61"/>
      <c r="M61"/>
      <c r="N61"/>
      <c r="O61"/>
      <c r="P61"/>
      <c r="Q61"/>
      <c r="R61"/>
      <c r="S61"/>
      <c r="T61"/>
      <c r="U61"/>
      <c r="V61"/>
      <c r="W61"/>
      <c r="X61"/>
    </row>
    <row r="62" spans="1:24">
      <c r="B62"/>
      <c r="C62"/>
      <c r="D62"/>
      <c r="E62"/>
      <c r="F62"/>
      <c r="G62"/>
      <c r="H62"/>
      <c r="I62"/>
      <c r="J62"/>
      <c r="K62"/>
      <c r="L62"/>
      <c r="M62"/>
      <c r="N62"/>
      <c r="O62"/>
      <c r="P62"/>
      <c r="Q62"/>
      <c r="R62"/>
      <c r="S62"/>
      <c r="T62"/>
      <c r="U62"/>
      <c r="V62"/>
      <c r="W62"/>
      <c r="X62"/>
    </row>
    <row r="63" spans="1:24">
      <c r="B63"/>
      <c r="C63"/>
      <c r="D63"/>
      <c r="E63"/>
      <c r="F63"/>
      <c r="G63"/>
      <c r="H63"/>
      <c r="I63"/>
      <c r="J63"/>
      <c r="K63"/>
      <c r="L63"/>
      <c r="M63"/>
      <c r="N63"/>
      <c r="O63"/>
      <c r="P63"/>
      <c r="Q63"/>
      <c r="R63"/>
      <c r="S63"/>
      <c r="T63"/>
      <c r="U63"/>
      <c r="V63"/>
      <c r="W63"/>
      <c r="X63"/>
    </row>
    <row r="64" spans="1:24">
      <c r="B64"/>
      <c r="C64"/>
      <c r="D64"/>
      <c r="E64"/>
      <c r="F64"/>
      <c r="G64"/>
      <c r="H64"/>
      <c r="I64"/>
      <c r="J64"/>
      <c r="K64"/>
      <c r="L64"/>
      <c r="M64"/>
      <c r="N64"/>
      <c r="O64"/>
      <c r="P64"/>
      <c r="Q64"/>
      <c r="R64"/>
      <c r="S64"/>
      <c r="T64"/>
      <c r="U64"/>
      <c r="V64"/>
      <c r="W64"/>
      <c r="X64"/>
    </row>
    <row r="65" spans="2:24">
      <c r="B65"/>
      <c r="C65"/>
      <c r="D65"/>
      <c r="E65"/>
      <c r="F65"/>
      <c r="G65"/>
      <c r="H65"/>
      <c r="I65"/>
      <c r="J65"/>
      <c r="K65"/>
      <c r="L65"/>
      <c r="M65"/>
      <c r="N65"/>
      <c r="O65"/>
      <c r="P65"/>
      <c r="Q65"/>
      <c r="R65"/>
      <c r="S65"/>
      <c r="T65"/>
      <c r="U65"/>
      <c r="V65"/>
      <c r="W65"/>
      <c r="X65"/>
    </row>
    <row r="66" spans="2:24">
      <c r="B66"/>
      <c r="C66"/>
      <c r="D66"/>
      <c r="E66"/>
      <c r="F66"/>
      <c r="G66"/>
      <c r="H66"/>
      <c r="I66"/>
      <c r="J66"/>
      <c r="K66"/>
      <c r="L66"/>
      <c r="M66"/>
      <c r="N66"/>
      <c r="O66"/>
      <c r="P66"/>
      <c r="Q66"/>
      <c r="R66"/>
      <c r="S66"/>
      <c r="T66"/>
      <c r="U66"/>
      <c r="V66"/>
      <c r="W66"/>
      <c r="X66"/>
    </row>
    <row r="67" spans="2:24">
      <c r="B67"/>
      <c r="C67"/>
      <c r="D67"/>
      <c r="E67"/>
      <c r="F67"/>
      <c r="G67"/>
      <c r="H67"/>
      <c r="I67"/>
      <c r="J67"/>
      <c r="K67"/>
      <c r="L67"/>
      <c r="M67"/>
      <c r="N67"/>
      <c r="O67"/>
      <c r="P67"/>
      <c r="Q67"/>
      <c r="R67"/>
      <c r="S67"/>
      <c r="T67"/>
      <c r="U67"/>
      <c r="V67"/>
      <c r="W67"/>
      <c r="X67"/>
    </row>
    <row r="68" spans="2:24">
      <c r="B68"/>
      <c r="C68"/>
      <c r="D68"/>
      <c r="E68"/>
      <c r="F68"/>
      <c r="G68"/>
      <c r="H68"/>
      <c r="I68"/>
      <c r="J68"/>
      <c r="K68"/>
      <c r="L68"/>
      <c r="M68"/>
      <c r="N68"/>
      <c r="O68"/>
      <c r="P68"/>
      <c r="Q68"/>
      <c r="R68"/>
      <c r="S68"/>
      <c r="T68"/>
      <c r="U68"/>
      <c r="V68"/>
      <c r="W68"/>
      <c r="X68"/>
    </row>
    <row r="69" spans="2:24">
      <c r="B69"/>
      <c r="C69"/>
      <c r="D69"/>
      <c r="E69"/>
      <c r="F69"/>
      <c r="G69"/>
      <c r="H69"/>
      <c r="I69"/>
      <c r="J69"/>
      <c r="K69"/>
      <c r="L69"/>
      <c r="M69"/>
      <c r="N69"/>
      <c r="O69"/>
      <c r="P69"/>
      <c r="Q69"/>
      <c r="R69"/>
      <c r="S69"/>
      <c r="T69"/>
      <c r="U69"/>
      <c r="V69"/>
      <c r="W69"/>
      <c r="X69"/>
    </row>
    <row r="70" spans="2:24">
      <c r="B70"/>
      <c r="C70"/>
      <c r="D70"/>
      <c r="E70"/>
      <c r="F70"/>
      <c r="G70"/>
      <c r="H70"/>
      <c r="I70"/>
      <c r="J70"/>
      <c r="K70"/>
      <c r="L70"/>
      <c r="M70"/>
      <c r="N70"/>
      <c r="O70"/>
      <c r="P70"/>
      <c r="Q70"/>
      <c r="R70"/>
      <c r="S70"/>
      <c r="T70"/>
      <c r="U70"/>
      <c r="V70"/>
      <c r="W70"/>
      <c r="X70"/>
    </row>
    <row r="71" spans="2:24">
      <c r="B71"/>
      <c r="C71"/>
      <c r="D71"/>
      <c r="E71"/>
      <c r="F71"/>
      <c r="G71"/>
      <c r="H71"/>
      <c r="I71"/>
      <c r="J71"/>
      <c r="K71"/>
      <c r="L71"/>
      <c r="M71"/>
      <c r="N71"/>
      <c r="O71"/>
      <c r="P71"/>
      <c r="Q71"/>
      <c r="R71"/>
      <c r="S71"/>
      <c r="T71"/>
      <c r="U71"/>
      <c r="V71"/>
      <c r="W71"/>
      <c r="X71"/>
    </row>
  </sheetData>
  <scenarios current="0" show="0">
    <scenario name="pittsfield best fit" locked="1" count="1" user="Author">
      <inputCells r="D37" deleted="1" val=""/>
    </scenario>
  </scenarios>
  <mergeCells count="2">
    <mergeCell ref="S3:U3"/>
    <mergeCell ref="T13:T16"/>
  </mergeCells>
  <printOptions gridLines="1" gridLinesSet="0"/>
  <pageMargins left="0.75" right="0.75" top="1" bottom="1" header="0.5" footer="0.5"/>
  <pageSetup orientation="portrait" r:id="rId1"/>
  <headerFooter alignWithMargins="0">
    <oddHeader>&amp;A</oddHead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2E96A-39AD-44D9-9F70-6A84047A7B8C}">
  <dimension ref="A1:P52"/>
  <sheetViews>
    <sheetView zoomScale="90" zoomScaleNormal="90" workbookViewId="0">
      <selection activeCell="D26" sqref="D26"/>
    </sheetView>
  </sheetViews>
  <sheetFormatPr defaultRowHeight="12.75"/>
  <cols>
    <col min="1" max="1" width="12" style="2" customWidth="1"/>
    <col min="2" max="3" width="9.140625" style="2"/>
    <col min="4" max="4" width="12" style="2" customWidth="1"/>
    <col min="5" max="5" width="11.140625" style="2" customWidth="1"/>
    <col min="6" max="16384" width="9.140625" style="2"/>
  </cols>
  <sheetData>
    <row r="1" spans="1:12">
      <c r="A1" s="7" t="s">
        <v>1</v>
      </c>
      <c r="B1" s="7" t="s">
        <v>2</v>
      </c>
      <c r="C1" s="7" t="s">
        <v>0</v>
      </c>
      <c r="D1" s="7" t="s">
        <v>177</v>
      </c>
      <c r="E1" s="7" t="s">
        <v>9</v>
      </c>
    </row>
    <row r="2" spans="1:12">
      <c r="A2" s="4">
        <v>34973</v>
      </c>
      <c r="B2" s="2">
        <v>74</v>
      </c>
      <c r="C2" s="2">
        <v>0</v>
      </c>
      <c r="D2" s="2">
        <v>0</v>
      </c>
      <c r="E2" s="2" t="s">
        <v>51</v>
      </c>
      <c r="F2" s="21"/>
      <c r="L2" s="2" t="s">
        <v>54</v>
      </c>
    </row>
    <row r="3" spans="1:12">
      <c r="A3" s="4">
        <v>34980</v>
      </c>
      <c r="B3" s="2">
        <v>68</v>
      </c>
      <c r="C3" s="2">
        <v>0</v>
      </c>
      <c r="D3" s="2">
        <v>0</v>
      </c>
    </row>
    <row r="4" spans="1:12">
      <c r="A4" s="4">
        <v>34987</v>
      </c>
      <c r="B4" s="2">
        <v>85</v>
      </c>
      <c r="C4" s="2">
        <v>0</v>
      </c>
      <c r="D4" s="2">
        <v>0</v>
      </c>
    </row>
    <row r="5" spans="1:12">
      <c r="A5" s="4">
        <v>34994</v>
      </c>
      <c r="B5" s="2">
        <v>86</v>
      </c>
      <c r="C5" s="2">
        <v>0</v>
      </c>
      <c r="D5" s="2">
        <v>0</v>
      </c>
    </row>
    <row r="6" spans="1:12">
      <c r="A6" s="4">
        <v>35001</v>
      </c>
      <c r="B6" s="2">
        <v>96</v>
      </c>
      <c r="C6" s="2">
        <v>0</v>
      </c>
      <c r="D6" s="2">
        <v>0</v>
      </c>
      <c r="E6" s="2" t="s">
        <v>22</v>
      </c>
    </row>
    <row r="7" spans="1:12">
      <c r="A7" s="4">
        <v>35008</v>
      </c>
      <c r="B7" s="2">
        <v>107</v>
      </c>
      <c r="C7" s="2">
        <v>0</v>
      </c>
      <c r="D7" s="2">
        <v>0</v>
      </c>
      <c r="E7" s="2" t="s">
        <v>21</v>
      </c>
    </row>
    <row r="8" spans="1:12">
      <c r="A8" s="4">
        <v>35015</v>
      </c>
      <c r="B8" s="2">
        <v>85</v>
      </c>
      <c r="C8" s="2">
        <v>0</v>
      </c>
      <c r="D8" s="2">
        <v>0</v>
      </c>
    </row>
    <row r="9" spans="1:12">
      <c r="A9" s="4">
        <v>35022</v>
      </c>
      <c r="B9" s="2">
        <v>74</v>
      </c>
      <c r="C9" s="2">
        <v>0</v>
      </c>
      <c r="D9" s="2">
        <v>0</v>
      </c>
    </row>
    <row r="10" spans="1:12">
      <c r="A10" s="4">
        <v>35029</v>
      </c>
      <c r="B10" s="2">
        <v>87</v>
      </c>
      <c r="C10" s="2">
        <v>0</v>
      </c>
      <c r="D10" s="2">
        <v>0</v>
      </c>
      <c r="E10" s="2" t="s">
        <v>23</v>
      </c>
    </row>
    <row r="11" spans="1:12">
      <c r="A11" s="4">
        <v>35036</v>
      </c>
      <c r="B11" s="2">
        <v>74</v>
      </c>
      <c r="C11" s="2">
        <v>0</v>
      </c>
      <c r="D11" s="2">
        <v>0</v>
      </c>
    </row>
    <row r="12" spans="1:12">
      <c r="A12" s="4">
        <v>35043</v>
      </c>
      <c r="B12" s="2">
        <v>88</v>
      </c>
      <c r="C12" s="2">
        <v>0</v>
      </c>
      <c r="D12" s="2">
        <v>0</v>
      </c>
    </row>
    <row r="13" spans="1:12">
      <c r="A13" s="4">
        <v>35050</v>
      </c>
      <c r="B13" s="2">
        <v>101</v>
      </c>
      <c r="C13" s="2">
        <v>0</v>
      </c>
      <c r="D13" s="2">
        <v>0</v>
      </c>
    </row>
    <row r="14" spans="1:12">
      <c r="A14" s="4">
        <v>35057</v>
      </c>
      <c r="B14" s="2">
        <v>176</v>
      </c>
      <c r="C14" s="2">
        <v>0</v>
      </c>
      <c r="D14" s="2">
        <v>0</v>
      </c>
      <c r="E14" s="8" t="s">
        <v>25</v>
      </c>
    </row>
    <row r="15" spans="1:12">
      <c r="A15" s="4">
        <v>35064</v>
      </c>
      <c r="B15" s="2">
        <v>144</v>
      </c>
      <c r="C15" s="2">
        <v>0</v>
      </c>
      <c r="D15" s="2">
        <v>0</v>
      </c>
      <c r="E15" s="7" t="s">
        <v>7</v>
      </c>
    </row>
    <row r="16" spans="1:12">
      <c r="A16" s="4">
        <v>35071</v>
      </c>
      <c r="B16" s="2">
        <v>178</v>
      </c>
      <c r="C16" s="2">
        <v>0</v>
      </c>
      <c r="D16" s="2">
        <v>0</v>
      </c>
      <c r="E16" s="12" t="s">
        <v>24</v>
      </c>
    </row>
    <row r="17" spans="1:16">
      <c r="A17" s="4">
        <v>35078</v>
      </c>
      <c r="B17" s="2">
        <v>141</v>
      </c>
      <c r="C17" s="2">
        <v>0</v>
      </c>
      <c r="D17" s="2">
        <v>0</v>
      </c>
      <c r="E17" s="13" t="s">
        <v>33</v>
      </c>
    </row>
    <row r="18" spans="1:16">
      <c r="A18" s="4">
        <v>35085</v>
      </c>
      <c r="B18" s="2">
        <v>151</v>
      </c>
      <c r="C18" s="2">
        <v>0</v>
      </c>
      <c r="D18" s="2">
        <v>0</v>
      </c>
      <c r="E18" s="12" t="s">
        <v>36</v>
      </c>
      <c r="H18" s="19" t="s">
        <v>38</v>
      </c>
    </row>
    <row r="19" spans="1:16">
      <c r="A19" s="4">
        <v>35092</v>
      </c>
      <c r="B19" s="2">
        <v>102</v>
      </c>
      <c r="C19" s="2">
        <v>0</v>
      </c>
      <c r="D19" s="2">
        <v>0</v>
      </c>
      <c r="E19" s="11"/>
    </row>
    <row r="20" spans="1:16">
      <c r="A20" s="4">
        <v>35099</v>
      </c>
      <c r="B20" s="2">
        <v>132</v>
      </c>
      <c r="C20" s="17">
        <v>20.080000000000002</v>
      </c>
      <c r="D20" s="2">
        <v>0</v>
      </c>
      <c r="P20" s="5"/>
    </row>
    <row r="21" spans="1:16">
      <c r="A21" s="4">
        <v>35106</v>
      </c>
      <c r="B21" s="2">
        <v>188</v>
      </c>
      <c r="C21" s="17">
        <v>18.669999999999998</v>
      </c>
      <c r="D21" s="2">
        <v>0</v>
      </c>
      <c r="F21" s="2">
        <f>AVERAGE(C2:C28)</f>
        <v>120.4285185185185</v>
      </c>
      <c r="P21" s="5"/>
    </row>
    <row r="22" spans="1:16">
      <c r="A22" s="4">
        <v>35113</v>
      </c>
      <c r="B22" s="2">
        <v>121</v>
      </c>
      <c r="C22" s="17">
        <v>83.27000000000001</v>
      </c>
      <c r="D22" s="17">
        <v>20.080000000000002</v>
      </c>
      <c r="P22" s="5"/>
    </row>
    <row r="23" spans="1:16">
      <c r="A23" s="4">
        <v>35120</v>
      </c>
      <c r="B23" s="2">
        <v>139</v>
      </c>
      <c r="C23" s="17">
        <v>184.69</v>
      </c>
      <c r="D23" s="17">
        <v>18.669999999999998</v>
      </c>
      <c r="P23" s="5"/>
    </row>
    <row r="24" spans="1:16">
      <c r="A24" s="4">
        <v>35127</v>
      </c>
      <c r="B24" s="2">
        <v>166</v>
      </c>
      <c r="C24" s="17">
        <v>424.75</v>
      </c>
      <c r="D24" s="17">
        <v>83.27000000000001</v>
      </c>
      <c r="P24" s="5"/>
    </row>
    <row r="25" spans="1:16">
      <c r="A25" s="4">
        <v>35134</v>
      </c>
      <c r="B25" s="2">
        <v>170</v>
      </c>
      <c r="C25" s="17">
        <v>518.51</v>
      </c>
      <c r="D25" s="17">
        <v>184.69</v>
      </c>
      <c r="P25" s="5"/>
    </row>
    <row r="26" spans="1:16">
      <c r="A26" s="4">
        <v>35141</v>
      </c>
      <c r="B26" s="2">
        <v>316</v>
      </c>
      <c r="C26" s="17">
        <v>673.75</v>
      </c>
      <c r="D26" s="17">
        <v>424.75</v>
      </c>
      <c r="H26" s="2">
        <f>CORREL(B2:B28,C2:C28)^2</f>
        <v>0.67398664628026861</v>
      </c>
      <c r="P26" s="5"/>
    </row>
    <row r="27" spans="1:16">
      <c r="A27" s="4">
        <v>35148</v>
      </c>
      <c r="B27" s="2">
        <v>427</v>
      </c>
      <c r="C27" s="17">
        <v>670.4</v>
      </c>
      <c r="D27" s="17">
        <v>518.51</v>
      </c>
      <c r="P27" s="5"/>
    </row>
    <row r="28" spans="1:16">
      <c r="A28" s="4">
        <v>35155</v>
      </c>
      <c r="B28" s="2">
        <v>584</v>
      </c>
      <c r="C28" s="17">
        <v>657.45</v>
      </c>
      <c r="D28" s="17">
        <v>673.75</v>
      </c>
      <c r="P28" s="5"/>
    </row>
    <row r="29" spans="1:16">
      <c r="A29" s="4"/>
      <c r="D29" s="17"/>
    </row>
    <row r="30" spans="1:16">
      <c r="A30" s="4"/>
      <c r="D30" s="17"/>
    </row>
    <row r="31" spans="1:16">
      <c r="A31" s="4"/>
    </row>
    <row r="32" spans="1:16">
      <c r="A32" s="4"/>
      <c r="C32" s="7" t="s">
        <v>6</v>
      </c>
      <c r="D32" s="7"/>
    </row>
    <row r="33" spans="1:7">
      <c r="A33" s="4"/>
      <c r="C33" s="7" t="s">
        <v>10</v>
      </c>
      <c r="D33" s="7"/>
    </row>
    <row r="34" spans="1:7">
      <c r="A34" s="4"/>
      <c r="C34" s="7" t="s">
        <v>11</v>
      </c>
      <c r="D34" s="7"/>
    </row>
    <row r="35" spans="1:7">
      <c r="A35" s="4"/>
    </row>
    <row r="36" spans="1:7">
      <c r="A36" s="4"/>
      <c r="C36" s="7" t="s">
        <v>12</v>
      </c>
      <c r="D36" s="7"/>
    </row>
    <row r="37" spans="1:7">
      <c r="A37" s="4"/>
      <c r="C37" s="20" t="s">
        <v>52</v>
      </c>
      <c r="D37" s="20"/>
      <c r="G37" s="2" t="s">
        <v>53</v>
      </c>
    </row>
    <row r="38" spans="1:7">
      <c r="A38" s="4"/>
      <c r="C38" s="2" t="s">
        <v>13</v>
      </c>
    </row>
    <row r="39" spans="1:7">
      <c r="A39" s="4"/>
      <c r="C39" s="2" t="s">
        <v>15</v>
      </c>
    </row>
    <row r="40" spans="1:7">
      <c r="A40" s="4"/>
      <c r="C40" s="2" t="s">
        <v>14</v>
      </c>
    </row>
    <row r="41" spans="1:7">
      <c r="A41" s="4"/>
      <c r="B41" s="9" t="s">
        <v>17</v>
      </c>
      <c r="C41" s="2" t="s">
        <v>16</v>
      </c>
    </row>
    <row r="42" spans="1:7">
      <c r="A42" s="4"/>
    </row>
    <row r="43" spans="1:7">
      <c r="A43" s="4"/>
      <c r="C43" s="2" t="s">
        <v>18</v>
      </c>
    </row>
    <row r="44" spans="1:7" ht="15">
      <c r="A44" s="4"/>
      <c r="B44" s="9" t="s">
        <v>20</v>
      </c>
      <c r="C44" s="10" t="s">
        <v>19</v>
      </c>
      <c r="D44" s="10"/>
    </row>
    <row r="45" spans="1:7">
      <c r="A45" s="4"/>
      <c r="B45" s="3"/>
    </row>
    <row r="46" spans="1:7">
      <c r="A46" s="4"/>
      <c r="C46" s="7" t="s">
        <v>27</v>
      </c>
      <c r="D46" s="7"/>
    </row>
    <row r="47" spans="1:7">
      <c r="A47" s="4"/>
      <c r="C47" s="43" t="s">
        <v>26</v>
      </c>
      <c r="D47" s="43"/>
    </row>
    <row r="49" spans="3:4">
      <c r="C49" s="7" t="s">
        <v>34</v>
      </c>
      <c r="D49" s="7"/>
    </row>
    <row r="50" spans="3:4">
      <c r="C50" s="2" t="s">
        <v>35</v>
      </c>
    </row>
    <row r="52" spans="3:4" ht="15">
      <c r="C52" s="18" t="s">
        <v>37</v>
      </c>
      <c r="D52" s="18"/>
    </row>
  </sheetData>
  <scenarios current="0" show="0">
    <scenario name="pittsfield best fit" locked="1" count="1" user="Author">
      <inputCells r="D37" deleted="1" val=""/>
    </scenario>
  </scenarios>
  <hyperlinks>
    <hyperlink ref="B41" r:id="rId1" xr:uid="{E16639F9-2280-4B8D-840C-BCF98E0221BD}"/>
    <hyperlink ref="B44" r:id="rId2" xr:uid="{12071825-BD74-4954-8931-6545EC99754D}"/>
    <hyperlink ref="C47" r:id="rId3" xr:uid="{D94D0EEB-296C-429D-914A-D4AB4EB9DB9D}"/>
  </hyperlinks>
  <printOptions gridLines="1" gridLinesSet="0"/>
  <pageMargins left="0.75" right="0.75" top="1" bottom="1" header="0.5" footer="0.5"/>
  <pageSetup orientation="portrait" r:id="rId4"/>
  <headerFooter alignWithMargins="0">
    <oddHeader>&amp;A</oddHeader>
    <oddFooter>Page &amp;P</oddFooter>
  </headerFooter>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09A46-A8FE-459B-81A4-5B6506513B99}">
  <dimension ref="A1:AI73"/>
  <sheetViews>
    <sheetView tabSelected="1" zoomScale="85" zoomScaleNormal="85" workbookViewId="0">
      <selection activeCell="H40" sqref="H40"/>
    </sheetView>
  </sheetViews>
  <sheetFormatPr defaultRowHeight="12.75"/>
  <cols>
    <col min="1" max="1" width="12" style="2" customWidth="1"/>
    <col min="2" max="2" width="10.85546875" style="2" customWidth="1"/>
    <col min="3" max="3" width="15.42578125" style="2" customWidth="1"/>
    <col min="4" max="4" width="10.5703125" style="2" customWidth="1"/>
    <col min="5" max="5" width="3.7109375" style="2" customWidth="1"/>
    <col min="6" max="6" width="10.28515625" style="2" customWidth="1"/>
    <col min="7" max="7" width="11.28515625" style="2" customWidth="1"/>
    <col min="8" max="8" width="9.5703125" style="2" customWidth="1"/>
    <col min="9" max="9" width="3.28515625" style="2" customWidth="1"/>
    <col min="10" max="11" width="12.42578125" style="2" customWidth="1"/>
    <col min="12" max="12" width="7.140625" style="2" customWidth="1"/>
    <col min="13" max="13" width="7.7109375" style="2" customWidth="1"/>
    <col min="14" max="14" width="6.7109375" style="54" customWidth="1"/>
    <col min="15" max="15" width="6.85546875" style="2" customWidth="1"/>
    <col min="16" max="16" width="16" style="2" customWidth="1"/>
    <col min="17" max="17" width="16.140625" style="2" customWidth="1"/>
    <col min="18" max="18" width="17.5703125" style="2" customWidth="1"/>
    <col min="19" max="19" width="16.85546875" style="2" customWidth="1"/>
    <col min="20" max="20" width="9.7109375" style="2" customWidth="1"/>
    <col min="21" max="21" width="11.140625" style="2" customWidth="1"/>
    <col min="22" max="22" width="6.7109375" style="2" customWidth="1"/>
    <col min="23" max="23" width="10.140625" style="2" customWidth="1"/>
    <col min="24" max="24" width="11.140625" style="2" customWidth="1"/>
    <col min="25" max="25" width="12.28515625" style="2" bestFit="1" customWidth="1"/>
    <col min="26" max="16384" width="9.140625" style="2"/>
  </cols>
  <sheetData>
    <row r="1" spans="1:35">
      <c r="J1" s="50" t="s">
        <v>174</v>
      </c>
      <c r="K1" s="50" t="s">
        <v>175</v>
      </c>
      <c r="P1"/>
      <c r="Q1"/>
      <c r="R1"/>
      <c r="S1"/>
    </row>
    <row r="2" spans="1:35">
      <c r="A2" s="2" t="s">
        <v>117</v>
      </c>
      <c r="B2" s="102">
        <f>EXP(C2)</f>
        <v>7.0225539618540729E-3</v>
      </c>
      <c r="C2" s="27">
        <v>-4.9586283148781147</v>
      </c>
      <c r="E2" s="27"/>
      <c r="F2" s="2" t="s">
        <v>107</v>
      </c>
      <c r="G2" s="28">
        <f>-2*G3+8*LN(B10)</f>
        <v>433502.22304181586</v>
      </c>
      <c r="H2" s="28"/>
      <c r="J2" s="105">
        <v>381121.05158977234</v>
      </c>
      <c r="K2" s="105">
        <v>380740.27772641537</v>
      </c>
      <c r="P2"/>
      <c r="Q2"/>
      <c r="R2"/>
      <c r="S2"/>
      <c r="U2"/>
      <c r="V2"/>
      <c r="W2"/>
    </row>
    <row r="3" spans="1:35">
      <c r="A3" s="2" t="s">
        <v>98</v>
      </c>
      <c r="B3" s="121">
        <f>EXP(C3)</f>
        <v>2.5318039033333744</v>
      </c>
      <c r="C3" s="27">
        <v>0.92893205394204026</v>
      </c>
      <c r="E3" s="27"/>
      <c r="F3" s="2" t="s">
        <v>99</v>
      </c>
      <c r="G3" s="28">
        <f>SUM(H16:H37)</f>
        <v>-216705.05981904804</v>
      </c>
      <c r="H3" s="28"/>
      <c r="J3" s="105">
        <v>-190514.47409302628</v>
      </c>
      <c r="K3" s="105">
        <v>-190324.08716134779</v>
      </c>
      <c r="P3"/>
      <c r="Q3"/>
      <c r="R3"/>
      <c r="S3"/>
      <c r="T3" s="104"/>
      <c r="U3"/>
      <c r="V3"/>
      <c r="W3"/>
      <c r="X3"/>
      <c r="Y3"/>
      <c r="Z3"/>
      <c r="AA3"/>
      <c r="AB3"/>
      <c r="AC3"/>
      <c r="AD3"/>
      <c r="AE3"/>
      <c r="AF3"/>
      <c r="AG3"/>
      <c r="AH3"/>
      <c r="AI3"/>
    </row>
    <row r="4" spans="1:35">
      <c r="A4" s="75" t="s">
        <v>115</v>
      </c>
      <c r="B4" s="27">
        <f>C4</f>
        <v>-0.28827799807453597</v>
      </c>
      <c r="C4" s="27">
        <v>-0.28827799807453597</v>
      </c>
      <c r="E4" s="27"/>
      <c r="F4" s="2" t="s">
        <v>130</v>
      </c>
      <c r="G4" s="77">
        <f>AVERAGE(M16:M33)</f>
        <v>1.4277122797771253E-2</v>
      </c>
      <c r="J4" s="117">
        <v>4.2071108281514981E-2</v>
      </c>
      <c r="K4" s="117">
        <v>1.4816458465902294E-2</v>
      </c>
      <c r="P4"/>
      <c r="Q4"/>
      <c r="R4"/>
      <c r="S4"/>
      <c r="T4" s="105"/>
      <c r="U4"/>
      <c r="V4"/>
      <c r="W4"/>
      <c r="X4"/>
      <c r="Y4"/>
      <c r="Z4"/>
      <c r="AA4"/>
      <c r="AB4"/>
      <c r="AC4"/>
      <c r="AD4"/>
      <c r="AE4"/>
      <c r="AF4"/>
      <c r="AG4"/>
      <c r="AH4"/>
      <c r="AI4"/>
    </row>
    <row r="5" spans="1:35">
      <c r="A5" s="75" t="s">
        <v>134</v>
      </c>
      <c r="B5" s="27">
        <f>C5</f>
        <v>2.8032427939353379</v>
      </c>
      <c r="C5" s="27">
        <v>2.8032427939353379</v>
      </c>
      <c r="E5" s="27"/>
      <c r="F5" s="2" t="s">
        <v>139</v>
      </c>
      <c r="G5" s="77">
        <f>AVERAGE(M34:M42)</f>
        <v>1.7157961875860599E-2</v>
      </c>
      <c r="J5" s="117">
        <v>2.5537710013584011E-2</v>
      </c>
      <c r="K5" s="117">
        <v>9.343147066772679E-3</v>
      </c>
      <c r="P5"/>
      <c r="Q5"/>
      <c r="R5"/>
      <c r="S5"/>
      <c r="T5" s="106"/>
      <c r="U5"/>
      <c r="V5"/>
      <c r="W5"/>
      <c r="X5" s="66"/>
      <c r="Y5" s="28"/>
      <c r="Z5"/>
      <c r="AA5"/>
      <c r="AB5"/>
      <c r="AC5"/>
      <c r="AD5"/>
      <c r="AE5"/>
      <c r="AF5"/>
      <c r="AG5"/>
      <c r="AH5"/>
      <c r="AI5"/>
    </row>
    <row r="6" spans="1:35">
      <c r="A6" s="2" t="s">
        <v>143</v>
      </c>
      <c r="B6" s="27">
        <f>EXP(C6)</f>
        <v>1.0430786365664753</v>
      </c>
      <c r="C6" s="27">
        <v>4.2176567775335412E-2</v>
      </c>
      <c r="E6" s="27"/>
      <c r="F6" s="2" t="s">
        <v>144</v>
      </c>
      <c r="G6" s="89">
        <f>CORREL(C16:C42,J16:J42)^2</f>
        <v>0.99887808342397832</v>
      </c>
      <c r="J6" s="118">
        <v>0.99918183684393613</v>
      </c>
      <c r="K6" s="124">
        <v>0.99976301613106733</v>
      </c>
      <c r="P6"/>
      <c r="Q6"/>
      <c r="R6"/>
      <c r="S6"/>
      <c r="T6" s="106"/>
      <c r="U6"/>
      <c r="V6"/>
      <c r="W6"/>
      <c r="X6" s="66"/>
      <c r="Y6" s="28"/>
      <c r="Z6"/>
      <c r="AA6"/>
      <c r="AB6"/>
      <c r="AC6"/>
      <c r="AD6"/>
      <c r="AE6"/>
      <c r="AF6"/>
      <c r="AG6"/>
      <c r="AH6"/>
      <c r="AI6"/>
    </row>
    <row r="7" spans="1:35">
      <c r="A7" s="75" t="s">
        <v>148</v>
      </c>
      <c r="B7" s="27">
        <f>C7</f>
        <v>-0.28773709057044911</v>
      </c>
      <c r="C7" s="27">
        <v>-0.28773709057044911</v>
      </c>
      <c r="E7" s="27"/>
      <c r="J7" s="3"/>
      <c r="K7" s="3"/>
      <c r="P7"/>
      <c r="Q7"/>
      <c r="R7"/>
      <c r="S7"/>
      <c r="T7" s="106"/>
      <c r="U7"/>
      <c r="V7"/>
      <c r="W7"/>
      <c r="X7" s="66"/>
      <c r="Y7" s="84"/>
      <c r="Z7"/>
      <c r="AA7"/>
      <c r="AB7"/>
      <c r="AC7"/>
      <c r="AD7"/>
      <c r="AE7"/>
      <c r="AF7"/>
      <c r="AG7"/>
      <c r="AH7"/>
      <c r="AI7"/>
    </row>
    <row r="8" spans="1:35">
      <c r="A8" s="75" t="s">
        <v>149</v>
      </c>
      <c r="B8" s="27">
        <f>EXP(C8)</f>
        <v>1.6558895516331968</v>
      </c>
      <c r="C8" s="27">
        <v>0.50433835786512593</v>
      </c>
      <c r="E8" s="27"/>
      <c r="F8" s="115" t="s">
        <v>130</v>
      </c>
      <c r="G8" s="116">
        <f>AVERAGE(L16:L33)</f>
        <v>7.3180146245589869E-2</v>
      </c>
      <c r="J8" s="125">
        <v>0.10101928531775015</v>
      </c>
      <c r="K8" s="126">
        <v>7.3238026353644653E-2</v>
      </c>
      <c r="P8"/>
      <c r="Q8"/>
      <c r="R8"/>
      <c r="S8"/>
      <c r="T8" s="88"/>
      <c r="U8"/>
      <c r="V8"/>
      <c r="W8"/>
      <c r="X8" s="66"/>
      <c r="Y8" s="84"/>
      <c r="Z8"/>
      <c r="AA8"/>
      <c r="AB8"/>
      <c r="AC8"/>
      <c r="AD8"/>
      <c r="AE8"/>
      <c r="AF8"/>
      <c r="AG8"/>
      <c r="AH8"/>
      <c r="AI8"/>
    </row>
    <row r="9" spans="1:35">
      <c r="A9" s="2" t="s">
        <v>150</v>
      </c>
      <c r="B9" s="27">
        <f>EXP(C9)</f>
        <v>1.1270801311215435</v>
      </c>
      <c r="C9" s="27">
        <v>0.11963033379141617</v>
      </c>
      <c r="E9" s="27"/>
      <c r="F9" s="115" t="s">
        <v>139</v>
      </c>
      <c r="G9" s="116">
        <f>AVERAGE(L34:L42)</f>
        <v>0.30661514647935001</v>
      </c>
      <c r="J9" s="125">
        <v>3.7158551039105814</v>
      </c>
      <c r="K9" s="126">
        <v>0.16600586617694288</v>
      </c>
      <c r="P9"/>
      <c r="Q9"/>
      <c r="R9"/>
      <c r="S9"/>
      <c r="T9" s="88"/>
      <c r="U9"/>
      <c r="V9"/>
      <c r="W9"/>
      <c r="X9" s="66"/>
      <c r="Y9" s="103"/>
      <c r="Z9"/>
      <c r="AA9"/>
      <c r="AB9"/>
      <c r="AC9"/>
      <c r="AD9"/>
      <c r="AE9"/>
      <c r="AF9"/>
      <c r="AG9"/>
      <c r="AH9"/>
      <c r="AI9"/>
    </row>
    <row r="10" spans="1:35">
      <c r="A10" s="2" t="s">
        <v>105</v>
      </c>
      <c r="B10" s="28">
        <v>100000</v>
      </c>
      <c r="C10" s="27"/>
      <c r="E10" s="27"/>
      <c r="F10" s="115" t="s">
        <v>145</v>
      </c>
      <c r="G10" s="116">
        <f>MEDIAN(L16:L42)</f>
        <v>7.9501124949071966E-2</v>
      </c>
      <c r="J10" s="125">
        <v>0.11433729943848264</v>
      </c>
      <c r="K10" s="126">
        <v>7.5129489764360471E-2</v>
      </c>
      <c r="T10" s="88"/>
      <c r="X10"/>
      <c r="Y10"/>
      <c r="Z10"/>
      <c r="AA10"/>
      <c r="AB10"/>
      <c r="AC10"/>
      <c r="AD10"/>
      <c r="AE10"/>
      <c r="AF10"/>
      <c r="AG10"/>
      <c r="AH10"/>
      <c r="AI10"/>
    </row>
    <row r="11" spans="1:35">
      <c r="E11" s="27"/>
      <c r="F11" s="54"/>
      <c r="G11" s="54"/>
      <c r="T11" s="88"/>
      <c r="U11" s="88"/>
      <c r="V11" s="88"/>
      <c r="W11" s="88"/>
      <c r="X11"/>
      <c r="Y11"/>
      <c r="Z11"/>
      <c r="AA11"/>
      <c r="AB11"/>
      <c r="AC11"/>
      <c r="AD11"/>
      <c r="AE11"/>
      <c r="AF11"/>
      <c r="AG11"/>
      <c r="AH11"/>
      <c r="AI11"/>
    </row>
    <row r="12" spans="1:35">
      <c r="E12" s="27"/>
      <c r="T12" s="8"/>
      <c r="U12" s="8"/>
      <c r="V12" s="88"/>
      <c r="W12" s="88"/>
      <c r="X12"/>
      <c r="Y12"/>
      <c r="Z12"/>
      <c r="AA12"/>
      <c r="AB12"/>
      <c r="AC12"/>
      <c r="AD12"/>
      <c r="AE12"/>
      <c r="AF12"/>
      <c r="AG12"/>
      <c r="AH12"/>
      <c r="AI12"/>
    </row>
    <row r="13" spans="1:35">
      <c r="Q13" s="27">
        <f>B4</f>
        <v>-0.28827799807453597</v>
      </c>
      <c r="R13" s="27">
        <f>B5</f>
        <v>2.8032427939353379</v>
      </c>
      <c r="S13" s="27">
        <f>C7</f>
        <v>-0.28773709057044911</v>
      </c>
      <c r="T13" s="27"/>
      <c r="U13" s="27"/>
      <c r="X13"/>
      <c r="Y13"/>
      <c r="Z13"/>
      <c r="AA13"/>
      <c r="AB13"/>
      <c r="AC13"/>
      <c r="AD13"/>
      <c r="AE13"/>
      <c r="AF13"/>
      <c r="AG13"/>
      <c r="AH13"/>
      <c r="AI13"/>
    </row>
    <row r="14" spans="1:35">
      <c r="L14" s="2" t="s">
        <v>170</v>
      </c>
      <c r="M14" s="2" t="s">
        <v>169</v>
      </c>
      <c r="P14" s="7" t="s">
        <v>147</v>
      </c>
      <c r="X14"/>
      <c r="Y14"/>
      <c r="Z14"/>
      <c r="AA14"/>
      <c r="AB14"/>
      <c r="AC14"/>
      <c r="AD14"/>
      <c r="AE14"/>
      <c r="AF14"/>
      <c r="AG14"/>
      <c r="AH14"/>
      <c r="AI14"/>
    </row>
    <row r="15" spans="1:35">
      <c r="A15" s="32" t="s">
        <v>1</v>
      </c>
      <c r="B15" s="88" t="s">
        <v>100</v>
      </c>
      <c r="C15" s="88" t="s">
        <v>128</v>
      </c>
      <c r="D15" s="88" t="s">
        <v>101</v>
      </c>
      <c r="E15" s="7"/>
      <c r="F15" s="88" t="s">
        <v>103</v>
      </c>
      <c r="G15" s="32" t="s">
        <v>104</v>
      </c>
      <c r="H15" s="7"/>
      <c r="I15" s="7"/>
      <c r="J15" s="7" t="s">
        <v>106</v>
      </c>
      <c r="K15" s="114" t="s">
        <v>168</v>
      </c>
      <c r="L15" s="114" t="s">
        <v>129</v>
      </c>
      <c r="M15" s="7" t="s">
        <v>129</v>
      </c>
      <c r="N15" s="44"/>
      <c r="O15" s="7" t="s">
        <v>108</v>
      </c>
      <c r="P15" s="7" t="s">
        <v>109</v>
      </c>
      <c r="Q15" s="45" t="s">
        <v>116</v>
      </c>
      <c r="R15" s="45" t="s">
        <v>142</v>
      </c>
      <c r="S15" s="45" t="s">
        <v>160</v>
      </c>
      <c r="T15"/>
      <c r="U15" s="16" t="s">
        <v>111</v>
      </c>
      <c r="V15"/>
      <c r="W15"/>
      <c r="X15"/>
      <c r="Y15"/>
      <c r="Z15"/>
      <c r="AA15"/>
      <c r="AB15"/>
      <c r="AC15"/>
      <c r="AD15"/>
      <c r="AE15"/>
      <c r="AF15"/>
      <c r="AG15"/>
      <c r="AH15"/>
      <c r="AI15"/>
    </row>
    <row r="16" spans="1:35">
      <c r="A16" s="1">
        <v>34658</v>
      </c>
      <c r="B16" s="33">
        <v>1</v>
      </c>
      <c r="C16" s="33">
        <f>D16</f>
        <v>1375</v>
      </c>
      <c r="D16">
        <v>1375</v>
      </c>
      <c r="F16" s="31">
        <f>1-EXP(-$B$2*O16)</f>
        <v>1.3841597888750057E-2</v>
      </c>
      <c r="G16" s="31">
        <f>F16</f>
        <v>1.3841597888750057E-2</v>
      </c>
      <c r="H16" s="17">
        <f t="shared" ref="H16:H36" si="0">D16*IFERROR(LN(G16),-10000)</f>
        <v>-5885.1057114678179</v>
      </c>
      <c r="J16" s="35">
        <f t="shared" ref="J16:J42" si="1">$B$10*F16</f>
        <v>1384.1597888750057</v>
      </c>
      <c r="K16" s="35">
        <f>J16</f>
        <v>1384.1597888750057</v>
      </c>
      <c r="L16" s="78">
        <f>ABS((D16-K16)/D16)</f>
        <v>6.661664636367773E-3</v>
      </c>
      <c r="M16" s="70">
        <f>ABS((C16-J16)/C16)</f>
        <v>6.661664636367773E-3</v>
      </c>
      <c r="N16" s="47"/>
      <c r="O16" s="35">
        <f>B16^B3*P16</f>
        <v>1.9847887434958442</v>
      </c>
      <c r="P16" s="74">
        <f>EXP(SUMPRODUCT($Q$13:$R$13,Q16:R16)+$S$13*S16)</f>
        <v>1.9847887434958442</v>
      </c>
      <c r="Q16" s="67">
        <v>7.3461392338474107</v>
      </c>
      <c r="R16" s="67">
        <f>1-(1-EXP(-(B16-1)*$B$6))</f>
        <v>1</v>
      </c>
      <c r="S16" s="67">
        <v>0</v>
      </c>
      <c r="T16"/>
      <c r="U16" s="196" t="s">
        <v>40</v>
      </c>
      <c r="V16" s="6" t="s">
        <v>49</v>
      </c>
      <c r="W16"/>
      <c r="X16"/>
      <c r="Y16"/>
      <c r="Z16"/>
      <c r="AA16"/>
      <c r="AB16"/>
      <c r="AC16"/>
      <c r="AD16"/>
      <c r="AE16"/>
      <c r="AF16"/>
      <c r="AG16"/>
      <c r="AH16"/>
      <c r="AI16"/>
    </row>
    <row r="17" spans="1:35" ht="12.75" customHeight="1">
      <c r="A17" s="1">
        <v>34665</v>
      </c>
      <c r="B17" s="33">
        <f>B16+1</f>
        <v>2</v>
      </c>
      <c r="C17" s="33">
        <f>D17+C16</f>
        <v>2477</v>
      </c>
      <c r="D17">
        <v>1102</v>
      </c>
      <c r="F17" s="31">
        <f>1-EXP(-$B$2*O17)</f>
        <v>2.4600393831450296E-2</v>
      </c>
      <c r="G17" s="31">
        <f>F17-F16</f>
        <v>1.0758795942700239E-2</v>
      </c>
      <c r="H17" s="17">
        <f t="shared" si="0"/>
        <v>-4994.2988581840327</v>
      </c>
      <c r="J17" s="35">
        <f t="shared" si="1"/>
        <v>2460.0393831450297</v>
      </c>
      <c r="K17" s="35">
        <f>J17-J16</f>
        <v>1075.879594270024</v>
      </c>
      <c r="L17" s="78">
        <f t="shared" ref="L17:L42" si="2">ABS((D17-K17)/D17)</f>
        <v>2.3702727522664273E-2</v>
      </c>
      <c r="M17" s="70">
        <f t="shared" ref="M17:M42" si="3">ABS((C17-J17)/C17)</f>
        <v>6.8472413625233503E-3</v>
      </c>
      <c r="N17" s="47"/>
      <c r="O17" s="35">
        <f>O16+(B17^$B$3-B16^$B$3)*P17</f>
        <v>3.5468633784247867</v>
      </c>
      <c r="P17" s="74">
        <f>EXP(SUMPRODUCT($Q$13:$R$13,Q17:R17)+$S$13*S17)</f>
        <v>0.32659277085542743</v>
      </c>
      <c r="Q17" s="67">
        <v>7.3082748446972872</v>
      </c>
      <c r="R17" s="67">
        <f t="shared" ref="R17:R19" si="4">1-(1-EXP(-(B17-1)*$B$6))</f>
        <v>0.35236819675499098</v>
      </c>
      <c r="S17" s="67">
        <v>0</v>
      </c>
      <c r="T17"/>
      <c r="U17" s="196"/>
      <c r="V17" s="6" t="s">
        <v>28</v>
      </c>
      <c r="W17"/>
      <c r="Y17"/>
      <c r="Z17"/>
      <c r="AA17"/>
      <c r="AB17"/>
      <c r="AC17"/>
      <c r="AD17"/>
      <c r="AE17"/>
      <c r="AF17"/>
      <c r="AG17"/>
      <c r="AH17"/>
      <c r="AI17"/>
    </row>
    <row r="18" spans="1:35">
      <c r="A18" s="1">
        <v>34672</v>
      </c>
      <c r="B18" s="33">
        <f t="shared" ref="B18:B42" si="5">B17+1</f>
        <v>3</v>
      </c>
      <c r="C18" s="33">
        <f t="shared" ref="C18:C42" si="6">D18+C17</f>
        <v>3629</v>
      </c>
      <c r="D18">
        <v>1152</v>
      </c>
      <c r="F18" s="31">
        <f>1-EXP(-$B$2*O18)</f>
        <v>3.5393688765561371E-2</v>
      </c>
      <c r="G18" s="31">
        <f>F18-F17</f>
        <v>1.0793294934111075E-2</v>
      </c>
      <c r="H18" s="17">
        <f t="shared" si="0"/>
        <v>-5217.2123640039099</v>
      </c>
      <c r="J18" s="35">
        <f t="shared" si="1"/>
        <v>3539.3688765561369</v>
      </c>
      <c r="K18" s="35">
        <f>J18-J17</f>
        <v>1079.3294934111073</v>
      </c>
      <c r="L18" s="78">
        <f t="shared" si="2"/>
        <v>6.3082036969524954E-2</v>
      </c>
      <c r="M18" s="70">
        <f t="shared" si="3"/>
        <v>2.4698573558518348E-2</v>
      </c>
      <c r="N18" s="47"/>
      <c r="O18" s="35">
        <f>O17+(B18^$B$3-B17^$B$3)*P18</f>
        <v>5.1313565852299394</v>
      </c>
      <c r="P18" s="74">
        <f>EXP(SUMPRODUCT($Q$13:$R$13,Q18:R18)+$S$13*S18)</f>
        <v>0.15294624644000837</v>
      </c>
      <c r="Q18" s="67">
        <v>7.7207722053924668</v>
      </c>
      <c r="R18" s="67">
        <f t="shared" si="4"/>
        <v>0.12416334608436408</v>
      </c>
      <c r="S18" s="67">
        <v>0</v>
      </c>
      <c r="T18"/>
      <c r="U18" s="196"/>
      <c r="V18"/>
      <c r="W18"/>
      <c r="X18"/>
      <c r="Y18"/>
      <c r="Z18"/>
      <c r="AA18"/>
      <c r="AB18"/>
      <c r="AC18"/>
      <c r="AD18"/>
      <c r="AE18"/>
      <c r="AF18"/>
      <c r="AG18"/>
      <c r="AH18"/>
      <c r="AI18"/>
    </row>
    <row r="19" spans="1:35">
      <c r="A19" s="1">
        <v>34679</v>
      </c>
      <c r="B19" s="33">
        <f t="shared" si="5"/>
        <v>4</v>
      </c>
      <c r="C19" s="33">
        <f t="shared" si="6"/>
        <v>4876</v>
      </c>
      <c r="D19">
        <v>1247</v>
      </c>
      <c r="F19" s="31">
        <f>1-EXP(-$B$2*O19)</f>
        <v>4.9950949230886166E-2</v>
      </c>
      <c r="G19" s="31">
        <f>F19-F18</f>
        <v>1.4557260465324795E-2</v>
      </c>
      <c r="H19" s="17">
        <f t="shared" si="0"/>
        <v>-5274.3927647374476</v>
      </c>
      <c r="J19" s="35">
        <f t="shared" si="1"/>
        <v>4995.0949230886163</v>
      </c>
      <c r="K19" s="35">
        <f t="shared" ref="K19:K42" si="7">J19-J18</f>
        <v>1455.7260465324794</v>
      </c>
      <c r="L19" s="78">
        <f t="shared" si="2"/>
        <v>0.16738255535884472</v>
      </c>
      <c r="M19" s="70">
        <f t="shared" si="3"/>
        <v>2.4424717614564453E-2</v>
      </c>
      <c r="N19" s="47"/>
      <c r="O19" s="35">
        <f t="shared" ref="O19:O42" si="8">O18+(B19^$B$3-B18^$B$3)*P19</f>
        <v>7.2967276022734788</v>
      </c>
      <c r="P19" s="74">
        <f t="shared" ref="P19:P42" si="9">EXP(SUMPRODUCT($Q$13:$R$13,Q19:R19)+$S$13*S19)</f>
        <v>0.12516824703829321</v>
      </c>
      <c r="Q19" s="67">
        <v>7.6340954268978463</v>
      </c>
      <c r="R19" s="67">
        <f t="shared" si="4"/>
        <v>4.3751214362813262E-2</v>
      </c>
      <c r="S19" s="67">
        <v>0</v>
      </c>
      <c r="T19"/>
      <c r="U19" s="196"/>
      <c r="V19"/>
      <c r="W19"/>
      <c r="X19"/>
      <c r="Y19"/>
      <c r="Z19"/>
      <c r="AA19"/>
      <c r="AB19"/>
      <c r="AC19"/>
      <c r="AD19"/>
      <c r="AE19"/>
      <c r="AF19"/>
      <c r="AG19"/>
      <c r="AH19"/>
      <c r="AI19"/>
    </row>
    <row r="20" spans="1:35">
      <c r="A20" s="1">
        <v>34686</v>
      </c>
      <c r="B20" s="33">
        <f t="shared" si="5"/>
        <v>5</v>
      </c>
      <c r="C20" s="33">
        <f t="shared" si="6"/>
        <v>6515</v>
      </c>
      <c r="D20">
        <v>1639</v>
      </c>
      <c r="F20" s="31">
        <f t="shared" ref="F20:F42" si="10">1-EXP(-$B$2*O20)</f>
        <v>6.8694765849808048E-2</v>
      </c>
      <c r="G20" s="31">
        <f t="shared" ref="G20:G42" si="11">F20-F19</f>
        <v>1.8743816618921882E-2</v>
      </c>
      <c r="H20" s="17">
        <f t="shared" si="0"/>
        <v>-6518.1249411368917</v>
      </c>
      <c r="J20" s="35">
        <f t="shared" si="1"/>
        <v>6869.4765849808045</v>
      </c>
      <c r="K20" s="35">
        <f t="shared" si="7"/>
        <v>1874.3816618921883</v>
      </c>
      <c r="L20" s="78">
        <f t="shared" si="2"/>
        <v>0.14361297247845534</v>
      </c>
      <c r="M20" s="78">
        <f t="shared" si="3"/>
        <v>5.4409299306339913E-2</v>
      </c>
      <c r="N20" s="47"/>
      <c r="O20" s="35">
        <f t="shared" si="8"/>
        <v>10.134233157152337</v>
      </c>
      <c r="P20" s="74">
        <f t="shared" si="9"/>
        <v>0.11173404599890759</v>
      </c>
      <c r="Q20" s="67">
        <v>7.6025011809057794</v>
      </c>
      <c r="R20" s="67">
        <v>0</v>
      </c>
      <c r="S20" s="67">
        <v>0</v>
      </c>
      <c r="T20"/>
      <c r="U20"/>
      <c r="V20"/>
      <c r="W20"/>
      <c r="X20"/>
      <c r="Y20"/>
      <c r="Z20"/>
      <c r="AA20"/>
      <c r="AB20"/>
      <c r="AC20"/>
      <c r="AD20"/>
      <c r="AE20"/>
      <c r="AF20"/>
      <c r="AG20"/>
      <c r="AH20"/>
      <c r="AI20"/>
    </row>
    <row r="21" spans="1:35">
      <c r="A21" s="1">
        <v>34693</v>
      </c>
      <c r="B21" s="33">
        <f t="shared" si="5"/>
        <v>6</v>
      </c>
      <c r="C21" s="33">
        <f t="shared" si="6"/>
        <v>9091</v>
      </c>
      <c r="D21">
        <v>2576</v>
      </c>
      <c r="F21" s="31">
        <f t="shared" si="10"/>
        <v>9.2481413802151691E-2</v>
      </c>
      <c r="G21" s="31">
        <f t="shared" si="11"/>
        <v>2.3786647952343642E-2</v>
      </c>
      <c r="H21" s="17">
        <f t="shared" si="0"/>
        <v>-9630.7131111654489</v>
      </c>
      <c r="J21" s="35">
        <f t="shared" si="1"/>
        <v>9248.1413802151692</v>
      </c>
      <c r="K21" s="35">
        <f t="shared" si="7"/>
        <v>2378.6647952343646</v>
      </c>
      <c r="L21" s="78">
        <f t="shared" si="2"/>
        <v>7.6605281353119309E-2</v>
      </c>
      <c r="M21" s="78">
        <f t="shared" si="3"/>
        <v>1.7285378969878914E-2</v>
      </c>
      <c r="N21" s="47"/>
      <c r="O21" s="35">
        <f t="shared" si="8"/>
        <v>13.818510035122683</v>
      </c>
      <c r="P21" s="74">
        <f t="shared" si="9"/>
        <v>0.1067442685853527</v>
      </c>
      <c r="Q21" s="67">
        <v>7.7609784073887171</v>
      </c>
      <c r="R21" s="67">
        <v>0</v>
      </c>
      <c r="S21" s="67">
        <v>0</v>
      </c>
      <c r="T21"/>
      <c r="U21" s="16" t="s">
        <v>3</v>
      </c>
      <c r="V21"/>
      <c r="W21"/>
      <c r="X21"/>
      <c r="Y21"/>
      <c r="Z21"/>
      <c r="AA21"/>
      <c r="AB21"/>
      <c r="AC21"/>
      <c r="AD21"/>
      <c r="AE21"/>
      <c r="AF21"/>
      <c r="AG21"/>
      <c r="AH21"/>
      <c r="AI21"/>
    </row>
    <row r="22" spans="1:35">
      <c r="A22" s="1">
        <v>34700</v>
      </c>
      <c r="B22" s="33">
        <f t="shared" si="5"/>
        <v>7</v>
      </c>
      <c r="C22" s="33">
        <f t="shared" si="6"/>
        <v>12067</v>
      </c>
      <c r="D22">
        <v>2976</v>
      </c>
      <c r="F22" s="31">
        <f t="shared" si="10"/>
        <v>0.12106780752001689</v>
      </c>
      <c r="G22" s="31">
        <f t="shared" si="11"/>
        <v>2.8586393717865199E-2</v>
      </c>
      <c r="H22" s="17">
        <f t="shared" si="0"/>
        <v>-10579.157469423448</v>
      </c>
      <c r="J22" s="35">
        <f t="shared" si="1"/>
        <v>12106.780752001689</v>
      </c>
      <c r="K22" s="35">
        <f t="shared" si="7"/>
        <v>2858.6393717865194</v>
      </c>
      <c r="L22" s="78">
        <f t="shared" si="2"/>
        <v>3.9435694964207187E-2</v>
      </c>
      <c r="M22" s="29">
        <f t="shared" si="3"/>
        <v>3.2966563356002817E-3</v>
      </c>
      <c r="N22" s="47"/>
      <c r="O22" s="35">
        <f t="shared" si="8"/>
        <v>18.376152982875457</v>
      </c>
      <c r="P22" s="74">
        <f t="shared" si="9"/>
        <v>0.1022674789565749</v>
      </c>
      <c r="Q22" s="67">
        <v>7.9095996592089497</v>
      </c>
      <c r="R22" s="67">
        <v>0</v>
      </c>
      <c r="S22" s="67">
        <v>0</v>
      </c>
      <c r="T22"/>
      <c r="U22" s="6" t="s">
        <v>47</v>
      </c>
      <c r="V22"/>
      <c r="W22"/>
      <c r="X22"/>
      <c r="Y22" t="s">
        <v>48</v>
      </c>
      <c r="Z22"/>
      <c r="AA22"/>
      <c r="AB22"/>
      <c r="AC22"/>
      <c r="AD22"/>
      <c r="AE22"/>
      <c r="AF22"/>
      <c r="AG22"/>
      <c r="AH22"/>
      <c r="AI22"/>
    </row>
    <row r="23" spans="1:35">
      <c r="A23" s="1">
        <v>34707</v>
      </c>
      <c r="B23" s="33">
        <f t="shared" si="5"/>
        <v>8</v>
      </c>
      <c r="C23" s="33">
        <f t="shared" si="6"/>
        <v>14596</v>
      </c>
      <c r="D23">
        <v>2529</v>
      </c>
      <c r="F23" s="31">
        <f t="shared" si="10"/>
        <v>0.14295083072561376</v>
      </c>
      <c r="G23" s="31">
        <f t="shared" si="11"/>
        <v>2.1883023205596874E-2</v>
      </c>
      <c r="H23" s="17">
        <f t="shared" si="0"/>
        <v>-9665.94962720478</v>
      </c>
      <c r="J23" s="35">
        <f t="shared" si="1"/>
        <v>14295.083072561376</v>
      </c>
      <c r="K23" s="35">
        <f t="shared" si="7"/>
        <v>2188.3023205596874</v>
      </c>
      <c r="L23" s="78">
        <f t="shared" si="2"/>
        <v>0.13471636197718967</v>
      </c>
      <c r="M23" s="29">
        <f t="shared" si="3"/>
        <v>2.0616396782585918E-2</v>
      </c>
      <c r="N23" s="47"/>
      <c r="O23" s="35">
        <f t="shared" si="8"/>
        <v>21.966365677267376</v>
      </c>
      <c r="P23" s="74">
        <f t="shared" si="9"/>
        <v>6.4715130376005139E-2</v>
      </c>
      <c r="Q23" s="67">
        <v>7.8441623144411166</v>
      </c>
      <c r="R23" s="67">
        <v>0</v>
      </c>
      <c r="S23" s="67">
        <f>$B$8*$B$9^(B23-8)</f>
        <v>1.6558895516331968</v>
      </c>
      <c r="T23"/>
      <c r="U23" s="87" t="s">
        <v>141</v>
      </c>
      <c r="V23"/>
      <c r="W23"/>
      <c r="X23"/>
      <c r="Y23"/>
      <c r="Z23"/>
      <c r="AA23"/>
      <c r="AB23"/>
      <c r="AC23"/>
      <c r="AD23"/>
      <c r="AE23"/>
      <c r="AF23"/>
      <c r="AG23"/>
      <c r="AH23"/>
      <c r="AI23"/>
    </row>
    <row r="24" spans="1:35">
      <c r="A24" s="1">
        <v>34714</v>
      </c>
      <c r="B24" s="33">
        <f t="shared" si="5"/>
        <v>9</v>
      </c>
      <c r="C24" s="33">
        <f t="shared" si="6"/>
        <v>17017</v>
      </c>
      <c r="D24">
        <v>2421</v>
      </c>
      <c r="F24" s="31">
        <f t="shared" si="10"/>
        <v>0.16653047451275527</v>
      </c>
      <c r="G24" s="31">
        <f t="shared" si="11"/>
        <v>2.3579643787141502E-2</v>
      </c>
      <c r="H24" s="17">
        <f t="shared" si="0"/>
        <v>-9072.3863786321635</v>
      </c>
      <c r="J24" s="35">
        <f t="shared" si="1"/>
        <v>16653.047451275528</v>
      </c>
      <c r="K24" s="35">
        <f t="shared" si="7"/>
        <v>2357.9643787141522</v>
      </c>
      <c r="L24" s="78">
        <f t="shared" si="2"/>
        <v>2.6037018292378276E-2</v>
      </c>
      <c r="M24" s="70">
        <f t="shared" si="3"/>
        <v>2.1387585868512186E-2</v>
      </c>
      <c r="N24" s="47"/>
      <c r="O24" s="35">
        <f t="shared" si="8"/>
        <v>25.939015997890785</v>
      </c>
      <c r="P24" s="74">
        <f t="shared" si="9"/>
        <v>5.9123308875693947E-2</v>
      </c>
      <c r="Q24" s="67">
        <v>7.9476078724433243</v>
      </c>
      <c r="R24" s="67">
        <v>0</v>
      </c>
      <c r="S24" s="67">
        <f t="shared" ref="S24:S42" si="12">$B$8*$B$9^(B24-8)</f>
        <v>1.8663202129775374</v>
      </c>
      <c r="T24"/>
      <c r="U24" s="6" t="s">
        <v>146</v>
      </c>
      <c r="V24"/>
      <c r="W24"/>
      <c r="X24"/>
      <c r="Y24"/>
      <c r="Z24"/>
      <c r="AA24"/>
      <c r="AB24"/>
      <c r="AC24"/>
      <c r="AD24"/>
      <c r="AE24"/>
      <c r="AF24"/>
      <c r="AG24"/>
      <c r="AH24"/>
      <c r="AI24"/>
    </row>
    <row r="25" spans="1:35">
      <c r="A25" s="1">
        <v>34721</v>
      </c>
      <c r="B25" s="33">
        <f t="shared" si="5"/>
        <v>10</v>
      </c>
      <c r="C25" s="33">
        <f t="shared" si="6"/>
        <v>19402</v>
      </c>
      <c r="D25">
        <v>2385</v>
      </c>
      <c r="F25" s="31">
        <f t="shared" si="10"/>
        <v>0.19101897179838523</v>
      </c>
      <c r="G25" s="31">
        <f t="shared" si="11"/>
        <v>2.4488497285629962E-2</v>
      </c>
      <c r="H25" s="17">
        <f t="shared" si="0"/>
        <v>-8847.280971989303</v>
      </c>
      <c r="J25" s="35">
        <f t="shared" si="1"/>
        <v>19101.897179838525</v>
      </c>
      <c r="K25" s="35">
        <f t="shared" si="7"/>
        <v>2448.8497285629965</v>
      </c>
      <c r="L25" s="78">
        <f t="shared" si="2"/>
        <v>2.67713746595373E-2</v>
      </c>
      <c r="M25" s="70">
        <f>ABS((C25-J25)/C25)</f>
        <v>1.5467622933794216E-2</v>
      </c>
      <c r="N25" s="47"/>
      <c r="O25" s="35">
        <f t="shared" si="8"/>
        <v>30.185572695511304</v>
      </c>
      <c r="P25" s="74">
        <f t="shared" si="9"/>
        <v>5.3304356707675513E-2</v>
      </c>
      <c r="Q25" s="67">
        <v>8.0702808933938996</v>
      </c>
      <c r="R25" s="67">
        <v>0</v>
      </c>
      <c r="S25" s="67">
        <f t="shared" si="12"/>
        <v>2.1034924303575098</v>
      </c>
      <c r="T25"/>
      <c r="V25"/>
      <c r="W25"/>
      <c r="X25"/>
      <c r="Y25"/>
      <c r="Z25"/>
      <c r="AA25"/>
      <c r="AB25"/>
      <c r="AC25"/>
      <c r="AD25"/>
      <c r="AE25"/>
      <c r="AF25"/>
      <c r="AG25"/>
      <c r="AH25"/>
      <c r="AI25"/>
    </row>
    <row r="26" spans="1:35">
      <c r="A26" s="1">
        <v>34728</v>
      </c>
      <c r="B26" s="33">
        <f t="shared" si="5"/>
        <v>11</v>
      </c>
      <c r="C26" s="33">
        <f t="shared" si="6"/>
        <v>22032</v>
      </c>
      <c r="D26">
        <v>2630</v>
      </c>
      <c r="F26" s="31">
        <f t="shared" si="10"/>
        <v>0.21713914868884709</v>
      </c>
      <c r="G26" s="31">
        <f t="shared" si="11"/>
        <v>2.6120176890461866E-2</v>
      </c>
      <c r="H26" s="17">
        <f t="shared" si="0"/>
        <v>-9586.4741422434854</v>
      </c>
      <c r="J26" s="35">
        <f t="shared" si="1"/>
        <v>21713.914868884709</v>
      </c>
      <c r="K26" s="35">
        <f t="shared" si="7"/>
        <v>2612.0176890461844</v>
      </c>
      <c r="L26" s="78">
        <f t="shared" si="2"/>
        <v>6.8373805908044155E-3</v>
      </c>
      <c r="M26" s="70">
        <f>ABS((C26-J26)/C26)</f>
        <v>1.4437415174078205E-2</v>
      </c>
      <c r="N26" s="47"/>
      <c r="O26" s="35">
        <f t="shared" si="8"/>
        <v>34.859156990470098</v>
      </c>
      <c r="P26" s="74">
        <f t="shared" si="9"/>
        <v>5.032972593220375E-2</v>
      </c>
      <c r="Q26" s="67">
        <v>8.0026607057189203</v>
      </c>
      <c r="R26" s="67">
        <v>0</v>
      </c>
      <c r="S26" s="67">
        <f t="shared" si="12"/>
        <v>2.370804524220516</v>
      </c>
      <c r="T26"/>
      <c r="V26"/>
      <c r="W26"/>
      <c r="X26"/>
      <c r="Y26"/>
      <c r="Z26"/>
      <c r="AA26"/>
      <c r="AB26"/>
      <c r="AC26"/>
      <c r="AD26"/>
      <c r="AE26"/>
      <c r="AF26"/>
      <c r="AG26"/>
      <c r="AH26"/>
      <c r="AI26"/>
    </row>
    <row r="27" spans="1:35">
      <c r="A27" s="1">
        <v>34735</v>
      </c>
      <c r="B27" s="33">
        <f t="shared" si="5"/>
        <v>12</v>
      </c>
      <c r="C27" s="33">
        <f t="shared" si="6"/>
        <v>24826</v>
      </c>
      <c r="D27">
        <v>2794</v>
      </c>
      <c r="F27" s="31">
        <f t="shared" si="10"/>
        <v>0.24650116170712444</v>
      </c>
      <c r="G27" s="31">
        <f t="shared" si="11"/>
        <v>2.9362013018277344E-2</v>
      </c>
      <c r="H27" s="17">
        <f t="shared" si="0"/>
        <v>-9857.3815189356264</v>
      </c>
      <c r="J27" s="35">
        <f t="shared" si="1"/>
        <v>24650.116170712445</v>
      </c>
      <c r="K27" s="35">
        <f t="shared" si="7"/>
        <v>2936.2013018277357</v>
      </c>
      <c r="L27" s="78">
        <f t="shared" si="2"/>
        <v>5.0895240453735051E-2</v>
      </c>
      <c r="M27" s="70">
        <f>ABS((C27-J27)/C27)</f>
        <v>7.0846624219590461E-3</v>
      </c>
      <c r="N27" s="47"/>
      <c r="O27" s="35">
        <f t="shared" si="8"/>
        <v>40.302688196084688</v>
      </c>
      <c r="P27" s="74">
        <f t="shared" si="9"/>
        <v>5.0998582301993403E-2</v>
      </c>
      <c r="Q27" s="67">
        <v>7.6561479337680609</v>
      </c>
      <c r="R27" s="67">
        <v>0</v>
      </c>
      <c r="S27" s="67">
        <f t="shared" si="12"/>
        <v>2.6720866740220077</v>
      </c>
      <c r="T27"/>
      <c r="U27"/>
      <c r="V27" s="6" t="s">
        <v>152</v>
      </c>
      <c r="W27"/>
      <c r="X27"/>
      <c r="Y27"/>
      <c r="Z27"/>
      <c r="AA27"/>
      <c r="AB27"/>
      <c r="AC27"/>
      <c r="AD27"/>
      <c r="AE27"/>
      <c r="AF27"/>
      <c r="AG27"/>
      <c r="AH27"/>
      <c r="AI27"/>
    </row>
    <row r="28" spans="1:35">
      <c r="A28" s="1">
        <v>34742</v>
      </c>
      <c r="B28" s="33">
        <f t="shared" si="5"/>
        <v>13</v>
      </c>
      <c r="C28" s="33">
        <f t="shared" si="6"/>
        <v>27526</v>
      </c>
      <c r="D28">
        <v>2700</v>
      </c>
      <c r="F28" s="31">
        <f t="shared" si="10"/>
        <v>0.27653660346936204</v>
      </c>
      <c r="G28" s="31">
        <f t="shared" si="11"/>
        <v>3.0035441762237602E-2</v>
      </c>
      <c r="H28" s="17">
        <f t="shared" si="0"/>
        <v>-9464.5184468576772</v>
      </c>
      <c r="J28" s="35">
        <f t="shared" si="1"/>
        <v>27653.660346936205</v>
      </c>
      <c r="K28" s="35">
        <f t="shared" si="7"/>
        <v>3003.5441762237606</v>
      </c>
      <c r="L28" s="78">
        <f t="shared" si="2"/>
        <v>0.11242376897176318</v>
      </c>
      <c r="M28" s="70">
        <f>ABS((C28-J28)/C28)</f>
        <v>4.6378095958804514E-3</v>
      </c>
      <c r="N28" s="47"/>
      <c r="O28" s="35">
        <f t="shared" si="8"/>
        <v>46.095099897596995</v>
      </c>
      <c r="P28" s="74">
        <f t="shared" si="9"/>
        <v>4.7762162301515677E-2</v>
      </c>
      <c r="Q28" s="67">
        <v>7.5446495179912842</v>
      </c>
      <c r="R28" s="67">
        <v>0</v>
      </c>
      <c r="S28" s="67">
        <f t="shared" si="12"/>
        <v>3.0116557989248536</v>
      </c>
      <c r="T28"/>
      <c r="U28" s="4">
        <v>34700</v>
      </c>
      <c r="V28" s="93" t="s">
        <v>158</v>
      </c>
      <c r="W28" s="9" t="s">
        <v>154</v>
      </c>
      <c r="X28"/>
      <c r="Y28"/>
      <c r="Z28"/>
      <c r="AA28"/>
      <c r="AB28"/>
      <c r="AC28"/>
      <c r="AD28"/>
      <c r="AE28"/>
      <c r="AF28"/>
      <c r="AG28"/>
      <c r="AH28"/>
      <c r="AI28"/>
    </row>
    <row r="29" spans="1:35">
      <c r="A29" s="1">
        <v>34749</v>
      </c>
      <c r="B29" s="33">
        <f t="shared" si="5"/>
        <v>14</v>
      </c>
      <c r="C29" s="33">
        <f t="shared" si="6"/>
        <v>30696</v>
      </c>
      <c r="D29">
        <v>3170</v>
      </c>
      <c r="F29" s="31">
        <f t="shared" si="10"/>
        <v>0.30571641780847647</v>
      </c>
      <c r="G29" s="31">
        <f t="shared" si="11"/>
        <v>2.9179814339114429E-2</v>
      </c>
      <c r="H29" s="17">
        <f t="shared" si="0"/>
        <v>-11203.661572293169</v>
      </c>
      <c r="J29" s="35">
        <f t="shared" si="1"/>
        <v>30571.641780847647</v>
      </c>
      <c r="K29" s="35">
        <f t="shared" si="7"/>
        <v>2917.9814339114419</v>
      </c>
      <c r="L29" s="78">
        <f t="shared" si="2"/>
        <v>7.9501124949071966E-2</v>
      </c>
      <c r="M29" s="29">
        <f t="shared" si="3"/>
        <v>4.0512841787970037E-3</v>
      </c>
      <c r="N29" s="47"/>
      <c r="O29" s="35">
        <f t="shared" si="8"/>
        <v>51.957561885199354</v>
      </c>
      <c r="P29" s="74">
        <f t="shared" si="9"/>
        <v>4.296545508768123E-2</v>
      </c>
      <c r="Q29" s="67">
        <v>7.5297823270389568</v>
      </c>
      <c r="R29" s="67">
        <v>0</v>
      </c>
      <c r="S29" s="67">
        <f t="shared" si="12"/>
        <v>3.3943774127451802</v>
      </c>
      <c r="T29"/>
      <c r="U29" s="4">
        <v>34706</v>
      </c>
      <c r="V29" s="2">
        <v>35</v>
      </c>
      <c r="W29" s="9" t="s">
        <v>154</v>
      </c>
      <c r="X29"/>
      <c r="Y29"/>
      <c r="Z29"/>
      <c r="AA29"/>
      <c r="AB29"/>
      <c r="AC29"/>
      <c r="AD29"/>
      <c r="AE29"/>
      <c r="AF29"/>
      <c r="AG29"/>
      <c r="AH29"/>
      <c r="AI29"/>
    </row>
    <row r="30" spans="1:35">
      <c r="A30" s="1">
        <v>34756</v>
      </c>
      <c r="B30" s="33">
        <f t="shared" si="5"/>
        <v>15</v>
      </c>
      <c r="C30" s="33">
        <f t="shared" si="6"/>
        <v>33263</v>
      </c>
      <c r="D30">
        <v>2567</v>
      </c>
      <c r="F30" s="31">
        <f t="shared" si="10"/>
        <v>0.33666318498745151</v>
      </c>
      <c r="G30" s="31">
        <f t="shared" si="11"/>
        <v>3.0946767178975043E-2</v>
      </c>
      <c r="H30" s="17">
        <f t="shared" si="0"/>
        <v>-8921.5744572903805</v>
      </c>
      <c r="J30" s="35">
        <f t="shared" si="1"/>
        <v>33666.318498745153</v>
      </c>
      <c r="K30" s="35">
        <f t="shared" si="7"/>
        <v>3094.676717897506</v>
      </c>
      <c r="L30" s="78">
        <f t="shared" si="2"/>
        <v>0.20556163533210206</v>
      </c>
      <c r="M30" s="29">
        <f t="shared" si="3"/>
        <v>1.2125139005656531E-2</v>
      </c>
      <c r="N30" s="47"/>
      <c r="O30" s="35">
        <f t="shared" si="8"/>
        <v>58.450586981958317</v>
      </c>
      <c r="P30" s="74">
        <f t="shared" si="9"/>
        <v>4.2653911966868227E-2</v>
      </c>
      <c r="Q30" s="67">
        <v>7.1244782624934242</v>
      </c>
      <c r="R30" s="67">
        <v>0</v>
      </c>
      <c r="S30" s="67">
        <f t="shared" si="12"/>
        <v>3.8257353394328435</v>
      </c>
      <c r="T30"/>
      <c r="U30" s="91">
        <v>34713</v>
      </c>
      <c r="V30">
        <v>37</v>
      </c>
      <c r="W30" s="9" t="s">
        <v>154</v>
      </c>
      <c r="X30"/>
      <c r="Y30"/>
      <c r="Z30"/>
      <c r="AA30"/>
      <c r="AB30"/>
      <c r="AC30"/>
      <c r="AD30"/>
      <c r="AE30"/>
      <c r="AF30"/>
      <c r="AG30"/>
      <c r="AH30"/>
      <c r="AI30"/>
    </row>
    <row r="31" spans="1:35">
      <c r="A31" s="1">
        <v>34763</v>
      </c>
      <c r="B31" s="33">
        <f t="shared" si="5"/>
        <v>16</v>
      </c>
      <c r="C31" s="33">
        <f t="shared" si="6"/>
        <v>36672</v>
      </c>
      <c r="D31">
        <v>3409</v>
      </c>
      <c r="F31" s="31">
        <f t="shared" si="10"/>
        <v>0.36944428256327855</v>
      </c>
      <c r="G31" s="31">
        <f t="shared" si="11"/>
        <v>3.2781097575827034E-2</v>
      </c>
      <c r="H31" s="17">
        <f t="shared" si="0"/>
        <v>-11651.632087659802</v>
      </c>
      <c r="J31" s="35">
        <f t="shared" si="1"/>
        <v>36944.428256327854</v>
      </c>
      <c r="K31" s="35">
        <f t="shared" si="7"/>
        <v>3278.1097575827007</v>
      </c>
      <c r="L31" s="78">
        <f t="shared" si="2"/>
        <v>3.8395494988940834E-2</v>
      </c>
      <c r="M31" s="29">
        <f t="shared" si="3"/>
        <v>7.4287809862525599E-3</v>
      </c>
      <c r="N31" s="47"/>
      <c r="O31" s="35">
        <f t="shared" si="8"/>
        <v>65.667527760682859</v>
      </c>
      <c r="P31" s="74">
        <f t="shared" si="9"/>
        <v>4.2806229941018722E-2</v>
      </c>
      <c r="Q31" s="67">
        <v>6.62685019080938</v>
      </c>
      <c r="R31" s="67">
        <v>0</v>
      </c>
      <c r="S31" s="67">
        <f t="shared" si="12"/>
        <v>4.3119102880042917</v>
      </c>
      <c r="T31"/>
      <c r="U31" s="91">
        <v>34720</v>
      </c>
      <c r="V31" s="2">
        <v>36</v>
      </c>
      <c r="W31" s="2" t="s">
        <v>156</v>
      </c>
      <c r="X31"/>
      <c r="Y31"/>
      <c r="Z31"/>
      <c r="AA31"/>
      <c r="AB31"/>
      <c r="AC31"/>
      <c r="AD31"/>
      <c r="AE31"/>
      <c r="AF31"/>
      <c r="AG31"/>
      <c r="AH31"/>
      <c r="AI31"/>
    </row>
    <row r="32" spans="1:35">
      <c r="A32" s="1">
        <v>34770</v>
      </c>
      <c r="B32" s="33">
        <f t="shared" si="5"/>
        <v>17</v>
      </c>
      <c r="C32" s="33">
        <f t="shared" si="6"/>
        <v>39742</v>
      </c>
      <c r="D32">
        <v>3070</v>
      </c>
      <c r="F32" s="31">
        <f t="shared" si="10"/>
        <v>0.40117688771312188</v>
      </c>
      <c r="G32" s="31">
        <f t="shared" si="11"/>
        <v>3.1732605149843329E-2</v>
      </c>
      <c r="H32" s="17">
        <f t="shared" si="0"/>
        <v>-10592.760459340039</v>
      </c>
      <c r="J32" s="35">
        <f t="shared" si="1"/>
        <v>40117.688771312191</v>
      </c>
      <c r="K32" s="35">
        <f t="shared" si="7"/>
        <v>3173.2605149843366</v>
      </c>
      <c r="L32" s="78">
        <f t="shared" si="2"/>
        <v>3.3635346900435383E-2</v>
      </c>
      <c r="M32" s="29">
        <f t="shared" si="3"/>
        <v>9.4531923736145759E-3</v>
      </c>
      <c r="N32" s="47"/>
      <c r="O32" s="35">
        <f t="shared" si="8"/>
        <v>73.020304620439347</v>
      </c>
      <c r="P32" s="74">
        <f t="shared" si="9"/>
        <v>3.962967581878496E-2</v>
      </c>
      <c r="Q32" s="67">
        <v>6.3473892096560105</v>
      </c>
      <c r="R32" s="67">
        <v>0</v>
      </c>
      <c r="S32" s="67">
        <f t="shared" si="12"/>
        <v>4.8598684127882095</v>
      </c>
      <c r="T32"/>
      <c r="U32" s="91">
        <v>34727</v>
      </c>
      <c r="V32">
        <v>35</v>
      </c>
      <c r="W32" t="s">
        <v>153</v>
      </c>
      <c r="X32"/>
      <c r="Y32"/>
      <c r="Z32"/>
      <c r="AA32"/>
      <c r="AB32"/>
      <c r="AC32"/>
      <c r="AD32"/>
      <c r="AE32"/>
      <c r="AF32"/>
      <c r="AG32"/>
      <c r="AH32"/>
      <c r="AI32"/>
    </row>
    <row r="33" spans="1:35" s="54" customFormat="1">
      <c r="A33" s="171">
        <v>34777</v>
      </c>
      <c r="B33" s="138">
        <f t="shared" si="5"/>
        <v>18</v>
      </c>
      <c r="C33" s="138">
        <f t="shared" si="6"/>
        <v>42924</v>
      </c>
      <c r="D33" s="107">
        <v>3182</v>
      </c>
      <c r="F33" s="139">
        <f t="shared" si="10"/>
        <v>0.43038812653979852</v>
      </c>
      <c r="G33" s="139">
        <f t="shared" si="11"/>
        <v>2.9211238826676644E-2</v>
      </c>
      <c r="H33" s="140">
        <f t="shared" si="0"/>
        <v>-11242.647976248245</v>
      </c>
      <c r="J33" s="56">
        <f t="shared" si="1"/>
        <v>43038.812653979854</v>
      </c>
      <c r="K33" s="56">
        <f t="shared" si="7"/>
        <v>2921.1238826676636</v>
      </c>
      <c r="L33" s="78">
        <f t="shared" si="2"/>
        <v>8.1984952021475932E-2</v>
      </c>
      <c r="M33" s="78">
        <f t="shared" si="3"/>
        <v>2.6747892549588595E-3</v>
      </c>
      <c r="N33" s="56"/>
      <c r="O33" s="56">
        <f t="shared" si="8"/>
        <v>80.141794124833851</v>
      </c>
      <c r="P33" s="172">
        <f t="shared" si="9"/>
        <v>3.5075357471985071E-2</v>
      </c>
      <c r="Q33" s="141">
        <v>6.1544333753861213</v>
      </c>
      <c r="R33" s="141">
        <v>0</v>
      </c>
      <c r="S33" s="141">
        <f t="shared" si="12"/>
        <v>5.4774611279187813</v>
      </c>
      <c r="T33" s="107"/>
      <c r="U33" s="181">
        <v>34734</v>
      </c>
      <c r="V33" s="54">
        <v>35</v>
      </c>
      <c r="W33" s="107" t="s">
        <v>157</v>
      </c>
      <c r="X33" s="107"/>
      <c r="Y33" s="107"/>
      <c r="Z33" s="107"/>
      <c r="AA33" s="107"/>
      <c r="AB33" s="107"/>
      <c r="AC33" s="107"/>
      <c r="AD33" s="107"/>
      <c r="AE33" s="107"/>
      <c r="AF33" s="107"/>
      <c r="AG33" s="107"/>
      <c r="AH33" s="107"/>
      <c r="AI33" s="107"/>
    </row>
    <row r="34" spans="1:35" s="54" customFormat="1">
      <c r="A34" s="171">
        <v>34784</v>
      </c>
      <c r="B34" s="138">
        <f t="shared" si="5"/>
        <v>19</v>
      </c>
      <c r="C34" s="138">
        <f t="shared" si="6"/>
        <v>45630</v>
      </c>
      <c r="D34" s="107">
        <v>2706</v>
      </c>
      <c r="E34" s="140"/>
      <c r="F34" s="139">
        <f t="shared" si="10"/>
        <v>0.45354173422286981</v>
      </c>
      <c r="G34" s="139">
        <f t="shared" si="11"/>
        <v>2.3153607683071287E-2</v>
      </c>
      <c r="H34" s="140">
        <f t="shared" si="0"/>
        <v>-10189.7262401321</v>
      </c>
      <c r="J34" s="56">
        <f t="shared" si="1"/>
        <v>45354.173422286978</v>
      </c>
      <c r="K34" s="56">
        <f t="shared" si="7"/>
        <v>2315.3607683071241</v>
      </c>
      <c r="L34" s="78">
        <f t="shared" si="2"/>
        <v>0.1443603960431914</v>
      </c>
      <c r="M34" s="78">
        <f t="shared" si="3"/>
        <v>6.0448515825777304E-3</v>
      </c>
      <c r="N34" s="56"/>
      <c r="O34" s="56">
        <f>O33+(B34^$B$3-B33^$B$3)*P34</f>
        <v>86.050935875629108</v>
      </c>
      <c r="P34" s="172">
        <f t="shared" si="9"/>
        <v>2.6729613150869642E-2</v>
      </c>
      <c r="Q34" s="141">
        <v>6.4022488166937466</v>
      </c>
      <c r="R34" s="141">
        <v>0</v>
      </c>
      <c r="S34" s="141">
        <f t="shared" si="12"/>
        <v>6.1735376062678577</v>
      </c>
      <c r="T34" s="107"/>
      <c r="U34" s="181">
        <v>34741</v>
      </c>
      <c r="V34" s="107">
        <v>40</v>
      </c>
      <c r="W34" s="157" t="s">
        <v>155</v>
      </c>
      <c r="X34" s="107"/>
      <c r="Y34" s="107"/>
      <c r="Z34" s="107"/>
      <c r="AA34" s="107"/>
      <c r="AB34" s="107"/>
      <c r="AC34" s="107"/>
      <c r="AD34" s="107"/>
      <c r="AE34" s="107"/>
      <c r="AF34" s="107"/>
      <c r="AG34" s="107"/>
      <c r="AH34" s="107"/>
      <c r="AI34" s="107"/>
    </row>
    <row r="35" spans="1:35" s="54" customFormat="1">
      <c r="A35" s="171">
        <v>34791</v>
      </c>
      <c r="B35" s="138">
        <f t="shared" si="5"/>
        <v>20</v>
      </c>
      <c r="C35" s="138">
        <f t="shared" si="6"/>
        <v>47520</v>
      </c>
      <c r="D35" s="107">
        <v>1890</v>
      </c>
      <c r="E35" s="140"/>
      <c r="F35" s="139">
        <f t="shared" si="10"/>
        <v>0.47360023774392113</v>
      </c>
      <c r="G35" s="139">
        <f t="shared" si="11"/>
        <v>2.0058503521051319E-2</v>
      </c>
      <c r="H35" s="140">
        <f t="shared" si="0"/>
        <v>-7388.2029678245526</v>
      </c>
      <c r="J35" s="56">
        <f t="shared" si="1"/>
        <v>47360.02377439211</v>
      </c>
      <c r="K35" s="56">
        <f t="shared" si="7"/>
        <v>2005.8503521051316</v>
      </c>
      <c r="L35" s="78">
        <f t="shared" si="2"/>
        <v>6.1296482595307726E-2</v>
      </c>
      <c r="M35" s="78">
        <f t="shared" si="3"/>
        <v>3.366503064139104E-3</v>
      </c>
      <c r="N35" s="56"/>
      <c r="O35" s="56">
        <f t="shared" si="8"/>
        <v>91.376207872228434</v>
      </c>
      <c r="P35" s="172">
        <f t="shared" si="9"/>
        <v>2.2222499797661385E-2</v>
      </c>
      <c r="Q35" s="141">
        <v>6.2597726503765658</v>
      </c>
      <c r="R35" s="141">
        <v>0</v>
      </c>
      <c r="S35" s="141">
        <f t="shared" si="12"/>
        <v>6.9580715747561568</v>
      </c>
      <c r="T35" s="107"/>
      <c r="U35" s="181">
        <v>34748</v>
      </c>
      <c r="V35" s="182" t="s">
        <v>158</v>
      </c>
      <c r="W35" s="157" t="s">
        <v>159</v>
      </c>
      <c r="X35" s="107"/>
      <c r="Y35" s="107"/>
      <c r="Z35" s="107"/>
      <c r="AA35" s="107"/>
      <c r="AB35" s="107"/>
      <c r="AC35" s="107"/>
      <c r="AD35" s="107"/>
      <c r="AE35" s="107"/>
      <c r="AF35" s="107"/>
      <c r="AG35" s="107"/>
      <c r="AH35" s="107"/>
      <c r="AI35" s="107"/>
    </row>
    <row r="36" spans="1:35" s="54" customFormat="1">
      <c r="A36" s="171">
        <v>34798</v>
      </c>
      <c r="B36" s="138">
        <f t="shared" si="5"/>
        <v>21</v>
      </c>
      <c r="C36" s="138">
        <f t="shared" si="6"/>
        <v>49143</v>
      </c>
      <c r="D36" s="107">
        <v>1623</v>
      </c>
      <c r="E36" s="140"/>
      <c r="F36" s="139">
        <f t="shared" si="10"/>
        <v>0.49133104711381514</v>
      </c>
      <c r="G36" s="139">
        <f t="shared" si="11"/>
        <v>1.7730809369894018E-2</v>
      </c>
      <c r="H36" s="140">
        <f t="shared" si="0"/>
        <v>-6544.6688010509051</v>
      </c>
      <c r="J36" s="56">
        <f t="shared" si="1"/>
        <v>49133.104711381515</v>
      </c>
      <c r="K36" s="56">
        <f t="shared" si="7"/>
        <v>1773.080936989405</v>
      </c>
      <c r="L36" s="78">
        <f t="shared" si="2"/>
        <v>9.2471310529516335E-2</v>
      </c>
      <c r="M36" s="78">
        <f t="shared" si="3"/>
        <v>2.0135703189640865E-4</v>
      </c>
      <c r="N36" s="56"/>
      <c r="O36" s="56">
        <f t="shared" si="8"/>
        <v>96.255274783776301</v>
      </c>
      <c r="P36" s="172">
        <f t="shared" si="9"/>
        <v>1.8859142770732258E-2</v>
      </c>
      <c r="Q36" s="141">
        <v>5.9464671811772458</v>
      </c>
      <c r="R36" s="141">
        <v>0</v>
      </c>
      <c r="S36" s="141">
        <f t="shared" si="12"/>
        <v>7.8423042228292541</v>
      </c>
      <c r="T36" s="107"/>
      <c r="U36" s="107"/>
      <c r="V36" s="107"/>
      <c r="W36" s="107"/>
      <c r="X36" s="107"/>
      <c r="Y36" s="107"/>
      <c r="Z36" s="107"/>
      <c r="AA36" s="107"/>
      <c r="AB36" s="107"/>
      <c r="AC36" s="107"/>
      <c r="AD36" s="107"/>
      <c r="AE36" s="107"/>
      <c r="AF36" s="107"/>
      <c r="AG36" s="107"/>
      <c r="AH36" s="107"/>
      <c r="AI36" s="107"/>
    </row>
    <row r="37" spans="1:35" s="132" customFormat="1">
      <c r="A37" s="176">
        <v>34805</v>
      </c>
      <c r="B37" s="131">
        <f t="shared" si="5"/>
        <v>22</v>
      </c>
      <c r="C37" s="131">
        <f t="shared" si="6"/>
        <v>50730</v>
      </c>
      <c r="D37" s="177">
        <v>1587</v>
      </c>
      <c r="E37" s="134"/>
      <c r="F37" s="133">
        <f t="shared" si="10"/>
        <v>0.5063365632134893</v>
      </c>
      <c r="G37" s="133">
        <f t="shared" si="11"/>
        <v>1.5005516099674154E-2</v>
      </c>
      <c r="H37" s="140">
        <f>(B10-SUM(D16:D36))*IFERROR(LN(1-F36),-10000)</f>
        <v>-34377.188951226846</v>
      </c>
      <c r="J37" s="135">
        <f t="shared" si="1"/>
        <v>50633.656321348928</v>
      </c>
      <c r="K37" s="135">
        <f t="shared" si="7"/>
        <v>1500.5516099674132</v>
      </c>
      <c r="L37" s="178">
        <f t="shared" si="2"/>
        <v>5.447283555928592E-2</v>
      </c>
      <c r="M37" s="178">
        <f t="shared" si="3"/>
        <v>1.8991460408253886E-3</v>
      </c>
      <c r="N37" s="135"/>
      <c r="O37" s="135">
        <f t="shared" si="8"/>
        <v>100.51917007287089</v>
      </c>
      <c r="P37" s="179">
        <f t="shared" si="9"/>
        <v>1.5321812481068384E-2</v>
      </c>
      <c r="Q37" s="180">
        <v>5.6722918075648305</v>
      </c>
      <c r="R37" s="180">
        <v>0</v>
      </c>
      <c r="S37" s="180">
        <f t="shared" si="12"/>
        <v>8.838905271761428</v>
      </c>
      <c r="T37" s="177"/>
      <c r="U37" s="177"/>
      <c r="V37" s="177"/>
      <c r="W37" s="177"/>
      <c r="X37" s="177"/>
      <c r="Y37" s="177"/>
      <c r="Z37" s="177"/>
      <c r="AA37" s="177"/>
      <c r="AB37" s="177"/>
      <c r="AC37" s="177"/>
      <c r="AD37" s="177"/>
      <c r="AE37" s="177"/>
      <c r="AF37" s="177"/>
      <c r="AG37" s="177"/>
      <c r="AH37" s="177"/>
      <c r="AI37" s="177"/>
    </row>
    <row r="38" spans="1:35">
      <c r="A38" s="1">
        <v>34812</v>
      </c>
      <c r="B38" s="33">
        <f t="shared" si="5"/>
        <v>23</v>
      </c>
      <c r="C38" s="33">
        <f t="shared" si="6"/>
        <v>52237</v>
      </c>
      <c r="D38">
        <v>1507</v>
      </c>
      <c r="E38" s="17"/>
      <c r="F38" s="31">
        <f t="shared" si="10"/>
        <v>0.51734303484361965</v>
      </c>
      <c r="G38" s="31">
        <f t="shared" si="11"/>
        <v>1.1006471630130354E-2</v>
      </c>
      <c r="H38" s="17"/>
      <c r="J38" s="35">
        <f t="shared" si="1"/>
        <v>51734.303484361968</v>
      </c>
      <c r="K38" s="35">
        <f t="shared" si="7"/>
        <v>1100.64716301304</v>
      </c>
      <c r="L38" s="78">
        <f t="shared" si="2"/>
        <v>0.26964355473587259</v>
      </c>
      <c r="M38" s="78">
        <f>ABS((C38-J38)/C38)</f>
        <v>9.6233802790748318E-3</v>
      </c>
      <c r="N38" s="47"/>
      <c r="O38" s="35">
        <f t="shared" si="8"/>
        <v>103.72993909019324</v>
      </c>
      <c r="P38" s="74">
        <f t="shared" si="9"/>
        <v>1.0761465596017301E-2</v>
      </c>
      <c r="Q38" s="67">
        <v>5.7767230990579161</v>
      </c>
      <c r="R38" s="67">
        <v>0</v>
      </c>
      <c r="S38" s="67">
        <f t="shared" si="12"/>
        <v>9.9621545126677731</v>
      </c>
      <c r="T38"/>
      <c r="U38"/>
      <c r="V38"/>
      <c r="W38"/>
      <c r="X38"/>
      <c r="Y38"/>
      <c r="Z38"/>
      <c r="AA38"/>
      <c r="AB38"/>
      <c r="AC38"/>
      <c r="AD38"/>
      <c r="AE38"/>
      <c r="AF38"/>
      <c r="AG38"/>
      <c r="AH38"/>
      <c r="AI38"/>
    </row>
    <row r="39" spans="1:35">
      <c r="A39" s="1">
        <v>34819</v>
      </c>
      <c r="B39" s="33">
        <f t="shared" si="5"/>
        <v>24</v>
      </c>
      <c r="C39" s="33">
        <f t="shared" si="6"/>
        <v>53537</v>
      </c>
      <c r="D39">
        <v>1300</v>
      </c>
      <c r="E39" s="17"/>
      <c r="F39" s="31">
        <f t="shared" si="10"/>
        <v>0.525653987941195</v>
      </c>
      <c r="G39" s="31">
        <f t="shared" si="11"/>
        <v>8.3109530975753465E-3</v>
      </c>
      <c r="H39" s="17"/>
      <c r="J39" s="35">
        <f t="shared" si="1"/>
        <v>52565.398794119501</v>
      </c>
      <c r="K39" s="35">
        <f t="shared" si="7"/>
        <v>831.09530975753296</v>
      </c>
      <c r="L39" s="78">
        <f t="shared" si="2"/>
        <v>0.36069591557112851</v>
      </c>
      <c r="M39" s="78">
        <f t="shared" si="3"/>
        <v>1.8148219098576668E-2</v>
      </c>
      <c r="N39" s="47"/>
      <c r="O39" s="35">
        <f t="shared" si="8"/>
        <v>106.20327652874388</v>
      </c>
      <c r="P39" s="74">
        <f t="shared" si="9"/>
        <v>7.7556733769254971E-3</v>
      </c>
      <c r="Q39" s="67">
        <v>5.6493262888601423</v>
      </c>
      <c r="R39" s="67">
        <v>0</v>
      </c>
      <c r="S39" s="67">
        <f t="shared" si="12"/>
        <v>11.228146414390668</v>
      </c>
      <c r="T39"/>
      <c r="U39" s="6" t="s">
        <v>30</v>
      </c>
      <c r="V39"/>
      <c r="W39"/>
      <c r="X39"/>
      <c r="Y39"/>
      <c r="AI39" s="5"/>
    </row>
    <row r="40" spans="1:35">
      <c r="A40" s="1">
        <v>34826</v>
      </c>
      <c r="B40" s="33">
        <f t="shared" si="5"/>
        <v>25</v>
      </c>
      <c r="C40" s="33">
        <f t="shared" si="6"/>
        <v>54664</v>
      </c>
      <c r="D40">
        <v>1127</v>
      </c>
      <c r="E40" s="17"/>
      <c r="F40" s="31">
        <f t="shared" si="10"/>
        <v>0.5311715106370567</v>
      </c>
      <c r="G40" s="31">
        <f t="shared" si="11"/>
        <v>5.5175226958616985E-3</v>
      </c>
      <c r="H40" s="17"/>
      <c r="J40" s="35">
        <f t="shared" si="1"/>
        <v>53117.151063705671</v>
      </c>
      <c r="K40" s="35">
        <f t="shared" si="7"/>
        <v>551.75226958616986</v>
      </c>
      <c r="L40" s="78">
        <f t="shared" si="2"/>
        <v>0.51042389566444557</v>
      </c>
      <c r="M40" s="78">
        <f t="shared" si="3"/>
        <v>2.8297397488188374E-2</v>
      </c>
      <c r="N40" s="47"/>
      <c r="O40" s="35">
        <f t="shared" si="8"/>
        <v>107.86934153232444</v>
      </c>
      <c r="P40" s="74">
        <f t="shared" si="9"/>
        <v>4.9012548903185583E-3</v>
      </c>
      <c r="Q40" s="67">
        <v>5.8171111599632042</v>
      </c>
      <c r="R40" s="67">
        <v>0</v>
      </c>
      <c r="S40" s="67">
        <f t="shared" si="12"/>
        <v>12.655020732983322</v>
      </c>
      <c r="T40"/>
      <c r="U40" s="6" t="s">
        <v>31</v>
      </c>
      <c r="V40"/>
      <c r="W40"/>
      <c r="X40"/>
      <c r="Y40"/>
      <c r="AI40" s="5"/>
    </row>
    <row r="41" spans="1:35">
      <c r="A41" s="1">
        <v>34833</v>
      </c>
      <c r="B41" s="33">
        <f t="shared" si="5"/>
        <v>26</v>
      </c>
      <c r="C41" s="33">
        <f t="shared" si="6"/>
        <v>55661</v>
      </c>
      <c r="D41">
        <v>997</v>
      </c>
      <c r="E41" s="17"/>
      <c r="F41" s="31">
        <f t="shared" si="10"/>
        <v>0.53491983294558443</v>
      </c>
      <c r="G41" s="31">
        <f t="shared" si="11"/>
        <v>3.7483223085277295E-3</v>
      </c>
      <c r="H41" s="17"/>
      <c r="J41" s="35">
        <f t="shared" si="1"/>
        <v>53491.983294558442</v>
      </c>
      <c r="K41" s="35">
        <f t="shared" si="7"/>
        <v>374.83223085277132</v>
      </c>
      <c r="L41" s="78">
        <f t="shared" si="2"/>
        <v>0.62403988881366967</v>
      </c>
      <c r="M41" s="78">
        <f t="shared" si="3"/>
        <v>3.8968338790922867E-2</v>
      </c>
      <c r="N41" s="47"/>
      <c r="O41" s="35">
        <f t="shared" si="8"/>
        <v>109.01240348527935</v>
      </c>
      <c r="P41" s="74">
        <f t="shared" si="9"/>
        <v>3.162811405475887E-3</v>
      </c>
      <c r="Q41" s="67">
        <v>5.7313976416891741</v>
      </c>
      <c r="R41" s="67">
        <v>0</v>
      </c>
      <c r="S41" s="67">
        <f t="shared" si="12"/>
        <v>14.263222427076693</v>
      </c>
      <c r="T41"/>
      <c r="U41" s="6" t="s">
        <v>32</v>
      </c>
      <c r="V41"/>
      <c r="W41"/>
      <c r="X41"/>
      <c r="Y41"/>
      <c r="AI41" s="5"/>
    </row>
    <row r="42" spans="1:35">
      <c r="A42" s="1">
        <v>34840</v>
      </c>
      <c r="B42" s="33">
        <f t="shared" si="5"/>
        <v>27</v>
      </c>
      <c r="C42" s="33">
        <f t="shared" si="6"/>
        <v>56495</v>
      </c>
      <c r="D42">
        <v>834</v>
      </c>
      <c r="E42" s="17"/>
      <c r="F42" s="31">
        <f t="shared" si="10"/>
        <v>0.53790445174197798</v>
      </c>
      <c r="G42" s="31">
        <f t="shared" si="11"/>
        <v>2.9846187963935567E-3</v>
      </c>
      <c r="H42" s="17"/>
      <c r="J42" s="35">
        <f t="shared" si="1"/>
        <v>53790.445174197797</v>
      </c>
      <c r="K42" s="35">
        <f t="shared" si="7"/>
        <v>298.46187963935517</v>
      </c>
      <c r="L42" s="78">
        <f t="shared" si="2"/>
        <v>0.64213203880173242</v>
      </c>
      <c r="M42" s="78">
        <f t="shared" si="3"/>
        <v>4.7872463506543991E-2</v>
      </c>
      <c r="N42" s="47"/>
      <c r="O42" s="35">
        <f t="shared" si="8"/>
        <v>109.92917947880471</v>
      </c>
      <c r="P42" s="74">
        <f t="shared" si="9"/>
        <v>2.3915451887059139E-3</v>
      </c>
      <c r="Q42" s="67">
        <v>4.8918517581062888</v>
      </c>
      <c r="R42" s="67">
        <v>0</v>
      </c>
      <c r="S42" s="67">
        <f t="shared" si="12"/>
        <v>16.075794603325338</v>
      </c>
      <c r="T42"/>
      <c r="U42"/>
      <c r="V42"/>
      <c r="W42"/>
      <c r="X42"/>
      <c r="Y42"/>
      <c r="AI42" s="5"/>
    </row>
    <row r="43" spans="1:35">
      <c r="A43" s="4"/>
      <c r="B43" s="4"/>
      <c r="C43" s="4"/>
      <c r="H43" s="17"/>
    </row>
    <row r="44" spans="1:35">
      <c r="A44" s="4"/>
      <c r="B44" s="4"/>
      <c r="C44" s="27">
        <f>1-21/27</f>
        <v>0.22222222222222221</v>
      </c>
      <c r="S44" s="2" t="s">
        <v>151</v>
      </c>
    </row>
    <row r="45" spans="1:35">
      <c r="A45" s="4"/>
      <c r="B45"/>
      <c r="C45"/>
      <c r="D45"/>
      <c r="E45"/>
      <c r="F45"/>
      <c r="G45"/>
      <c r="H45"/>
      <c r="I45"/>
      <c r="J45"/>
      <c r="K45"/>
      <c r="L45"/>
      <c r="M45"/>
      <c r="N45"/>
      <c r="O45"/>
      <c r="P45"/>
      <c r="Q45"/>
      <c r="R45"/>
      <c r="S45"/>
      <c r="T45"/>
      <c r="U45"/>
      <c r="V45"/>
      <c r="W45"/>
      <c r="X45"/>
      <c r="Y45"/>
      <c r="Z45"/>
      <c r="AA45"/>
      <c r="AB45"/>
      <c r="AC45"/>
      <c r="AD45"/>
      <c r="AE45"/>
      <c r="AF45"/>
      <c r="AG45"/>
    </row>
    <row r="46" spans="1:35">
      <c r="A46" s="4"/>
      <c r="B46"/>
      <c r="C46"/>
      <c r="D46"/>
      <c r="E46"/>
      <c r="F46"/>
      <c r="G46"/>
      <c r="H46"/>
      <c r="I46"/>
      <c r="J46"/>
      <c r="K46"/>
      <c r="L46"/>
      <c r="M46"/>
      <c r="N46"/>
      <c r="O46"/>
      <c r="P46"/>
      <c r="Q46"/>
      <c r="R46"/>
      <c r="S46"/>
      <c r="T46"/>
      <c r="U46"/>
      <c r="V46"/>
      <c r="W46"/>
      <c r="X46"/>
      <c r="Y46"/>
      <c r="Z46"/>
      <c r="AA46"/>
      <c r="AB46"/>
      <c r="AC46"/>
      <c r="AD46"/>
      <c r="AE46"/>
      <c r="AF46"/>
      <c r="AG46"/>
    </row>
    <row r="47" spans="1:35">
      <c r="A47" s="4"/>
      <c r="B47"/>
      <c r="C47" s="16"/>
      <c r="D47" s="102"/>
      <c r="E47"/>
      <c r="F47"/>
      <c r="G47"/>
      <c r="H47"/>
      <c r="I47"/>
      <c r="J47"/>
      <c r="K47"/>
      <c r="L47"/>
      <c r="M47"/>
      <c r="N47"/>
      <c r="O47"/>
      <c r="P47"/>
      <c r="Q47"/>
      <c r="R47"/>
      <c r="S47"/>
      <c r="T47"/>
      <c r="U47"/>
      <c r="V47"/>
      <c r="W47"/>
      <c r="X47"/>
      <c r="Y47"/>
      <c r="Z47"/>
      <c r="AA47"/>
      <c r="AB47"/>
      <c r="AC47"/>
      <c r="AD47"/>
      <c r="AE47"/>
      <c r="AF47"/>
      <c r="AG47"/>
    </row>
    <row r="48" spans="1:35">
      <c r="A48" s="4"/>
      <c r="B48"/>
      <c r="C48" s="16"/>
      <c r="D48" s="102"/>
      <c r="E48"/>
      <c r="F48"/>
      <c r="G48"/>
      <c r="H48"/>
      <c r="I48"/>
      <c r="J48"/>
      <c r="K48"/>
      <c r="L48"/>
      <c r="M48"/>
      <c r="N48"/>
      <c r="O48"/>
      <c r="P48"/>
      <c r="Q48"/>
      <c r="R48"/>
      <c r="S48"/>
      <c r="T48"/>
      <c r="U48"/>
      <c r="V48"/>
      <c r="W48"/>
      <c r="X48"/>
      <c r="Y48"/>
      <c r="Z48"/>
      <c r="AA48"/>
      <c r="AB48"/>
      <c r="AC48"/>
      <c r="AD48"/>
      <c r="AE48"/>
      <c r="AF48"/>
      <c r="AG48"/>
    </row>
    <row r="49" spans="1:33">
      <c r="A49" s="4"/>
      <c r="B49"/>
      <c r="C49" s="16"/>
      <c r="D49" s="27"/>
      <c r="E49"/>
      <c r="F49"/>
      <c r="G49"/>
      <c r="H49"/>
      <c r="I49"/>
      <c r="J49"/>
      <c r="K49"/>
      <c r="L49"/>
      <c r="M49"/>
      <c r="N49"/>
      <c r="O49"/>
      <c r="P49"/>
      <c r="Q49"/>
      <c r="R49"/>
      <c r="S49"/>
      <c r="T49"/>
      <c r="U49"/>
      <c r="V49"/>
      <c r="W49"/>
      <c r="X49"/>
      <c r="Y49"/>
      <c r="Z49"/>
      <c r="AA49"/>
      <c r="AB49"/>
      <c r="AC49"/>
      <c r="AD49"/>
      <c r="AE49"/>
      <c r="AF49"/>
      <c r="AG49"/>
    </row>
    <row r="50" spans="1:33">
      <c r="A50" s="4"/>
      <c r="B50"/>
      <c r="C50" s="16"/>
      <c r="D50" s="27"/>
      <c r="E50"/>
      <c r="F50"/>
      <c r="G50"/>
      <c r="H50"/>
      <c r="I50"/>
      <c r="J50"/>
      <c r="K50"/>
      <c r="L50"/>
      <c r="M50"/>
      <c r="N50"/>
      <c r="O50"/>
      <c r="P50"/>
      <c r="Q50"/>
      <c r="R50"/>
      <c r="S50"/>
      <c r="T50"/>
      <c r="U50"/>
      <c r="V50"/>
      <c r="W50"/>
      <c r="X50"/>
      <c r="Y50"/>
      <c r="Z50"/>
      <c r="AA50"/>
      <c r="AB50"/>
      <c r="AC50"/>
      <c r="AD50"/>
      <c r="AE50"/>
      <c r="AF50"/>
      <c r="AG50"/>
    </row>
    <row r="51" spans="1:33">
      <c r="A51" s="4"/>
      <c r="B51"/>
      <c r="C51" s="7"/>
      <c r="D51" s="27"/>
      <c r="E51"/>
      <c r="F51"/>
      <c r="G51"/>
      <c r="H51"/>
      <c r="I51"/>
      <c r="J51"/>
      <c r="K51"/>
      <c r="L51"/>
      <c r="M51"/>
      <c r="N51"/>
      <c r="O51"/>
      <c r="P51"/>
      <c r="Q51"/>
      <c r="R51"/>
      <c r="S51"/>
      <c r="T51"/>
      <c r="U51"/>
      <c r="V51"/>
      <c r="W51"/>
      <c r="X51"/>
      <c r="Y51"/>
      <c r="Z51"/>
      <c r="AA51"/>
      <c r="AB51"/>
      <c r="AC51"/>
      <c r="AD51"/>
      <c r="AE51"/>
      <c r="AF51"/>
      <c r="AG51"/>
    </row>
    <row r="52" spans="1:33">
      <c r="A52" s="4"/>
      <c r="B52"/>
      <c r="C52" s="7"/>
      <c r="D52" s="27"/>
      <c r="E52"/>
      <c r="F52"/>
      <c r="G52"/>
      <c r="H52"/>
      <c r="I52"/>
      <c r="J52"/>
      <c r="K52"/>
      <c r="L52"/>
      <c r="M52"/>
      <c r="N52"/>
      <c r="O52"/>
      <c r="P52"/>
      <c r="Q52"/>
      <c r="R52"/>
      <c r="S52"/>
      <c r="T52"/>
      <c r="U52"/>
      <c r="V52"/>
      <c r="W52"/>
      <c r="X52"/>
      <c r="Y52"/>
      <c r="Z52"/>
      <c r="AA52"/>
      <c r="AB52"/>
      <c r="AC52"/>
      <c r="AD52"/>
      <c r="AE52"/>
      <c r="AF52"/>
      <c r="AG52"/>
    </row>
    <row r="53" spans="1:33">
      <c r="A53" s="4"/>
      <c r="B53"/>
      <c r="C53" s="7"/>
      <c r="D53" s="27"/>
      <c r="E53"/>
      <c r="F53"/>
      <c r="G53"/>
      <c r="H53"/>
      <c r="I53"/>
      <c r="J53"/>
      <c r="K53"/>
      <c r="L53"/>
      <c r="M53"/>
      <c r="N53"/>
      <c r="O53"/>
      <c r="P53"/>
      <c r="Q53"/>
      <c r="R53"/>
      <c r="S53"/>
      <c r="T53"/>
      <c r="U53"/>
      <c r="V53"/>
      <c r="W53"/>
      <c r="X53"/>
      <c r="Y53"/>
      <c r="Z53"/>
      <c r="AA53"/>
      <c r="AB53"/>
      <c r="AC53"/>
      <c r="AD53"/>
      <c r="AE53"/>
      <c r="AF53"/>
      <c r="AG53"/>
    </row>
    <row r="54" spans="1:33">
      <c r="A54" s="4"/>
      <c r="B54"/>
      <c r="C54" s="7"/>
      <c r="D54" s="27"/>
      <c r="E54"/>
      <c r="F54"/>
      <c r="G54"/>
      <c r="H54"/>
      <c r="I54"/>
      <c r="J54"/>
      <c r="K54"/>
      <c r="L54"/>
      <c r="M54"/>
      <c r="N54"/>
      <c r="O54"/>
      <c r="P54"/>
      <c r="Q54"/>
      <c r="R54"/>
      <c r="S54"/>
      <c r="T54"/>
      <c r="U54"/>
      <c r="V54"/>
      <c r="W54"/>
      <c r="X54"/>
      <c r="Y54"/>
      <c r="Z54"/>
      <c r="AA54"/>
      <c r="AB54"/>
      <c r="AC54"/>
      <c r="AD54"/>
      <c r="AE54"/>
      <c r="AF54"/>
      <c r="AG54"/>
    </row>
    <row r="55" spans="1:33">
      <c r="A55" s="4"/>
      <c r="B55"/>
      <c r="C55"/>
      <c r="D55"/>
      <c r="E55"/>
      <c r="F55"/>
      <c r="G55"/>
      <c r="H55"/>
      <c r="I55"/>
      <c r="J55"/>
      <c r="K55"/>
      <c r="L55"/>
      <c r="M55"/>
      <c r="N55"/>
      <c r="O55"/>
      <c r="P55"/>
      <c r="Q55"/>
      <c r="R55"/>
      <c r="S55"/>
      <c r="T55"/>
      <c r="U55"/>
      <c r="V55"/>
      <c r="W55"/>
      <c r="X55"/>
      <c r="Y55"/>
      <c r="Z55"/>
      <c r="AA55"/>
      <c r="AB55"/>
      <c r="AC55"/>
      <c r="AD55"/>
      <c r="AE55"/>
      <c r="AF55"/>
      <c r="AG55"/>
    </row>
    <row r="56" spans="1:33">
      <c r="A56" s="4"/>
      <c r="B56"/>
      <c r="C56"/>
      <c r="D56"/>
      <c r="E56"/>
      <c r="F56"/>
      <c r="G56"/>
      <c r="H56"/>
      <c r="I56"/>
      <c r="J56"/>
      <c r="K56"/>
      <c r="L56"/>
      <c r="M56"/>
      <c r="N56"/>
      <c r="O56"/>
      <c r="P56"/>
      <c r="Q56"/>
      <c r="R56"/>
      <c r="S56"/>
      <c r="T56"/>
      <c r="U56"/>
      <c r="V56"/>
      <c r="W56"/>
      <c r="X56"/>
      <c r="Y56"/>
      <c r="Z56"/>
      <c r="AA56"/>
      <c r="AB56"/>
      <c r="AC56"/>
      <c r="AD56"/>
      <c r="AE56"/>
      <c r="AF56"/>
      <c r="AG56"/>
    </row>
    <row r="57" spans="1:33">
      <c r="A57" s="4"/>
      <c r="B57"/>
      <c r="C57"/>
      <c r="D57"/>
      <c r="E57"/>
      <c r="F57"/>
      <c r="G57"/>
      <c r="H57"/>
      <c r="I57"/>
      <c r="J57"/>
      <c r="K57"/>
      <c r="L57"/>
      <c r="M57"/>
      <c r="N57"/>
      <c r="O57"/>
      <c r="P57"/>
      <c r="Q57"/>
      <c r="R57"/>
      <c r="S57"/>
      <c r="T57"/>
      <c r="U57"/>
      <c r="V57"/>
      <c r="W57"/>
      <c r="X57"/>
      <c r="Y57"/>
      <c r="Z57"/>
      <c r="AA57"/>
      <c r="AB57"/>
      <c r="AC57"/>
      <c r="AD57"/>
      <c r="AE57"/>
      <c r="AF57"/>
      <c r="AG57"/>
    </row>
    <row r="58" spans="1:33">
      <c r="A58" s="4"/>
      <c r="B58"/>
      <c r="C58"/>
      <c r="D58"/>
      <c r="E58"/>
      <c r="F58"/>
      <c r="G58"/>
      <c r="H58"/>
      <c r="I58"/>
      <c r="J58"/>
      <c r="K58"/>
      <c r="L58"/>
      <c r="M58"/>
      <c r="N58"/>
      <c r="O58"/>
      <c r="P58"/>
      <c r="Q58"/>
      <c r="R58"/>
      <c r="S58"/>
      <c r="T58"/>
      <c r="U58"/>
      <c r="V58"/>
      <c r="W58"/>
      <c r="X58"/>
      <c r="Y58"/>
      <c r="Z58"/>
      <c r="AA58"/>
      <c r="AB58"/>
      <c r="AC58"/>
      <c r="AD58"/>
      <c r="AE58"/>
      <c r="AF58"/>
      <c r="AG58"/>
    </row>
    <row r="59" spans="1:33">
      <c r="A59" s="4"/>
      <c r="B59"/>
      <c r="C59"/>
      <c r="D59"/>
      <c r="E59"/>
      <c r="F59"/>
      <c r="G59"/>
      <c r="H59"/>
      <c r="I59"/>
      <c r="J59"/>
      <c r="K59"/>
      <c r="L59"/>
      <c r="M59"/>
      <c r="N59"/>
      <c r="O59"/>
      <c r="P59"/>
      <c r="Q59"/>
      <c r="R59"/>
      <c r="S59"/>
      <c r="T59"/>
      <c r="U59"/>
      <c r="V59"/>
      <c r="W59"/>
      <c r="X59"/>
      <c r="Y59"/>
      <c r="Z59"/>
      <c r="AA59"/>
      <c r="AB59"/>
      <c r="AC59"/>
      <c r="AD59"/>
      <c r="AE59"/>
      <c r="AF59"/>
      <c r="AG59"/>
    </row>
    <row r="60" spans="1:33">
      <c r="A60" s="4"/>
      <c r="B60"/>
      <c r="C60"/>
      <c r="D60"/>
      <c r="E60"/>
      <c r="F60"/>
      <c r="G60"/>
      <c r="H60"/>
      <c r="I60"/>
      <c r="J60"/>
      <c r="K60"/>
      <c r="L60"/>
      <c r="M60"/>
      <c r="N60"/>
      <c r="O60"/>
      <c r="P60"/>
      <c r="Q60"/>
      <c r="R60"/>
      <c r="S60"/>
      <c r="T60"/>
      <c r="U60"/>
      <c r="V60"/>
      <c r="W60"/>
      <c r="X60"/>
      <c r="Y60"/>
      <c r="Z60"/>
      <c r="AA60"/>
      <c r="AB60"/>
      <c r="AC60"/>
      <c r="AD60"/>
      <c r="AE60"/>
      <c r="AF60"/>
      <c r="AG60"/>
    </row>
    <row r="61" spans="1:33">
      <c r="A61" s="4"/>
      <c r="B61"/>
      <c r="C61"/>
      <c r="D61"/>
      <c r="E61"/>
      <c r="F61"/>
      <c r="G61"/>
      <c r="H61"/>
      <c r="I61"/>
      <c r="J61"/>
      <c r="K61"/>
      <c r="L61"/>
      <c r="M61"/>
      <c r="N61"/>
      <c r="O61"/>
      <c r="P61"/>
      <c r="Q61"/>
      <c r="R61"/>
      <c r="S61"/>
      <c r="T61"/>
      <c r="U61"/>
      <c r="V61"/>
      <c r="W61"/>
      <c r="X61"/>
      <c r="Y61"/>
      <c r="Z61"/>
      <c r="AA61"/>
      <c r="AB61"/>
      <c r="AC61"/>
      <c r="AD61"/>
      <c r="AE61"/>
      <c r="AF61"/>
      <c r="AG61"/>
    </row>
    <row r="62" spans="1:33">
      <c r="B62"/>
      <c r="C62"/>
      <c r="D62"/>
      <c r="E62"/>
      <c r="F62"/>
      <c r="G62"/>
      <c r="H62"/>
      <c r="I62"/>
      <c r="J62"/>
      <c r="K62"/>
      <c r="L62"/>
      <c r="M62"/>
      <c r="N62"/>
      <c r="O62"/>
      <c r="P62"/>
      <c r="Q62"/>
      <c r="R62"/>
      <c r="S62"/>
      <c r="T62"/>
      <c r="U62"/>
      <c r="V62"/>
      <c r="W62"/>
      <c r="X62"/>
      <c r="Y62"/>
      <c r="Z62"/>
      <c r="AA62"/>
      <c r="AB62"/>
      <c r="AC62"/>
      <c r="AD62"/>
      <c r="AE62"/>
      <c r="AF62"/>
      <c r="AG62"/>
    </row>
    <row r="63" spans="1:33">
      <c r="B63"/>
      <c r="C63"/>
      <c r="D63"/>
      <c r="E63"/>
      <c r="F63"/>
      <c r="G63"/>
      <c r="H63"/>
      <c r="I63"/>
      <c r="J63"/>
      <c r="K63"/>
      <c r="L63"/>
      <c r="M63"/>
      <c r="N63"/>
      <c r="O63"/>
      <c r="P63"/>
      <c r="Q63"/>
      <c r="R63"/>
      <c r="S63"/>
      <c r="T63"/>
      <c r="U63"/>
      <c r="V63"/>
      <c r="W63"/>
      <c r="X63"/>
      <c r="Y63"/>
      <c r="Z63"/>
      <c r="AA63"/>
      <c r="AB63"/>
      <c r="AC63"/>
      <c r="AD63"/>
      <c r="AE63"/>
      <c r="AF63"/>
      <c r="AG63"/>
    </row>
    <row r="64" spans="1:33">
      <c r="B64"/>
      <c r="C64"/>
      <c r="D64"/>
      <c r="E64"/>
      <c r="F64"/>
      <c r="G64"/>
      <c r="H64"/>
      <c r="I64"/>
      <c r="J64"/>
      <c r="K64"/>
      <c r="L64"/>
      <c r="M64"/>
      <c r="N64"/>
      <c r="O64"/>
      <c r="P64"/>
      <c r="Q64"/>
      <c r="R64"/>
      <c r="S64"/>
      <c r="T64"/>
      <c r="U64"/>
      <c r="V64"/>
      <c r="W64"/>
      <c r="X64"/>
      <c r="Y64"/>
      <c r="Z64"/>
      <c r="AA64"/>
      <c r="AB64"/>
      <c r="AC64"/>
      <c r="AD64"/>
      <c r="AE64"/>
      <c r="AF64"/>
      <c r="AG64"/>
    </row>
    <row r="65" spans="2:33">
      <c r="B65"/>
      <c r="C65"/>
      <c r="D65"/>
      <c r="E65"/>
      <c r="F65"/>
      <c r="G65"/>
      <c r="H65"/>
      <c r="I65"/>
      <c r="J65"/>
      <c r="K65"/>
      <c r="L65"/>
      <c r="M65"/>
      <c r="N65"/>
      <c r="O65"/>
      <c r="P65"/>
      <c r="Q65"/>
      <c r="R65"/>
      <c r="S65"/>
      <c r="T65"/>
      <c r="U65"/>
      <c r="V65"/>
      <c r="W65"/>
      <c r="X65"/>
      <c r="Y65"/>
      <c r="Z65"/>
      <c r="AA65"/>
      <c r="AB65"/>
      <c r="AC65"/>
      <c r="AD65"/>
      <c r="AE65"/>
      <c r="AF65"/>
      <c r="AG65"/>
    </row>
    <row r="66" spans="2:33">
      <c r="B66"/>
      <c r="C66"/>
      <c r="D66"/>
      <c r="E66"/>
      <c r="F66"/>
      <c r="G66"/>
      <c r="H66"/>
      <c r="I66"/>
      <c r="J66"/>
      <c r="K66"/>
      <c r="L66"/>
      <c r="M66"/>
      <c r="N66"/>
      <c r="O66"/>
      <c r="P66"/>
      <c r="Q66"/>
      <c r="R66"/>
      <c r="S66"/>
      <c r="T66"/>
      <c r="U66"/>
      <c r="V66"/>
      <c r="W66"/>
      <c r="X66"/>
      <c r="Y66"/>
      <c r="Z66"/>
      <c r="AA66"/>
      <c r="AB66"/>
      <c r="AC66"/>
      <c r="AD66"/>
      <c r="AE66"/>
      <c r="AF66"/>
      <c r="AG66"/>
    </row>
    <row r="67" spans="2:33">
      <c r="B67"/>
      <c r="C67"/>
      <c r="D67"/>
      <c r="E67"/>
      <c r="F67"/>
      <c r="G67"/>
      <c r="H67"/>
      <c r="I67"/>
      <c r="J67"/>
      <c r="K67"/>
      <c r="L67"/>
      <c r="M67"/>
      <c r="N67"/>
      <c r="O67"/>
      <c r="P67"/>
      <c r="Q67"/>
      <c r="R67"/>
      <c r="S67"/>
      <c r="T67"/>
      <c r="U67"/>
      <c r="V67"/>
      <c r="W67"/>
      <c r="X67"/>
      <c r="Y67"/>
      <c r="Z67"/>
      <c r="AA67"/>
      <c r="AB67"/>
      <c r="AC67"/>
      <c r="AD67"/>
      <c r="AE67"/>
      <c r="AF67"/>
      <c r="AG67"/>
    </row>
    <row r="68" spans="2:33">
      <c r="B68"/>
      <c r="C68"/>
      <c r="D68"/>
      <c r="E68"/>
      <c r="F68"/>
      <c r="G68"/>
      <c r="H68"/>
      <c r="I68"/>
      <c r="J68"/>
      <c r="K68"/>
      <c r="L68"/>
      <c r="M68"/>
      <c r="N68"/>
      <c r="O68"/>
      <c r="P68"/>
      <c r="Q68"/>
      <c r="R68"/>
      <c r="S68"/>
      <c r="T68"/>
      <c r="U68"/>
      <c r="V68"/>
      <c r="W68"/>
      <c r="X68"/>
      <c r="Y68"/>
      <c r="Z68"/>
      <c r="AA68"/>
      <c r="AB68"/>
      <c r="AC68"/>
      <c r="AD68"/>
      <c r="AE68"/>
      <c r="AF68"/>
      <c r="AG68"/>
    </row>
    <row r="69" spans="2:33">
      <c r="B69"/>
      <c r="C69"/>
      <c r="D69"/>
      <c r="E69"/>
      <c r="F69"/>
      <c r="G69"/>
      <c r="H69"/>
      <c r="I69"/>
      <c r="J69"/>
      <c r="K69"/>
      <c r="L69"/>
      <c r="M69"/>
      <c r="N69"/>
      <c r="O69"/>
      <c r="P69"/>
      <c r="Q69"/>
      <c r="R69"/>
      <c r="S69"/>
      <c r="T69"/>
      <c r="U69"/>
      <c r="V69"/>
      <c r="W69"/>
      <c r="X69"/>
      <c r="Y69"/>
      <c r="Z69"/>
      <c r="AA69"/>
      <c r="AB69"/>
      <c r="AC69"/>
      <c r="AD69"/>
      <c r="AE69"/>
      <c r="AF69"/>
      <c r="AG69"/>
    </row>
    <row r="70" spans="2:33">
      <c r="B70"/>
      <c r="C70"/>
      <c r="D70"/>
      <c r="E70"/>
      <c r="F70"/>
      <c r="G70"/>
      <c r="H70"/>
      <c r="I70"/>
      <c r="J70"/>
      <c r="K70"/>
      <c r="L70"/>
      <c r="M70"/>
      <c r="N70"/>
      <c r="O70"/>
      <c r="P70"/>
      <c r="Q70"/>
      <c r="R70"/>
      <c r="S70"/>
      <c r="T70"/>
      <c r="U70"/>
      <c r="V70"/>
      <c r="W70"/>
      <c r="X70"/>
      <c r="Y70"/>
      <c r="Z70"/>
      <c r="AA70"/>
      <c r="AB70"/>
      <c r="AC70"/>
      <c r="AD70"/>
      <c r="AE70"/>
      <c r="AF70"/>
      <c r="AG70"/>
    </row>
    <row r="71" spans="2:33">
      <c r="B71"/>
      <c r="C71"/>
      <c r="D71"/>
      <c r="E71"/>
      <c r="F71"/>
      <c r="G71"/>
      <c r="H71"/>
      <c r="I71"/>
      <c r="J71"/>
      <c r="K71"/>
      <c r="L71"/>
      <c r="M71"/>
      <c r="N71"/>
      <c r="O71"/>
      <c r="P71"/>
      <c r="Q71"/>
      <c r="R71"/>
      <c r="S71"/>
      <c r="T71"/>
      <c r="U71"/>
      <c r="V71"/>
      <c r="W71"/>
      <c r="X71"/>
      <c r="Y71"/>
      <c r="Z71"/>
      <c r="AA71"/>
      <c r="AB71"/>
      <c r="AC71"/>
      <c r="AD71"/>
      <c r="AE71"/>
      <c r="AF71"/>
      <c r="AG71"/>
    </row>
    <row r="72" spans="2:33">
      <c r="B72"/>
      <c r="C72"/>
      <c r="D72"/>
      <c r="E72"/>
      <c r="F72"/>
      <c r="G72"/>
      <c r="H72"/>
      <c r="I72"/>
      <c r="J72"/>
      <c r="K72"/>
      <c r="L72"/>
      <c r="M72"/>
      <c r="N72"/>
      <c r="O72"/>
      <c r="P72"/>
      <c r="Q72"/>
      <c r="R72"/>
      <c r="S72"/>
      <c r="T72"/>
      <c r="U72"/>
      <c r="V72"/>
      <c r="W72"/>
      <c r="X72"/>
      <c r="Y72"/>
      <c r="Z72"/>
      <c r="AA72"/>
      <c r="AB72"/>
      <c r="AC72"/>
      <c r="AD72"/>
      <c r="AE72"/>
      <c r="AF72"/>
      <c r="AG72"/>
    </row>
    <row r="73" spans="2:33">
      <c r="B73"/>
      <c r="C73"/>
      <c r="D73"/>
      <c r="E73"/>
      <c r="F73"/>
      <c r="G73"/>
      <c r="H73"/>
      <c r="I73"/>
      <c r="J73"/>
      <c r="K73"/>
      <c r="L73"/>
      <c r="M73"/>
      <c r="N73"/>
      <c r="O73"/>
      <c r="P73"/>
      <c r="Q73"/>
      <c r="R73"/>
      <c r="S73"/>
      <c r="T73"/>
      <c r="U73"/>
      <c r="V73"/>
      <c r="W73"/>
      <c r="X73"/>
      <c r="Y73"/>
      <c r="Z73"/>
      <c r="AA73"/>
      <c r="AB73"/>
      <c r="AC73"/>
      <c r="AD73"/>
      <c r="AE73"/>
      <c r="AF73"/>
      <c r="AG73"/>
    </row>
  </sheetData>
  <scenarios current="0" show="0">
    <scenario name="pittsfield best fit" locked="1" count="1" user="Author">
      <inputCells r="D37" deleted="1" val=""/>
    </scenario>
  </scenarios>
  <mergeCells count="1">
    <mergeCell ref="U16:U19"/>
  </mergeCells>
  <hyperlinks>
    <hyperlink ref="W30" r:id="rId1" location="v=onepage&amp;q=dink%20billboard%201995&amp;f=false" xr:uid="{CF553F8D-6BC7-4356-9A08-B91835F10776}"/>
    <hyperlink ref="W29" r:id="rId2" location="v=onepage&amp;q=dink%20billboard%201995&amp;f=false" xr:uid="{0A4C661C-D735-4EFC-95ED-CF3D8BF31330}"/>
    <hyperlink ref="W28" r:id="rId3" location="v=onepage&amp;q=dink%20billboard%201995&amp;f=false" xr:uid="{636B3B30-BD13-4CDC-9FBD-1367968C32E3}"/>
    <hyperlink ref="W34" r:id="rId4" location="v=onepage&amp;q=dink%20billboard%201995&amp;f=false" xr:uid="{3742959A-D028-475D-A858-1D5F174B14EF}"/>
    <hyperlink ref="W35" r:id="rId5" location="v=onepage&amp;q=modern%20rock%20billboard%201995%20February%2018&amp;f=false" xr:uid="{88447245-E7B6-46D6-B6B1-050A69E56604}"/>
  </hyperlinks>
  <printOptions gridLines="1" gridLinesSet="0"/>
  <pageMargins left="0.75" right="0.75" top="1" bottom="1" header="0.5" footer="0.5"/>
  <pageSetup orientation="portrait" r:id="rId6"/>
  <headerFooter alignWithMargins="0">
    <oddHeader>&amp;A</oddHeader>
    <oddFooter>Page &amp;P</oddFooter>
  </headerFooter>
  <drawing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4E9A9-3159-499A-A82B-77E6F5106F07}">
  <dimension ref="A1:AI74"/>
  <sheetViews>
    <sheetView zoomScale="85" zoomScaleNormal="85" workbookViewId="0">
      <selection activeCell="G3" sqref="G3"/>
    </sheetView>
  </sheetViews>
  <sheetFormatPr defaultRowHeight="12.75"/>
  <cols>
    <col min="1" max="1" width="12" style="2" customWidth="1"/>
    <col min="2" max="2" width="10.5703125" style="2" customWidth="1"/>
    <col min="3" max="3" width="15.42578125" style="2" customWidth="1"/>
    <col min="4" max="4" width="10.5703125" style="2" customWidth="1"/>
    <col min="5" max="5" width="3.7109375" style="2" customWidth="1"/>
    <col min="6" max="6" width="10.28515625" style="2" customWidth="1"/>
    <col min="7" max="7" width="16.42578125" style="2" customWidth="1"/>
    <col min="8" max="8" width="9.5703125" style="2" customWidth="1"/>
    <col min="9" max="9" width="3.28515625" style="2" customWidth="1"/>
    <col min="10" max="11" width="12.42578125" style="2" customWidth="1"/>
    <col min="12" max="12" width="7.140625" style="2" customWidth="1"/>
    <col min="13" max="13" width="7.7109375" style="2" customWidth="1"/>
    <col min="14" max="14" width="6.7109375" style="54" customWidth="1"/>
    <col min="15" max="15" width="6.85546875" style="2" customWidth="1"/>
    <col min="16" max="16" width="16" style="2" customWidth="1"/>
    <col min="17" max="17" width="14.42578125" style="2" customWidth="1"/>
    <col min="18" max="18" width="17.5703125" style="2" customWidth="1"/>
    <col min="19" max="19" width="16.85546875" style="2" customWidth="1"/>
    <col min="20" max="20" width="9.7109375" style="2" customWidth="1"/>
    <col min="21" max="21" width="11.140625" style="2" customWidth="1"/>
    <col min="22" max="22" width="6.7109375" style="2" customWidth="1"/>
    <col min="23" max="23" width="10.140625" style="2" customWidth="1"/>
    <col min="24" max="24" width="11.140625" style="2" customWidth="1"/>
    <col min="25" max="25" width="12.28515625" style="2" bestFit="1" customWidth="1"/>
    <col min="26" max="16384" width="9.140625" style="2"/>
  </cols>
  <sheetData>
    <row r="1" spans="1:35">
      <c r="J1" s="50" t="s">
        <v>174</v>
      </c>
      <c r="K1" s="50" t="s">
        <v>175</v>
      </c>
      <c r="P1"/>
      <c r="Q1"/>
      <c r="R1"/>
      <c r="S1"/>
    </row>
    <row r="2" spans="1:35">
      <c r="A2" s="2" t="s">
        <v>117</v>
      </c>
      <c r="B2" s="102">
        <f>EXP(C2)</f>
        <v>2.9400856926171861E-2</v>
      </c>
      <c r="C2" s="27">
        <v>-3.5267314579135682</v>
      </c>
      <c r="E2" s="27"/>
      <c r="F2" s="2" t="s">
        <v>107</v>
      </c>
      <c r="G2" s="36">
        <f>-2*G3+2*LN(B10)</f>
        <v>382978.97206393932</v>
      </c>
      <c r="H2" s="28"/>
      <c r="J2" s="105">
        <v>381121.05158977234</v>
      </c>
      <c r="K2" s="105">
        <v>380740.27772641537</v>
      </c>
      <c r="P2"/>
      <c r="Q2"/>
      <c r="R2"/>
      <c r="S2"/>
      <c r="U2"/>
      <c r="V2"/>
      <c r="W2"/>
    </row>
    <row r="3" spans="1:35">
      <c r="A3" s="2" t="s">
        <v>98</v>
      </c>
      <c r="B3" s="121">
        <f>EXP(C3)</f>
        <v>1.0323115135054051</v>
      </c>
      <c r="C3" s="27">
        <v>3.1800475682470311E-2</v>
      </c>
      <c r="E3" s="27"/>
      <c r="F3" s="2" t="s">
        <v>99</v>
      </c>
      <c r="G3" s="28">
        <f>SUM(H16:H33)</f>
        <v>-191477.97310650468</v>
      </c>
      <c r="H3" s="28"/>
      <c r="J3" s="105">
        <v>-190514.47409302628</v>
      </c>
      <c r="K3" s="105">
        <v>-190324.08716134779</v>
      </c>
      <c r="P3"/>
      <c r="Q3"/>
      <c r="R3"/>
      <c r="S3"/>
      <c r="T3" s="104"/>
      <c r="U3"/>
      <c r="V3"/>
      <c r="W3"/>
      <c r="X3"/>
      <c r="Y3"/>
      <c r="Z3"/>
      <c r="AA3"/>
      <c r="AB3"/>
      <c r="AC3"/>
      <c r="AD3"/>
      <c r="AE3"/>
      <c r="AF3"/>
      <c r="AG3"/>
      <c r="AH3"/>
      <c r="AI3"/>
    </row>
    <row r="4" spans="1:35">
      <c r="A4" s="75" t="s">
        <v>115</v>
      </c>
      <c r="B4" s="90">
        <f>C4</f>
        <v>0</v>
      </c>
      <c r="C4" s="184">
        <v>0</v>
      </c>
      <c r="E4" s="27"/>
      <c r="F4" s="2" t="s">
        <v>130</v>
      </c>
      <c r="G4" s="77">
        <f>AVERAGE(M17:M34)</f>
        <v>13.276959172087327</v>
      </c>
      <c r="J4" s="117">
        <v>4.2071108281514981E-2</v>
      </c>
      <c r="K4" s="117">
        <v>1.4816458465902294E-2</v>
      </c>
      <c r="P4"/>
      <c r="Q4"/>
      <c r="R4"/>
      <c r="S4"/>
      <c r="T4" s="105"/>
      <c r="U4"/>
      <c r="V4"/>
      <c r="W4"/>
      <c r="X4"/>
      <c r="Y4"/>
      <c r="Z4"/>
      <c r="AA4"/>
      <c r="AB4"/>
      <c r="AC4"/>
      <c r="AD4"/>
      <c r="AE4"/>
      <c r="AF4"/>
      <c r="AG4"/>
      <c r="AH4"/>
      <c r="AI4"/>
    </row>
    <row r="5" spans="1:35">
      <c r="A5" s="75" t="s">
        <v>134</v>
      </c>
      <c r="B5" s="27">
        <f>C5</f>
        <v>0</v>
      </c>
      <c r="C5" s="27">
        <v>0</v>
      </c>
      <c r="E5" s="27"/>
      <c r="F5" s="2" t="s">
        <v>139</v>
      </c>
      <c r="G5" s="77">
        <f>AVERAGE(M30:M38)</f>
        <v>35.936096294420693</v>
      </c>
      <c r="J5" s="117">
        <v>2.5537710013584011E-2</v>
      </c>
      <c r="K5" s="117">
        <v>9.343147066772679E-3</v>
      </c>
      <c r="P5"/>
      <c r="Q5"/>
      <c r="R5"/>
      <c r="S5"/>
      <c r="T5" s="106"/>
      <c r="U5"/>
      <c r="V5"/>
      <c r="W5"/>
      <c r="X5" s="66"/>
      <c r="Y5" s="28"/>
      <c r="Z5"/>
      <c r="AA5"/>
      <c r="AB5"/>
      <c r="AC5"/>
      <c r="AD5"/>
      <c r="AE5"/>
      <c r="AF5"/>
      <c r="AG5"/>
      <c r="AH5"/>
      <c r="AI5"/>
    </row>
    <row r="6" spans="1:35">
      <c r="A6" s="2" t="s">
        <v>143</v>
      </c>
      <c r="B6" s="27">
        <f>EXP(C6)</f>
        <v>1.1051612917148501</v>
      </c>
      <c r="C6" s="27">
        <v>9.9991289670616115E-2</v>
      </c>
      <c r="E6" s="27"/>
      <c r="F6" s="2" t="s">
        <v>144</v>
      </c>
      <c r="G6" s="89">
        <f>CORREL(C17:C38,J17:J38)^2</f>
        <v>0.99111891387254192</v>
      </c>
      <c r="J6" s="118">
        <v>0.99918183684393613</v>
      </c>
      <c r="K6" s="124">
        <v>0.99976301613106733</v>
      </c>
      <c r="P6"/>
      <c r="Q6"/>
      <c r="R6"/>
      <c r="S6"/>
      <c r="T6" s="106"/>
      <c r="U6"/>
      <c r="V6"/>
      <c r="W6"/>
      <c r="X6" s="66"/>
      <c r="Y6" s="28"/>
      <c r="Z6"/>
      <c r="AA6"/>
      <c r="AB6"/>
      <c r="AC6"/>
      <c r="AD6"/>
      <c r="AE6"/>
      <c r="AF6"/>
      <c r="AG6"/>
      <c r="AH6"/>
      <c r="AI6"/>
    </row>
    <row r="7" spans="1:35">
      <c r="A7" s="75" t="s">
        <v>148</v>
      </c>
      <c r="B7" s="27">
        <f>C7</f>
        <v>0</v>
      </c>
      <c r="C7" s="27">
        <v>0</v>
      </c>
      <c r="E7" s="27"/>
      <c r="J7" s="3"/>
      <c r="K7" s="3"/>
      <c r="P7"/>
      <c r="Q7"/>
      <c r="R7"/>
      <c r="S7"/>
      <c r="T7" s="106"/>
      <c r="U7"/>
      <c r="V7"/>
      <c r="W7"/>
      <c r="X7" s="66"/>
      <c r="Y7" s="84"/>
      <c r="Z7"/>
      <c r="AA7"/>
      <c r="AB7"/>
      <c r="AC7"/>
      <c r="AD7"/>
      <c r="AE7"/>
      <c r="AF7"/>
      <c r="AG7"/>
      <c r="AH7"/>
      <c r="AI7"/>
    </row>
    <row r="8" spans="1:35">
      <c r="A8" s="75" t="s">
        <v>149</v>
      </c>
      <c r="B8" s="27">
        <f>EXP(C8)</f>
        <v>1.8729062640039973</v>
      </c>
      <c r="C8" s="27">
        <v>0.62749137629610374</v>
      </c>
      <c r="E8" s="27"/>
      <c r="F8" s="115" t="s">
        <v>130</v>
      </c>
      <c r="G8" s="116">
        <f>AVERAGE(L16:L32)</f>
        <v>0.16979181902407775</v>
      </c>
      <c r="J8" s="125">
        <v>0.10101928531775015</v>
      </c>
      <c r="K8" s="126">
        <v>7.3238026353644653E-2</v>
      </c>
      <c r="P8"/>
      <c r="Q8"/>
      <c r="R8"/>
      <c r="S8"/>
      <c r="T8" s="119"/>
      <c r="U8"/>
      <c r="V8"/>
      <c r="W8"/>
      <c r="X8" s="66"/>
      <c r="Y8" s="84"/>
      <c r="Z8"/>
      <c r="AA8"/>
      <c r="AB8"/>
      <c r="AC8"/>
      <c r="AD8"/>
      <c r="AE8"/>
      <c r="AF8"/>
      <c r="AG8"/>
      <c r="AH8"/>
      <c r="AI8"/>
    </row>
    <row r="9" spans="1:35">
      <c r="A9" s="2" t="s">
        <v>150</v>
      </c>
      <c r="B9" s="27">
        <f>EXP(C9)</f>
        <v>0.83775985352803517</v>
      </c>
      <c r="C9" s="27">
        <v>-0.17702379053829231</v>
      </c>
      <c r="E9" s="27"/>
      <c r="F9" s="115" t="s">
        <v>139</v>
      </c>
      <c r="G9" s="116">
        <f>AVERAGE(L33:L36)</f>
        <v>0.73292598372700768</v>
      </c>
      <c r="J9" s="125">
        <v>3.7158551039105814</v>
      </c>
      <c r="K9" s="126">
        <v>0.16600586617694288</v>
      </c>
      <c r="P9"/>
      <c r="Q9"/>
      <c r="R9"/>
      <c r="S9"/>
      <c r="T9" s="119"/>
      <c r="U9"/>
      <c r="V9"/>
      <c r="W9"/>
      <c r="X9" s="66"/>
      <c r="Y9" s="103"/>
      <c r="Z9"/>
      <c r="AA9"/>
      <c r="AB9"/>
      <c r="AC9"/>
      <c r="AD9"/>
      <c r="AE9"/>
      <c r="AF9"/>
      <c r="AG9"/>
      <c r="AH9"/>
      <c r="AI9"/>
    </row>
    <row r="10" spans="1:35">
      <c r="A10" s="2" t="s">
        <v>105</v>
      </c>
      <c r="B10" s="28">
        <v>100000</v>
      </c>
      <c r="C10" s="27"/>
      <c r="E10" s="27"/>
      <c r="F10" s="115" t="s">
        <v>145</v>
      </c>
      <c r="G10" s="116">
        <f>MEDIAN(L17:L38)</f>
        <v>0.21619372534065415</v>
      </c>
      <c r="J10" s="125">
        <v>0.11433729943848264</v>
      </c>
      <c r="K10" s="126">
        <v>7.5129489764360471E-2</v>
      </c>
      <c r="T10" s="119"/>
      <c r="X10"/>
      <c r="Y10"/>
      <c r="Z10"/>
      <c r="AA10"/>
      <c r="AB10"/>
      <c r="AC10"/>
      <c r="AD10"/>
      <c r="AE10"/>
      <c r="AF10"/>
      <c r="AG10"/>
      <c r="AH10"/>
      <c r="AI10"/>
    </row>
    <row r="11" spans="1:35">
      <c r="E11" s="27"/>
      <c r="F11" s="54"/>
      <c r="G11" s="54"/>
      <c r="T11" s="119"/>
      <c r="U11" s="119"/>
      <c r="V11" s="119"/>
      <c r="W11" s="119"/>
      <c r="X11"/>
      <c r="Y11"/>
      <c r="Z11"/>
      <c r="AA11"/>
      <c r="AB11"/>
      <c r="AC11"/>
      <c r="AD11"/>
      <c r="AE11"/>
      <c r="AF11"/>
      <c r="AG11"/>
      <c r="AH11"/>
      <c r="AI11"/>
    </row>
    <row r="12" spans="1:35">
      <c r="E12" s="27"/>
      <c r="T12" s="8"/>
      <c r="U12" s="8"/>
      <c r="V12" s="119"/>
      <c r="W12" s="119"/>
      <c r="X12"/>
      <c r="Y12"/>
      <c r="Z12"/>
      <c r="AA12"/>
      <c r="AB12"/>
      <c r="AC12"/>
      <c r="AD12"/>
      <c r="AE12"/>
      <c r="AF12"/>
      <c r="AG12"/>
      <c r="AH12"/>
      <c r="AI12"/>
    </row>
    <row r="13" spans="1:35">
      <c r="Q13" s="27">
        <f>B4</f>
        <v>0</v>
      </c>
      <c r="R13" s="27">
        <f>B7</f>
        <v>0</v>
      </c>
      <c r="S13" s="27"/>
      <c r="T13" s="27"/>
      <c r="U13" s="27"/>
      <c r="X13"/>
      <c r="Y13"/>
      <c r="Z13"/>
      <c r="AA13"/>
      <c r="AB13"/>
      <c r="AC13"/>
      <c r="AD13"/>
      <c r="AE13"/>
      <c r="AF13"/>
      <c r="AG13"/>
      <c r="AH13"/>
      <c r="AI13"/>
    </row>
    <row r="14" spans="1:35">
      <c r="L14" s="2" t="s">
        <v>170</v>
      </c>
      <c r="M14" s="2" t="s">
        <v>169</v>
      </c>
      <c r="P14" s="7" t="s">
        <v>147</v>
      </c>
      <c r="X14"/>
      <c r="Y14"/>
      <c r="Z14"/>
      <c r="AA14"/>
      <c r="AB14"/>
      <c r="AC14"/>
      <c r="AD14"/>
      <c r="AE14"/>
      <c r="AF14"/>
      <c r="AG14"/>
      <c r="AH14"/>
      <c r="AI14"/>
    </row>
    <row r="15" spans="1:35">
      <c r="A15" s="32" t="s">
        <v>1</v>
      </c>
      <c r="B15" s="119" t="s">
        <v>100</v>
      </c>
      <c r="C15" s="119" t="s">
        <v>128</v>
      </c>
      <c r="D15" s="119" t="s">
        <v>101</v>
      </c>
      <c r="E15" s="7"/>
      <c r="F15" s="119" t="s">
        <v>103</v>
      </c>
      <c r="G15" s="32" t="s">
        <v>104</v>
      </c>
      <c r="H15" s="7" t="s">
        <v>118</v>
      </c>
      <c r="I15" s="7"/>
      <c r="J15" s="7" t="s">
        <v>106</v>
      </c>
      <c r="K15" s="114" t="s">
        <v>168</v>
      </c>
      <c r="L15" s="114" t="s">
        <v>129</v>
      </c>
      <c r="M15" s="7" t="s">
        <v>129</v>
      </c>
      <c r="N15" s="44"/>
      <c r="O15" s="7" t="s">
        <v>108</v>
      </c>
      <c r="P15" s="7" t="s">
        <v>109</v>
      </c>
      <c r="Q15" s="45" t="s">
        <v>116</v>
      </c>
      <c r="R15" s="45" t="s">
        <v>160</v>
      </c>
      <c r="S15" s="55"/>
      <c r="T15"/>
      <c r="U15" s="16"/>
      <c r="V15"/>
      <c r="W15"/>
      <c r="X15"/>
      <c r="Y15"/>
      <c r="Z15"/>
      <c r="AA15"/>
      <c r="AB15"/>
      <c r="AC15"/>
      <c r="AD15"/>
      <c r="AE15"/>
      <c r="AF15"/>
      <c r="AG15"/>
      <c r="AH15"/>
      <c r="AI15"/>
    </row>
    <row r="16" spans="1:35">
      <c r="A16" s="1">
        <v>34700</v>
      </c>
      <c r="B16" s="183">
        <f>1</f>
        <v>1</v>
      </c>
      <c r="C16" s="2">
        <f>D16</f>
        <v>2976</v>
      </c>
      <c r="D16">
        <v>2976</v>
      </c>
      <c r="E16" s="7"/>
      <c r="F16" s="31">
        <f t="shared" ref="F16:F36" si="0">1-EXP(-$B$2*O16)</f>
        <v>2.8972856515154799E-2</v>
      </c>
      <c r="G16" s="174">
        <f>F16</f>
        <v>2.8972856515154799E-2</v>
      </c>
      <c r="H16" s="17">
        <f>D16*IFERROR(LN(G16),-10000)</f>
        <v>-10539.19410774091</v>
      </c>
      <c r="I16" s="7"/>
      <c r="J16" s="35">
        <f t="shared" ref="J16:J36" si="1">$B$10*F16</f>
        <v>2897.2856515154799</v>
      </c>
      <c r="K16" s="35">
        <f>J16</f>
        <v>2897.2856515154799</v>
      </c>
      <c r="L16" s="78">
        <f>ABS((D16-K16)/D16)</f>
        <v>2.644971387248659E-2</v>
      </c>
      <c r="M16" s="78">
        <f>ABS((C16-J16)/C16)</f>
        <v>2.644971387248659E-2</v>
      </c>
      <c r="N16" s="44"/>
      <c r="O16" s="35">
        <f>B16^B3*P16</f>
        <v>1</v>
      </c>
      <c r="P16" s="74">
        <f>EXP(SUMPRODUCT($Q$13:$R$13,Q16:R16))</f>
        <v>1</v>
      </c>
      <c r="Q16" s="2">
        <f>1550.2/(10)</f>
        <v>155.02000000000001</v>
      </c>
      <c r="R16">
        <f>$B$8*$B$9^(B16-1)</f>
        <v>1.8729062640039973</v>
      </c>
      <c r="S16"/>
      <c r="T16" s="9" t="s">
        <v>154</v>
      </c>
      <c r="U16" s="16"/>
      <c r="V16"/>
      <c r="W16"/>
      <c r="X16"/>
      <c r="Y16"/>
      <c r="Z16"/>
      <c r="AA16"/>
      <c r="AB16"/>
      <c r="AC16"/>
      <c r="AD16"/>
      <c r="AE16"/>
      <c r="AF16"/>
      <c r="AG16"/>
      <c r="AH16"/>
      <c r="AI16"/>
    </row>
    <row r="17" spans="1:35">
      <c r="A17" s="1">
        <v>34707</v>
      </c>
      <c r="B17" s="33">
        <f>1+B16</f>
        <v>2</v>
      </c>
      <c r="C17" s="2">
        <f>C16+D17</f>
        <v>5505</v>
      </c>
      <c r="D17">
        <v>2529</v>
      </c>
      <c r="F17" s="31">
        <f t="shared" si="0"/>
        <v>5.8361214479817569E-2</v>
      </c>
      <c r="G17" s="31">
        <f t="shared" ref="G17:G36" si="2">F17-F16</f>
        <v>2.938835796466277E-2</v>
      </c>
      <c r="H17" s="17">
        <f t="shared" ref="H17:H32" si="3">D17*IFERROR(LN(G17),-10000)</f>
        <v>-8920.1792200935706</v>
      </c>
      <c r="J17" s="35">
        <f t="shared" si="1"/>
        <v>5836.1214479817572</v>
      </c>
      <c r="K17" s="35">
        <f t="shared" ref="K17:K36" si="4">J17-J16</f>
        <v>2938.8357964662773</v>
      </c>
      <c r="L17" s="78">
        <f t="shared" ref="L17:L36" si="5">ABS((D17-K17)/D17)</f>
        <v>0.16205448654261656</v>
      </c>
      <c r="M17" s="78">
        <f t="shared" ref="M17:M36" si="6">ABS((D17-J17)/D17)</f>
        <v>1.3076794970271874</v>
      </c>
      <c r="N17" s="47"/>
      <c r="O17" s="35">
        <f t="shared" ref="O17:O36" si="7">O16+(B17^$B$3-B16^$B$3)*P17</f>
        <v>2.0452986440562517</v>
      </c>
      <c r="P17" s="74">
        <f t="shared" ref="P17:P36" si="8">EXP(SUMPRODUCT($Q$13:$R$13,Q17:R17))</f>
        <v>1</v>
      </c>
      <c r="Q17" s="2">
        <f>1492.6/(10)</f>
        <v>149.26</v>
      </c>
      <c r="R17">
        <f>$B$8*$B$9^(B17-1)</f>
        <v>1.5690456774037282</v>
      </c>
      <c r="S17" s="67"/>
      <c r="T17"/>
      <c r="U17" s="196"/>
      <c r="V17" s="6"/>
      <c r="W17"/>
      <c r="X17"/>
      <c r="Y17"/>
      <c r="Z17"/>
      <c r="AA17"/>
      <c r="AB17"/>
      <c r="AC17"/>
      <c r="AD17"/>
      <c r="AE17"/>
      <c r="AF17"/>
      <c r="AG17"/>
      <c r="AH17"/>
      <c r="AI17"/>
    </row>
    <row r="18" spans="1:35" ht="12.75" customHeight="1">
      <c r="A18" s="1">
        <v>34714</v>
      </c>
      <c r="B18" s="33">
        <f t="shared" ref="B18:B36" si="9">1+B17</f>
        <v>3</v>
      </c>
      <c r="C18" s="2">
        <f t="shared" ref="C18:C36" si="10">C17+D18</f>
        <v>7926</v>
      </c>
      <c r="D18">
        <v>2421</v>
      </c>
      <c r="F18" s="31">
        <f t="shared" si="0"/>
        <v>8.7338119110910606E-2</v>
      </c>
      <c r="G18" s="31">
        <f t="shared" si="2"/>
        <v>2.8976904631093037E-2</v>
      </c>
      <c r="H18" s="17">
        <f t="shared" si="3"/>
        <v>-8573.381159281922</v>
      </c>
      <c r="J18" s="35">
        <f t="shared" si="1"/>
        <v>8733.8119110910611</v>
      </c>
      <c r="K18" s="35">
        <f t="shared" si="4"/>
        <v>2897.6904631093039</v>
      </c>
      <c r="L18" s="78">
        <f t="shared" si="5"/>
        <v>0.19689816733139359</v>
      </c>
      <c r="M18" s="29">
        <f t="shared" si="6"/>
        <v>2.6075224746348868</v>
      </c>
      <c r="N18" s="47"/>
      <c r="O18" s="35">
        <f t="shared" si="7"/>
        <v>3.1084061860879002</v>
      </c>
      <c r="P18" s="74">
        <f t="shared" si="8"/>
        <v>1</v>
      </c>
      <c r="Q18" s="2">
        <f>2254.7/(10)</f>
        <v>225.46999999999997</v>
      </c>
      <c r="R18">
        <f>$B$8*$B$9^(B18-1)</f>
        <v>1.314483476880544</v>
      </c>
      <c r="S18" s="67"/>
      <c r="T18"/>
      <c r="U18" s="196"/>
      <c r="V18" s="6"/>
      <c r="W18"/>
      <c r="Y18"/>
      <c r="Z18"/>
      <c r="AA18"/>
      <c r="AB18"/>
      <c r="AC18"/>
      <c r="AD18"/>
      <c r="AE18"/>
      <c r="AF18"/>
      <c r="AG18"/>
      <c r="AH18"/>
      <c r="AI18"/>
    </row>
    <row r="19" spans="1:35">
      <c r="A19" s="1">
        <v>34721</v>
      </c>
      <c r="B19" s="33">
        <f t="shared" si="9"/>
        <v>4</v>
      </c>
      <c r="C19" s="2">
        <f t="shared" si="10"/>
        <v>10311</v>
      </c>
      <c r="D19">
        <v>2385</v>
      </c>
      <c r="F19" s="31">
        <f t="shared" si="0"/>
        <v>0.11572840830754827</v>
      </c>
      <c r="G19" s="31">
        <f t="shared" si="2"/>
        <v>2.8390289196637664E-2</v>
      </c>
      <c r="H19" s="17">
        <f t="shared" si="3"/>
        <v>-8494.6738709273595</v>
      </c>
      <c r="J19" s="35">
        <f t="shared" si="1"/>
        <v>11572.840830754827</v>
      </c>
      <c r="K19" s="35">
        <f t="shared" si="4"/>
        <v>2839.0289196637659</v>
      </c>
      <c r="L19" s="78">
        <f t="shared" si="5"/>
        <v>0.19036851977516392</v>
      </c>
      <c r="M19" s="29">
        <f t="shared" si="6"/>
        <v>3.8523441638385019</v>
      </c>
      <c r="N19" s="47"/>
      <c r="O19" s="35">
        <f t="shared" si="7"/>
        <v>4.1832465433783428</v>
      </c>
      <c r="P19" s="74">
        <f t="shared" si="8"/>
        <v>1</v>
      </c>
      <c r="Q19" s="2">
        <f>2067.5/(10)</f>
        <v>206.75</v>
      </c>
      <c r="R19">
        <f>$B$8*$B$9^(B19-1)</f>
        <v>1.101221485056467</v>
      </c>
      <c r="S19" s="67"/>
      <c r="T19"/>
      <c r="U19" s="196"/>
      <c r="V19"/>
      <c r="W19"/>
      <c r="X19"/>
      <c r="Y19"/>
      <c r="Z19"/>
      <c r="AA19"/>
      <c r="AB19"/>
      <c r="AC19"/>
      <c r="AD19"/>
      <c r="AE19"/>
      <c r="AF19"/>
      <c r="AG19"/>
      <c r="AH19"/>
      <c r="AI19"/>
    </row>
    <row r="20" spans="1:35">
      <c r="A20" s="1">
        <v>34728</v>
      </c>
      <c r="B20" s="33">
        <f t="shared" si="9"/>
        <v>5</v>
      </c>
      <c r="C20" s="2">
        <f t="shared" si="10"/>
        <v>12941</v>
      </c>
      <c r="D20">
        <v>2630</v>
      </c>
      <c r="F20" s="31">
        <f t="shared" si="0"/>
        <v>0.14345743847742498</v>
      </c>
      <c r="G20" s="31">
        <f t="shared" si="2"/>
        <v>2.7729030169876712E-2</v>
      </c>
      <c r="H20" s="17">
        <f t="shared" si="3"/>
        <v>-9429.274286235368</v>
      </c>
      <c r="J20" s="35">
        <f t="shared" si="1"/>
        <v>14345.743847742498</v>
      </c>
      <c r="K20" s="35">
        <f t="shared" si="4"/>
        <v>2772.9030169876714</v>
      </c>
      <c r="L20" s="78">
        <f t="shared" si="5"/>
        <v>5.4335747904057582E-2</v>
      </c>
      <c r="M20" s="70">
        <f t="shared" si="6"/>
        <v>4.4546554554153985</v>
      </c>
      <c r="N20" s="47"/>
      <c r="O20" s="35">
        <f t="shared" si="7"/>
        <v>5.2668964874893929</v>
      </c>
      <c r="P20" s="74">
        <f t="shared" si="8"/>
        <v>1</v>
      </c>
      <c r="Q20" s="2">
        <f>2003.2/(10)</f>
        <v>200.32</v>
      </c>
      <c r="R20">
        <f t="shared" ref="R20:R36" si="11">$B$8*$B$9^(B20-1)</f>
        <v>0.92255915002283106</v>
      </c>
      <c r="S20" s="67"/>
      <c r="T20"/>
      <c r="U20" s="196"/>
      <c r="V20"/>
      <c r="W20"/>
      <c r="X20"/>
      <c r="Y20"/>
      <c r="Z20"/>
      <c r="AA20"/>
      <c r="AB20"/>
      <c r="AC20"/>
      <c r="AD20"/>
      <c r="AE20"/>
      <c r="AF20"/>
      <c r="AG20"/>
      <c r="AH20"/>
      <c r="AI20"/>
    </row>
    <row r="21" spans="1:35">
      <c r="A21" s="1">
        <v>34735</v>
      </c>
      <c r="B21" s="33">
        <f t="shared" si="9"/>
        <v>6</v>
      </c>
      <c r="C21" s="2">
        <f t="shared" si="10"/>
        <v>15735</v>
      </c>
      <c r="D21">
        <v>2794</v>
      </c>
      <c r="F21" s="31">
        <f t="shared" si="0"/>
        <v>0.17048944538425659</v>
      </c>
      <c r="G21" s="31">
        <f t="shared" si="2"/>
        <v>2.7032006906831607E-2</v>
      </c>
      <c r="H21" s="17">
        <f t="shared" si="3"/>
        <v>-10088.389885336002</v>
      </c>
      <c r="J21" s="35">
        <f t="shared" si="1"/>
        <v>17048.944538425658</v>
      </c>
      <c r="K21" s="35">
        <f t="shared" si="4"/>
        <v>2703.2006906831593</v>
      </c>
      <c r="L21" s="78">
        <f t="shared" si="5"/>
        <v>3.2497963248690288E-2</v>
      </c>
      <c r="M21" s="70">
        <f t="shared" si="6"/>
        <v>5.1019844446763267</v>
      </c>
      <c r="N21" s="47"/>
      <c r="O21" s="35">
        <f t="shared" si="7"/>
        <v>6.3576189575816464</v>
      </c>
      <c r="P21" s="74">
        <f t="shared" si="8"/>
        <v>1</v>
      </c>
      <c r="Q21" s="2">
        <f>2347.2/(10)</f>
        <v>234.71999999999997</v>
      </c>
      <c r="R21">
        <f t="shared" si="11"/>
        <v>0.77288301839407558</v>
      </c>
      <c r="S21" s="67"/>
      <c r="T21"/>
      <c r="U21"/>
      <c r="V21"/>
      <c r="W21"/>
      <c r="X21"/>
      <c r="Y21"/>
      <c r="Z21"/>
      <c r="AA21"/>
      <c r="AB21"/>
      <c r="AC21"/>
      <c r="AD21"/>
      <c r="AE21"/>
      <c r="AF21"/>
      <c r="AG21"/>
      <c r="AH21"/>
      <c r="AI21"/>
    </row>
    <row r="22" spans="1:35">
      <c r="A22" s="1">
        <v>34742</v>
      </c>
      <c r="B22" s="33">
        <f t="shared" si="9"/>
        <v>7</v>
      </c>
      <c r="C22" s="2">
        <f t="shared" si="10"/>
        <v>18435</v>
      </c>
      <c r="D22">
        <v>2700</v>
      </c>
      <c r="F22" s="31">
        <f t="shared" si="0"/>
        <v>0.19680807317430005</v>
      </c>
      <c r="G22" s="31">
        <f t="shared" si="2"/>
        <v>2.6318627790043458E-2</v>
      </c>
      <c r="H22" s="17">
        <f t="shared" si="3"/>
        <v>-9821.1914357060978</v>
      </c>
      <c r="J22" s="35">
        <f t="shared" si="1"/>
        <v>19680.807317430004</v>
      </c>
      <c r="K22" s="35">
        <f t="shared" si="4"/>
        <v>2631.8627790043465</v>
      </c>
      <c r="L22" s="78">
        <f t="shared" si="5"/>
        <v>2.5236007776167954E-2</v>
      </c>
      <c r="M22" s="70">
        <f t="shared" si="6"/>
        <v>6.2891878953444458</v>
      </c>
      <c r="N22" s="47"/>
      <c r="O22" s="35">
        <f t="shared" si="7"/>
        <v>7.4542582860201785</v>
      </c>
      <c r="P22" s="74">
        <f t="shared" si="8"/>
        <v>1</v>
      </c>
      <c r="Q22" s="2">
        <f>2723.3/(10)</f>
        <v>272.33000000000004</v>
      </c>
      <c r="R22">
        <f t="shared" si="11"/>
        <v>0.64749036428412643</v>
      </c>
      <c r="S22" s="67"/>
      <c r="T22"/>
      <c r="U22" s="16" t="s">
        <v>3</v>
      </c>
      <c r="V22"/>
      <c r="W22"/>
      <c r="X22"/>
      <c r="Y22"/>
      <c r="Z22"/>
      <c r="AA22"/>
      <c r="AB22"/>
      <c r="AC22"/>
      <c r="AD22"/>
      <c r="AE22"/>
      <c r="AF22"/>
      <c r="AG22"/>
      <c r="AH22"/>
      <c r="AI22"/>
    </row>
    <row r="23" spans="1:35">
      <c r="A23" s="1">
        <v>34749</v>
      </c>
      <c r="B23" s="33">
        <f t="shared" si="9"/>
        <v>8</v>
      </c>
      <c r="C23" s="2">
        <f t="shared" si="10"/>
        <v>21605</v>
      </c>
      <c r="D23">
        <v>3170</v>
      </c>
      <c r="F23" s="31">
        <f t="shared" si="0"/>
        <v>0.22240806165819882</v>
      </c>
      <c r="G23" s="31">
        <f t="shared" si="2"/>
        <v>2.5599988483898772E-2</v>
      </c>
      <c r="H23" s="17">
        <f t="shared" si="3"/>
        <v>-11618.56790618183</v>
      </c>
      <c r="J23" s="35">
        <f t="shared" si="1"/>
        <v>22240.806165819882</v>
      </c>
      <c r="K23" s="35">
        <f t="shared" si="4"/>
        <v>2559.9988483898778</v>
      </c>
      <c r="L23" s="78">
        <f t="shared" si="5"/>
        <v>0.19242938536596915</v>
      </c>
      <c r="M23" s="70">
        <f t="shared" si="6"/>
        <v>6.0160271816466508</v>
      </c>
      <c r="N23" s="47"/>
      <c r="O23" s="35">
        <f t="shared" si="7"/>
        <v>8.5559884829247235</v>
      </c>
      <c r="P23" s="74">
        <f t="shared" si="8"/>
        <v>1</v>
      </c>
      <c r="Q23" s="2">
        <f>2550.8/(10)</f>
        <v>255.08</v>
      </c>
      <c r="R23">
        <f t="shared" si="11"/>
        <v>0.54244143274348389</v>
      </c>
      <c r="S23" s="67"/>
      <c r="T23"/>
      <c r="U23" s="6" t="s">
        <v>47</v>
      </c>
      <c r="V23"/>
      <c r="W23"/>
      <c r="X23"/>
      <c r="Y23" t="s">
        <v>48</v>
      </c>
      <c r="Z23"/>
      <c r="AA23"/>
      <c r="AB23"/>
      <c r="AC23"/>
      <c r="AD23"/>
      <c r="AE23"/>
      <c r="AF23"/>
      <c r="AG23"/>
      <c r="AH23"/>
      <c r="AI23"/>
    </row>
    <row r="24" spans="1:35">
      <c r="A24" s="1">
        <v>34756</v>
      </c>
      <c r="B24" s="33">
        <f t="shared" si="9"/>
        <v>9</v>
      </c>
      <c r="C24" s="2">
        <f t="shared" si="10"/>
        <v>24172</v>
      </c>
      <c r="D24">
        <v>2567</v>
      </c>
      <c r="F24" s="31">
        <f t="shared" si="0"/>
        <v>0.24729104278784297</v>
      </c>
      <c r="G24" s="31">
        <f t="shared" si="2"/>
        <v>2.4882981129644155E-2</v>
      </c>
      <c r="H24" s="17">
        <f t="shared" si="3"/>
        <v>-9481.3972651780077</v>
      </c>
      <c r="J24" s="35">
        <f t="shared" si="1"/>
        <v>24729.104278784296</v>
      </c>
      <c r="K24" s="35">
        <f t="shared" si="4"/>
        <v>2488.298112964414</v>
      </c>
      <c r="L24" s="78">
        <f t="shared" si="5"/>
        <v>3.0659091170855461E-2</v>
      </c>
      <c r="M24" s="70">
        <f t="shared" si="6"/>
        <v>8.6334648534414864</v>
      </c>
      <c r="N24" s="47"/>
      <c r="O24" s="35">
        <f t="shared" si="7"/>
        <v>9.6621890177095242</v>
      </c>
      <c r="P24" s="74">
        <f t="shared" si="8"/>
        <v>1</v>
      </c>
      <c r="Q24" s="2">
        <f>2828.8/(10)</f>
        <v>282.88</v>
      </c>
      <c r="R24">
        <f t="shared" si="11"/>
        <v>0.45443565524271856</v>
      </c>
      <c r="S24" s="67"/>
      <c r="T24"/>
      <c r="U24" s="87" t="s">
        <v>141</v>
      </c>
      <c r="V24"/>
      <c r="W24"/>
      <c r="X24"/>
      <c r="Y24"/>
      <c r="Z24"/>
      <c r="AA24"/>
      <c r="AB24"/>
      <c r="AC24"/>
      <c r="AD24"/>
      <c r="AE24"/>
      <c r="AF24"/>
      <c r="AG24"/>
      <c r="AH24"/>
      <c r="AI24"/>
    </row>
    <row r="25" spans="1:35">
      <c r="A25" s="1">
        <v>34763</v>
      </c>
      <c r="B25" s="33">
        <f t="shared" si="9"/>
        <v>10</v>
      </c>
      <c r="C25" s="2">
        <f t="shared" si="10"/>
        <v>27581</v>
      </c>
      <c r="D25">
        <v>3409</v>
      </c>
      <c r="F25" s="31">
        <f t="shared" si="0"/>
        <v>0.27146316564630779</v>
      </c>
      <c r="G25" s="31">
        <f t="shared" si="2"/>
        <v>2.4172122858464817E-2</v>
      </c>
      <c r="H25" s="17">
        <f t="shared" si="3"/>
        <v>-12690.190873904603</v>
      </c>
      <c r="J25" s="35">
        <f t="shared" si="1"/>
        <v>27146.316564630779</v>
      </c>
      <c r="K25" s="35">
        <f t="shared" si="4"/>
        <v>2417.2122858464827</v>
      </c>
      <c r="L25" s="78">
        <f t="shared" si="5"/>
        <v>0.29093215434248088</v>
      </c>
      <c r="M25" s="29">
        <f t="shared" si="6"/>
        <v>6.9631318758083838</v>
      </c>
      <c r="N25" s="47"/>
      <c r="O25" s="35">
        <f t="shared" si="7"/>
        <v>10.772376244246692</v>
      </c>
      <c r="P25" s="74">
        <f t="shared" si="8"/>
        <v>1</v>
      </c>
      <c r="Q25" s="2">
        <f>3198/(10)</f>
        <v>319.8</v>
      </c>
      <c r="R25">
        <f t="shared" si="11"/>
        <v>0.3807079479740566</v>
      </c>
      <c r="S25" s="67"/>
      <c r="T25"/>
      <c r="U25" s="6" t="s">
        <v>146</v>
      </c>
      <c r="V25"/>
      <c r="W25"/>
      <c r="X25"/>
      <c r="Y25"/>
      <c r="Z25"/>
      <c r="AA25"/>
      <c r="AB25"/>
      <c r="AC25"/>
      <c r="AD25"/>
      <c r="AE25"/>
      <c r="AF25"/>
      <c r="AG25"/>
      <c r="AH25"/>
      <c r="AI25"/>
    </row>
    <row r="26" spans="1:35">
      <c r="A26" s="1">
        <v>34770</v>
      </c>
      <c r="B26" s="33">
        <f t="shared" si="9"/>
        <v>11</v>
      </c>
      <c r="C26" s="2">
        <f t="shared" si="10"/>
        <v>30651</v>
      </c>
      <c r="D26">
        <v>3070</v>
      </c>
      <c r="F26" s="31">
        <f t="shared" si="0"/>
        <v>0.29493364464746541</v>
      </c>
      <c r="G26" s="31">
        <f t="shared" si="2"/>
        <v>2.3470479001157618E-2</v>
      </c>
      <c r="H26" s="17">
        <f t="shared" si="3"/>
        <v>-11518.676410953183</v>
      </c>
      <c r="J26" s="35">
        <f t="shared" si="1"/>
        <v>29493.364464746541</v>
      </c>
      <c r="K26" s="35">
        <f t="shared" si="4"/>
        <v>2347.0479001157619</v>
      </c>
      <c r="L26" s="78">
        <f t="shared" si="5"/>
        <v>0.2354892833499147</v>
      </c>
      <c r="M26" s="29">
        <f t="shared" si="6"/>
        <v>8.6069591090379607</v>
      </c>
      <c r="N26" s="47"/>
      <c r="O26" s="35">
        <f t="shared" si="7"/>
        <v>11.88616237986146</v>
      </c>
      <c r="P26" s="74">
        <f t="shared" si="8"/>
        <v>1</v>
      </c>
      <c r="Q26" s="2">
        <f>2988.9/(10)</f>
        <v>298.89</v>
      </c>
      <c r="R26">
        <f t="shared" si="11"/>
        <v>0.31894183473170445</v>
      </c>
      <c r="S26" s="67"/>
      <c r="T26"/>
      <c r="V26"/>
      <c r="W26"/>
      <c r="X26"/>
      <c r="Y26"/>
      <c r="Z26"/>
      <c r="AA26"/>
      <c r="AB26"/>
      <c r="AC26"/>
      <c r="AD26"/>
      <c r="AE26"/>
      <c r="AF26"/>
      <c r="AG26"/>
      <c r="AH26"/>
      <c r="AI26"/>
    </row>
    <row r="27" spans="1:35">
      <c r="A27" s="1">
        <v>34777</v>
      </c>
      <c r="B27" s="33">
        <f t="shared" si="9"/>
        <v>12</v>
      </c>
      <c r="C27" s="2">
        <f t="shared" si="10"/>
        <v>33833</v>
      </c>
      <c r="D27">
        <v>3182</v>
      </c>
      <c r="F27" s="31">
        <f t="shared" si="0"/>
        <v>0.31771381847369884</v>
      </c>
      <c r="G27" s="31">
        <f t="shared" si="2"/>
        <v>2.278017382623343E-2</v>
      </c>
      <c r="H27" s="17">
        <f t="shared" si="3"/>
        <v>-12033.893444665235</v>
      </c>
      <c r="J27" s="35">
        <f t="shared" si="1"/>
        <v>31771.381847369885</v>
      </c>
      <c r="K27" s="35">
        <f t="shared" si="4"/>
        <v>2278.017382623344</v>
      </c>
      <c r="L27" s="78">
        <f t="shared" si="5"/>
        <v>0.28409258874187804</v>
      </c>
      <c r="M27" s="29">
        <f t="shared" si="6"/>
        <v>8.9847208822658349</v>
      </c>
      <c r="N27" s="47"/>
      <c r="O27" s="35">
        <f t="shared" si="7"/>
        <v>13.003229433368066</v>
      </c>
      <c r="P27" s="74">
        <f t="shared" si="8"/>
        <v>1</v>
      </c>
      <c r="Q27" s="2">
        <f>2113.6/(10)</f>
        <v>211.35999999999999</v>
      </c>
      <c r="R27">
        <f t="shared" si="11"/>
        <v>0.26719666474879555</v>
      </c>
      <c r="S27" s="67"/>
      <c r="T27"/>
      <c r="V27"/>
      <c r="W27"/>
      <c r="X27"/>
      <c r="Y27"/>
      <c r="Z27"/>
      <c r="AA27"/>
      <c r="AB27"/>
      <c r="AC27"/>
      <c r="AD27"/>
      <c r="AE27"/>
      <c r="AF27"/>
      <c r="AG27"/>
      <c r="AH27"/>
      <c r="AI27"/>
    </row>
    <row r="28" spans="1:35">
      <c r="A28" s="1">
        <v>34784</v>
      </c>
      <c r="B28" s="33">
        <f t="shared" si="9"/>
        <v>13</v>
      </c>
      <c r="C28" s="2">
        <f t="shared" si="10"/>
        <v>36539</v>
      </c>
      <c r="D28">
        <v>2706</v>
      </c>
      <c r="F28" s="31">
        <f t="shared" si="0"/>
        <v>0.33981651192794049</v>
      </c>
      <c r="G28" s="31">
        <f t="shared" si="2"/>
        <v>2.2102693454241651E-2</v>
      </c>
      <c r="H28" s="17">
        <f t="shared" si="3"/>
        <v>-10315.423000556029</v>
      </c>
      <c r="J28" s="35">
        <f t="shared" si="1"/>
        <v>33981.651192794052</v>
      </c>
      <c r="K28" s="35">
        <f t="shared" si="4"/>
        <v>2210.2693454241671</v>
      </c>
      <c r="L28" s="78">
        <f t="shared" si="5"/>
        <v>0.18319684204576234</v>
      </c>
      <c r="M28" s="29">
        <f t="shared" si="6"/>
        <v>11.557890315149317</v>
      </c>
      <c r="N28" s="47"/>
      <c r="O28" s="35">
        <f t="shared" si="7"/>
        <v>14.123311827686162</v>
      </c>
      <c r="P28" s="74">
        <f t="shared" si="8"/>
        <v>1</v>
      </c>
      <c r="Q28" s="2">
        <f>1890.6/(10)</f>
        <v>189.06</v>
      </c>
      <c r="R28">
        <f t="shared" si="11"/>
        <v>0.22384663872313046</v>
      </c>
      <c r="S28" s="67"/>
      <c r="T28"/>
      <c r="U28"/>
      <c r="V28" s="6" t="s">
        <v>152</v>
      </c>
      <c r="W28"/>
      <c r="X28"/>
      <c r="Y28"/>
      <c r="Z28"/>
      <c r="AA28"/>
      <c r="AB28"/>
      <c r="AC28"/>
      <c r="AD28"/>
      <c r="AE28"/>
      <c r="AF28"/>
      <c r="AG28"/>
      <c r="AH28"/>
      <c r="AI28"/>
    </row>
    <row r="29" spans="1:35">
      <c r="A29" s="1">
        <v>34791</v>
      </c>
      <c r="B29" s="33">
        <f t="shared" si="9"/>
        <v>14</v>
      </c>
      <c r="C29" s="2">
        <f t="shared" si="10"/>
        <v>38429</v>
      </c>
      <c r="D29">
        <v>1890</v>
      </c>
      <c r="E29" s="54"/>
      <c r="F29" s="139">
        <f t="shared" si="0"/>
        <v>0.36125558757950038</v>
      </c>
      <c r="G29" s="139">
        <f t="shared" si="2"/>
        <v>2.1439075651559891E-2</v>
      </c>
      <c r="H29" s="17">
        <f t="shared" si="3"/>
        <v>-7262.4007076841408</v>
      </c>
      <c r="I29" s="54"/>
      <c r="J29" s="56">
        <f t="shared" si="1"/>
        <v>36125.558757950035</v>
      </c>
      <c r="K29" s="56">
        <f t="shared" si="4"/>
        <v>2143.9075651559833</v>
      </c>
      <c r="L29" s="78">
        <f t="shared" si="5"/>
        <v>0.13434262706665784</v>
      </c>
      <c r="M29" s="78">
        <f t="shared" si="6"/>
        <v>18.114052252883617</v>
      </c>
      <c r="N29" s="47"/>
      <c r="O29" s="56">
        <f t="shared" si="7"/>
        <v>15.246184364842149</v>
      </c>
      <c r="P29" s="74">
        <f t="shared" si="8"/>
        <v>1</v>
      </c>
      <c r="Q29" s="2">
        <f>1862.7/(10)</f>
        <v>186.27</v>
      </c>
      <c r="R29">
        <f t="shared" si="11"/>
        <v>0.18752972726943276</v>
      </c>
      <c r="S29" s="141"/>
      <c r="T29"/>
      <c r="U29" s="4">
        <v>34700</v>
      </c>
      <c r="V29" s="93" t="s">
        <v>158</v>
      </c>
      <c r="W29" s="9" t="s">
        <v>154</v>
      </c>
      <c r="X29"/>
      <c r="Y29"/>
      <c r="Z29"/>
      <c r="AA29"/>
      <c r="AB29"/>
      <c r="AC29"/>
      <c r="AD29"/>
      <c r="AE29"/>
      <c r="AF29"/>
      <c r="AG29"/>
      <c r="AH29"/>
      <c r="AI29"/>
    </row>
    <row r="30" spans="1:35">
      <c r="A30" s="1">
        <v>34798</v>
      </c>
      <c r="B30" s="33">
        <f t="shared" si="9"/>
        <v>15</v>
      </c>
      <c r="C30" s="2">
        <f t="shared" si="10"/>
        <v>40052</v>
      </c>
      <c r="D30">
        <v>1623</v>
      </c>
      <c r="E30" s="17"/>
      <c r="F30" s="31">
        <f t="shared" si="0"/>
        <v>0.38204562173091239</v>
      </c>
      <c r="G30" s="31">
        <f t="shared" si="2"/>
        <v>2.0790034151412007E-2</v>
      </c>
      <c r="H30" s="17">
        <f t="shared" si="3"/>
        <v>-6286.3359303782745</v>
      </c>
      <c r="J30" s="35">
        <f t="shared" si="1"/>
        <v>38204.562173091239</v>
      </c>
      <c r="K30" s="35">
        <f t="shared" si="4"/>
        <v>2079.0034151412037</v>
      </c>
      <c r="L30" s="78">
        <f t="shared" si="5"/>
        <v>0.28096328720961411</v>
      </c>
      <c r="M30" s="78">
        <f t="shared" si="6"/>
        <v>22.539471456001994</v>
      </c>
      <c r="N30" s="47"/>
      <c r="O30" s="35">
        <f t="shared" si="7"/>
        <v>16.371653623196661</v>
      </c>
      <c r="P30" s="74">
        <f t="shared" si="8"/>
        <v>1</v>
      </c>
      <c r="Q30" s="2">
        <f>1242/(10)</f>
        <v>124.2</v>
      </c>
      <c r="R30">
        <f t="shared" si="11"/>
        <v>0.15710487684939237</v>
      </c>
      <c r="S30" s="67"/>
      <c r="T30"/>
      <c r="U30" s="4">
        <v>34706</v>
      </c>
      <c r="V30" s="2">
        <v>35</v>
      </c>
      <c r="W30" s="9" t="s">
        <v>154</v>
      </c>
      <c r="X30"/>
      <c r="Y30"/>
      <c r="Z30"/>
      <c r="AA30"/>
      <c r="AB30"/>
      <c r="AC30"/>
      <c r="AD30"/>
      <c r="AE30"/>
      <c r="AF30"/>
      <c r="AG30"/>
      <c r="AH30"/>
      <c r="AI30"/>
    </row>
    <row r="31" spans="1:35">
      <c r="A31" s="1">
        <v>34805</v>
      </c>
      <c r="B31" s="33">
        <f t="shared" si="9"/>
        <v>16</v>
      </c>
      <c r="C31" s="2">
        <f t="shared" si="10"/>
        <v>41639</v>
      </c>
      <c r="D31">
        <v>1587</v>
      </c>
      <c r="E31" s="17"/>
      <c r="F31" s="31">
        <f t="shared" si="0"/>
        <v>0.40220166486260678</v>
      </c>
      <c r="G31" s="31">
        <f t="shared" si="2"/>
        <v>2.015604313169439E-2</v>
      </c>
      <c r="H31" s="17">
        <f t="shared" si="3"/>
        <v>-6196.0465405684972</v>
      </c>
      <c r="J31" s="35">
        <f t="shared" si="1"/>
        <v>40220.166486260678</v>
      </c>
      <c r="K31" s="35">
        <f t="shared" si="4"/>
        <v>2015.6043131694387</v>
      </c>
      <c r="L31" s="78">
        <f t="shared" si="5"/>
        <v>0.27007203098263305</v>
      </c>
      <c r="M31" s="78">
        <f t="shared" si="6"/>
        <v>24.34352015517371</v>
      </c>
      <c r="N31" s="47"/>
      <c r="O31" s="35">
        <f t="shared" si="7"/>
        <v>17.49955164268685</v>
      </c>
      <c r="P31" s="74">
        <f t="shared" si="8"/>
        <v>1</v>
      </c>
      <c r="Q31" s="2">
        <f>755.1/(10)</f>
        <v>75.510000000000005</v>
      </c>
      <c r="R31">
        <f t="shared" si="11"/>
        <v>0.13161615861788695</v>
      </c>
      <c r="S31" s="67"/>
      <c r="T31"/>
      <c r="U31" s="91">
        <v>34713</v>
      </c>
      <c r="V31">
        <v>37</v>
      </c>
      <c r="W31" s="9" t="s">
        <v>154</v>
      </c>
      <c r="X31"/>
      <c r="Y31"/>
      <c r="Z31"/>
      <c r="AA31"/>
      <c r="AB31"/>
      <c r="AC31"/>
      <c r="AD31"/>
      <c r="AE31"/>
      <c r="AF31"/>
      <c r="AG31"/>
      <c r="AH31"/>
      <c r="AI31"/>
    </row>
    <row r="32" spans="1:35">
      <c r="A32" s="1">
        <v>34812</v>
      </c>
      <c r="B32" s="33">
        <f t="shared" si="9"/>
        <v>17</v>
      </c>
      <c r="C32" s="2">
        <f t="shared" si="10"/>
        <v>43146</v>
      </c>
      <c r="D32">
        <v>1507</v>
      </c>
      <c r="E32" s="17"/>
      <c r="F32" s="31">
        <f t="shared" si="0"/>
        <v>0.42173906127471927</v>
      </c>
      <c r="G32" s="31">
        <f t="shared" si="2"/>
        <v>1.9537396412112495E-2</v>
      </c>
      <c r="H32" s="17">
        <f t="shared" si="3"/>
        <v>-5930.6853020744584</v>
      </c>
      <c r="J32" s="35">
        <f t="shared" si="1"/>
        <v>42173.906127471928</v>
      </c>
      <c r="K32" s="35">
        <f t="shared" si="4"/>
        <v>1953.7396412112503</v>
      </c>
      <c r="L32" s="78">
        <f t="shared" si="5"/>
        <v>0.29644302668297962</v>
      </c>
      <c r="M32" s="78">
        <f t="shared" si="6"/>
        <v>26.985339168859937</v>
      </c>
      <c r="N32" s="47"/>
      <c r="O32" s="35">
        <f t="shared" si="7"/>
        <v>18.629731183575281</v>
      </c>
      <c r="P32" s="74">
        <f t="shared" si="8"/>
        <v>1</v>
      </c>
      <c r="Q32" s="2">
        <f>571/(10)</f>
        <v>57.1</v>
      </c>
      <c r="R32">
        <f t="shared" si="11"/>
        <v>0.11026273376564359</v>
      </c>
      <c r="S32" s="67"/>
      <c r="T32"/>
      <c r="U32" s="91">
        <v>34720</v>
      </c>
      <c r="V32" s="2">
        <v>36</v>
      </c>
      <c r="W32" s="2" t="s">
        <v>156</v>
      </c>
      <c r="X32"/>
      <c r="Y32"/>
      <c r="Z32"/>
      <c r="AA32"/>
      <c r="AB32"/>
      <c r="AC32"/>
      <c r="AD32"/>
      <c r="AE32"/>
      <c r="AF32"/>
      <c r="AG32"/>
      <c r="AH32"/>
      <c r="AI32"/>
    </row>
    <row r="33" spans="1:35" s="40" customFormat="1">
      <c r="A33" s="165">
        <v>34819</v>
      </c>
      <c r="B33" s="142">
        <f t="shared" si="9"/>
        <v>18</v>
      </c>
      <c r="C33" s="40">
        <f t="shared" si="10"/>
        <v>44446</v>
      </c>
      <c r="D33" s="166">
        <v>1300</v>
      </c>
      <c r="E33" s="167"/>
      <c r="F33" s="168">
        <f t="shared" si="0"/>
        <v>0.44067331130768328</v>
      </c>
      <c r="G33" s="168">
        <f t="shared" si="2"/>
        <v>1.8934250032964006E-2</v>
      </c>
      <c r="H33" s="167">
        <f>(B10-SUM(D16:D33))*IFERROR(LN(1-F33),-10000)</f>
        <v>-32278.071759039212</v>
      </c>
      <c r="J33" s="169">
        <f t="shared" si="1"/>
        <v>44067.331130768325</v>
      </c>
      <c r="K33" s="169">
        <f t="shared" si="4"/>
        <v>1893.4250032963973</v>
      </c>
      <c r="L33" s="78">
        <f t="shared" si="5"/>
        <v>0.45648077176645951</v>
      </c>
      <c r="M33" s="70">
        <f t="shared" si="6"/>
        <v>32.897947023667939</v>
      </c>
      <c r="N33" s="169"/>
      <c r="O33" s="169">
        <f t="shared" si="7"/>
        <v>19.762062096536489</v>
      </c>
      <c r="P33" s="74">
        <f t="shared" si="8"/>
        <v>1</v>
      </c>
      <c r="Q33" s="2">
        <f>470.8/(10)</f>
        <v>47.08</v>
      </c>
      <c r="R33">
        <f t="shared" si="11"/>
        <v>9.2373691689106321E-2</v>
      </c>
      <c r="S33" s="170"/>
      <c r="T33" s="166"/>
      <c r="U33" s="175">
        <v>34727</v>
      </c>
      <c r="V33" s="166">
        <v>35</v>
      </c>
      <c r="W33" s="166" t="s">
        <v>153</v>
      </c>
      <c r="X33" s="166"/>
      <c r="Y33" s="166"/>
      <c r="Z33" s="166"/>
      <c r="AA33" s="166"/>
      <c r="AB33" s="166"/>
      <c r="AC33" s="166"/>
      <c r="AD33" s="166"/>
      <c r="AE33" s="166"/>
      <c r="AF33" s="166"/>
      <c r="AG33" s="166"/>
      <c r="AH33" s="166"/>
      <c r="AI33" s="166"/>
    </row>
    <row r="34" spans="1:35" s="46" customFormat="1">
      <c r="A34" s="1">
        <v>34826</v>
      </c>
      <c r="B34" s="33">
        <f t="shared" si="9"/>
        <v>19</v>
      </c>
      <c r="C34" s="2">
        <f t="shared" si="10"/>
        <v>45573</v>
      </c>
      <c r="D34">
        <v>1127</v>
      </c>
      <c r="E34" s="17"/>
      <c r="F34" s="31">
        <f t="shared" si="0"/>
        <v>0.45901996488071017</v>
      </c>
      <c r="G34" s="31">
        <f t="shared" si="2"/>
        <v>1.8346653573026894E-2</v>
      </c>
      <c r="H34"/>
      <c r="I34" s="2"/>
      <c r="J34" s="35">
        <f t="shared" si="1"/>
        <v>45901.996488071018</v>
      </c>
      <c r="K34" s="35">
        <f t="shared" si="4"/>
        <v>1834.6653573026924</v>
      </c>
      <c r="L34" s="78">
        <f t="shared" si="5"/>
        <v>0.62791957169715384</v>
      </c>
      <c r="M34" s="78">
        <f t="shared" si="6"/>
        <v>39.72936689269833</v>
      </c>
      <c r="N34" s="47"/>
      <c r="O34" s="35">
        <f t="shared" si="7"/>
        <v>20.89642849596386</v>
      </c>
      <c r="P34" s="74">
        <f t="shared" si="8"/>
        <v>1</v>
      </c>
      <c r="Q34" s="2">
        <f>603.2/(10)</f>
        <v>60.320000000000007</v>
      </c>
      <c r="R34">
        <f t="shared" si="11"/>
        <v>7.7386970419309573E-2</v>
      </c>
      <c r="S34" s="67"/>
      <c r="T34"/>
      <c r="U34" s="91">
        <v>34734</v>
      </c>
      <c r="V34" s="2">
        <v>35</v>
      </c>
      <c r="W34" t="s">
        <v>157</v>
      </c>
      <c r="X34"/>
      <c r="Y34"/>
      <c r="Z34"/>
      <c r="AA34"/>
      <c r="AB34"/>
      <c r="AC34"/>
      <c r="AD34"/>
      <c r="AE34"/>
      <c r="AF34"/>
      <c r="AG34"/>
      <c r="AH34"/>
      <c r="AI34"/>
    </row>
    <row r="35" spans="1:35">
      <c r="A35" s="1">
        <v>34833</v>
      </c>
      <c r="B35" s="33">
        <f t="shared" si="9"/>
        <v>20</v>
      </c>
      <c r="C35" s="2">
        <f t="shared" si="10"/>
        <v>46570</v>
      </c>
      <c r="D35">
        <v>997</v>
      </c>
      <c r="E35" s="17"/>
      <c r="F35" s="31">
        <f t="shared" si="0"/>
        <v>0.4767945385138278</v>
      </c>
      <c r="G35" s="31">
        <f t="shared" si="2"/>
        <v>1.777457363311763E-2</v>
      </c>
      <c r="H35" s="17"/>
      <c r="J35" s="35">
        <f t="shared" si="1"/>
        <v>47679.453851382779</v>
      </c>
      <c r="K35" s="35">
        <f t="shared" si="4"/>
        <v>1777.4573633117616</v>
      </c>
      <c r="L35" s="78">
        <f t="shared" si="5"/>
        <v>0.78280578065372275</v>
      </c>
      <c r="M35" s="78">
        <f t="shared" si="6"/>
        <v>46.822922619240501</v>
      </c>
      <c r="N35" s="47"/>
      <c r="O35" s="35">
        <f t="shared" si="7"/>
        <v>22.032726525621538</v>
      </c>
      <c r="P35" s="74">
        <f t="shared" si="8"/>
        <v>1</v>
      </c>
      <c r="Q35" s="2">
        <f>523.1/(10)</f>
        <v>52.31</v>
      </c>
      <c r="R35">
        <f t="shared" si="11"/>
        <v>6.4831697003459185E-2</v>
      </c>
      <c r="S35" s="67"/>
      <c r="T35"/>
      <c r="U35" s="91">
        <v>34741</v>
      </c>
      <c r="V35">
        <v>40</v>
      </c>
      <c r="W35" s="9" t="s">
        <v>155</v>
      </c>
      <c r="X35"/>
      <c r="Y35"/>
      <c r="Z35"/>
      <c r="AA35"/>
      <c r="AB35"/>
      <c r="AC35"/>
      <c r="AD35"/>
      <c r="AE35"/>
      <c r="AF35"/>
      <c r="AG35"/>
      <c r="AH35"/>
      <c r="AI35"/>
    </row>
    <row r="36" spans="1:35">
      <c r="A36" s="1">
        <v>34840</v>
      </c>
      <c r="B36" s="33">
        <f t="shared" si="9"/>
        <v>21</v>
      </c>
      <c r="C36" s="2">
        <f t="shared" si="10"/>
        <v>47404</v>
      </c>
      <c r="D36">
        <v>834</v>
      </c>
      <c r="E36" s="17"/>
      <c r="F36" s="31">
        <f t="shared" si="0"/>
        <v>0.49401245025582219</v>
      </c>
      <c r="G36" s="31">
        <f t="shared" si="2"/>
        <v>1.7217911741994385E-2</v>
      </c>
      <c r="H36" s="17"/>
      <c r="J36" s="35">
        <f t="shared" si="1"/>
        <v>49401.245025582219</v>
      </c>
      <c r="K36" s="35">
        <f t="shared" si="4"/>
        <v>1721.7911741994394</v>
      </c>
      <c r="L36" s="78">
        <f t="shared" si="5"/>
        <v>1.0644978107906948</v>
      </c>
      <c r="M36" s="78">
        <f t="shared" si="6"/>
        <v>58.234106745302419</v>
      </c>
      <c r="N36" s="47"/>
      <c r="O36" s="35">
        <f t="shared" si="7"/>
        <v>23.170862568962114</v>
      </c>
      <c r="P36" s="74">
        <f t="shared" si="8"/>
        <v>1</v>
      </c>
      <c r="Q36" s="2">
        <f>382.4/(10)</f>
        <v>38.239999999999995</v>
      </c>
      <c r="R36">
        <f t="shared" si="11"/>
        <v>5.4313392985591923E-2</v>
      </c>
      <c r="S36" s="67"/>
      <c r="T36"/>
      <c r="U36" s="91">
        <v>34748</v>
      </c>
      <c r="V36" s="92" t="s">
        <v>158</v>
      </c>
      <c r="W36" s="9" t="s">
        <v>159</v>
      </c>
      <c r="X36"/>
      <c r="Y36"/>
      <c r="Z36"/>
      <c r="AA36"/>
      <c r="AB36"/>
      <c r="AC36"/>
      <c r="AD36"/>
      <c r="AE36"/>
      <c r="AF36"/>
      <c r="AG36"/>
      <c r="AH36"/>
      <c r="AI36"/>
    </row>
    <row r="37" spans="1:35">
      <c r="A37" s="1"/>
      <c r="B37" s="33"/>
      <c r="C37" s="33"/>
      <c r="D37"/>
      <c r="E37" s="17"/>
      <c r="F37" s="31"/>
      <c r="G37" s="31"/>
      <c r="H37" s="17"/>
      <c r="J37" s="35"/>
      <c r="K37" s="35"/>
      <c r="L37" s="78"/>
      <c r="M37" s="78"/>
      <c r="N37"/>
      <c r="O37" s="35"/>
      <c r="P37" s="74"/>
      <c r="Q37" s="17"/>
      <c r="R37" s="67"/>
      <c r="S37" s="67"/>
      <c r="T37"/>
      <c r="U37"/>
      <c r="V37"/>
      <c r="W37"/>
      <c r="X37"/>
      <c r="Y37"/>
      <c r="Z37"/>
      <c r="AA37"/>
      <c r="AB37"/>
      <c r="AC37"/>
      <c r="AD37"/>
      <c r="AE37"/>
      <c r="AF37"/>
      <c r="AG37"/>
      <c r="AH37"/>
      <c r="AI37"/>
    </row>
    <row r="38" spans="1:35">
      <c r="A38" s="1"/>
      <c r="B38" s="33"/>
      <c r="C38" s="33"/>
      <c r="D38"/>
      <c r="E38" s="17"/>
      <c r="F38" s="31"/>
      <c r="G38" s="31"/>
      <c r="H38" s="17"/>
      <c r="J38" s="35"/>
      <c r="K38" s="35"/>
      <c r="L38" s="78"/>
      <c r="M38" s="78"/>
      <c r="N38"/>
      <c r="O38" s="35"/>
      <c r="P38" s="74"/>
      <c r="Q38" s="17"/>
      <c r="R38" s="67"/>
      <c r="S38" s="67"/>
      <c r="T38"/>
      <c r="U38"/>
      <c r="V38"/>
      <c r="W38"/>
      <c r="X38"/>
      <c r="Y38"/>
      <c r="Z38"/>
      <c r="AA38"/>
      <c r="AB38"/>
      <c r="AC38"/>
      <c r="AD38"/>
      <c r="AE38"/>
      <c r="AF38"/>
      <c r="AG38"/>
      <c r="AH38"/>
      <c r="AI38"/>
    </row>
    <row r="39" spans="1:35">
      <c r="T39"/>
      <c r="U39"/>
      <c r="V39"/>
      <c r="W39"/>
      <c r="X39"/>
      <c r="Y39"/>
      <c r="Z39"/>
      <c r="AA39"/>
      <c r="AB39"/>
      <c r="AC39"/>
      <c r="AD39"/>
      <c r="AE39"/>
      <c r="AF39"/>
      <c r="AG39"/>
      <c r="AH39"/>
      <c r="AI39"/>
    </row>
    <row r="40" spans="1:35">
      <c r="B40" s="2" t="s">
        <v>76</v>
      </c>
      <c r="C40" s="2">
        <f>22*0.2</f>
        <v>4.4000000000000004</v>
      </c>
      <c r="Q40" s="2">
        <f>10</f>
        <v>10</v>
      </c>
      <c r="T40"/>
      <c r="U40" s="6" t="s">
        <v>30</v>
      </c>
      <c r="V40"/>
      <c r="W40"/>
      <c r="X40"/>
      <c r="Y40"/>
      <c r="AI40" s="5"/>
    </row>
    <row r="41" spans="1:35">
      <c r="T41"/>
      <c r="U41" s="6" t="s">
        <v>31</v>
      </c>
      <c r="V41"/>
      <c r="W41"/>
      <c r="X41"/>
      <c r="Y41"/>
      <c r="AI41" s="5"/>
    </row>
    <row r="42" spans="1:35">
      <c r="T42"/>
      <c r="U42" s="6" t="s">
        <v>32</v>
      </c>
      <c r="V42"/>
      <c r="W42"/>
      <c r="X42"/>
      <c r="Y42"/>
      <c r="AI42" s="5"/>
    </row>
    <row r="43" spans="1:35">
      <c r="T43"/>
      <c r="U43"/>
      <c r="V43"/>
      <c r="W43"/>
      <c r="X43"/>
      <c r="Y43"/>
      <c r="AI43" s="5"/>
    </row>
    <row r="44" spans="1:35">
      <c r="A44" s="4"/>
      <c r="B44" s="4"/>
      <c r="C44" s="4"/>
      <c r="H44" s="17"/>
    </row>
    <row r="45" spans="1:35">
      <c r="A45" s="4"/>
      <c r="B45" s="4"/>
      <c r="C45" s="4"/>
      <c r="S45" s="2" t="s">
        <v>151</v>
      </c>
    </row>
    <row r="46" spans="1:35">
      <c r="A46" s="4"/>
      <c r="B46"/>
      <c r="C46"/>
      <c r="D46"/>
      <c r="E46"/>
      <c r="F46"/>
      <c r="G46"/>
      <c r="H46"/>
      <c r="I46"/>
      <c r="J46"/>
      <c r="K46"/>
      <c r="L46"/>
      <c r="M46"/>
      <c r="N46"/>
      <c r="O46"/>
      <c r="P46"/>
      <c r="Q46"/>
      <c r="R46"/>
      <c r="S46"/>
      <c r="T46"/>
      <c r="U46"/>
      <c r="V46"/>
      <c r="W46"/>
      <c r="X46"/>
      <c r="Y46"/>
      <c r="Z46"/>
      <c r="AA46"/>
      <c r="AB46"/>
      <c r="AC46"/>
      <c r="AD46"/>
      <c r="AE46"/>
      <c r="AF46"/>
      <c r="AG46"/>
    </row>
    <row r="47" spans="1:35">
      <c r="A47" s="4"/>
      <c r="B47"/>
      <c r="C47"/>
      <c r="D47"/>
      <c r="E47"/>
      <c r="F47"/>
      <c r="G47"/>
      <c r="H47"/>
      <c r="I47"/>
      <c r="J47"/>
      <c r="K47"/>
      <c r="L47"/>
      <c r="M47"/>
      <c r="N47"/>
      <c r="O47"/>
      <c r="P47"/>
      <c r="Q47"/>
      <c r="R47"/>
      <c r="S47"/>
      <c r="T47"/>
      <c r="U47"/>
      <c r="V47"/>
      <c r="W47"/>
      <c r="X47"/>
      <c r="Y47"/>
      <c r="Z47"/>
      <c r="AA47"/>
      <c r="AB47"/>
      <c r="AC47"/>
      <c r="AD47"/>
      <c r="AE47"/>
      <c r="AF47"/>
      <c r="AG47"/>
    </row>
    <row r="48" spans="1:35">
      <c r="A48" s="4"/>
      <c r="B48"/>
      <c r="C48" s="16"/>
      <c r="D48" s="102"/>
      <c r="E48"/>
      <c r="F48"/>
      <c r="G48"/>
      <c r="H48"/>
      <c r="I48"/>
      <c r="J48"/>
      <c r="K48"/>
      <c r="L48"/>
      <c r="M48"/>
      <c r="N48"/>
      <c r="O48"/>
      <c r="P48"/>
      <c r="Q48"/>
      <c r="R48"/>
      <c r="S48"/>
      <c r="T48"/>
      <c r="U48"/>
      <c r="V48"/>
      <c r="W48"/>
      <c r="X48"/>
      <c r="Y48"/>
      <c r="Z48"/>
      <c r="AA48"/>
      <c r="AB48"/>
      <c r="AC48"/>
      <c r="AD48"/>
      <c r="AE48"/>
      <c r="AF48"/>
      <c r="AG48"/>
    </row>
    <row r="49" spans="1:33">
      <c r="A49" s="4"/>
      <c r="B49"/>
      <c r="C49" s="16"/>
      <c r="D49" s="102"/>
      <c r="E49"/>
      <c r="F49"/>
      <c r="G49"/>
      <c r="H49"/>
      <c r="I49"/>
      <c r="J49"/>
      <c r="K49"/>
      <c r="L49"/>
      <c r="M49"/>
      <c r="N49"/>
      <c r="O49"/>
      <c r="P49"/>
      <c r="Q49"/>
      <c r="R49"/>
      <c r="S49"/>
      <c r="T49"/>
      <c r="U49"/>
      <c r="V49"/>
      <c r="W49"/>
      <c r="X49"/>
      <c r="Y49"/>
      <c r="Z49"/>
      <c r="AA49"/>
      <c r="AB49"/>
      <c r="AC49"/>
      <c r="AD49"/>
      <c r="AE49"/>
      <c r="AF49"/>
      <c r="AG49"/>
    </row>
    <row r="50" spans="1:33">
      <c r="A50" s="4"/>
      <c r="B50"/>
      <c r="C50" s="16"/>
      <c r="D50" s="27"/>
      <c r="E50"/>
      <c r="F50"/>
      <c r="G50"/>
      <c r="H50"/>
      <c r="I50"/>
      <c r="J50"/>
      <c r="K50"/>
      <c r="L50"/>
      <c r="M50"/>
      <c r="N50"/>
      <c r="O50"/>
      <c r="P50"/>
      <c r="Q50"/>
      <c r="R50"/>
      <c r="S50"/>
      <c r="T50"/>
      <c r="U50"/>
      <c r="V50"/>
      <c r="W50"/>
      <c r="X50"/>
      <c r="Y50"/>
      <c r="Z50"/>
      <c r="AA50"/>
      <c r="AB50"/>
      <c r="AC50"/>
      <c r="AD50"/>
      <c r="AE50"/>
      <c r="AF50"/>
      <c r="AG50"/>
    </row>
    <row r="51" spans="1:33">
      <c r="A51" s="4"/>
      <c r="B51"/>
      <c r="C51" s="16"/>
      <c r="D51" s="27"/>
      <c r="E51"/>
      <c r="F51"/>
      <c r="G51"/>
      <c r="H51"/>
      <c r="I51"/>
      <c r="J51"/>
      <c r="K51"/>
      <c r="L51"/>
      <c r="M51"/>
      <c r="N51"/>
      <c r="O51"/>
      <c r="P51"/>
      <c r="Q51"/>
      <c r="R51"/>
      <c r="S51"/>
      <c r="T51"/>
      <c r="U51"/>
      <c r="V51"/>
      <c r="W51"/>
      <c r="X51"/>
      <c r="Y51"/>
      <c r="Z51"/>
      <c r="AA51"/>
      <c r="AB51"/>
      <c r="AC51"/>
      <c r="AD51"/>
      <c r="AE51"/>
      <c r="AF51"/>
      <c r="AG51"/>
    </row>
    <row r="52" spans="1:33">
      <c r="A52" s="4"/>
      <c r="B52"/>
      <c r="C52" s="7"/>
      <c r="D52" s="27"/>
      <c r="E52"/>
      <c r="F52"/>
      <c r="G52"/>
      <c r="H52"/>
      <c r="I52"/>
      <c r="J52"/>
      <c r="K52"/>
      <c r="L52"/>
      <c r="M52"/>
      <c r="N52"/>
      <c r="O52"/>
      <c r="P52"/>
      <c r="Q52"/>
      <c r="R52"/>
      <c r="S52"/>
      <c r="T52"/>
      <c r="U52"/>
      <c r="V52"/>
      <c r="W52"/>
      <c r="X52"/>
      <c r="Y52"/>
      <c r="Z52"/>
      <c r="AA52"/>
      <c r="AB52"/>
      <c r="AC52"/>
      <c r="AD52"/>
      <c r="AE52"/>
      <c r="AF52"/>
      <c r="AG52"/>
    </row>
    <row r="53" spans="1:33">
      <c r="A53" s="4"/>
      <c r="B53"/>
      <c r="C53" s="7"/>
      <c r="D53" s="27"/>
      <c r="E53"/>
      <c r="F53"/>
      <c r="G53"/>
      <c r="H53"/>
      <c r="I53"/>
      <c r="J53"/>
      <c r="K53"/>
      <c r="L53"/>
      <c r="M53"/>
      <c r="N53"/>
      <c r="O53"/>
      <c r="P53"/>
      <c r="Q53"/>
      <c r="R53"/>
      <c r="S53"/>
      <c r="T53"/>
      <c r="U53"/>
      <c r="V53"/>
      <c r="W53"/>
      <c r="X53"/>
      <c r="Y53"/>
      <c r="Z53"/>
      <c r="AA53"/>
      <c r="AB53"/>
      <c r="AC53"/>
      <c r="AD53"/>
      <c r="AE53"/>
      <c r="AF53"/>
      <c r="AG53"/>
    </row>
    <row r="54" spans="1:33">
      <c r="A54" s="4"/>
      <c r="B54"/>
      <c r="C54" s="7"/>
      <c r="D54" s="27"/>
      <c r="E54"/>
      <c r="F54"/>
      <c r="G54"/>
      <c r="H54"/>
      <c r="I54"/>
      <c r="J54"/>
      <c r="K54"/>
      <c r="L54"/>
      <c r="M54"/>
      <c r="N54"/>
      <c r="O54"/>
      <c r="P54"/>
      <c r="Q54"/>
      <c r="R54"/>
      <c r="S54"/>
      <c r="T54"/>
      <c r="U54"/>
      <c r="V54"/>
      <c r="W54"/>
      <c r="X54"/>
      <c r="Y54"/>
      <c r="Z54"/>
      <c r="AA54"/>
      <c r="AB54"/>
      <c r="AC54"/>
      <c r="AD54"/>
      <c r="AE54"/>
      <c r="AF54"/>
      <c r="AG54"/>
    </row>
    <row r="55" spans="1:33">
      <c r="A55" s="4"/>
      <c r="B55"/>
      <c r="C55" s="7"/>
      <c r="D55" s="27"/>
      <c r="E55"/>
      <c r="F55"/>
      <c r="G55"/>
      <c r="H55"/>
      <c r="I55"/>
      <c r="J55"/>
      <c r="K55"/>
      <c r="L55"/>
      <c r="M55"/>
      <c r="N55"/>
      <c r="O55"/>
      <c r="P55"/>
      <c r="Q55"/>
      <c r="R55"/>
      <c r="S55"/>
      <c r="T55"/>
      <c r="U55"/>
      <c r="V55"/>
      <c r="W55"/>
      <c r="X55"/>
      <c r="Y55"/>
      <c r="Z55"/>
      <c r="AA55"/>
      <c r="AB55"/>
      <c r="AC55"/>
      <c r="AD55"/>
      <c r="AE55"/>
      <c r="AF55"/>
      <c r="AG55"/>
    </row>
    <row r="56" spans="1:33">
      <c r="A56" s="4"/>
      <c r="B56"/>
      <c r="C56"/>
      <c r="D56"/>
      <c r="E56"/>
      <c r="F56"/>
      <c r="G56"/>
      <c r="H56"/>
      <c r="I56"/>
      <c r="J56"/>
      <c r="K56"/>
      <c r="L56"/>
      <c r="M56"/>
      <c r="N56"/>
      <c r="O56"/>
      <c r="P56"/>
      <c r="Q56"/>
      <c r="R56"/>
      <c r="S56"/>
      <c r="T56"/>
      <c r="U56"/>
      <c r="V56"/>
      <c r="W56"/>
      <c r="X56"/>
      <c r="Y56"/>
      <c r="Z56"/>
      <c r="AA56"/>
      <c r="AB56"/>
      <c r="AC56"/>
      <c r="AD56"/>
      <c r="AE56"/>
      <c r="AF56"/>
      <c r="AG56"/>
    </row>
    <row r="57" spans="1:33">
      <c r="A57" s="4"/>
      <c r="B57"/>
      <c r="C57"/>
      <c r="D57"/>
      <c r="E57"/>
      <c r="F57"/>
      <c r="G57"/>
      <c r="H57"/>
      <c r="I57"/>
      <c r="J57"/>
      <c r="K57"/>
      <c r="L57"/>
      <c r="M57"/>
      <c r="N57"/>
      <c r="O57"/>
      <c r="P57"/>
      <c r="Q57"/>
      <c r="R57"/>
      <c r="S57"/>
      <c r="T57"/>
      <c r="U57"/>
      <c r="V57"/>
      <c r="W57"/>
      <c r="X57"/>
      <c r="Y57"/>
      <c r="Z57"/>
      <c r="AA57"/>
      <c r="AB57"/>
      <c r="AC57"/>
      <c r="AD57"/>
      <c r="AE57"/>
      <c r="AF57"/>
      <c r="AG57"/>
    </row>
    <row r="58" spans="1:33">
      <c r="A58" s="4"/>
      <c r="B58"/>
      <c r="C58"/>
      <c r="D58"/>
      <c r="E58"/>
      <c r="F58"/>
      <c r="G58"/>
      <c r="H58"/>
      <c r="I58"/>
      <c r="J58"/>
      <c r="K58"/>
      <c r="L58"/>
      <c r="M58"/>
      <c r="N58"/>
      <c r="O58"/>
      <c r="P58"/>
      <c r="Q58"/>
      <c r="R58"/>
      <c r="S58"/>
      <c r="T58"/>
      <c r="U58"/>
      <c r="V58"/>
      <c r="W58"/>
      <c r="X58"/>
      <c r="Y58"/>
      <c r="Z58"/>
      <c r="AA58"/>
      <c r="AB58"/>
      <c r="AC58"/>
      <c r="AD58"/>
      <c r="AE58"/>
      <c r="AF58"/>
      <c r="AG58"/>
    </row>
    <row r="59" spans="1:33">
      <c r="A59" s="4"/>
      <c r="B59"/>
      <c r="C59"/>
      <c r="D59"/>
      <c r="E59"/>
      <c r="F59"/>
      <c r="G59"/>
      <c r="H59"/>
      <c r="I59"/>
      <c r="J59"/>
      <c r="K59"/>
      <c r="L59"/>
      <c r="M59"/>
      <c r="N59"/>
      <c r="O59"/>
      <c r="P59"/>
      <c r="Q59"/>
      <c r="R59"/>
      <c r="S59"/>
      <c r="T59"/>
      <c r="U59"/>
      <c r="V59"/>
      <c r="W59"/>
      <c r="X59"/>
      <c r="Y59"/>
      <c r="Z59"/>
      <c r="AA59"/>
      <c r="AB59"/>
      <c r="AC59"/>
      <c r="AD59"/>
      <c r="AE59"/>
      <c r="AF59"/>
      <c r="AG59"/>
    </row>
    <row r="60" spans="1:33">
      <c r="A60" s="4"/>
      <c r="B60"/>
      <c r="C60"/>
      <c r="D60"/>
      <c r="E60"/>
      <c r="F60"/>
      <c r="G60"/>
      <c r="H60"/>
      <c r="I60"/>
      <c r="J60"/>
      <c r="K60"/>
      <c r="L60"/>
      <c r="M60"/>
      <c r="N60"/>
      <c r="O60"/>
      <c r="P60"/>
      <c r="Q60"/>
      <c r="R60"/>
      <c r="S60"/>
      <c r="T60"/>
      <c r="U60"/>
      <c r="V60"/>
      <c r="W60"/>
      <c r="X60"/>
      <c r="Y60"/>
      <c r="Z60"/>
      <c r="AA60"/>
      <c r="AB60"/>
      <c r="AC60"/>
      <c r="AD60"/>
      <c r="AE60"/>
      <c r="AF60"/>
      <c r="AG60"/>
    </row>
    <row r="61" spans="1:33">
      <c r="A61" s="4"/>
      <c r="B61"/>
      <c r="C61"/>
      <c r="D61"/>
      <c r="E61"/>
      <c r="F61"/>
      <c r="G61"/>
      <c r="H61"/>
      <c r="I61"/>
      <c r="J61"/>
      <c r="K61"/>
      <c r="L61"/>
      <c r="M61"/>
      <c r="N61"/>
      <c r="O61"/>
      <c r="P61"/>
      <c r="Q61"/>
      <c r="R61"/>
      <c r="S61"/>
      <c r="T61"/>
      <c r="U61"/>
      <c r="V61"/>
      <c r="W61"/>
      <c r="X61"/>
      <c r="Y61"/>
      <c r="Z61"/>
      <c r="AA61"/>
      <c r="AB61"/>
      <c r="AC61"/>
      <c r="AD61"/>
      <c r="AE61"/>
      <c r="AF61"/>
      <c r="AG61"/>
    </row>
    <row r="62" spans="1:33">
      <c r="A62" s="4"/>
      <c r="B62"/>
      <c r="C62"/>
      <c r="D62"/>
      <c r="E62"/>
      <c r="F62"/>
      <c r="G62"/>
      <c r="H62"/>
      <c r="I62"/>
      <c r="J62"/>
      <c r="K62"/>
      <c r="L62"/>
      <c r="M62"/>
      <c r="N62"/>
      <c r="O62"/>
      <c r="P62"/>
      <c r="Q62"/>
      <c r="R62"/>
      <c r="S62"/>
      <c r="T62"/>
      <c r="U62"/>
      <c r="V62"/>
      <c r="W62"/>
      <c r="X62"/>
      <c r="Y62"/>
      <c r="Z62"/>
      <c r="AA62"/>
      <c r="AB62"/>
      <c r="AC62"/>
      <c r="AD62"/>
      <c r="AE62"/>
      <c r="AF62"/>
      <c r="AG62"/>
    </row>
    <row r="63" spans="1:33">
      <c r="B63"/>
      <c r="C63"/>
      <c r="D63"/>
      <c r="E63"/>
      <c r="F63"/>
      <c r="G63"/>
      <c r="H63"/>
      <c r="I63"/>
      <c r="J63"/>
      <c r="K63"/>
      <c r="L63"/>
      <c r="M63"/>
      <c r="N63"/>
      <c r="O63"/>
      <c r="P63"/>
      <c r="Q63"/>
      <c r="R63"/>
      <c r="S63"/>
      <c r="T63"/>
      <c r="U63"/>
      <c r="V63"/>
      <c r="W63"/>
      <c r="X63"/>
      <c r="Y63"/>
      <c r="Z63"/>
      <c r="AA63"/>
      <c r="AB63"/>
      <c r="AC63"/>
      <c r="AD63"/>
      <c r="AE63"/>
      <c r="AF63"/>
      <c r="AG63"/>
    </row>
    <row r="64" spans="1:33">
      <c r="B64"/>
      <c r="C64"/>
      <c r="D64"/>
      <c r="E64"/>
      <c r="F64"/>
      <c r="G64"/>
      <c r="H64"/>
      <c r="I64"/>
      <c r="J64"/>
      <c r="K64"/>
      <c r="L64"/>
      <c r="M64"/>
      <c r="N64"/>
      <c r="O64"/>
      <c r="P64"/>
      <c r="Q64"/>
      <c r="R64"/>
      <c r="S64"/>
      <c r="T64"/>
      <c r="U64"/>
      <c r="V64"/>
      <c r="W64"/>
      <c r="X64"/>
      <c r="Y64"/>
      <c r="Z64"/>
      <c r="AA64"/>
      <c r="AB64"/>
      <c r="AC64"/>
      <c r="AD64"/>
      <c r="AE64"/>
      <c r="AF64"/>
      <c r="AG64"/>
    </row>
    <row r="65" spans="2:33">
      <c r="B65"/>
      <c r="C65"/>
      <c r="D65"/>
      <c r="E65"/>
      <c r="F65"/>
      <c r="G65"/>
      <c r="H65"/>
      <c r="I65"/>
      <c r="J65"/>
      <c r="K65"/>
      <c r="L65"/>
      <c r="M65"/>
      <c r="N65"/>
      <c r="O65"/>
      <c r="P65"/>
      <c r="Q65"/>
      <c r="R65"/>
      <c r="S65"/>
      <c r="T65"/>
      <c r="U65"/>
      <c r="V65"/>
      <c r="W65"/>
      <c r="X65"/>
      <c r="Y65"/>
      <c r="Z65"/>
      <c r="AA65"/>
      <c r="AB65"/>
      <c r="AC65"/>
      <c r="AD65"/>
      <c r="AE65"/>
      <c r="AF65"/>
      <c r="AG65"/>
    </row>
    <row r="66" spans="2:33">
      <c r="B66"/>
      <c r="C66"/>
      <c r="D66"/>
      <c r="E66"/>
      <c r="F66"/>
      <c r="G66"/>
      <c r="H66"/>
      <c r="I66"/>
      <c r="J66"/>
      <c r="K66"/>
      <c r="L66"/>
      <c r="M66"/>
      <c r="N66"/>
      <c r="O66"/>
      <c r="P66"/>
      <c r="Q66"/>
      <c r="R66"/>
      <c r="S66"/>
      <c r="T66"/>
      <c r="U66"/>
      <c r="V66"/>
      <c r="W66"/>
      <c r="X66"/>
      <c r="Y66"/>
      <c r="Z66"/>
      <c r="AA66"/>
      <c r="AB66"/>
      <c r="AC66"/>
      <c r="AD66"/>
      <c r="AE66"/>
      <c r="AF66"/>
      <c r="AG66"/>
    </row>
    <row r="67" spans="2:33">
      <c r="B67"/>
      <c r="C67"/>
      <c r="D67"/>
      <c r="E67"/>
      <c r="F67"/>
      <c r="G67"/>
      <c r="H67"/>
      <c r="I67"/>
      <c r="J67"/>
      <c r="K67"/>
      <c r="L67"/>
      <c r="M67"/>
      <c r="N67"/>
      <c r="O67"/>
      <c r="P67"/>
      <c r="Q67"/>
      <c r="R67"/>
      <c r="S67"/>
      <c r="T67"/>
      <c r="U67"/>
      <c r="V67"/>
      <c r="W67"/>
      <c r="X67"/>
      <c r="Y67"/>
      <c r="Z67"/>
      <c r="AA67"/>
      <c r="AB67"/>
      <c r="AC67"/>
      <c r="AD67"/>
      <c r="AE67"/>
      <c r="AF67"/>
      <c r="AG67"/>
    </row>
    <row r="68" spans="2:33">
      <c r="B68"/>
      <c r="C68"/>
      <c r="D68"/>
      <c r="E68"/>
      <c r="F68"/>
      <c r="G68"/>
      <c r="H68"/>
      <c r="I68"/>
      <c r="J68"/>
      <c r="K68"/>
      <c r="L68"/>
      <c r="M68"/>
      <c r="N68"/>
      <c r="O68"/>
      <c r="P68"/>
      <c r="Q68"/>
      <c r="R68"/>
      <c r="S68"/>
      <c r="T68"/>
      <c r="U68"/>
      <c r="V68"/>
      <c r="W68"/>
      <c r="X68"/>
      <c r="Y68"/>
      <c r="Z68"/>
      <c r="AA68"/>
      <c r="AB68"/>
      <c r="AC68"/>
      <c r="AD68"/>
      <c r="AE68"/>
      <c r="AF68"/>
      <c r="AG68"/>
    </row>
    <row r="69" spans="2:33">
      <c r="B69"/>
      <c r="C69"/>
      <c r="D69"/>
      <c r="E69"/>
      <c r="F69"/>
      <c r="G69"/>
      <c r="H69"/>
      <c r="I69"/>
      <c r="J69"/>
      <c r="K69"/>
      <c r="L69"/>
      <c r="M69"/>
      <c r="N69"/>
      <c r="O69"/>
      <c r="P69"/>
      <c r="Q69"/>
      <c r="R69"/>
      <c r="S69"/>
      <c r="T69"/>
      <c r="U69"/>
      <c r="V69"/>
      <c r="W69"/>
      <c r="X69"/>
      <c r="Y69"/>
      <c r="Z69"/>
      <c r="AA69"/>
      <c r="AB69"/>
      <c r="AC69"/>
      <c r="AD69"/>
      <c r="AE69"/>
      <c r="AF69"/>
      <c r="AG69"/>
    </row>
    <row r="70" spans="2:33">
      <c r="B70"/>
      <c r="C70"/>
      <c r="D70"/>
      <c r="E70"/>
      <c r="F70"/>
      <c r="G70"/>
      <c r="H70"/>
      <c r="I70"/>
      <c r="J70"/>
      <c r="K70"/>
      <c r="L70"/>
      <c r="M70"/>
      <c r="N70"/>
      <c r="O70"/>
      <c r="P70"/>
      <c r="Q70"/>
      <c r="R70"/>
      <c r="S70"/>
      <c r="T70"/>
      <c r="U70"/>
      <c r="V70"/>
      <c r="W70"/>
      <c r="X70"/>
      <c r="Y70"/>
      <c r="Z70"/>
      <c r="AA70"/>
      <c r="AB70"/>
      <c r="AC70"/>
      <c r="AD70"/>
      <c r="AE70"/>
      <c r="AF70"/>
      <c r="AG70"/>
    </row>
    <row r="71" spans="2:33">
      <c r="B71"/>
      <c r="C71"/>
      <c r="D71"/>
      <c r="E71"/>
      <c r="F71"/>
      <c r="G71"/>
      <c r="H71"/>
      <c r="I71"/>
      <c r="J71"/>
      <c r="K71"/>
      <c r="L71"/>
      <c r="M71"/>
      <c r="N71"/>
      <c r="O71"/>
      <c r="P71"/>
      <c r="Q71"/>
      <c r="R71"/>
      <c r="S71"/>
      <c r="T71"/>
      <c r="U71"/>
      <c r="V71"/>
      <c r="W71"/>
      <c r="X71"/>
      <c r="Y71"/>
      <c r="Z71"/>
      <c r="AA71"/>
      <c r="AB71"/>
      <c r="AC71"/>
      <c r="AD71"/>
      <c r="AE71"/>
      <c r="AF71"/>
      <c r="AG71"/>
    </row>
    <row r="72" spans="2:33">
      <c r="B72"/>
      <c r="C72"/>
      <c r="D72"/>
      <c r="E72"/>
      <c r="F72"/>
      <c r="G72"/>
      <c r="H72"/>
      <c r="I72"/>
      <c r="J72"/>
      <c r="K72"/>
      <c r="L72"/>
      <c r="M72"/>
      <c r="N72"/>
      <c r="O72"/>
      <c r="P72"/>
      <c r="Q72"/>
      <c r="R72"/>
      <c r="S72"/>
      <c r="T72"/>
      <c r="U72"/>
      <c r="V72"/>
      <c r="W72"/>
      <c r="X72"/>
      <c r="Y72"/>
      <c r="Z72"/>
      <c r="AA72"/>
      <c r="AB72"/>
      <c r="AC72"/>
      <c r="AD72"/>
      <c r="AE72"/>
      <c r="AF72"/>
      <c r="AG72"/>
    </row>
    <row r="73" spans="2:33">
      <c r="B73"/>
      <c r="C73"/>
      <c r="D73"/>
      <c r="E73"/>
      <c r="F73"/>
      <c r="G73"/>
      <c r="H73"/>
      <c r="I73"/>
      <c r="J73"/>
      <c r="K73"/>
      <c r="L73"/>
      <c r="M73"/>
      <c r="N73"/>
      <c r="O73"/>
      <c r="P73"/>
      <c r="Q73"/>
      <c r="R73"/>
      <c r="S73"/>
      <c r="T73"/>
      <c r="U73"/>
      <c r="V73"/>
      <c r="W73"/>
      <c r="X73"/>
      <c r="Y73"/>
      <c r="Z73"/>
      <c r="AA73"/>
      <c r="AB73"/>
      <c r="AC73"/>
      <c r="AD73"/>
      <c r="AE73"/>
      <c r="AF73"/>
      <c r="AG73"/>
    </row>
    <row r="74" spans="2:33">
      <c r="B74"/>
      <c r="C74"/>
      <c r="D74"/>
      <c r="E74"/>
      <c r="F74"/>
      <c r="G74"/>
      <c r="H74"/>
      <c r="I74"/>
      <c r="J74"/>
      <c r="K74"/>
      <c r="L74"/>
      <c r="M74"/>
      <c r="N74"/>
      <c r="O74"/>
      <c r="P74"/>
      <c r="Q74"/>
      <c r="R74"/>
      <c r="S74"/>
      <c r="T74"/>
      <c r="U74"/>
      <c r="V74"/>
      <c r="W74"/>
      <c r="X74"/>
      <c r="Y74"/>
      <c r="Z74"/>
      <c r="AA74"/>
      <c r="AB74"/>
      <c r="AC74"/>
      <c r="AD74"/>
      <c r="AE74"/>
      <c r="AF74"/>
      <c r="AG74"/>
    </row>
  </sheetData>
  <scenarios current="0" show="0">
    <scenario name="pittsfield best fit" locked="1" count="1" user="Author">
      <inputCells r="D37" deleted="1" val=""/>
    </scenario>
  </scenarios>
  <mergeCells count="1">
    <mergeCell ref="U17:U20"/>
  </mergeCells>
  <hyperlinks>
    <hyperlink ref="W31" r:id="rId1" location="v=onepage&amp;q=dink%20billboard%201995&amp;f=false" xr:uid="{60505518-2B57-4DCA-8F2C-8AD4792C92D9}"/>
    <hyperlink ref="W30" r:id="rId2" location="v=onepage&amp;q=dink%20billboard%201995&amp;f=false" xr:uid="{04B74E7A-0491-4970-8AD7-0ED029829A41}"/>
    <hyperlink ref="W29" r:id="rId3" location="v=onepage&amp;q=dink%20billboard%201995&amp;f=false" xr:uid="{9C02B686-9CA3-4992-90F8-100CD0E021BA}"/>
    <hyperlink ref="W35" r:id="rId4" location="v=onepage&amp;q=dink%20billboard%201995&amp;f=false" xr:uid="{17D0F88A-7218-436A-AB54-0C5019629EA0}"/>
    <hyperlink ref="W36" r:id="rId5" location="v=onepage&amp;q=modern%20rock%20billboard%201995%20February%2018&amp;f=false" xr:uid="{28BC40C5-3A77-42F2-876D-158176AA5A17}"/>
    <hyperlink ref="T16" r:id="rId6" location="v=onepage&amp;q=dink%20billboard%201995&amp;f=false" xr:uid="{03A8F02A-ECC6-42F5-AFFC-81B7090E7F26}"/>
  </hyperlinks>
  <printOptions gridLines="1" gridLinesSet="0"/>
  <pageMargins left="0.75" right="0.75" top="1" bottom="1" header="0.5" footer="0.5"/>
  <pageSetup orientation="portrait" r:id="rId7"/>
  <headerFooter alignWithMargins="0">
    <oddHeader>&amp;A</oddHeader>
    <oddFooter>Page &amp;P</oddFooter>
  </headerFooter>
  <drawing r:id="rId8"/>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C322-3EC2-4386-9FE3-80A5DCED412A}">
  <dimension ref="A1:AI74"/>
  <sheetViews>
    <sheetView zoomScale="85" zoomScaleNormal="85" workbookViewId="0">
      <selection activeCell="G36" sqref="G36"/>
    </sheetView>
  </sheetViews>
  <sheetFormatPr defaultRowHeight="12.75"/>
  <cols>
    <col min="1" max="1" width="12" style="2" customWidth="1"/>
    <col min="2" max="2" width="10.5703125" style="2" customWidth="1"/>
    <col min="3" max="3" width="15.42578125" style="2" customWidth="1"/>
    <col min="4" max="4" width="10.5703125" style="2" customWidth="1"/>
    <col min="5" max="5" width="3.7109375" style="2" customWidth="1"/>
    <col min="6" max="6" width="10.28515625" style="2" customWidth="1"/>
    <col min="7" max="7" width="16.42578125" style="2" customWidth="1"/>
    <col min="8" max="8" width="9.5703125" style="2" customWidth="1"/>
    <col min="9" max="9" width="3.28515625" style="2" customWidth="1"/>
    <col min="10" max="11" width="12.42578125" style="2" customWidth="1"/>
    <col min="12" max="12" width="7.140625" style="2" customWidth="1"/>
    <col min="13" max="13" width="7.7109375" style="2" customWidth="1"/>
    <col min="14" max="14" width="6.7109375" style="54" customWidth="1"/>
    <col min="15" max="15" width="6.85546875" style="2" customWidth="1"/>
    <col min="16" max="16" width="16" style="2" customWidth="1"/>
    <col min="17" max="17" width="14.42578125" style="2" customWidth="1"/>
    <col min="18" max="18" width="17.5703125" style="2" customWidth="1"/>
    <col min="19" max="19" width="16.85546875" style="2" customWidth="1"/>
    <col min="20" max="20" width="9.7109375" style="2" customWidth="1"/>
    <col min="21" max="21" width="11.140625" style="2" customWidth="1"/>
    <col min="22" max="22" width="6.7109375" style="2" customWidth="1"/>
    <col min="23" max="23" width="10.140625" style="2" customWidth="1"/>
    <col min="24" max="24" width="11.140625" style="2" customWidth="1"/>
    <col min="25" max="25" width="12.28515625" style="2" bestFit="1" customWidth="1"/>
    <col min="26" max="16384" width="9.140625" style="2"/>
  </cols>
  <sheetData>
    <row r="1" spans="1:35">
      <c r="J1" s="50" t="s">
        <v>174</v>
      </c>
      <c r="K1" s="50" t="s">
        <v>175</v>
      </c>
      <c r="P1"/>
      <c r="Q1"/>
      <c r="R1"/>
      <c r="S1"/>
    </row>
    <row r="2" spans="1:35">
      <c r="A2" s="2" t="s">
        <v>117</v>
      </c>
      <c r="B2" s="102">
        <f>EXP(C2)</f>
        <v>1.6229744391668625E-2</v>
      </c>
      <c r="C2" s="27">
        <v>-4.1209096467066662</v>
      </c>
      <c r="E2" s="27"/>
      <c r="F2" s="2" t="s">
        <v>107</v>
      </c>
      <c r="G2" s="28">
        <f>-2*G3+3*LN(B10)</f>
        <v>381082.27983205771</v>
      </c>
      <c r="H2" s="28"/>
      <c r="J2" s="105">
        <v>381121.05158977234</v>
      </c>
      <c r="K2" s="105">
        <v>380740.27772641537</v>
      </c>
      <c r="P2"/>
      <c r="Q2"/>
      <c r="R2"/>
      <c r="S2"/>
      <c r="U2"/>
      <c r="V2"/>
      <c r="W2"/>
    </row>
    <row r="3" spans="1:35">
      <c r="A3" s="2" t="s">
        <v>98</v>
      </c>
      <c r="B3" s="121">
        <f>EXP(C3)</f>
        <v>1.0255652443840235</v>
      </c>
      <c r="C3" s="27">
        <v>2.5243918528954312E-2</v>
      </c>
      <c r="E3" s="27"/>
      <c r="F3" s="2" t="s">
        <v>99</v>
      </c>
      <c r="G3" s="28">
        <f>SUM(H16:H33)</f>
        <v>-190523.8705278314</v>
      </c>
      <c r="H3" s="28"/>
      <c r="J3" s="105">
        <v>-190514.47409302628</v>
      </c>
      <c r="K3" s="105">
        <v>-190324.08716134779</v>
      </c>
      <c r="P3"/>
      <c r="Q3"/>
      <c r="R3"/>
      <c r="S3"/>
      <c r="T3" s="104"/>
      <c r="U3"/>
      <c r="V3"/>
      <c r="W3"/>
      <c r="X3"/>
      <c r="Y3"/>
      <c r="Z3"/>
      <c r="AA3"/>
      <c r="AB3"/>
      <c r="AC3"/>
      <c r="AD3"/>
      <c r="AE3"/>
      <c r="AF3"/>
      <c r="AG3"/>
      <c r="AH3"/>
      <c r="AI3"/>
    </row>
    <row r="4" spans="1:35">
      <c r="A4" s="75" t="s">
        <v>115</v>
      </c>
      <c r="B4" s="90">
        <f>C4</f>
        <v>2.9506856954540752E-3</v>
      </c>
      <c r="C4" s="184">
        <v>2.9506856954540752E-3</v>
      </c>
      <c r="E4" s="27"/>
      <c r="F4" s="2" t="s">
        <v>130</v>
      </c>
      <c r="G4" s="77">
        <f>AVERAGE(M17:M34)</f>
        <v>13.501419668539329</v>
      </c>
      <c r="J4" s="117">
        <v>4.2071108281514981E-2</v>
      </c>
      <c r="K4" s="117">
        <v>1.4816458465902294E-2</v>
      </c>
      <c r="O4" s="2" t="s">
        <v>187</v>
      </c>
      <c r="P4" s="123">
        <f>2*(G3-'W (Jan 1)'!G3)</f>
        <v>1908.2051573465578</v>
      </c>
      <c r="Q4"/>
      <c r="R4"/>
      <c r="S4"/>
      <c r="T4" s="105"/>
      <c r="U4"/>
      <c r="V4"/>
      <c r="W4"/>
      <c r="X4"/>
      <c r="Y4"/>
      <c r="Z4"/>
      <c r="AA4"/>
      <c r="AB4"/>
      <c r="AC4"/>
      <c r="AD4"/>
      <c r="AE4"/>
      <c r="AF4"/>
      <c r="AG4"/>
      <c r="AH4"/>
      <c r="AI4"/>
    </row>
    <row r="5" spans="1:35">
      <c r="A5" s="75" t="s">
        <v>134</v>
      </c>
      <c r="B5" s="27">
        <f>C5</f>
        <v>0</v>
      </c>
      <c r="C5" s="27">
        <v>0</v>
      </c>
      <c r="E5" s="27"/>
      <c r="F5" s="2" t="s">
        <v>139</v>
      </c>
      <c r="G5" s="77">
        <f>AVERAGE(M30:M38)</f>
        <v>35.306597342736616</v>
      </c>
      <c r="J5" s="117">
        <v>2.5537710013584011E-2</v>
      </c>
      <c r="K5" s="117">
        <v>9.343147066772679E-3</v>
      </c>
      <c r="O5" s="2" t="s">
        <v>198</v>
      </c>
      <c r="P5">
        <v>1</v>
      </c>
      <c r="Q5"/>
      <c r="R5"/>
      <c r="S5"/>
      <c r="T5" s="106"/>
      <c r="U5"/>
      <c r="V5"/>
      <c r="W5"/>
      <c r="X5" s="66"/>
      <c r="Y5" s="28"/>
      <c r="Z5"/>
      <c r="AA5"/>
      <c r="AB5"/>
      <c r="AC5"/>
      <c r="AD5"/>
      <c r="AE5"/>
      <c r="AF5"/>
      <c r="AG5"/>
      <c r="AH5"/>
      <c r="AI5"/>
    </row>
    <row r="6" spans="1:35">
      <c r="A6" s="2" t="s">
        <v>143</v>
      </c>
      <c r="B6" s="27">
        <f>EXP(C6)</f>
        <v>1.1051612917148501</v>
      </c>
      <c r="C6" s="27">
        <v>9.9991289670616115E-2</v>
      </c>
      <c r="E6" s="27"/>
      <c r="F6" s="2" t="s">
        <v>144</v>
      </c>
      <c r="G6" s="89">
        <f>CORREL(C17:C38,J17:J38)^2</f>
        <v>0.99709453773691303</v>
      </c>
      <c r="J6" s="118">
        <v>0.99918183684393613</v>
      </c>
      <c r="K6" s="124">
        <v>0.99976301613106733</v>
      </c>
      <c r="O6" s="2" t="s">
        <v>165</v>
      </c>
      <c r="P6" s="187">
        <f>_xlfn.CHISQ.DIST.RT(P4,P5)</f>
        <v>0</v>
      </c>
      <c r="Q6"/>
      <c r="R6"/>
      <c r="S6"/>
      <c r="T6" s="106"/>
      <c r="U6"/>
      <c r="V6"/>
      <c r="W6"/>
      <c r="X6" s="66"/>
      <c r="Y6" s="28"/>
      <c r="Z6"/>
      <c r="AA6"/>
      <c r="AB6"/>
      <c r="AC6"/>
      <c r="AD6"/>
      <c r="AE6"/>
      <c r="AF6"/>
      <c r="AG6"/>
      <c r="AH6"/>
      <c r="AI6"/>
    </row>
    <row r="7" spans="1:35">
      <c r="A7" s="75" t="s">
        <v>148</v>
      </c>
      <c r="B7" s="27">
        <f>C7</f>
        <v>0</v>
      </c>
      <c r="C7" s="27">
        <v>0</v>
      </c>
      <c r="E7" s="27"/>
      <c r="J7" s="3"/>
      <c r="K7" s="3"/>
      <c r="P7"/>
      <c r="Q7"/>
      <c r="R7"/>
      <c r="S7"/>
      <c r="T7" s="106"/>
      <c r="U7"/>
      <c r="V7"/>
      <c r="W7"/>
      <c r="X7" s="66"/>
      <c r="Y7" s="84"/>
      <c r="Z7"/>
      <c r="AA7"/>
      <c r="AB7"/>
      <c r="AC7"/>
      <c r="AD7"/>
      <c r="AE7"/>
      <c r="AF7"/>
      <c r="AG7"/>
      <c r="AH7"/>
      <c r="AI7"/>
    </row>
    <row r="8" spans="1:35">
      <c r="A8" s="75" t="s">
        <v>149</v>
      </c>
      <c r="B8" s="27">
        <f>EXP(C8)</f>
        <v>1.8729062640039973</v>
      </c>
      <c r="C8" s="27">
        <v>0.62749137629610374</v>
      </c>
      <c r="E8" s="27"/>
      <c r="F8" s="115" t="s">
        <v>130</v>
      </c>
      <c r="G8" s="116">
        <f>AVERAGE(L16:L32)</f>
        <v>0.13055518039029737</v>
      </c>
      <c r="J8" s="125">
        <v>0.10101928531775015</v>
      </c>
      <c r="K8" s="126">
        <v>7.3238026353644653E-2</v>
      </c>
      <c r="P8"/>
      <c r="Q8"/>
      <c r="R8"/>
      <c r="S8"/>
      <c r="T8" s="119"/>
      <c r="U8"/>
      <c r="V8"/>
      <c r="W8"/>
      <c r="X8" s="66"/>
      <c r="Y8" s="84"/>
      <c r="Z8"/>
      <c r="AA8"/>
      <c r="AB8"/>
      <c r="AC8"/>
      <c r="AD8"/>
      <c r="AE8"/>
      <c r="AF8"/>
      <c r="AG8"/>
      <c r="AH8"/>
      <c r="AI8"/>
    </row>
    <row r="9" spans="1:35">
      <c r="A9" s="2" t="s">
        <v>150</v>
      </c>
      <c r="B9" s="27">
        <f>EXP(C9)</f>
        <v>0.83775985352803517</v>
      </c>
      <c r="C9" s="27">
        <v>-0.17702379053829231</v>
      </c>
      <c r="E9" s="27"/>
      <c r="F9" s="115" t="s">
        <v>139</v>
      </c>
      <c r="G9" s="116">
        <f>AVERAGE(L33:L36)</f>
        <v>0.15025544577544483</v>
      </c>
      <c r="J9" s="125">
        <v>3.7158551039105814</v>
      </c>
      <c r="K9" s="126">
        <v>0.16600586617694288</v>
      </c>
      <c r="P9"/>
      <c r="Q9"/>
      <c r="R9"/>
      <c r="S9"/>
      <c r="T9" s="119"/>
      <c r="U9"/>
      <c r="V9"/>
      <c r="W9"/>
      <c r="X9" s="66"/>
      <c r="Y9" s="103"/>
      <c r="Z9"/>
      <c r="AA9"/>
      <c r="AB9"/>
      <c r="AC9"/>
      <c r="AD9"/>
      <c r="AE9"/>
      <c r="AF9"/>
      <c r="AG9"/>
      <c r="AH9"/>
      <c r="AI9"/>
    </row>
    <row r="10" spans="1:35">
      <c r="A10" s="2" t="s">
        <v>105</v>
      </c>
      <c r="B10" s="28">
        <v>100000</v>
      </c>
      <c r="C10" s="27"/>
      <c r="E10" s="27"/>
      <c r="F10" s="115" t="s">
        <v>145</v>
      </c>
      <c r="G10" s="116">
        <f>MEDIAN(L17:L38)</f>
        <v>0.12322311805267172</v>
      </c>
      <c r="J10" s="125">
        <v>0.11433729943848264</v>
      </c>
      <c r="K10" s="126">
        <v>7.5129489764360471E-2</v>
      </c>
      <c r="T10" s="119"/>
      <c r="X10"/>
      <c r="Y10"/>
      <c r="Z10"/>
      <c r="AA10"/>
      <c r="AB10"/>
      <c r="AC10"/>
      <c r="AD10"/>
      <c r="AE10"/>
      <c r="AF10"/>
      <c r="AG10"/>
      <c r="AH10"/>
      <c r="AI10"/>
    </row>
    <row r="11" spans="1:35">
      <c r="E11" s="27"/>
      <c r="F11" s="54"/>
      <c r="G11" s="54"/>
      <c r="T11" s="119"/>
      <c r="U11" s="119"/>
      <c r="V11" s="119"/>
      <c r="W11" s="119"/>
      <c r="X11"/>
      <c r="Y11"/>
      <c r="Z11"/>
      <c r="AA11"/>
      <c r="AB11"/>
      <c r="AC11"/>
      <c r="AD11"/>
      <c r="AE11"/>
      <c r="AF11"/>
      <c r="AG11"/>
      <c r="AH11"/>
      <c r="AI11"/>
    </row>
    <row r="12" spans="1:35">
      <c r="E12" s="27"/>
      <c r="T12" s="8"/>
      <c r="U12" s="8"/>
      <c r="V12" s="119"/>
      <c r="W12" s="119"/>
      <c r="X12"/>
      <c r="Y12"/>
      <c r="Z12"/>
      <c r="AA12"/>
      <c r="AB12"/>
      <c r="AC12"/>
      <c r="AD12"/>
      <c r="AE12"/>
      <c r="AF12"/>
      <c r="AG12"/>
      <c r="AH12"/>
      <c r="AI12"/>
    </row>
    <row r="13" spans="1:35">
      <c r="Q13" s="27">
        <f>B4</f>
        <v>2.9506856954540752E-3</v>
      </c>
      <c r="R13" s="27">
        <f>B7</f>
        <v>0</v>
      </c>
      <c r="S13" s="27"/>
      <c r="T13" s="27"/>
      <c r="U13" s="27"/>
      <c r="X13"/>
      <c r="Y13"/>
      <c r="Z13"/>
      <c r="AA13"/>
      <c r="AB13"/>
      <c r="AC13"/>
      <c r="AD13"/>
      <c r="AE13"/>
      <c r="AF13"/>
      <c r="AG13"/>
      <c r="AH13"/>
      <c r="AI13"/>
    </row>
    <row r="14" spans="1:35">
      <c r="L14" s="2" t="s">
        <v>170</v>
      </c>
      <c r="M14" s="2" t="s">
        <v>169</v>
      </c>
      <c r="P14" s="7" t="s">
        <v>147</v>
      </c>
      <c r="X14"/>
      <c r="Y14"/>
      <c r="Z14"/>
      <c r="AA14"/>
      <c r="AB14"/>
      <c r="AC14"/>
      <c r="AD14"/>
      <c r="AE14"/>
      <c r="AF14"/>
      <c r="AG14"/>
      <c r="AH14"/>
      <c r="AI14"/>
    </row>
    <row r="15" spans="1:35">
      <c r="A15" s="32" t="s">
        <v>1</v>
      </c>
      <c r="B15" s="119" t="s">
        <v>100</v>
      </c>
      <c r="C15" s="119" t="s">
        <v>128</v>
      </c>
      <c r="D15" s="119" t="s">
        <v>101</v>
      </c>
      <c r="E15" s="7"/>
      <c r="F15" s="119" t="s">
        <v>103</v>
      </c>
      <c r="G15" s="32" t="s">
        <v>104</v>
      </c>
      <c r="H15" s="7" t="s">
        <v>118</v>
      </c>
      <c r="I15" s="7"/>
      <c r="J15" s="7" t="s">
        <v>106</v>
      </c>
      <c r="K15" s="114" t="s">
        <v>168</v>
      </c>
      <c r="L15" s="114" t="s">
        <v>129</v>
      </c>
      <c r="M15" s="7" t="s">
        <v>129</v>
      </c>
      <c r="N15" s="44"/>
      <c r="O15" s="7" t="s">
        <v>108</v>
      </c>
      <c r="P15" s="7" t="s">
        <v>109</v>
      </c>
      <c r="Q15" s="45" t="s">
        <v>116</v>
      </c>
      <c r="R15" s="45" t="s">
        <v>160</v>
      </c>
      <c r="S15" s="55"/>
      <c r="T15"/>
      <c r="U15" s="16"/>
      <c r="V15"/>
      <c r="W15"/>
      <c r="X15"/>
      <c r="Y15"/>
      <c r="Z15"/>
      <c r="AA15"/>
      <c r="AB15"/>
      <c r="AC15"/>
      <c r="AD15"/>
      <c r="AE15"/>
      <c r="AF15"/>
      <c r="AG15"/>
      <c r="AH15"/>
      <c r="AI15"/>
    </row>
    <row r="16" spans="1:35">
      <c r="A16" s="1">
        <v>34700</v>
      </c>
      <c r="B16" s="183">
        <f>1</f>
        <v>1</v>
      </c>
      <c r="C16" s="2">
        <f>D16</f>
        <v>2976</v>
      </c>
      <c r="D16">
        <v>2976</v>
      </c>
      <c r="E16" s="7"/>
      <c r="F16" s="31">
        <f t="shared" ref="F16:F36" si="0">1-EXP(-$B$2*O16)</f>
        <v>2.531676820160278E-2</v>
      </c>
      <c r="G16" s="189">
        <f>F16</f>
        <v>2.531676820160278E-2</v>
      </c>
      <c r="H16" s="17">
        <f>D16*IFERROR(LN(G16),-10000)</f>
        <v>-10940.634064187379</v>
      </c>
      <c r="I16" s="7"/>
      <c r="J16" s="35">
        <f t="shared" ref="J16:J36" si="1">$B$10*F16</f>
        <v>2531.6768201602781</v>
      </c>
      <c r="K16" s="35">
        <f>J16</f>
        <v>2531.6768201602781</v>
      </c>
      <c r="L16" s="78">
        <f>ABS((D16-K16)/D16)</f>
        <v>0.14930214376334741</v>
      </c>
      <c r="M16" s="78">
        <f>ABS((C16-J16)/C16)</f>
        <v>0.14930214376334741</v>
      </c>
      <c r="N16" s="44"/>
      <c r="O16" s="35">
        <f>B16^B3*P16</f>
        <v>1.5799849102353138</v>
      </c>
      <c r="P16" s="74">
        <f>EXP(SUMPRODUCT($Q$13:$R$13,Q16:R16))</f>
        <v>1.5799849102353138</v>
      </c>
      <c r="Q16" s="2">
        <f>1550.2/(10)</f>
        <v>155.02000000000001</v>
      </c>
      <c r="R16">
        <f>$B$8*$B$9^(B16-1)</f>
        <v>1.8729062640039973</v>
      </c>
      <c r="S16"/>
      <c r="T16" s="9" t="s">
        <v>154</v>
      </c>
      <c r="U16" s="16"/>
      <c r="V16"/>
      <c r="W16"/>
      <c r="X16"/>
      <c r="Y16"/>
      <c r="Z16"/>
      <c r="AA16"/>
      <c r="AB16"/>
      <c r="AC16"/>
      <c r="AD16"/>
      <c r="AE16"/>
      <c r="AF16"/>
      <c r="AG16"/>
      <c r="AH16"/>
      <c r="AI16"/>
    </row>
    <row r="17" spans="1:35">
      <c r="A17" s="1">
        <v>34707</v>
      </c>
      <c r="B17" s="33">
        <f>1+B16</f>
        <v>2</v>
      </c>
      <c r="C17" s="2">
        <f>C16+D17</f>
        <v>5505</v>
      </c>
      <c r="D17">
        <v>2529</v>
      </c>
      <c r="F17" s="31">
        <f t="shared" si="0"/>
        <v>5.0438342357840171E-2</v>
      </c>
      <c r="G17" s="31">
        <f t="shared" ref="G17:G36" si="2">F17-F16</f>
        <v>2.5121574156237392E-2</v>
      </c>
      <c r="H17" s="17">
        <f t="shared" ref="H17:H32" si="3">D17*IFERROR(LN(G17),-10000)</f>
        <v>-9316.9075046683829</v>
      </c>
      <c r="J17" s="35">
        <f t="shared" si="1"/>
        <v>5043.8342357840174</v>
      </c>
      <c r="K17" s="35">
        <f t="shared" ref="K17:K36" si="4">J17-J16</f>
        <v>2512.1574156237393</v>
      </c>
      <c r="L17" s="78">
        <f t="shared" ref="L17:L36" si="5">ABS((D17-K17)/D17)</f>
        <v>6.6597802990354584E-3</v>
      </c>
      <c r="M17" s="78">
        <f t="shared" ref="M17:M36" si="6">ABS((D17-J17)/D17)</f>
        <v>0.99439866974456992</v>
      </c>
      <c r="N17" s="47"/>
      <c r="O17" s="35">
        <f t="shared" ref="O17:O36" si="7">O16+(B17^$B$3-B16^$B$3)*P17</f>
        <v>3.1888865671913975</v>
      </c>
      <c r="P17" s="74">
        <f t="shared" ref="P17:P36" si="8">EXP(SUMPRODUCT($Q$13:$R$13,Q17:R17))</f>
        <v>1.5533584780177072</v>
      </c>
      <c r="Q17" s="2">
        <f>1492.6/(10)</f>
        <v>149.26</v>
      </c>
      <c r="R17">
        <f>$B$8*$B$9^(B17-1)</f>
        <v>1.5690456774037282</v>
      </c>
      <c r="S17" s="67"/>
      <c r="T17"/>
      <c r="U17" s="196"/>
      <c r="V17" s="6"/>
      <c r="W17"/>
      <c r="X17"/>
      <c r="Y17"/>
      <c r="Z17"/>
      <c r="AA17"/>
      <c r="AB17"/>
      <c r="AC17"/>
      <c r="AD17"/>
      <c r="AE17"/>
      <c r="AF17"/>
      <c r="AG17"/>
      <c r="AH17"/>
      <c r="AI17"/>
    </row>
    <row r="18" spans="1:35" ht="12.75" customHeight="1">
      <c r="A18" s="1">
        <v>34714</v>
      </c>
      <c r="B18" s="33">
        <f t="shared" ref="B18:B36" si="9">1+B17</f>
        <v>3</v>
      </c>
      <c r="C18" s="2">
        <f t="shared" ref="C18:C36" si="10">C17+D18</f>
        <v>7926</v>
      </c>
      <c r="D18">
        <v>2421</v>
      </c>
      <c r="F18" s="31">
        <f t="shared" si="0"/>
        <v>8.138795299171897E-2</v>
      </c>
      <c r="G18" s="31">
        <f t="shared" si="2"/>
        <v>3.0949610633878799E-2</v>
      </c>
      <c r="H18" s="17">
        <f t="shared" si="3"/>
        <v>-8413.9309570749683</v>
      </c>
      <c r="J18" s="35">
        <f t="shared" si="1"/>
        <v>8138.7952991718967</v>
      </c>
      <c r="K18" s="35">
        <f t="shared" si="4"/>
        <v>3094.9610633878792</v>
      </c>
      <c r="L18" s="78">
        <f t="shared" si="5"/>
        <v>0.27838127360094145</v>
      </c>
      <c r="M18" s="29">
        <f t="shared" si="6"/>
        <v>2.3617494007318864</v>
      </c>
      <c r="N18" s="47"/>
      <c r="O18" s="35">
        <f t="shared" si="7"/>
        <v>5.2306056458229353</v>
      </c>
      <c r="P18" s="74">
        <f t="shared" si="8"/>
        <v>1.9450566522246837</v>
      </c>
      <c r="Q18" s="2">
        <f>2254.7/(10)</f>
        <v>225.46999999999997</v>
      </c>
      <c r="R18">
        <f>$B$8*$B$9^(B18-1)</f>
        <v>1.314483476880544</v>
      </c>
      <c r="S18" s="67"/>
      <c r="T18"/>
      <c r="U18" s="196"/>
      <c r="V18" s="6"/>
      <c r="W18"/>
      <c r="Y18"/>
      <c r="Z18"/>
      <c r="AA18"/>
      <c r="AB18"/>
      <c r="AC18"/>
      <c r="AD18"/>
      <c r="AE18"/>
      <c r="AF18"/>
      <c r="AG18"/>
      <c r="AH18"/>
      <c r="AI18"/>
    </row>
    <row r="19" spans="1:35">
      <c r="A19" s="1">
        <v>34721</v>
      </c>
      <c r="B19" s="33">
        <f t="shared" si="9"/>
        <v>4</v>
      </c>
      <c r="C19" s="2">
        <f t="shared" si="10"/>
        <v>10311</v>
      </c>
      <c r="D19">
        <v>2385</v>
      </c>
      <c r="F19" s="31">
        <f t="shared" si="0"/>
        <v>0.10998837209249657</v>
      </c>
      <c r="G19" s="31">
        <f t="shared" si="2"/>
        <v>2.8600419100777597E-2</v>
      </c>
      <c r="H19" s="17">
        <f t="shared" si="3"/>
        <v>-8477.0863691259965</v>
      </c>
      <c r="J19" s="35">
        <f t="shared" si="1"/>
        <v>10998.837209249657</v>
      </c>
      <c r="K19" s="35">
        <f t="shared" si="4"/>
        <v>2860.0419100777608</v>
      </c>
      <c r="L19" s="78">
        <f t="shared" si="5"/>
        <v>0.19917899793616806</v>
      </c>
      <c r="M19" s="29">
        <f t="shared" si="6"/>
        <v>3.6116717858489129</v>
      </c>
      <c r="N19" s="47"/>
      <c r="O19" s="35">
        <f t="shared" si="7"/>
        <v>7.1794569566051152</v>
      </c>
      <c r="P19" s="74">
        <f t="shared" si="8"/>
        <v>1.8405312771672777</v>
      </c>
      <c r="Q19" s="2">
        <f>2067.5/(10)</f>
        <v>206.75</v>
      </c>
      <c r="R19">
        <f>$B$8*$B$9^(B19-1)</f>
        <v>1.101221485056467</v>
      </c>
      <c r="S19" s="67"/>
      <c r="T19"/>
      <c r="U19" s="196"/>
      <c r="V19"/>
      <c r="W19"/>
      <c r="X19"/>
      <c r="Y19"/>
      <c r="Z19"/>
      <c r="AA19"/>
      <c r="AB19"/>
      <c r="AC19"/>
      <c r="AD19"/>
      <c r="AE19"/>
      <c r="AF19"/>
      <c r="AG19"/>
      <c r="AH19"/>
      <c r="AI19"/>
    </row>
    <row r="20" spans="1:35">
      <c r="A20" s="1">
        <v>34728</v>
      </c>
      <c r="B20" s="33">
        <f t="shared" si="9"/>
        <v>5</v>
      </c>
      <c r="C20" s="2">
        <f t="shared" si="10"/>
        <v>12941</v>
      </c>
      <c r="D20">
        <v>2630</v>
      </c>
      <c r="F20" s="31">
        <f t="shared" si="0"/>
        <v>0.13735908216662274</v>
      </c>
      <c r="G20" s="31">
        <f t="shared" si="2"/>
        <v>2.737071007412617E-2</v>
      </c>
      <c r="H20" s="17">
        <f t="shared" si="3"/>
        <v>-9463.4811675237415</v>
      </c>
      <c r="J20" s="35">
        <f t="shared" si="1"/>
        <v>13735.908216662274</v>
      </c>
      <c r="K20" s="35">
        <f t="shared" si="4"/>
        <v>2737.0710074126164</v>
      </c>
      <c r="L20" s="78">
        <f t="shared" si="5"/>
        <v>4.0711409662591777E-2</v>
      </c>
      <c r="M20" s="70">
        <f t="shared" si="6"/>
        <v>4.2227787896054272</v>
      </c>
      <c r="N20" s="47"/>
      <c r="O20" s="35">
        <f t="shared" si="7"/>
        <v>9.104071934909804</v>
      </c>
      <c r="P20" s="74">
        <f t="shared" si="8"/>
        <v>1.8059402287436459</v>
      </c>
      <c r="Q20" s="2">
        <f>2003.2/(10)</f>
        <v>200.32</v>
      </c>
      <c r="R20">
        <f t="shared" ref="R20:R36" si="11">$B$8*$B$9^(B20-1)</f>
        <v>0.92255915002283106</v>
      </c>
      <c r="S20" s="67"/>
      <c r="T20"/>
      <c r="U20" s="196"/>
      <c r="V20"/>
      <c r="W20"/>
      <c r="X20"/>
      <c r="Y20"/>
      <c r="Z20"/>
      <c r="AA20"/>
      <c r="AB20"/>
      <c r="AC20"/>
      <c r="AD20"/>
      <c r="AE20"/>
      <c r="AF20"/>
      <c r="AG20"/>
      <c r="AH20"/>
      <c r="AI20"/>
    </row>
    <row r="21" spans="1:35">
      <c r="A21" s="1">
        <v>34735</v>
      </c>
      <c r="B21" s="33">
        <f t="shared" si="9"/>
        <v>6</v>
      </c>
      <c r="C21" s="2">
        <f t="shared" si="10"/>
        <v>15735</v>
      </c>
      <c r="D21">
        <v>2794</v>
      </c>
      <c r="F21" s="31">
        <f t="shared" si="0"/>
        <v>0.16682222879035358</v>
      </c>
      <c r="G21" s="31">
        <f t="shared" si="2"/>
        <v>2.946314662373084E-2</v>
      </c>
      <c r="H21" s="17">
        <f t="shared" si="3"/>
        <v>-9847.7744877348705</v>
      </c>
      <c r="J21" s="35">
        <f t="shared" si="1"/>
        <v>16682.222879035358</v>
      </c>
      <c r="K21" s="35">
        <f t="shared" si="4"/>
        <v>2946.3146623730845</v>
      </c>
      <c r="L21" s="78">
        <f t="shared" si="5"/>
        <v>5.4514911371898532E-2</v>
      </c>
      <c r="M21" s="70">
        <f t="shared" si="6"/>
        <v>4.9707311664407152</v>
      </c>
      <c r="N21" s="47"/>
      <c r="O21" s="35">
        <f t="shared" si="7"/>
        <v>11.245294094830594</v>
      </c>
      <c r="P21" s="74">
        <f t="shared" si="8"/>
        <v>1.9988758478020454</v>
      </c>
      <c r="Q21" s="2">
        <f>2347.2/(10)</f>
        <v>234.71999999999997</v>
      </c>
      <c r="R21">
        <f t="shared" si="11"/>
        <v>0.77288301839407558</v>
      </c>
      <c r="S21" s="67"/>
      <c r="T21"/>
      <c r="U21"/>
      <c r="V21"/>
      <c r="W21"/>
      <c r="X21"/>
      <c r="Y21"/>
      <c r="Z21"/>
      <c r="AA21"/>
      <c r="AB21"/>
      <c r="AC21"/>
      <c r="AD21"/>
      <c r="AE21"/>
      <c r="AF21"/>
      <c r="AG21"/>
      <c r="AH21"/>
      <c r="AI21"/>
    </row>
    <row r="22" spans="1:35">
      <c r="A22" s="1">
        <v>34742</v>
      </c>
      <c r="B22" s="33">
        <f t="shared" si="9"/>
        <v>7</v>
      </c>
      <c r="C22" s="2">
        <f t="shared" si="10"/>
        <v>18435</v>
      </c>
      <c r="D22">
        <v>2700</v>
      </c>
      <c r="F22" s="31">
        <f t="shared" si="0"/>
        <v>0.1986880817531762</v>
      </c>
      <c r="G22" s="31">
        <f t="shared" si="2"/>
        <v>3.1865852962822627E-2</v>
      </c>
      <c r="H22" s="17">
        <f t="shared" si="3"/>
        <v>-9304.7947629075788</v>
      </c>
      <c r="J22" s="35">
        <f t="shared" si="1"/>
        <v>19868.808175317619</v>
      </c>
      <c r="K22" s="35">
        <f t="shared" si="4"/>
        <v>3186.585296282261</v>
      </c>
      <c r="L22" s="78">
        <f t="shared" si="5"/>
        <v>0.18021677640083739</v>
      </c>
      <c r="M22" s="70">
        <f t="shared" si="6"/>
        <v>6.3588178427102298</v>
      </c>
      <c r="N22" s="47"/>
      <c r="O22" s="35">
        <f t="shared" si="7"/>
        <v>13.64808904714263</v>
      </c>
      <c r="P22" s="74">
        <f t="shared" si="8"/>
        <v>2.2334784996127284</v>
      </c>
      <c r="Q22" s="2">
        <f>2723.3/(10)</f>
        <v>272.33000000000004</v>
      </c>
      <c r="R22">
        <f t="shared" si="11"/>
        <v>0.64749036428412643</v>
      </c>
      <c r="S22" s="67"/>
      <c r="T22"/>
      <c r="U22" s="16" t="s">
        <v>3</v>
      </c>
      <c r="V22"/>
      <c r="W22"/>
      <c r="X22"/>
      <c r="Y22"/>
      <c r="Z22"/>
      <c r="AA22"/>
      <c r="AB22"/>
      <c r="AC22"/>
      <c r="AD22"/>
      <c r="AE22"/>
      <c r="AF22"/>
      <c r="AG22"/>
      <c r="AH22"/>
      <c r="AI22"/>
    </row>
    <row r="23" spans="1:35">
      <c r="A23" s="1">
        <v>34749</v>
      </c>
      <c r="B23" s="33">
        <f t="shared" si="9"/>
        <v>8</v>
      </c>
      <c r="C23" s="2">
        <f t="shared" si="10"/>
        <v>21605</v>
      </c>
      <c r="D23">
        <v>3170</v>
      </c>
      <c r="F23" s="31">
        <f t="shared" si="0"/>
        <v>0.22794737784474439</v>
      </c>
      <c r="G23" s="31">
        <f t="shared" si="2"/>
        <v>2.9259296091568188E-2</v>
      </c>
      <c r="H23" s="17">
        <f t="shared" si="3"/>
        <v>-11195.038672020404</v>
      </c>
      <c r="J23" s="35">
        <f t="shared" si="1"/>
        <v>22794.737784474441</v>
      </c>
      <c r="K23" s="35">
        <f t="shared" si="4"/>
        <v>2925.9296091568212</v>
      </c>
      <c r="L23" s="78">
        <f t="shared" si="5"/>
        <v>7.6993814146113171E-2</v>
      </c>
      <c r="M23" s="70">
        <f t="shared" si="6"/>
        <v>6.1907690171843663</v>
      </c>
      <c r="N23" s="47"/>
      <c r="O23" s="35">
        <f t="shared" si="7"/>
        <v>15.940027250191296</v>
      </c>
      <c r="P23" s="74">
        <f t="shared" si="8"/>
        <v>2.1226406584757962</v>
      </c>
      <c r="Q23" s="2">
        <f>2550.8/(10)</f>
        <v>255.08</v>
      </c>
      <c r="R23">
        <f t="shared" si="11"/>
        <v>0.54244143274348389</v>
      </c>
      <c r="S23" s="67"/>
      <c r="T23"/>
      <c r="U23" s="6" t="s">
        <v>47</v>
      </c>
      <c r="V23"/>
      <c r="W23"/>
      <c r="X23"/>
      <c r="Y23" t="s">
        <v>48</v>
      </c>
      <c r="Z23"/>
      <c r="AA23"/>
      <c r="AB23"/>
      <c r="AC23"/>
      <c r="AD23"/>
      <c r="AE23"/>
      <c r="AF23"/>
      <c r="AG23"/>
      <c r="AH23"/>
      <c r="AI23"/>
    </row>
    <row r="24" spans="1:35">
      <c r="A24" s="1">
        <v>34756</v>
      </c>
      <c r="B24" s="33">
        <f t="shared" si="9"/>
        <v>9</v>
      </c>
      <c r="C24" s="2">
        <f t="shared" si="10"/>
        <v>24172</v>
      </c>
      <c r="D24">
        <v>2567</v>
      </c>
      <c r="F24" s="31">
        <f t="shared" si="0"/>
        <v>0.25859603100281403</v>
      </c>
      <c r="G24" s="31">
        <f t="shared" si="2"/>
        <v>3.0648653158069639E-2</v>
      </c>
      <c r="H24" s="17">
        <f t="shared" si="3"/>
        <v>-8946.4225600485224</v>
      </c>
      <c r="J24" s="35">
        <f t="shared" si="1"/>
        <v>25859.603100281402</v>
      </c>
      <c r="K24" s="35">
        <f t="shared" si="4"/>
        <v>3064.865315806961</v>
      </c>
      <c r="L24" s="78">
        <f t="shared" si="5"/>
        <v>0.1939483115726377</v>
      </c>
      <c r="M24" s="70">
        <f t="shared" si="6"/>
        <v>9.0738617453375152</v>
      </c>
      <c r="N24" s="47"/>
      <c r="O24" s="35">
        <f t="shared" si="7"/>
        <v>18.435880915767182</v>
      </c>
      <c r="P24" s="74">
        <f t="shared" si="8"/>
        <v>2.3040995964611124</v>
      </c>
      <c r="Q24" s="2">
        <f>2828.8/(10)</f>
        <v>282.88</v>
      </c>
      <c r="R24">
        <f t="shared" si="11"/>
        <v>0.45443565524271856</v>
      </c>
      <c r="S24" s="67"/>
      <c r="T24"/>
      <c r="U24" s="87" t="s">
        <v>141</v>
      </c>
      <c r="V24"/>
      <c r="W24"/>
      <c r="X24"/>
      <c r="Y24"/>
      <c r="Z24"/>
      <c r="AA24"/>
      <c r="AB24"/>
      <c r="AC24"/>
      <c r="AD24"/>
      <c r="AE24"/>
      <c r="AF24"/>
      <c r="AG24"/>
      <c r="AH24"/>
      <c r="AI24"/>
    </row>
    <row r="25" spans="1:35">
      <c r="A25" s="1">
        <v>34763</v>
      </c>
      <c r="B25" s="33">
        <f t="shared" si="9"/>
        <v>10</v>
      </c>
      <c r="C25" s="2">
        <f t="shared" si="10"/>
        <v>27581</v>
      </c>
      <c r="D25">
        <v>3409</v>
      </c>
      <c r="F25" s="31">
        <f t="shared" si="0"/>
        <v>0.29143083422928773</v>
      </c>
      <c r="G25" s="31">
        <f t="shared" si="2"/>
        <v>3.2834803226473697E-2</v>
      </c>
      <c r="H25" s="17">
        <f t="shared" si="3"/>
        <v>-11646.051653597346</v>
      </c>
      <c r="J25" s="35">
        <f t="shared" si="1"/>
        <v>29143.083422928772</v>
      </c>
      <c r="K25" s="35">
        <f t="shared" si="4"/>
        <v>3283.4803226473705</v>
      </c>
      <c r="L25" s="78">
        <f t="shared" si="5"/>
        <v>3.6820087225764013E-2</v>
      </c>
      <c r="M25" s="29">
        <f t="shared" si="6"/>
        <v>7.5488657738130751</v>
      </c>
      <c r="N25" s="47"/>
      <c r="O25" s="35">
        <f t="shared" si="7"/>
        <v>21.226927145517998</v>
      </c>
      <c r="P25" s="74">
        <f t="shared" si="8"/>
        <v>2.569289201615395</v>
      </c>
      <c r="Q25" s="2">
        <f>3198/(10)</f>
        <v>319.8</v>
      </c>
      <c r="R25">
        <f t="shared" si="11"/>
        <v>0.3807079479740566</v>
      </c>
      <c r="S25" s="67"/>
      <c r="T25"/>
      <c r="U25" s="6" t="s">
        <v>146</v>
      </c>
      <c r="V25"/>
      <c r="W25"/>
      <c r="X25"/>
      <c r="Y25"/>
      <c r="Z25"/>
      <c r="AA25"/>
      <c r="AB25"/>
      <c r="AC25"/>
      <c r="AD25"/>
      <c r="AE25"/>
      <c r="AF25"/>
      <c r="AG25"/>
      <c r="AH25"/>
      <c r="AI25"/>
    </row>
    <row r="26" spans="1:35">
      <c r="A26" s="1">
        <v>34770</v>
      </c>
      <c r="B26" s="33">
        <f t="shared" si="9"/>
        <v>11</v>
      </c>
      <c r="C26" s="2">
        <f t="shared" si="10"/>
        <v>30651</v>
      </c>
      <c r="D26">
        <v>3070</v>
      </c>
      <c r="F26" s="31">
        <f t="shared" si="0"/>
        <v>0.32104770076806421</v>
      </c>
      <c r="G26" s="31">
        <f t="shared" si="2"/>
        <v>2.9616866538776487E-2</v>
      </c>
      <c r="H26" s="17">
        <f t="shared" si="3"/>
        <v>-10804.592581818899</v>
      </c>
      <c r="J26" s="35">
        <f t="shared" si="1"/>
        <v>32104.770076806421</v>
      </c>
      <c r="K26" s="35">
        <f t="shared" si="4"/>
        <v>2961.6866538776485</v>
      </c>
      <c r="L26" s="78">
        <f t="shared" si="5"/>
        <v>3.5281220235293648E-2</v>
      </c>
      <c r="M26" s="29">
        <f t="shared" si="6"/>
        <v>9.4575798295786377</v>
      </c>
      <c r="N26" s="47"/>
      <c r="O26" s="35">
        <f t="shared" si="7"/>
        <v>23.85770200973213</v>
      </c>
      <c r="P26" s="74">
        <f t="shared" si="8"/>
        <v>2.4155583169174015</v>
      </c>
      <c r="Q26" s="2">
        <f>2988.9/(10)</f>
        <v>298.89</v>
      </c>
      <c r="R26">
        <f t="shared" si="11"/>
        <v>0.31894183473170445</v>
      </c>
      <c r="S26" s="67"/>
      <c r="T26"/>
      <c r="V26"/>
      <c r="W26"/>
      <c r="X26"/>
      <c r="Y26"/>
      <c r="Z26"/>
      <c r="AA26"/>
      <c r="AB26"/>
      <c r="AC26"/>
      <c r="AD26"/>
      <c r="AE26"/>
      <c r="AF26"/>
      <c r="AG26"/>
      <c r="AH26"/>
      <c r="AI26"/>
    </row>
    <row r="27" spans="1:35">
      <c r="A27" s="1">
        <v>34777</v>
      </c>
      <c r="B27" s="33">
        <f t="shared" si="9"/>
        <v>12</v>
      </c>
      <c r="C27" s="2">
        <f t="shared" si="10"/>
        <v>33833</v>
      </c>
      <c r="D27">
        <v>3182</v>
      </c>
      <c r="F27" s="31">
        <f t="shared" si="0"/>
        <v>0.34312370779346435</v>
      </c>
      <c r="G27" s="31">
        <f t="shared" si="2"/>
        <v>2.2076007025400135E-2</v>
      </c>
      <c r="H27" s="17">
        <f t="shared" si="3"/>
        <v>-12133.805778064345</v>
      </c>
      <c r="J27" s="35">
        <f t="shared" si="1"/>
        <v>34312.370779346435</v>
      </c>
      <c r="K27" s="35">
        <f t="shared" si="4"/>
        <v>2207.600702540014</v>
      </c>
      <c r="L27" s="78">
        <f t="shared" si="5"/>
        <v>0.30622228078566499</v>
      </c>
      <c r="M27" s="29">
        <f t="shared" si="6"/>
        <v>9.7832717722647509</v>
      </c>
      <c r="N27" s="47"/>
      <c r="O27" s="35">
        <f t="shared" si="7"/>
        <v>25.894404742781624</v>
      </c>
      <c r="P27" s="74">
        <f t="shared" si="8"/>
        <v>1.8657384539571795</v>
      </c>
      <c r="Q27" s="2">
        <f>2113.6/(10)</f>
        <v>211.35999999999999</v>
      </c>
      <c r="R27">
        <f t="shared" si="11"/>
        <v>0.26719666474879555</v>
      </c>
      <c r="S27" s="67"/>
      <c r="T27"/>
      <c r="V27"/>
      <c r="W27"/>
      <c r="X27"/>
      <c r="Y27"/>
      <c r="Z27"/>
      <c r="AA27"/>
      <c r="AB27"/>
      <c r="AC27"/>
      <c r="AD27"/>
      <c r="AE27"/>
      <c r="AF27"/>
      <c r="AG27"/>
      <c r="AH27"/>
      <c r="AI27"/>
    </row>
    <row r="28" spans="1:35">
      <c r="A28" s="1">
        <v>34784</v>
      </c>
      <c r="B28" s="33">
        <f t="shared" si="9"/>
        <v>13</v>
      </c>
      <c r="C28" s="2">
        <f t="shared" si="10"/>
        <v>36539</v>
      </c>
      <c r="D28">
        <v>2706</v>
      </c>
      <c r="F28" s="31">
        <f t="shared" si="0"/>
        <v>0.36318481174396966</v>
      </c>
      <c r="G28" s="31">
        <f t="shared" si="2"/>
        <v>2.006110395050531E-2</v>
      </c>
      <c r="H28" s="17">
        <f t="shared" si="3"/>
        <v>-10577.679491736611</v>
      </c>
      <c r="J28" s="35">
        <f t="shared" si="1"/>
        <v>36318.481174396969</v>
      </c>
      <c r="K28" s="35">
        <f t="shared" si="4"/>
        <v>2006.1103950505349</v>
      </c>
      <c r="L28" s="78">
        <f t="shared" si="5"/>
        <v>0.258643608628775</v>
      </c>
      <c r="M28" s="29">
        <f t="shared" si="6"/>
        <v>12.421463848631548</v>
      </c>
      <c r="N28" s="47"/>
      <c r="O28" s="35">
        <f t="shared" si="7"/>
        <v>27.805477581241494</v>
      </c>
      <c r="P28" s="74">
        <f t="shared" si="8"/>
        <v>1.7469241930790853</v>
      </c>
      <c r="Q28" s="2">
        <f>1890.6/(10)</f>
        <v>189.06</v>
      </c>
      <c r="R28">
        <f t="shared" si="11"/>
        <v>0.22384663872313046</v>
      </c>
      <c r="S28" s="67"/>
      <c r="T28"/>
      <c r="U28"/>
      <c r="V28" s="6" t="s">
        <v>152</v>
      </c>
      <c r="W28"/>
      <c r="X28"/>
      <c r="Y28"/>
      <c r="Z28"/>
      <c r="AA28"/>
      <c r="AB28"/>
      <c r="AC28"/>
      <c r="AD28"/>
      <c r="AE28"/>
      <c r="AF28"/>
      <c r="AG28"/>
      <c r="AH28"/>
      <c r="AI28"/>
    </row>
    <row r="29" spans="1:35">
      <c r="A29" s="1">
        <v>34791</v>
      </c>
      <c r="B29" s="33">
        <f t="shared" si="9"/>
        <v>14</v>
      </c>
      <c r="C29" s="2">
        <f t="shared" si="10"/>
        <v>38429</v>
      </c>
      <c r="D29">
        <v>1890</v>
      </c>
      <c r="E29" s="54"/>
      <c r="F29" s="139">
        <f t="shared" si="0"/>
        <v>0.38251366549012566</v>
      </c>
      <c r="G29" s="139">
        <f t="shared" si="2"/>
        <v>1.9328853746156005E-2</v>
      </c>
      <c r="H29" s="17">
        <f t="shared" si="3"/>
        <v>-7458.2353819312275</v>
      </c>
      <c r="I29" s="54"/>
      <c r="J29" s="56">
        <f t="shared" si="1"/>
        <v>38251.366549012564</v>
      </c>
      <c r="K29" s="56">
        <f t="shared" si="4"/>
        <v>1932.8853746155946</v>
      </c>
      <c r="L29" s="78">
        <f t="shared" si="5"/>
        <v>2.2690674399785518E-2</v>
      </c>
      <c r="M29" s="78">
        <f t="shared" si="6"/>
        <v>19.238818279900826</v>
      </c>
      <c r="N29" s="47"/>
      <c r="O29" s="56">
        <f t="shared" si="7"/>
        <v>29.704616994507106</v>
      </c>
      <c r="P29" s="74">
        <f t="shared" si="8"/>
        <v>1.7326018261931171</v>
      </c>
      <c r="Q29" s="2">
        <f>1862.7/(10)</f>
        <v>186.27</v>
      </c>
      <c r="R29">
        <f t="shared" si="11"/>
        <v>0.18752972726943276</v>
      </c>
      <c r="S29" s="141"/>
      <c r="T29"/>
      <c r="U29" s="4">
        <v>34700</v>
      </c>
      <c r="V29" s="93" t="s">
        <v>158</v>
      </c>
      <c r="W29" s="9" t="s">
        <v>154</v>
      </c>
      <c r="X29"/>
      <c r="Y29"/>
      <c r="Z29"/>
      <c r="AA29"/>
      <c r="AB29"/>
      <c r="AC29"/>
      <c r="AD29"/>
      <c r="AE29"/>
      <c r="AF29"/>
      <c r="AG29"/>
      <c r="AH29"/>
      <c r="AI29"/>
    </row>
    <row r="30" spans="1:35">
      <c r="A30" s="1">
        <v>34798</v>
      </c>
      <c r="B30" s="33">
        <f t="shared" si="9"/>
        <v>15</v>
      </c>
      <c r="C30" s="2">
        <f t="shared" si="10"/>
        <v>40052</v>
      </c>
      <c r="D30">
        <v>1623</v>
      </c>
      <c r="E30" s="17"/>
      <c r="F30" s="31">
        <f t="shared" si="0"/>
        <v>0.39818759299826456</v>
      </c>
      <c r="G30" s="31">
        <f t="shared" si="2"/>
        <v>1.5673927508138896E-2</v>
      </c>
      <c r="H30" s="17">
        <f t="shared" si="3"/>
        <v>-6744.7929866925151</v>
      </c>
      <c r="J30" s="35">
        <f t="shared" si="1"/>
        <v>39818.759299826459</v>
      </c>
      <c r="K30" s="35">
        <f t="shared" si="4"/>
        <v>1567.392750813895</v>
      </c>
      <c r="L30" s="78">
        <f t="shared" si="5"/>
        <v>3.4262014285955045E-2</v>
      </c>
      <c r="M30" s="78">
        <f t="shared" si="6"/>
        <v>23.534047627742734</v>
      </c>
      <c r="N30" s="47"/>
      <c r="O30" s="35">
        <f t="shared" si="7"/>
        <v>31.288816771052943</v>
      </c>
      <c r="P30" s="74">
        <f t="shared" si="8"/>
        <v>1.4426405697830673</v>
      </c>
      <c r="Q30" s="2">
        <f>1242/(10)</f>
        <v>124.2</v>
      </c>
      <c r="R30">
        <f t="shared" si="11"/>
        <v>0.15710487684939237</v>
      </c>
      <c r="S30" s="67"/>
      <c r="T30"/>
      <c r="U30" s="4">
        <v>34706</v>
      </c>
      <c r="V30" s="2">
        <v>35</v>
      </c>
      <c r="W30" s="9" t="s">
        <v>154</v>
      </c>
      <c r="X30"/>
      <c r="Y30"/>
      <c r="Z30"/>
      <c r="AA30"/>
      <c r="AB30"/>
      <c r="AC30"/>
      <c r="AD30"/>
      <c r="AE30"/>
      <c r="AF30"/>
      <c r="AG30"/>
      <c r="AH30"/>
      <c r="AI30"/>
    </row>
    <row r="31" spans="1:35">
      <c r="A31" s="1">
        <v>34805</v>
      </c>
      <c r="B31" s="33">
        <f t="shared" si="9"/>
        <v>16</v>
      </c>
      <c r="C31" s="2">
        <f t="shared" si="10"/>
        <v>41639</v>
      </c>
      <c r="D31">
        <v>1587</v>
      </c>
      <c r="E31" s="17"/>
      <c r="F31" s="31">
        <f t="shared" si="0"/>
        <v>0.41146440168521625</v>
      </c>
      <c r="G31" s="31">
        <f t="shared" si="2"/>
        <v>1.3276808686951691E-2</v>
      </c>
      <c r="H31" s="17">
        <f t="shared" si="3"/>
        <v>-6858.5957834926649</v>
      </c>
      <c r="J31" s="35">
        <f t="shared" si="1"/>
        <v>41146.440168521622</v>
      </c>
      <c r="K31" s="35">
        <f t="shared" si="4"/>
        <v>1327.6808686951626</v>
      </c>
      <c r="L31" s="78">
        <f t="shared" si="5"/>
        <v>0.1634020991208805</v>
      </c>
      <c r="M31" s="78">
        <f t="shared" si="6"/>
        <v>24.927183471028115</v>
      </c>
      <c r="N31" s="47"/>
      <c r="O31" s="35">
        <f t="shared" si="7"/>
        <v>32.663352632263667</v>
      </c>
      <c r="P31" s="74">
        <f t="shared" si="8"/>
        <v>1.2495784780252013</v>
      </c>
      <c r="Q31" s="2">
        <f>755.1/(10)</f>
        <v>75.510000000000005</v>
      </c>
      <c r="R31">
        <f t="shared" si="11"/>
        <v>0.13161615861788695</v>
      </c>
      <c r="S31" s="67"/>
      <c r="T31"/>
      <c r="U31" s="91">
        <v>34713</v>
      </c>
      <c r="V31">
        <v>37</v>
      </c>
      <c r="W31" s="9" t="s">
        <v>154</v>
      </c>
      <c r="X31"/>
      <c r="Y31"/>
      <c r="Z31"/>
      <c r="AA31"/>
      <c r="AB31"/>
      <c r="AC31"/>
      <c r="AD31"/>
      <c r="AE31"/>
      <c r="AF31"/>
      <c r="AG31"/>
      <c r="AH31"/>
      <c r="AI31"/>
    </row>
    <row r="32" spans="1:35">
      <c r="A32" s="1">
        <v>34812</v>
      </c>
      <c r="B32" s="33">
        <f t="shared" si="9"/>
        <v>17</v>
      </c>
      <c r="C32" s="2">
        <f t="shared" si="10"/>
        <v>43146</v>
      </c>
      <c r="D32">
        <v>1507</v>
      </c>
      <c r="E32" s="17"/>
      <c r="F32" s="31">
        <f t="shared" si="0"/>
        <v>0.42378851713080179</v>
      </c>
      <c r="G32" s="31">
        <f t="shared" si="2"/>
        <v>1.2324115445585537E-2</v>
      </c>
      <c r="H32" s="17">
        <f t="shared" si="3"/>
        <v>-6625.0693774398869</v>
      </c>
      <c r="J32" s="35">
        <f t="shared" si="1"/>
        <v>42378.851713080177</v>
      </c>
      <c r="K32" s="35">
        <f t="shared" si="4"/>
        <v>1232.4115445585558</v>
      </c>
      <c r="L32" s="78">
        <f t="shared" si="5"/>
        <v>0.18220866319936579</v>
      </c>
      <c r="M32" s="78">
        <f t="shared" si="6"/>
        <v>27.121334912461961</v>
      </c>
      <c r="N32" s="47"/>
      <c r="O32" s="35">
        <f t="shared" si="7"/>
        <v>33.967295763211887</v>
      </c>
      <c r="P32" s="74">
        <f t="shared" si="8"/>
        <v>1.1835094718706984</v>
      </c>
      <c r="Q32" s="2">
        <f>571/(10)</f>
        <v>57.1</v>
      </c>
      <c r="R32">
        <f t="shared" si="11"/>
        <v>0.11026273376564359</v>
      </c>
      <c r="S32" s="67"/>
      <c r="T32"/>
      <c r="U32" s="91">
        <v>34720</v>
      </c>
      <c r="V32" s="2">
        <v>36</v>
      </c>
      <c r="W32" s="2" t="s">
        <v>156</v>
      </c>
      <c r="X32"/>
      <c r="Y32"/>
      <c r="Z32"/>
      <c r="AA32"/>
      <c r="AB32"/>
      <c r="AC32"/>
      <c r="AD32"/>
      <c r="AE32"/>
      <c r="AF32"/>
      <c r="AG32"/>
      <c r="AH32"/>
      <c r="AI32"/>
    </row>
    <row r="33" spans="1:35" s="40" customFormat="1">
      <c r="A33" s="165">
        <v>34819</v>
      </c>
      <c r="B33" s="142">
        <f t="shared" si="9"/>
        <v>18</v>
      </c>
      <c r="C33" s="40">
        <f t="shared" si="10"/>
        <v>44446</v>
      </c>
      <c r="D33" s="166">
        <v>1300</v>
      </c>
      <c r="E33" s="167"/>
      <c r="F33" s="168">
        <f t="shared" si="0"/>
        <v>0.43552410458375213</v>
      </c>
      <c r="G33" s="168">
        <f t="shared" si="2"/>
        <v>1.1735587452950336E-2</v>
      </c>
      <c r="H33" s="167">
        <f>(B10-SUM(D16:D33))*IFERROR(LN(1-F33),-10000)</f>
        <v>-31768.976947766052</v>
      </c>
      <c r="J33" s="169">
        <f t="shared" si="1"/>
        <v>43552.410458375212</v>
      </c>
      <c r="K33" s="169">
        <f t="shared" si="4"/>
        <v>1173.5587452950349</v>
      </c>
      <c r="L33" s="78">
        <f t="shared" si="5"/>
        <v>9.7262503619203924E-2</v>
      </c>
      <c r="M33" s="70">
        <f t="shared" si="6"/>
        <v>32.501854198750166</v>
      </c>
      <c r="N33" s="169"/>
      <c r="O33" s="169">
        <f t="shared" si="7"/>
        <v>35.235157330392965</v>
      </c>
      <c r="P33" s="74">
        <f t="shared" si="8"/>
        <v>1.149030200339874</v>
      </c>
      <c r="Q33" s="2">
        <f>470.8/(10)</f>
        <v>47.08</v>
      </c>
      <c r="R33">
        <f t="shared" si="11"/>
        <v>9.2373691689106321E-2</v>
      </c>
      <c r="S33" s="170"/>
      <c r="T33" s="166"/>
      <c r="U33" s="175">
        <v>34727</v>
      </c>
      <c r="V33" s="166">
        <v>35</v>
      </c>
      <c r="W33" s="166" t="s">
        <v>153</v>
      </c>
      <c r="X33" s="166"/>
      <c r="Y33" s="166"/>
      <c r="Z33" s="166"/>
      <c r="AA33" s="166"/>
      <c r="AB33" s="166"/>
      <c r="AC33" s="166"/>
      <c r="AD33" s="166"/>
      <c r="AE33" s="166"/>
      <c r="AF33" s="166"/>
      <c r="AG33" s="166"/>
      <c r="AH33" s="166"/>
      <c r="AI33" s="166"/>
    </row>
    <row r="34" spans="1:35" s="46" customFormat="1">
      <c r="A34" s="1">
        <v>34826</v>
      </c>
      <c r="B34" s="33">
        <f t="shared" si="9"/>
        <v>19</v>
      </c>
      <c r="C34" s="2">
        <f t="shared" si="10"/>
        <v>45573</v>
      </c>
      <c r="D34">
        <v>1127</v>
      </c>
      <c r="E34" s="17"/>
      <c r="F34" s="31">
        <f t="shared" si="0"/>
        <v>0.44749063101477893</v>
      </c>
      <c r="G34" s="31">
        <f t="shared" si="2"/>
        <v>1.1966526431026803E-2</v>
      </c>
      <c r="H34"/>
      <c r="I34" s="2"/>
      <c r="J34" s="35">
        <f t="shared" si="1"/>
        <v>44749.063101477892</v>
      </c>
      <c r="K34" s="35">
        <f t="shared" si="4"/>
        <v>1196.6526431026796</v>
      </c>
      <c r="L34" s="78">
        <f t="shared" si="5"/>
        <v>6.1803587491286227E-2</v>
      </c>
      <c r="M34" s="78">
        <f t="shared" si="6"/>
        <v>38.706355901932469</v>
      </c>
      <c r="N34" s="47"/>
      <c r="O34" s="35">
        <f t="shared" si="7"/>
        <v>36.555405555200707</v>
      </c>
      <c r="P34" s="74">
        <f t="shared" si="8"/>
        <v>1.1948078304939185</v>
      </c>
      <c r="Q34" s="2">
        <f>603.2/(10)</f>
        <v>60.320000000000007</v>
      </c>
      <c r="R34">
        <f t="shared" si="11"/>
        <v>7.7386970419309573E-2</v>
      </c>
      <c r="S34" s="67"/>
      <c r="T34"/>
      <c r="U34" s="91">
        <v>34734</v>
      </c>
      <c r="V34" s="2">
        <v>35</v>
      </c>
      <c r="W34" t="s">
        <v>157</v>
      </c>
      <c r="X34"/>
      <c r="Y34"/>
      <c r="Z34"/>
      <c r="AA34"/>
      <c r="AB34"/>
      <c r="AC34"/>
      <c r="AD34"/>
      <c r="AE34"/>
      <c r="AF34"/>
      <c r="AG34"/>
      <c r="AH34"/>
      <c r="AI34"/>
    </row>
    <row r="35" spans="1:35">
      <c r="A35" s="1">
        <v>34833</v>
      </c>
      <c r="B35" s="33">
        <f t="shared" si="9"/>
        <v>20</v>
      </c>
      <c r="C35" s="2">
        <f t="shared" si="10"/>
        <v>46570</v>
      </c>
      <c r="D35">
        <v>997</v>
      </c>
      <c r="E35" s="17"/>
      <c r="F35" s="31">
        <f t="shared" si="0"/>
        <v>0.45894799282766574</v>
      </c>
      <c r="G35" s="31">
        <f t="shared" si="2"/>
        <v>1.1457361812886813E-2</v>
      </c>
      <c r="H35" s="17"/>
      <c r="J35" s="35">
        <f t="shared" si="1"/>
        <v>45894.799282766573</v>
      </c>
      <c r="K35" s="35">
        <f t="shared" si="4"/>
        <v>1145.7361812886811</v>
      </c>
      <c r="L35" s="78">
        <f t="shared" si="5"/>
        <v>0.14918373248613953</v>
      </c>
      <c r="M35" s="78">
        <f t="shared" si="6"/>
        <v>45.03289797669666</v>
      </c>
      <c r="N35" s="47"/>
      <c r="O35" s="35">
        <f t="shared" si="7"/>
        <v>37.846552501117415</v>
      </c>
      <c r="P35" s="74">
        <f t="shared" si="8"/>
        <v>1.1668996603146171</v>
      </c>
      <c r="Q35" s="2">
        <f>523.1/(10)</f>
        <v>52.31</v>
      </c>
      <c r="R35">
        <f t="shared" si="11"/>
        <v>6.4831697003459185E-2</v>
      </c>
      <c r="S35" s="67"/>
      <c r="T35"/>
      <c r="U35" s="91">
        <v>34741</v>
      </c>
      <c r="V35">
        <v>40</v>
      </c>
      <c r="W35" s="9" t="s">
        <v>155</v>
      </c>
      <c r="X35"/>
      <c r="Y35"/>
      <c r="Z35"/>
      <c r="AA35"/>
      <c r="AB35"/>
      <c r="AC35"/>
      <c r="AD35"/>
      <c r="AE35"/>
      <c r="AF35"/>
      <c r="AG35"/>
      <c r="AH35"/>
      <c r="AI35"/>
    </row>
    <row r="36" spans="1:35">
      <c r="A36" s="1">
        <v>34840</v>
      </c>
      <c r="B36" s="33">
        <f t="shared" si="9"/>
        <v>21</v>
      </c>
      <c r="C36" s="2">
        <f t="shared" si="10"/>
        <v>47404</v>
      </c>
      <c r="D36">
        <v>834</v>
      </c>
      <c r="E36" s="17"/>
      <c r="F36" s="31">
        <f t="shared" si="0"/>
        <v>0.46972971096993865</v>
      </c>
      <c r="G36" s="31">
        <f t="shared" si="2"/>
        <v>1.0781718142272911E-2</v>
      </c>
      <c r="H36" s="17"/>
      <c r="J36" s="35">
        <f t="shared" si="1"/>
        <v>46972.971096993868</v>
      </c>
      <c r="K36" s="35">
        <f t="shared" si="4"/>
        <v>1078.1718142272948</v>
      </c>
      <c r="L36" s="78">
        <f t="shared" si="5"/>
        <v>0.29277195950514967</v>
      </c>
      <c r="M36" s="78">
        <f t="shared" si="6"/>
        <v>55.322507310544204</v>
      </c>
      <c r="N36" s="47"/>
      <c r="O36" s="35">
        <f t="shared" si="7"/>
        <v>39.086778437180016</v>
      </c>
      <c r="P36" s="74">
        <f t="shared" si="8"/>
        <v>1.1194463368642316</v>
      </c>
      <c r="Q36" s="2">
        <f>382.4/(10)</f>
        <v>38.239999999999995</v>
      </c>
      <c r="R36">
        <f t="shared" si="11"/>
        <v>5.4313392985591923E-2</v>
      </c>
      <c r="S36" s="67"/>
      <c r="T36"/>
      <c r="U36" s="91">
        <v>34748</v>
      </c>
      <c r="V36" s="92" t="s">
        <v>158</v>
      </c>
      <c r="W36" s="9" t="s">
        <v>159</v>
      </c>
      <c r="X36"/>
      <c r="Y36"/>
      <c r="Z36"/>
      <c r="AA36"/>
      <c r="AB36"/>
      <c r="AC36"/>
      <c r="AD36"/>
      <c r="AE36"/>
      <c r="AF36"/>
      <c r="AG36"/>
      <c r="AH36"/>
      <c r="AI36"/>
    </row>
    <row r="37" spans="1:35">
      <c r="A37" s="1"/>
      <c r="B37" s="33"/>
      <c r="C37" s="33"/>
      <c r="D37"/>
      <c r="E37" s="17"/>
      <c r="F37" s="31"/>
      <c r="G37" s="31"/>
      <c r="H37" s="17"/>
      <c r="J37" s="35"/>
      <c r="K37" s="35"/>
      <c r="L37" s="78"/>
      <c r="M37" s="78"/>
      <c r="N37"/>
      <c r="O37" s="35"/>
      <c r="P37" s="74"/>
      <c r="Q37" s="17"/>
      <c r="R37" s="67"/>
      <c r="S37" s="67"/>
      <c r="T37"/>
      <c r="U37"/>
      <c r="V37"/>
      <c r="W37"/>
      <c r="X37"/>
      <c r="Y37"/>
      <c r="Z37"/>
      <c r="AA37"/>
      <c r="AB37"/>
      <c r="AC37"/>
      <c r="AD37"/>
      <c r="AE37"/>
      <c r="AF37"/>
      <c r="AG37"/>
      <c r="AH37"/>
      <c r="AI37"/>
    </row>
    <row r="38" spans="1:35">
      <c r="A38" s="1"/>
      <c r="B38" s="33"/>
      <c r="C38" s="33"/>
      <c r="D38"/>
      <c r="E38" s="17"/>
      <c r="F38" s="31"/>
      <c r="G38" s="31"/>
      <c r="H38" s="17"/>
      <c r="J38" s="35"/>
      <c r="K38" s="35"/>
      <c r="L38" s="78"/>
      <c r="M38" s="78"/>
      <c r="N38"/>
      <c r="O38" s="35"/>
      <c r="P38" s="74"/>
      <c r="Q38" s="17"/>
      <c r="R38" s="67"/>
      <c r="S38" s="67"/>
      <c r="T38"/>
      <c r="U38"/>
      <c r="V38"/>
      <c r="W38"/>
      <c r="X38"/>
      <c r="Y38"/>
      <c r="Z38"/>
      <c r="AA38"/>
      <c r="AB38"/>
      <c r="AC38"/>
      <c r="AD38"/>
      <c r="AE38"/>
      <c r="AF38"/>
      <c r="AG38"/>
      <c r="AH38"/>
      <c r="AI38"/>
    </row>
    <row r="39" spans="1:35">
      <c r="T39"/>
      <c r="U39"/>
      <c r="V39"/>
      <c r="W39"/>
      <c r="X39"/>
      <c r="Y39"/>
      <c r="Z39"/>
      <c r="AA39"/>
      <c r="AB39"/>
      <c r="AC39"/>
      <c r="AD39"/>
      <c r="AE39"/>
      <c r="AF39"/>
      <c r="AG39"/>
      <c r="AH39"/>
      <c r="AI39"/>
    </row>
    <row r="40" spans="1:35">
      <c r="B40" s="2" t="s">
        <v>76</v>
      </c>
      <c r="C40" s="2">
        <f>22*0.2</f>
        <v>4.4000000000000004</v>
      </c>
      <c r="Q40" s="2">
        <f>10</f>
        <v>10</v>
      </c>
      <c r="T40"/>
      <c r="U40" s="6" t="s">
        <v>30</v>
      </c>
      <c r="V40"/>
      <c r="W40"/>
      <c r="X40"/>
      <c r="Y40"/>
      <c r="AI40" s="5"/>
    </row>
    <row r="41" spans="1:35">
      <c r="T41"/>
      <c r="U41" s="6" t="s">
        <v>31</v>
      </c>
      <c r="V41"/>
      <c r="W41"/>
      <c r="X41"/>
      <c r="Y41"/>
      <c r="AI41" s="5"/>
    </row>
    <row r="42" spans="1:35">
      <c r="T42"/>
      <c r="U42" s="6" t="s">
        <v>32</v>
      </c>
      <c r="V42"/>
      <c r="W42"/>
      <c r="X42"/>
      <c r="Y42"/>
      <c r="AI42" s="5"/>
    </row>
    <row r="43" spans="1:35">
      <c r="T43"/>
      <c r="U43"/>
      <c r="V43"/>
      <c r="W43"/>
      <c r="X43"/>
      <c r="Y43"/>
      <c r="AI43" s="5"/>
    </row>
    <row r="44" spans="1:35">
      <c r="A44" s="4"/>
      <c r="B44" s="4"/>
      <c r="C44" s="4"/>
      <c r="H44" s="17"/>
    </row>
    <row r="45" spans="1:35">
      <c r="A45" s="4"/>
      <c r="B45" s="4"/>
      <c r="C45" s="4"/>
      <c r="S45" s="2" t="s">
        <v>151</v>
      </c>
    </row>
    <row r="46" spans="1:35">
      <c r="A46" s="4"/>
      <c r="B46"/>
      <c r="C46"/>
      <c r="D46"/>
      <c r="E46"/>
      <c r="F46"/>
      <c r="G46"/>
      <c r="H46"/>
      <c r="I46"/>
      <c r="J46"/>
      <c r="K46"/>
      <c r="L46"/>
      <c r="M46"/>
      <c r="N46"/>
      <c r="O46"/>
      <c r="P46"/>
      <c r="Q46"/>
      <c r="R46"/>
      <c r="S46"/>
      <c r="T46"/>
      <c r="U46"/>
      <c r="V46"/>
      <c r="W46"/>
      <c r="X46"/>
      <c r="Y46"/>
      <c r="Z46"/>
      <c r="AA46"/>
      <c r="AB46"/>
      <c r="AC46"/>
      <c r="AD46"/>
      <c r="AE46"/>
      <c r="AF46"/>
      <c r="AG46"/>
    </row>
    <row r="47" spans="1:35">
      <c r="A47" s="4"/>
      <c r="B47"/>
      <c r="C47"/>
      <c r="D47"/>
      <c r="E47"/>
      <c r="F47"/>
      <c r="G47"/>
      <c r="H47"/>
      <c r="I47"/>
      <c r="J47"/>
      <c r="K47"/>
      <c r="L47"/>
      <c r="M47"/>
      <c r="N47"/>
      <c r="O47"/>
      <c r="P47"/>
      <c r="Q47"/>
      <c r="R47"/>
      <c r="S47"/>
      <c r="T47"/>
      <c r="U47"/>
      <c r="V47"/>
      <c r="W47"/>
      <c r="X47"/>
      <c r="Y47"/>
      <c r="Z47"/>
      <c r="AA47"/>
      <c r="AB47"/>
      <c r="AC47"/>
      <c r="AD47"/>
      <c r="AE47"/>
      <c r="AF47"/>
      <c r="AG47"/>
    </row>
    <row r="48" spans="1:35">
      <c r="A48" s="4"/>
      <c r="B48"/>
      <c r="C48" s="16"/>
      <c r="D48" s="102"/>
      <c r="E48"/>
      <c r="F48"/>
      <c r="G48"/>
      <c r="H48"/>
      <c r="I48"/>
      <c r="J48"/>
      <c r="K48"/>
      <c r="L48"/>
      <c r="M48"/>
      <c r="N48"/>
      <c r="O48"/>
      <c r="P48"/>
      <c r="Q48"/>
      <c r="R48"/>
      <c r="S48"/>
      <c r="T48"/>
      <c r="U48"/>
      <c r="V48"/>
      <c r="W48"/>
      <c r="X48"/>
      <c r="Y48"/>
      <c r="Z48"/>
      <c r="AA48"/>
      <c r="AB48"/>
      <c r="AC48"/>
      <c r="AD48"/>
      <c r="AE48"/>
      <c r="AF48"/>
      <c r="AG48"/>
    </row>
    <row r="49" spans="1:33">
      <c r="A49" s="4"/>
      <c r="B49"/>
      <c r="C49" s="16"/>
      <c r="D49" s="102"/>
      <c r="E49"/>
      <c r="F49"/>
      <c r="G49"/>
      <c r="H49"/>
      <c r="I49"/>
      <c r="J49"/>
      <c r="K49"/>
      <c r="L49"/>
      <c r="M49"/>
      <c r="N49"/>
      <c r="O49"/>
      <c r="P49"/>
      <c r="Q49"/>
      <c r="R49"/>
      <c r="S49"/>
      <c r="T49"/>
      <c r="U49"/>
      <c r="V49"/>
      <c r="W49"/>
      <c r="X49"/>
      <c r="Y49"/>
      <c r="Z49"/>
      <c r="AA49"/>
      <c r="AB49"/>
      <c r="AC49"/>
      <c r="AD49"/>
      <c r="AE49"/>
      <c r="AF49"/>
      <c r="AG49"/>
    </row>
    <row r="50" spans="1:33">
      <c r="A50" s="4"/>
      <c r="B50"/>
      <c r="C50" s="16"/>
      <c r="D50" s="27"/>
      <c r="E50"/>
      <c r="F50"/>
      <c r="G50"/>
      <c r="H50"/>
      <c r="I50"/>
      <c r="J50"/>
      <c r="K50"/>
      <c r="L50"/>
      <c r="M50"/>
      <c r="N50"/>
      <c r="O50"/>
      <c r="P50"/>
      <c r="Q50"/>
      <c r="R50"/>
      <c r="S50"/>
      <c r="T50"/>
      <c r="U50"/>
      <c r="V50"/>
      <c r="W50"/>
      <c r="X50"/>
      <c r="Y50"/>
      <c r="Z50"/>
      <c r="AA50"/>
      <c r="AB50"/>
      <c r="AC50"/>
      <c r="AD50"/>
      <c r="AE50"/>
      <c r="AF50"/>
      <c r="AG50"/>
    </row>
    <row r="51" spans="1:33">
      <c r="A51" s="4"/>
      <c r="B51"/>
      <c r="C51" s="16"/>
      <c r="D51" s="27"/>
      <c r="E51"/>
      <c r="F51"/>
      <c r="G51"/>
      <c r="H51"/>
      <c r="I51"/>
      <c r="J51"/>
      <c r="K51"/>
      <c r="L51"/>
      <c r="M51"/>
      <c r="N51"/>
      <c r="O51"/>
      <c r="P51"/>
      <c r="Q51"/>
      <c r="R51"/>
      <c r="S51"/>
      <c r="T51"/>
      <c r="U51"/>
      <c r="V51"/>
      <c r="W51"/>
      <c r="X51"/>
      <c r="Y51"/>
      <c r="Z51"/>
      <c r="AA51"/>
      <c r="AB51"/>
      <c r="AC51"/>
      <c r="AD51"/>
      <c r="AE51"/>
      <c r="AF51"/>
      <c r="AG51"/>
    </row>
    <row r="52" spans="1:33">
      <c r="A52" s="4"/>
      <c r="B52"/>
      <c r="C52" s="7"/>
      <c r="D52" s="27"/>
      <c r="E52"/>
      <c r="F52"/>
      <c r="G52"/>
      <c r="H52"/>
      <c r="I52"/>
      <c r="J52"/>
      <c r="K52"/>
      <c r="L52"/>
      <c r="M52"/>
      <c r="N52"/>
      <c r="O52"/>
      <c r="P52"/>
      <c r="Q52"/>
      <c r="R52"/>
      <c r="S52"/>
      <c r="T52"/>
      <c r="U52"/>
      <c r="V52"/>
      <c r="W52"/>
      <c r="X52"/>
      <c r="Y52"/>
      <c r="Z52"/>
      <c r="AA52"/>
      <c r="AB52"/>
      <c r="AC52"/>
      <c r="AD52"/>
      <c r="AE52"/>
      <c r="AF52"/>
      <c r="AG52"/>
    </row>
    <row r="53" spans="1:33">
      <c r="A53" s="4"/>
      <c r="B53"/>
      <c r="C53" s="7"/>
      <c r="D53" s="27"/>
      <c r="E53"/>
      <c r="F53"/>
      <c r="G53"/>
      <c r="H53"/>
      <c r="I53"/>
      <c r="J53"/>
      <c r="K53"/>
      <c r="L53"/>
      <c r="M53"/>
      <c r="N53"/>
      <c r="O53"/>
      <c r="P53"/>
      <c r="Q53"/>
      <c r="R53"/>
      <c r="S53"/>
      <c r="T53"/>
      <c r="U53"/>
      <c r="V53"/>
      <c r="W53"/>
      <c r="X53"/>
      <c r="Y53"/>
      <c r="Z53"/>
      <c r="AA53"/>
      <c r="AB53"/>
      <c r="AC53"/>
      <c r="AD53"/>
      <c r="AE53"/>
      <c r="AF53"/>
      <c r="AG53"/>
    </row>
    <row r="54" spans="1:33">
      <c r="A54" s="4"/>
      <c r="B54"/>
      <c r="C54" s="7"/>
      <c r="D54" s="27"/>
      <c r="E54"/>
      <c r="F54"/>
      <c r="G54"/>
      <c r="H54"/>
      <c r="I54"/>
      <c r="J54"/>
      <c r="K54"/>
      <c r="L54"/>
      <c r="M54"/>
      <c r="N54"/>
      <c r="O54"/>
      <c r="P54"/>
      <c r="Q54"/>
      <c r="R54"/>
      <c r="S54"/>
      <c r="T54"/>
      <c r="U54"/>
      <c r="V54"/>
      <c r="W54"/>
      <c r="X54"/>
      <c r="Y54"/>
      <c r="Z54"/>
      <c r="AA54"/>
      <c r="AB54"/>
      <c r="AC54"/>
      <c r="AD54"/>
      <c r="AE54"/>
      <c r="AF54"/>
      <c r="AG54"/>
    </row>
    <row r="55" spans="1:33">
      <c r="A55" s="4"/>
      <c r="B55"/>
      <c r="C55" s="7"/>
      <c r="D55" s="27"/>
      <c r="E55"/>
      <c r="F55"/>
      <c r="G55"/>
      <c r="H55"/>
      <c r="I55"/>
      <c r="J55"/>
      <c r="K55"/>
      <c r="L55"/>
      <c r="M55"/>
      <c r="N55"/>
      <c r="O55"/>
      <c r="P55"/>
      <c r="Q55"/>
      <c r="R55"/>
      <c r="S55"/>
      <c r="T55"/>
      <c r="U55"/>
      <c r="V55"/>
      <c r="W55"/>
      <c r="X55"/>
      <c r="Y55"/>
      <c r="Z55"/>
      <c r="AA55"/>
      <c r="AB55"/>
      <c r="AC55"/>
      <c r="AD55"/>
      <c r="AE55"/>
      <c r="AF55"/>
      <c r="AG55"/>
    </row>
    <row r="56" spans="1:33">
      <c r="A56" s="4"/>
      <c r="B56"/>
      <c r="C56"/>
      <c r="D56"/>
      <c r="E56"/>
      <c r="F56"/>
      <c r="G56"/>
      <c r="H56"/>
      <c r="I56"/>
      <c r="J56"/>
      <c r="K56"/>
      <c r="L56"/>
      <c r="M56"/>
      <c r="N56"/>
      <c r="O56"/>
      <c r="P56"/>
      <c r="Q56"/>
      <c r="R56"/>
      <c r="S56"/>
      <c r="T56"/>
      <c r="U56"/>
      <c r="V56"/>
      <c r="W56"/>
      <c r="X56"/>
      <c r="Y56"/>
      <c r="Z56"/>
      <c r="AA56"/>
      <c r="AB56"/>
      <c r="AC56"/>
      <c r="AD56"/>
      <c r="AE56"/>
      <c r="AF56"/>
      <c r="AG56"/>
    </row>
    <row r="57" spans="1:33">
      <c r="A57" s="4"/>
      <c r="B57"/>
      <c r="C57"/>
      <c r="D57"/>
      <c r="E57"/>
      <c r="F57"/>
      <c r="G57"/>
      <c r="H57"/>
      <c r="I57"/>
      <c r="J57"/>
      <c r="K57"/>
      <c r="L57"/>
      <c r="M57"/>
      <c r="N57"/>
      <c r="O57"/>
      <c r="P57"/>
      <c r="Q57"/>
      <c r="R57"/>
      <c r="S57"/>
      <c r="T57"/>
      <c r="U57"/>
      <c r="V57"/>
      <c r="W57"/>
      <c r="X57"/>
      <c r="Y57"/>
      <c r="Z57"/>
      <c r="AA57"/>
      <c r="AB57"/>
      <c r="AC57"/>
      <c r="AD57"/>
      <c r="AE57"/>
      <c r="AF57"/>
      <c r="AG57"/>
    </row>
    <row r="58" spans="1:33">
      <c r="A58" s="4"/>
      <c r="B58"/>
      <c r="C58"/>
      <c r="D58"/>
      <c r="E58"/>
      <c r="F58"/>
      <c r="G58"/>
      <c r="H58"/>
      <c r="I58"/>
      <c r="J58"/>
      <c r="K58"/>
      <c r="L58"/>
      <c r="M58"/>
      <c r="N58"/>
      <c r="O58"/>
      <c r="P58"/>
      <c r="Q58"/>
      <c r="R58"/>
      <c r="S58"/>
      <c r="T58"/>
      <c r="U58"/>
      <c r="V58"/>
      <c r="W58"/>
      <c r="X58"/>
      <c r="Y58"/>
      <c r="Z58"/>
      <c r="AA58"/>
      <c r="AB58"/>
      <c r="AC58"/>
      <c r="AD58"/>
      <c r="AE58"/>
      <c r="AF58"/>
      <c r="AG58"/>
    </row>
    <row r="59" spans="1:33">
      <c r="A59" s="4"/>
      <c r="B59"/>
      <c r="C59"/>
      <c r="D59"/>
      <c r="E59"/>
      <c r="F59"/>
      <c r="G59"/>
      <c r="H59"/>
      <c r="I59"/>
      <c r="J59"/>
      <c r="K59"/>
      <c r="L59"/>
      <c r="M59"/>
      <c r="N59"/>
      <c r="O59"/>
      <c r="P59"/>
      <c r="Q59"/>
      <c r="R59"/>
      <c r="S59"/>
      <c r="T59"/>
      <c r="U59"/>
      <c r="V59"/>
      <c r="W59"/>
      <c r="X59"/>
      <c r="Y59"/>
      <c r="Z59"/>
      <c r="AA59"/>
      <c r="AB59"/>
      <c r="AC59"/>
      <c r="AD59"/>
      <c r="AE59"/>
      <c r="AF59"/>
      <c r="AG59"/>
    </row>
    <row r="60" spans="1:33">
      <c r="A60" s="4"/>
      <c r="B60"/>
      <c r="C60"/>
      <c r="D60"/>
      <c r="E60"/>
      <c r="F60"/>
      <c r="G60"/>
      <c r="H60"/>
      <c r="I60"/>
      <c r="J60"/>
      <c r="K60"/>
      <c r="L60"/>
      <c r="M60"/>
      <c r="N60"/>
      <c r="O60"/>
      <c r="P60"/>
      <c r="Q60"/>
      <c r="R60"/>
      <c r="S60"/>
      <c r="T60"/>
      <c r="U60"/>
      <c r="V60"/>
      <c r="W60"/>
      <c r="X60"/>
      <c r="Y60"/>
      <c r="Z60"/>
      <c r="AA60"/>
      <c r="AB60"/>
      <c r="AC60"/>
      <c r="AD60"/>
      <c r="AE60"/>
      <c r="AF60"/>
      <c r="AG60"/>
    </row>
    <row r="61" spans="1:33">
      <c r="A61" s="4"/>
      <c r="B61"/>
      <c r="C61"/>
      <c r="D61"/>
      <c r="E61"/>
      <c r="F61"/>
      <c r="G61"/>
      <c r="H61"/>
      <c r="I61"/>
      <c r="J61"/>
      <c r="K61"/>
      <c r="L61"/>
      <c r="M61"/>
      <c r="N61"/>
      <c r="O61"/>
      <c r="P61"/>
      <c r="Q61"/>
      <c r="R61"/>
      <c r="S61"/>
      <c r="T61"/>
      <c r="U61"/>
      <c r="V61"/>
      <c r="W61"/>
      <c r="X61"/>
      <c r="Y61"/>
      <c r="Z61"/>
      <c r="AA61"/>
      <c r="AB61"/>
      <c r="AC61"/>
      <c r="AD61"/>
      <c r="AE61"/>
      <c r="AF61"/>
      <c r="AG61"/>
    </row>
    <row r="62" spans="1:33">
      <c r="A62" s="4"/>
      <c r="B62"/>
      <c r="C62"/>
      <c r="D62"/>
      <c r="E62"/>
      <c r="F62"/>
      <c r="G62"/>
      <c r="H62"/>
      <c r="I62"/>
      <c r="J62"/>
      <c r="K62"/>
      <c r="L62"/>
      <c r="M62"/>
      <c r="N62"/>
      <c r="O62"/>
      <c r="P62"/>
      <c r="Q62"/>
      <c r="R62"/>
      <c r="S62"/>
      <c r="T62"/>
      <c r="U62"/>
      <c r="V62"/>
      <c r="W62"/>
      <c r="X62"/>
      <c r="Y62"/>
      <c r="Z62"/>
      <c r="AA62"/>
      <c r="AB62"/>
      <c r="AC62"/>
      <c r="AD62"/>
      <c r="AE62"/>
      <c r="AF62"/>
      <c r="AG62"/>
    </row>
    <row r="63" spans="1:33">
      <c r="B63"/>
      <c r="C63"/>
      <c r="D63"/>
      <c r="E63"/>
      <c r="F63"/>
      <c r="G63"/>
      <c r="H63"/>
      <c r="I63"/>
      <c r="J63"/>
      <c r="K63"/>
      <c r="L63"/>
      <c r="M63"/>
      <c r="N63"/>
      <c r="O63"/>
      <c r="P63"/>
      <c r="Q63"/>
      <c r="R63"/>
      <c r="S63"/>
      <c r="T63"/>
      <c r="U63"/>
      <c r="V63"/>
      <c r="W63"/>
      <c r="X63"/>
      <c r="Y63"/>
      <c r="Z63"/>
      <c r="AA63"/>
      <c r="AB63"/>
      <c r="AC63"/>
      <c r="AD63"/>
      <c r="AE63"/>
      <c r="AF63"/>
      <c r="AG63"/>
    </row>
    <row r="64" spans="1:33">
      <c r="B64"/>
      <c r="C64"/>
      <c r="D64"/>
      <c r="E64"/>
      <c r="F64"/>
      <c r="G64"/>
      <c r="H64"/>
      <c r="I64"/>
      <c r="J64"/>
      <c r="K64"/>
      <c r="L64"/>
      <c r="M64"/>
      <c r="N64"/>
      <c r="O64"/>
      <c r="P64"/>
      <c r="Q64"/>
      <c r="R64"/>
      <c r="S64"/>
      <c r="T64"/>
      <c r="U64"/>
      <c r="V64"/>
      <c r="W64"/>
      <c r="X64"/>
      <c r="Y64"/>
      <c r="Z64"/>
      <c r="AA64"/>
      <c r="AB64"/>
      <c r="AC64"/>
      <c r="AD64"/>
      <c r="AE64"/>
      <c r="AF64"/>
      <c r="AG64"/>
    </row>
    <row r="65" spans="2:33">
      <c r="B65"/>
      <c r="C65"/>
      <c r="D65"/>
      <c r="E65"/>
      <c r="F65"/>
      <c r="G65"/>
      <c r="H65"/>
      <c r="I65"/>
      <c r="J65"/>
      <c r="K65"/>
      <c r="L65"/>
      <c r="M65"/>
      <c r="N65"/>
      <c r="O65"/>
      <c r="P65"/>
      <c r="Q65"/>
      <c r="R65"/>
      <c r="S65"/>
      <c r="T65"/>
      <c r="U65"/>
      <c r="V65"/>
      <c r="W65"/>
      <c r="X65"/>
      <c r="Y65"/>
      <c r="Z65"/>
      <c r="AA65"/>
      <c r="AB65"/>
      <c r="AC65"/>
      <c r="AD65"/>
      <c r="AE65"/>
      <c r="AF65"/>
      <c r="AG65"/>
    </row>
    <row r="66" spans="2:33">
      <c r="B66"/>
      <c r="C66"/>
      <c r="D66"/>
      <c r="E66"/>
      <c r="F66"/>
      <c r="G66"/>
      <c r="H66"/>
      <c r="I66"/>
      <c r="J66"/>
      <c r="K66"/>
      <c r="L66"/>
      <c r="M66"/>
      <c r="N66"/>
      <c r="O66"/>
      <c r="P66"/>
      <c r="Q66"/>
      <c r="R66"/>
      <c r="S66"/>
      <c r="T66"/>
      <c r="U66"/>
      <c r="V66"/>
      <c r="W66"/>
      <c r="X66"/>
      <c r="Y66"/>
      <c r="Z66"/>
      <c r="AA66"/>
      <c r="AB66"/>
      <c r="AC66"/>
      <c r="AD66"/>
      <c r="AE66"/>
      <c r="AF66"/>
      <c r="AG66"/>
    </row>
    <row r="67" spans="2:33">
      <c r="B67"/>
      <c r="C67"/>
      <c r="D67"/>
      <c r="E67"/>
      <c r="F67"/>
      <c r="G67"/>
      <c r="H67"/>
      <c r="I67"/>
      <c r="J67"/>
      <c r="K67"/>
      <c r="L67"/>
      <c r="M67"/>
      <c r="N67"/>
      <c r="O67"/>
      <c r="P67"/>
      <c r="Q67"/>
      <c r="R67"/>
      <c r="S67"/>
      <c r="T67"/>
      <c r="U67"/>
      <c r="V67"/>
      <c r="W67"/>
      <c r="X67"/>
      <c r="Y67"/>
      <c r="Z67"/>
      <c r="AA67"/>
      <c r="AB67"/>
      <c r="AC67"/>
      <c r="AD67"/>
      <c r="AE67"/>
      <c r="AF67"/>
      <c r="AG67"/>
    </row>
    <row r="68" spans="2:33">
      <c r="B68"/>
      <c r="C68"/>
      <c r="D68"/>
      <c r="E68"/>
      <c r="F68"/>
      <c r="G68"/>
      <c r="H68"/>
      <c r="I68"/>
      <c r="J68"/>
      <c r="K68"/>
      <c r="L68"/>
      <c r="M68"/>
      <c r="N68"/>
      <c r="O68"/>
      <c r="P68"/>
      <c r="Q68"/>
      <c r="R68"/>
      <c r="S68"/>
      <c r="T68"/>
      <c r="U68"/>
      <c r="V68"/>
      <c r="W68"/>
      <c r="X68"/>
      <c r="Y68"/>
      <c r="Z68"/>
      <c r="AA68"/>
      <c r="AB68"/>
      <c r="AC68"/>
      <c r="AD68"/>
      <c r="AE68"/>
      <c r="AF68"/>
      <c r="AG68"/>
    </row>
    <row r="69" spans="2:33">
      <c r="B69"/>
      <c r="C69"/>
      <c r="D69"/>
      <c r="E69"/>
      <c r="F69"/>
      <c r="G69"/>
      <c r="H69"/>
      <c r="I69"/>
      <c r="J69"/>
      <c r="K69"/>
      <c r="L69"/>
      <c r="M69"/>
      <c r="N69"/>
      <c r="O69"/>
      <c r="P69"/>
      <c r="Q69"/>
      <c r="R69"/>
      <c r="S69"/>
      <c r="T69"/>
      <c r="U69"/>
      <c r="V69"/>
      <c r="W69"/>
      <c r="X69"/>
      <c r="Y69"/>
      <c r="Z69"/>
      <c r="AA69"/>
      <c r="AB69"/>
      <c r="AC69"/>
      <c r="AD69"/>
      <c r="AE69"/>
      <c r="AF69"/>
      <c r="AG69"/>
    </row>
    <row r="70" spans="2:33">
      <c r="B70"/>
      <c r="C70"/>
      <c r="D70"/>
      <c r="E70"/>
      <c r="F70"/>
      <c r="G70"/>
      <c r="H70"/>
      <c r="I70"/>
      <c r="J70"/>
      <c r="K70"/>
      <c r="L70"/>
      <c r="M70"/>
      <c r="N70"/>
      <c r="O70"/>
      <c r="P70"/>
      <c r="Q70"/>
      <c r="R70"/>
      <c r="S70"/>
      <c r="T70"/>
      <c r="U70"/>
      <c r="V70"/>
      <c r="W70"/>
      <c r="X70"/>
      <c r="Y70"/>
      <c r="Z70"/>
      <c r="AA70"/>
      <c r="AB70"/>
      <c r="AC70"/>
      <c r="AD70"/>
      <c r="AE70"/>
      <c r="AF70"/>
      <c r="AG70"/>
    </row>
    <row r="71" spans="2:33">
      <c r="B71"/>
      <c r="C71"/>
      <c r="D71"/>
      <c r="E71"/>
      <c r="F71"/>
      <c r="G71"/>
      <c r="H71"/>
      <c r="I71"/>
      <c r="J71"/>
      <c r="K71"/>
      <c r="L71"/>
      <c r="M71"/>
      <c r="N71"/>
      <c r="O71"/>
      <c r="P71"/>
      <c r="Q71"/>
      <c r="R71"/>
      <c r="S71"/>
      <c r="T71"/>
      <c r="U71"/>
      <c r="V71"/>
      <c r="W71"/>
      <c r="X71"/>
      <c r="Y71"/>
      <c r="Z71"/>
      <c r="AA71"/>
      <c r="AB71"/>
      <c r="AC71"/>
      <c r="AD71"/>
      <c r="AE71"/>
      <c r="AF71"/>
      <c r="AG71"/>
    </row>
    <row r="72" spans="2:33">
      <c r="B72"/>
      <c r="C72"/>
      <c r="D72"/>
      <c r="E72"/>
      <c r="F72"/>
      <c r="G72"/>
      <c r="H72"/>
      <c r="I72"/>
      <c r="J72"/>
      <c r="K72"/>
      <c r="L72"/>
      <c r="M72"/>
      <c r="N72"/>
      <c r="O72"/>
      <c r="P72"/>
      <c r="Q72"/>
      <c r="R72"/>
      <c r="S72"/>
      <c r="T72"/>
      <c r="U72"/>
      <c r="V72"/>
      <c r="W72"/>
      <c r="X72"/>
      <c r="Y72"/>
      <c r="Z72"/>
      <c r="AA72"/>
      <c r="AB72"/>
      <c r="AC72"/>
      <c r="AD72"/>
      <c r="AE72"/>
      <c r="AF72"/>
      <c r="AG72"/>
    </row>
    <row r="73" spans="2:33">
      <c r="B73"/>
      <c r="C73"/>
      <c r="D73"/>
      <c r="E73"/>
      <c r="F73"/>
      <c r="G73"/>
      <c r="H73"/>
      <c r="I73"/>
      <c r="J73"/>
      <c r="K73"/>
      <c r="L73"/>
      <c r="M73"/>
      <c r="N73"/>
      <c r="O73"/>
      <c r="P73"/>
      <c r="Q73"/>
      <c r="R73"/>
      <c r="S73"/>
      <c r="T73"/>
      <c r="U73"/>
      <c r="V73"/>
      <c r="W73"/>
      <c r="X73"/>
      <c r="Y73"/>
      <c r="Z73"/>
      <c r="AA73"/>
      <c r="AB73"/>
      <c r="AC73"/>
      <c r="AD73"/>
      <c r="AE73"/>
      <c r="AF73"/>
      <c r="AG73"/>
    </row>
    <row r="74" spans="2:33">
      <c r="B74"/>
      <c r="C74"/>
      <c r="D74"/>
      <c r="E74"/>
      <c r="F74"/>
      <c r="G74"/>
      <c r="H74"/>
      <c r="I74"/>
      <c r="J74"/>
      <c r="K74"/>
      <c r="L74"/>
      <c r="M74"/>
      <c r="N74"/>
      <c r="O74"/>
      <c r="P74"/>
      <c r="Q74"/>
      <c r="R74"/>
      <c r="S74"/>
      <c r="T74"/>
      <c r="U74"/>
      <c r="V74"/>
      <c r="W74"/>
      <c r="X74"/>
      <c r="Y74"/>
      <c r="Z74"/>
      <c r="AA74"/>
      <c r="AB74"/>
      <c r="AC74"/>
      <c r="AD74"/>
      <c r="AE74"/>
      <c r="AF74"/>
      <c r="AG74"/>
    </row>
  </sheetData>
  <scenarios current="0" show="0">
    <scenario name="pittsfield best fit" locked="1" count="1" user="Author">
      <inputCells r="D37" deleted="1" val=""/>
    </scenario>
  </scenarios>
  <mergeCells count="1">
    <mergeCell ref="U17:U20"/>
  </mergeCells>
  <hyperlinks>
    <hyperlink ref="W31" r:id="rId1" location="v=onepage&amp;q=dink%20billboard%201995&amp;f=false" xr:uid="{CF2A79A0-DE37-4544-85D3-A17D0475661F}"/>
    <hyperlink ref="W30" r:id="rId2" location="v=onepage&amp;q=dink%20billboard%201995&amp;f=false" xr:uid="{829A4D3D-6BE3-4857-BE9E-6D3429F6A277}"/>
    <hyperlink ref="W29" r:id="rId3" location="v=onepage&amp;q=dink%20billboard%201995&amp;f=false" xr:uid="{105842B2-AC6F-4F7C-95A3-3756512C2B8B}"/>
    <hyperlink ref="W35" r:id="rId4" location="v=onepage&amp;q=dink%20billboard%201995&amp;f=false" xr:uid="{D960380F-3BFA-4C2D-8CD9-5B6B60886564}"/>
    <hyperlink ref="W36" r:id="rId5" location="v=onepage&amp;q=modern%20rock%20billboard%201995%20February%2018&amp;f=false" xr:uid="{057CECEA-FF89-491A-85C4-DB10A7FBF088}"/>
    <hyperlink ref="T16" r:id="rId6" location="v=onepage&amp;q=dink%20billboard%201995&amp;f=false" xr:uid="{15D9DC85-5CE1-4C1B-87FB-121073FC3729}"/>
  </hyperlinks>
  <printOptions gridLines="1" gridLinesSet="0"/>
  <pageMargins left="0.75" right="0.75" top="1" bottom="1" header="0.5" footer="0.5"/>
  <pageSetup orientation="portrait" r:id="rId7"/>
  <headerFooter alignWithMargins="0">
    <oddHeader>&amp;A</oddHeader>
    <oddFooter>Page &amp;P</oddFooter>
  </headerFooter>
  <drawing r:id="rId8"/>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AD219-9AEB-4254-BF6E-58706FE37EC4}">
  <dimension ref="A1:AI74"/>
  <sheetViews>
    <sheetView zoomScale="85" zoomScaleNormal="85" workbookViewId="0">
      <selection activeCell="Q13" sqref="Q13"/>
    </sheetView>
  </sheetViews>
  <sheetFormatPr defaultRowHeight="12.75"/>
  <cols>
    <col min="1" max="1" width="12" style="2" customWidth="1"/>
    <col min="2" max="2" width="15.28515625" style="2" customWidth="1"/>
    <col min="3" max="3" width="15.42578125" style="2" customWidth="1"/>
    <col min="4" max="4" width="10.5703125" style="2" customWidth="1"/>
    <col min="5" max="5" width="3.7109375" style="2" customWidth="1"/>
    <col min="6" max="6" width="10.28515625" style="2" customWidth="1"/>
    <col min="7" max="7" width="16.42578125" style="2" customWidth="1"/>
    <col min="8" max="8" width="9.5703125" style="2" customWidth="1"/>
    <col min="9" max="9" width="3.28515625" style="2" customWidth="1"/>
    <col min="10" max="11" width="12.42578125" style="2" customWidth="1"/>
    <col min="12" max="12" width="7.140625" style="2" customWidth="1"/>
    <col min="13" max="13" width="7.7109375" style="2" customWidth="1"/>
    <col min="14" max="14" width="8.5703125" style="54" customWidth="1"/>
    <col min="15" max="15" width="6.85546875" style="2" customWidth="1"/>
    <col min="16" max="16" width="16" style="2" customWidth="1"/>
    <col min="17" max="17" width="14.42578125" style="2" customWidth="1"/>
    <col min="18" max="18" width="17.5703125" style="2" customWidth="1"/>
    <col min="19" max="19" width="16.85546875" style="2" customWidth="1"/>
    <col min="20" max="20" width="9.7109375" style="2" customWidth="1"/>
    <col min="21" max="21" width="11.140625" style="2" customWidth="1"/>
    <col min="22" max="22" width="6.7109375" style="2" customWidth="1"/>
    <col min="23" max="23" width="10.140625" style="2" customWidth="1"/>
    <col min="24" max="24" width="11.140625" style="2" customWidth="1"/>
    <col min="25" max="25" width="12.28515625" style="2" bestFit="1" customWidth="1"/>
    <col min="26" max="16384" width="9.140625" style="2"/>
  </cols>
  <sheetData>
    <row r="1" spans="1:35">
      <c r="J1" s="50" t="s">
        <v>174</v>
      </c>
      <c r="K1" s="50" t="s">
        <v>175</v>
      </c>
      <c r="P1"/>
      <c r="Q1"/>
      <c r="R1"/>
      <c r="S1"/>
    </row>
    <row r="2" spans="1:35">
      <c r="A2" s="2" t="s">
        <v>117</v>
      </c>
      <c r="B2" s="102">
        <f>EXP(C2)</f>
        <v>7.7550192009403565E-2</v>
      </c>
      <c r="C2" s="27">
        <v>-2.556829913419346</v>
      </c>
      <c r="E2" s="27"/>
      <c r="F2" s="2" t="s">
        <v>107</v>
      </c>
      <c r="G2" s="36">
        <f>-2*G3+6*LN(B10)</f>
        <v>380754.14506029169</v>
      </c>
      <c r="H2" s="28"/>
      <c r="J2" s="105">
        <v>381121.05158977234</v>
      </c>
      <c r="K2" s="105">
        <v>380740.27772641537</v>
      </c>
      <c r="P2"/>
      <c r="Q2"/>
      <c r="R2"/>
      <c r="S2"/>
      <c r="U2"/>
      <c r="V2"/>
      <c r="W2"/>
    </row>
    <row r="3" spans="1:35">
      <c r="A3" s="2" t="s">
        <v>98</v>
      </c>
      <c r="B3" s="121">
        <f>EXP(C3)</f>
        <v>0.65938711276272011</v>
      </c>
      <c r="C3" s="27">
        <v>-0.41644449241974885</v>
      </c>
      <c r="E3" s="27"/>
      <c r="F3" s="2" t="s">
        <v>99</v>
      </c>
      <c r="G3" s="28">
        <f>SUM(H16:H33)</f>
        <v>-190342.53375375093</v>
      </c>
      <c r="H3" s="28"/>
      <c r="J3" s="105">
        <v>-190514.47409302628</v>
      </c>
      <c r="K3" s="105">
        <v>-190324.08716134779</v>
      </c>
      <c r="Q3" s="123"/>
      <c r="R3"/>
      <c r="S3"/>
      <c r="T3" s="104"/>
      <c r="U3"/>
      <c r="V3"/>
      <c r="W3"/>
      <c r="X3"/>
      <c r="Y3"/>
      <c r="Z3"/>
      <c r="AA3"/>
      <c r="AB3"/>
      <c r="AC3"/>
      <c r="AD3"/>
      <c r="AE3"/>
      <c r="AF3"/>
      <c r="AG3"/>
      <c r="AH3"/>
      <c r="AI3"/>
    </row>
    <row r="4" spans="1:35">
      <c r="A4" s="75" t="s">
        <v>115</v>
      </c>
      <c r="B4" s="184">
        <f>C4</f>
        <v>3.0347206797523771E-3</v>
      </c>
      <c r="C4" s="27">
        <v>3.0347206797523771E-3</v>
      </c>
      <c r="E4" s="27"/>
      <c r="F4" s="2" t="s">
        <v>130</v>
      </c>
      <c r="G4" s="77">
        <f>AVERAGE(M17:M34)</f>
        <v>1.7861612884101302E-2</v>
      </c>
      <c r="J4" s="117">
        <v>4.2071108281514981E-2</v>
      </c>
      <c r="K4" s="117">
        <v>1.4816458465902294E-2</v>
      </c>
      <c r="Q4"/>
      <c r="R4"/>
      <c r="S4"/>
      <c r="T4" s="105"/>
      <c r="U4"/>
      <c r="V4"/>
      <c r="W4"/>
      <c r="X4"/>
      <c r="Y4"/>
      <c r="Z4"/>
      <c r="AA4"/>
      <c r="AB4"/>
      <c r="AC4"/>
      <c r="AD4"/>
      <c r="AE4"/>
      <c r="AF4"/>
      <c r="AG4"/>
      <c r="AH4"/>
      <c r="AI4"/>
    </row>
    <row r="5" spans="1:35">
      <c r="A5" s="75" t="s">
        <v>134</v>
      </c>
      <c r="B5" s="27">
        <f>C5</f>
        <v>0</v>
      </c>
      <c r="C5" s="27">
        <v>0</v>
      </c>
      <c r="E5" s="27"/>
      <c r="F5" s="2" t="s">
        <v>139</v>
      </c>
      <c r="G5" s="77">
        <f>AVERAGE(M30:M38)</f>
        <v>1.0569155081799366E-2</v>
      </c>
      <c r="J5" s="117">
        <v>2.5537710013584011E-2</v>
      </c>
      <c r="K5" s="117">
        <v>9.343147066772679E-3</v>
      </c>
      <c r="Q5" s="187"/>
      <c r="R5"/>
      <c r="S5"/>
      <c r="T5" s="106"/>
      <c r="U5"/>
      <c r="V5"/>
      <c r="W5"/>
      <c r="X5" s="66"/>
      <c r="Y5" s="28"/>
      <c r="Z5"/>
      <c r="AA5"/>
      <c r="AB5"/>
      <c r="AC5"/>
      <c r="AD5"/>
      <c r="AE5"/>
      <c r="AF5"/>
      <c r="AG5"/>
      <c r="AH5"/>
      <c r="AI5"/>
    </row>
    <row r="6" spans="1:35">
      <c r="A6" s="2" t="s">
        <v>143</v>
      </c>
      <c r="B6" s="27">
        <f>EXP(C6)</f>
        <v>1</v>
      </c>
      <c r="C6" s="27">
        <v>0</v>
      </c>
      <c r="E6" s="27"/>
      <c r="F6" s="2" t="s">
        <v>144</v>
      </c>
      <c r="G6" s="89">
        <f>CORREL(C17:C38,J17:J38)^2</f>
        <v>0.99862482305672751</v>
      </c>
      <c r="J6" s="118">
        <v>0.99918183684393613</v>
      </c>
      <c r="K6" s="124">
        <v>0.99976301613106733</v>
      </c>
      <c r="P6"/>
      <c r="Q6"/>
      <c r="R6"/>
      <c r="S6"/>
      <c r="T6" s="106"/>
      <c r="U6"/>
      <c r="V6"/>
      <c r="W6"/>
      <c r="X6" s="66"/>
      <c r="Y6" s="28"/>
      <c r="Z6"/>
      <c r="AA6"/>
      <c r="AB6"/>
      <c r="AC6"/>
      <c r="AD6"/>
      <c r="AE6"/>
      <c r="AF6"/>
      <c r="AG6"/>
      <c r="AH6"/>
      <c r="AI6"/>
    </row>
    <row r="7" spans="1:35">
      <c r="A7" s="75" t="s">
        <v>148</v>
      </c>
      <c r="B7" s="27">
        <f>C7</f>
        <v>-0.72990353397909902</v>
      </c>
      <c r="C7" s="27">
        <v>-0.72990353397909902</v>
      </c>
      <c r="E7" s="27"/>
      <c r="J7" s="3"/>
      <c r="K7" s="3"/>
      <c r="P7"/>
      <c r="Q7"/>
      <c r="R7"/>
      <c r="S7"/>
      <c r="T7" s="106"/>
      <c r="U7"/>
      <c r="V7"/>
      <c r="W7"/>
      <c r="X7" s="66"/>
      <c r="Y7" s="84"/>
      <c r="Z7"/>
      <c r="AA7"/>
      <c r="AB7"/>
      <c r="AC7"/>
      <c r="AD7"/>
      <c r="AE7"/>
      <c r="AF7"/>
      <c r="AG7"/>
      <c r="AH7"/>
      <c r="AI7"/>
    </row>
    <row r="8" spans="1:35">
      <c r="A8" s="75" t="s">
        <v>149</v>
      </c>
      <c r="B8" s="27">
        <f>EXP(C8)</f>
        <v>1.8729057386986849</v>
      </c>
      <c r="C8" s="27">
        <v>0.62749109582003504</v>
      </c>
      <c r="E8" s="27"/>
      <c r="F8" s="115" t="s">
        <v>130</v>
      </c>
      <c r="G8" s="116">
        <f>AVERAGE(L16:L32)</f>
        <v>0.10618448729110139</v>
      </c>
      <c r="J8" s="125">
        <v>0.10101928531775015</v>
      </c>
      <c r="K8" s="126">
        <v>7.3238026353644653E-2</v>
      </c>
      <c r="M8" s="2" t="s">
        <v>195</v>
      </c>
      <c r="N8" s="141">
        <f>2*(G3-'W+cov (Lag6 AP)'!G3)</f>
        <v>362.67354816093575</v>
      </c>
      <c r="P8"/>
      <c r="Q8"/>
      <c r="R8"/>
      <c r="S8"/>
      <c r="T8" s="119"/>
      <c r="U8"/>
      <c r="V8"/>
      <c r="W8"/>
      <c r="X8" s="66"/>
      <c r="Y8" s="84"/>
      <c r="Z8"/>
      <c r="AA8"/>
      <c r="AB8"/>
      <c r="AC8"/>
      <c r="AD8"/>
      <c r="AE8"/>
      <c r="AF8"/>
      <c r="AG8"/>
      <c r="AH8"/>
      <c r="AI8"/>
    </row>
    <row r="9" spans="1:35">
      <c r="A9" s="2" t="s">
        <v>150</v>
      </c>
      <c r="B9" s="27">
        <f>EXP(C9)</f>
        <v>0.8377598042376585</v>
      </c>
      <c r="C9" s="27">
        <v>-0.17702384937421994</v>
      </c>
      <c r="E9" s="27"/>
      <c r="F9" s="115" t="s">
        <v>139</v>
      </c>
      <c r="G9" s="116">
        <f>AVERAGE(L33:L36)</f>
        <v>0.13788370796529972</v>
      </c>
      <c r="J9" s="125">
        <v>3.7158551039105814</v>
      </c>
      <c r="K9" s="126">
        <v>0.16600586617694288</v>
      </c>
      <c r="M9" s="2" t="s">
        <v>196</v>
      </c>
      <c r="N9" s="54">
        <v>3</v>
      </c>
      <c r="P9"/>
      <c r="Q9"/>
      <c r="R9"/>
      <c r="S9"/>
      <c r="T9" s="119"/>
      <c r="U9"/>
      <c r="V9"/>
      <c r="W9"/>
      <c r="X9" s="66"/>
      <c r="Y9" s="103"/>
      <c r="Z9"/>
      <c r="AA9"/>
      <c r="AB9"/>
      <c r="AC9"/>
      <c r="AD9"/>
      <c r="AE9"/>
      <c r="AF9"/>
      <c r="AG9"/>
      <c r="AH9"/>
      <c r="AI9"/>
    </row>
    <row r="10" spans="1:35">
      <c r="A10" s="2" t="s">
        <v>105</v>
      </c>
      <c r="B10" s="28">
        <v>100000</v>
      </c>
      <c r="C10" s="27"/>
      <c r="E10" s="27"/>
      <c r="F10" s="115" t="s">
        <v>145</v>
      </c>
      <c r="G10" s="116">
        <f>MEDIAN(L17:L38)</f>
        <v>9.4909282532665173E-2</v>
      </c>
      <c r="J10" s="125">
        <v>0.11433729943848264</v>
      </c>
      <c r="K10" s="126">
        <v>7.5129489764360471E-2</v>
      </c>
      <c r="M10" s="2" t="s">
        <v>197</v>
      </c>
      <c r="N10" s="54">
        <f>_xlfn.CHISQ.DIST.RT(N8,N9)</f>
        <v>2.6873870464457358E-78</v>
      </c>
      <c r="T10" s="119"/>
      <c r="X10"/>
      <c r="Y10"/>
      <c r="Z10"/>
      <c r="AA10"/>
      <c r="AB10"/>
      <c r="AC10"/>
      <c r="AD10"/>
      <c r="AE10"/>
      <c r="AF10"/>
      <c r="AG10"/>
      <c r="AH10"/>
      <c r="AI10"/>
    </row>
    <row r="11" spans="1:35">
      <c r="E11" s="27"/>
      <c r="F11" s="54"/>
      <c r="G11" s="54"/>
      <c r="T11" s="119"/>
      <c r="U11" s="119"/>
      <c r="V11" s="119"/>
      <c r="W11" s="119"/>
      <c r="X11"/>
      <c r="Y11"/>
      <c r="Z11"/>
      <c r="AA11"/>
      <c r="AB11"/>
      <c r="AC11"/>
      <c r="AD11"/>
      <c r="AE11"/>
      <c r="AF11"/>
      <c r="AG11"/>
      <c r="AH11"/>
      <c r="AI11"/>
    </row>
    <row r="12" spans="1:35">
      <c r="E12" s="27"/>
      <c r="T12" s="8"/>
      <c r="U12" s="8"/>
      <c r="V12" s="119"/>
      <c r="W12" s="119"/>
      <c r="X12"/>
      <c r="Y12"/>
      <c r="Z12"/>
      <c r="AA12"/>
      <c r="AB12"/>
      <c r="AC12"/>
      <c r="AD12"/>
      <c r="AE12"/>
      <c r="AF12"/>
      <c r="AG12"/>
      <c r="AH12"/>
      <c r="AI12"/>
    </row>
    <row r="13" spans="1:35">
      <c r="Q13" s="27">
        <f>B4</f>
        <v>3.0347206797523771E-3</v>
      </c>
      <c r="R13" s="27">
        <f>B7</f>
        <v>-0.72990353397909902</v>
      </c>
      <c r="S13" s="27"/>
      <c r="T13" s="27"/>
      <c r="U13" s="27"/>
      <c r="X13"/>
      <c r="Y13"/>
      <c r="Z13"/>
      <c r="AA13"/>
      <c r="AB13"/>
      <c r="AC13"/>
      <c r="AD13"/>
      <c r="AE13"/>
      <c r="AF13"/>
      <c r="AG13"/>
      <c r="AH13"/>
      <c r="AI13"/>
    </row>
    <row r="14" spans="1:35">
      <c r="L14" s="2" t="s">
        <v>170</v>
      </c>
      <c r="M14" s="2" t="s">
        <v>169</v>
      </c>
      <c r="P14" s="7" t="s">
        <v>147</v>
      </c>
      <c r="X14"/>
      <c r="Y14"/>
      <c r="Z14"/>
      <c r="AA14"/>
      <c r="AB14"/>
      <c r="AC14"/>
      <c r="AD14"/>
      <c r="AE14"/>
      <c r="AF14"/>
      <c r="AG14"/>
      <c r="AH14"/>
      <c r="AI14"/>
    </row>
    <row r="15" spans="1:35">
      <c r="A15" s="32" t="s">
        <v>1</v>
      </c>
      <c r="B15" s="119" t="s">
        <v>100</v>
      </c>
      <c r="C15" s="119" t="s">
        <v>128</v>
      </c>
      <c r="D15" s="119" t="s">
        <v>101</v>
      </c>
      <c r="E15" s="7"/>
      <c r="F15" s="119" t="s">
        <v>103</v>
      </c>
      <c r="G15" s="32" t="s">
        <v>104</v>
      </c>
      <c r="H15" s="7" t="s">
        <v>118</v>
      </c>
      <c r="I15" s="7"/>
      <c r="J15" s="7" t="s">
        <v>106</v>
      </c>
      <c r="K15" s="114" t="s">
        <v>168</v>
      </c>
      <c r="L15" s="114" t="s">
        <v>129</v>
      </c>
      <c r="M15" s="7" t="s">
        <v>129</v>
      </c>
      <c r="N15" s="44"/>
      <c r="O15" s="7" t="s">
        <v>108</v>
      </c>
      <c r="P15" s="7" t="s">
        <v>109</v>
      </c>
      <c r="Q15" s="45" t="s">
        <v>116</v>
      </c>
      <c r="R15" s="45" t="s">
        <v>160</v>
      </c>
      <c r="S15" s="55"/>
      <c r="T15"/>
      <c r="U15" s="16"/>
      <c r="V15"/>
      <c r="W15"/>
      <c r="X15"/>
      <c r="Y15"/>
      <c r="Z15"/>
      <c r="AA15"/>
      <c r="AB15"/>
      <c r="AC15"/>
      <c r="AD15"/>
      <c r="AE15"/>
      <c r="AF15"/>
      <c r="AG15"/>
      <c r="AH15"/>
      <c r="AI15"/>
    </row>
    <row r="16" spans="1:35">
      <c r="A16" s="1">
        <v>34700</v>
      </c>
      <c r="B16" s="119">
        <f>1</f>
        <v>1</v>
      </c>
      <c r="C16" s="2">
        <f>D16</f>
        <v>2976</v>
      </c>
      <c r="D16">
        <v>2976</v>
      </c>
      <c r="E16" s="7"/>
      <c r="F16" s="31">
        <f t="shared" ref="F16:F36" si="0">1-EXP(-$B$2*O16)</f>
        <v>3.1141783950144997E-2</v>
      </c>
      <c r="G16" s="174">
        <f>F16</f>
        <v>3.1141783950144997E-2</v>
      </c>
      <c r="H16" s="17">
        <f>D16*IFERROR(LN(G16),-10000)</f>
        <v>-10324.353562647924</v>
      </c>
      <c r="I16" s="7"/>
      <c r="J16" s="35">
        <f t="shared" ref="J16:J36" si="1">$B$10*F16</f>
        <v>3114.1783950144995</v>
      </c>
      <c r="K16" s="35">
        <f>J16</f>
        <v>3114.1783950144995</v>
      </c>
      <c r="L16" s="78">
        <f>ABS((D16-K16)/D16)</f>
        <v>4.6430912303259249E-2</v>
      </c>
      <c r="M16" s="78">
        <f>ABS((C16-J16)/C16)</f>
        <v>4.6430912303259249E-2</v>
      </c>
      <c r="N16" s="44"/>
      <c r="O16" s="35">
        <f>B16^B3*P16</f>
        <v>0.40795511711075066</v>
      </c>
      <c r="P16" s="74">
        <f>EXP(SUMPRODUCT($Q$13:$R$13,Q16:R16))</f>
        <v>0.40795511711075066</v>
      </c>
      <c r="Q16" s="2">
        <f>1550.2/(10)</f>
        <v>155.02000000000001</v>
      </c>
      <c r="R16">
        <f>$B$8*$B$9^(B16-1)</f>
        <v>1.8729057386986849</v>
      </c>
      <c r="S16"/>
      <c r="T16" s="9" t="s">
        <v>154</v>
      </c>
      <c r="U16" s="16"/>
      <c r="V16"/>
      <c r="W16"/>
      <c r="X16"/>
      <c r="Y16"/>
      <c r="Z16"/>
      <c r="AA16"/>
      <c r="AB16"/>
      <c r="AC16"/>
      <c r="AD16"/>
      <c r="AE16"/>
      <c r="AF16"/>
      <c r="AG16"/>
      <c r="AH16"/>
      <c r="AI16"/>
    </row>
    <row r="17" spans="1:35">
      <c r="A17" s="1">
        <v>34707</v>
      </c>
      <c r="B17" s="33">
        <f>1+B16</f>
        <v>2</v>
      </c>
      <c r="C17" s="2">
        <f>C16+D17</f>
        <v>5505</v>
      </c>
      <c r="D17">
        <v>2529</v>
      </c>
      <c r="F17" s="31">
        <f t="shared" si="0"/>
        <v>5.2684438777363507E-2</v>
      </c>
      <c r="G17" s="31">
        <f t="shared" ref="G17:G36" si="2">F17-F16</f>
        <v>2.154265482721851E-2</v>
      </c>
      <c r="H17" s="17">
        <f t="shared" ref="H17:H32" si="3">D17*IFERROR(LN(G17),-10000)</f>
        <v>-9705.594800093646</v>
      </c>
      <c r="J17" s="35">
        <f t="shared" si="1"/>
        <v>5268.4438777363503</v>
      </c>
      <c r="K17" s="35">
        <f t="shared" ref="K17:K36" si="4">J17-J16</f>
        <v>2154.2654827218507</v>
      </c>
      <c r="L17" s="78">
        <f t="shared" ref="L17:L36" si="5">ABS((D17-K17)/D17)</f>
        <v>0.14817497717601791</v>
      </c>
      <c r="M17" s="78">
        <f t="shared" ref="M17:M36" si="6">ABS((C17-J17)/C17)</f>
        <v>4.2971139375776519E-2</v>
      </c>
      <c r="N17" s="47"/>
      <c r="O17" s="35">
        <f t="shared" ref="O17:O36" si="7">O16+(B17^$B$3-B16^$B$3)*P17</f>
        <v>0.69790954621507384</v>
      </c>
      <c r="P17" s="74">
        <f t="shared" ref="P17:P36" si="8">EXP(SUMPRODUCT($Q$13:$R$13,Q17:R17))</f>
        <v>0.50042918054352525</v>
      </c>
      <c r="Q17" s="2">
        <f>1492.6/(10)</f>
        <v>149.26</v>
      </c>
      <c r="R17">
        <f>$B$8*$B$9^(B17-1)</f>
        <v>1.5690451450077976</v>
      </c>
      <c r="S17" s="67"/>
      <c r="T17"/>
      <c r="U17" s="196"/>
      <c r="V17" s="6"/>
      <c r="W17"/>
      <c r="X17"/>
      <c r="Y17"/>
      <c r="Z17"/>
      <c r="AA17"/>
      <c r="AB17"/>
      <c r="AC17"/>
      <c r="AD17"/>
      <c r="AE17"/>
      <c r="AF17"/>
      <c r="AG17"/>
      <c r="AH17"/>
      <c r="AI17"/>
    </row>
    <row r="18" spans="1:35" ht="12.75" customHeight="1">
      <c r="A18" s="1">
        <v>34714</v>
      </c>
      <c r="B18" s="33">
        <f t="shared" ref="B18:B36" si="9">1+B17</f>
        <v>3</v>
      </c>
      <c r="C18" s="2">
        <f t="shared" ref="C18:C36" si="10">C17+D18</f>
        <v>7926</v>
      </c>
      <c r="D18">
        <v>2421</v>
      </c>
      <c r="F18" s="31">
        <f t="shared" si="0"/>
        <v>7.9311206876020446E-2</v>
      </c>
      <c r="G18" s="31">
        <f t="shared" si="2"/>
        <v>2.6626768098656939E-2</v>
      </c>
      <c r="H18" s="17">
        <f t="shared" si="3"/>
        <v>-8778.1544025143357</v>
      </c>
      <c r="J18" s="35">
        <f t="shared" si="1"/>
        <v>7931.1206876020442</v>
      </c>
      <c r="K18" s="35">
        <f t="shared" si="4"/>
        <v>2662.6768098656939</v>
      </c>
      <c r="L18" s="78">
        <f t="shared" si="5"/>
        <v>9.9825200274966525E-2</v>
      </c>
      <c r="M18" s="78">
        <f t="shared" si="6"/>
        <v>6.4606202397731512E-4</v>
      </c>
      <c r="N18" s="47"/>
      <c r="O18" s="35">
        <f t="shared" si="7"/>
        <v>1.0655447620036409</v>
      </c>
      <c r="P18" s="74">
        <f t="shared" si="8"/>
        <v>0.75941469431753716</v>
      </c>
      <c r="Q18" s="2">
        <f>2254.7/(10)</f>
        <v>225.46999999999997</v>
      </c>
      <c r="R18">
        <f>$B$8*$B$9^(B18-1)</f>
        <v>1.3144829535217808</v>
      </c>
      <c r="S18" s="67"/>
      <c r="T18"/>
      <c r="U18" s="196"/>
      <c r="V18" s="6"/>
      <c r="W18"/>
      <c r="Y18"/>
      <c r="Z18"/>
      <c r="AA18"/>
      <c r="AB18"/>
      <c r="AC18"/>
      <c r="AD18"/>
      <c r="AE18"/>
      <c r="AF18"/>
      <c r="AG18"/>
      <c r="AH18"/>
      <c r="AI18"/>
    </row>
    <row r="19" spans="1:35">
      <c r="A19" s="1">
        <v>34721</v>
      </c>
      <c r="B19" s="33">
        <f t="shared" si="9"/>
        <v>4</v>
      </c>
      <c r="C19" s="2">
        <f t="shared" si="10"/>
        <v>10311</v>
      </c>
      <c r="D19">
        <v>2385</v>
      </c>
      <c r="F19" s="31">
        <f t="shared" si="0"/>
        <v>0.10475241386261291</v>
      </c>
      <c r="G19" s="31">
        <f t="shared" si="2"/>
        <v>2.5441206986592468E-2</v>
      </c>
      <c r="H19" s="17">
        <f t="shared" si="3"/>
        <v>-8756.2534568080227</v>
      </c>
      <c r="J19" s="35">
        <f t="shared" si="1"/>
        <v>10475.241386261292</v>
      </c>
      <c r="K19" s="35">
        <f t="shared" si="4"/>
        <v>2544.1206986592479</v>
      </c>
      <c r="L19" s="78">
        <f t="shared" si="5"/>
        <v>6.6717274070963464E-2</v>
      </c>
      <c r="M19" s="78">
        <f t="shared" si="6"/>
        <v>1.5928754365366313E-2</v>
      </c>
      <c r="N19" s="47"/>
      <c r="O19" s="35">
        <f t="shared" si="7"/>
        <v>1.42688191402356</v>
      </c>
      <c r="P19" s="74">
        <f t="shared" si="8"/>
        <v>0.83831899739898308</v>
      </c>
      <c r="Q19" s="2">
        <f>2067.5/(10)</f>
        <v>206.75</v>
      </c>
      <c r="R19">
        <f>$B$8*$B$9^(B19-1)</f>
        <v>1.1012209818161462</v>
      </c>
      <c r="S19" s="67"/>
      <c r="T19"/>
      <c r="U19" s="196"/>
      <c r="V19"/>
      <c r="W19"/>
      <c r="X19"/>
      <c r="Y19"/>
      <c r="Z19"/>
      <c r="AA19"/>
      <c r="AB19"/>
      <c r="AC19"/>
      <c r="AD19"/>
      <c r="AE19"/>
      <c r="AF19"/>
      <c r="AG19"/>
      <c r="AH19"/>
      <c r="AI19"/>
    </row>
    <row r="20" spans="1:35">
      <c r="A20" s="1">
        <v>34728</v>
      </c>
      <c r="B20" s="33">
        <f t="shared" si="9"/>
        <v>5</v>
      </c>
      <c r="C20" s="2">
        <f t="shared" si="10"/>
        <v>12941</v>
      </c>
      <c r="D20">
        <v>2630</v>
      </c>
      <c r="F20" s="31">
        <f t="shared" si="0"/>
        <v>0.13009969279260947</v>
      </c>
      <c r="G20" s="31">
        <f t="shared" si="2"/>
        <v>2.5347278929996553E-2</v>
      </c>
      <c r="H20" s="17">
        <f t="shared" si="3"/>
        <v>-9665.4706431816721</v>
      </c>
      <c r="J20" s="35">
        <f t="shared" si="1"/>
        <v>13009.969279260948</v>
      </c>
      <c r="K20" s="35">
        <f t="shared" si="4"/>
        <v>2534.7278929996555</v>
      </c>
      <c r="L20" s="78">
        <f t="shared" si="5"/>
        <v>3.6225135741575848E-2</v>
      </c>
      <c r="M20" s="78">
        <f t="shared" si="6"/>
        <v>5.3295169817593373E-3</v>
      </c>
      <c r="N20" s="47"/>
      <c r="O20" s="35">
        <f t="shared" si="7"/>
        <v>1.7972445935307089</v>
      </c>
      <c r="P20" s="74">
        <f t="shared" si="8"/>
        <v>0.93663314895529715</v>
      </c>
      <c r="Q20" s="2">
        <f>2003.2/(10)</f>
        <v>200.32</v>
      </c>
      <c r="R20">
        <f t="shared" ref="R20:R36" si="11">$B$8*$B$9^(B20-1)</f>
        <v>0.92255867414869674</v>
      </c>
      <c r="S20" s="67"/>
      <c r="T20"/>
      <c r="U20" s="196"/>
      <c r="V20"/>
      <c r="W20"/>
      <c r="X20"/>
      <c r="Y20"/>
      <c r="Z20"/>
      <c r="AA20"/>
      <c r="AB20"/>
      <c r="AC20"/>
      <c r="AD20"/>
      <c r="AE20"/>
      <c r="AF20"/>
      <c r="AG20"/>
      <c r="AH20"/>
      <c r="AI20"/>
    </row>
    <row r="21" spans="1:35">
      <c r="A21" s="1">
        <v>34735</v>
      </c>
      <c r="B21" s="33">
        <f t="shared" si="9"/>
        <v>6</v>
      </c>
      <c r="C21" s="2">
        <f t="shared" si="10"/>
        <v>15735</v>
      </c>
      <c r="D21">
        <v>2794</v>
      </c>
      <c r="F21" s="31">
        <f t="shared" si="0"/>
        <v>0.15850853177935609</v>
      </c>
      <c r="G21" s="31">
        <f t="shared" si="2"/>
        <v>2.8408838986746621E-2</v>
      </c>
      <c r="H21" s="17">
        <f t="shared" si="3"/>
        <v>-9949.5875311658292</v>
      </c>
      <c r="J21" s="35">
        <f t="shared" si="1"/>
        <v>15850.853177935609</v>
      </c>
      <c r="K21" s="35">
        <f t="shared" si="4"/>
        <v>2840.8838986746614</v>
      </c>
      <c r="L21" s="78">
        <f t="shared" si="5"/>
        <v>1.6780207113336217E-2</v>
      </c>
      <c r="M21" s="78">
        <f t="shared" si="6"/>
        <v>7.3627694906646954E-3</v>
      </c>
      <c r="N21" s="47"/>
      <c r="O21" s="35">
        <f t="shared" si="7"/>
        <v>2.2253897728193572</v>
      </c>
      <c r="P21" s="74">
        <f t="shared" si="8"/>
        <v>1.1597215296512922</v>
      </c>
      <c r="Q21" s="2">
        <f>2347.2/(10)</f>
        <v>234.71999999999997</v>
      </c>
      <c r="R21">
        <f t="shared" si="11"/>
        <v>0.77288257425256601</v>
      </c>
      <c r="S21" s="67"/>
      <c r="T21"/>
      <c r="U21"/>
      <c r="V21"/>
      <c r="W21"/>
      <c r="X21"/>
      <c r="Y21"/>
      <c r="Z21"/>
      <c r="AA21"/>
      <c r="AB21"/>
      <c r="AC21"/>
      <c r="AD21"/>
      <c r="AE21"/>
      <c r="AF21"/>
      <c r="AG21"/>
      <c r="AH21"/>
      <c r="AI21"/>
    </row>
    <row r="22" spans="1:35">
      <c r="A22" s="1">
        <v>34742</v>
      </c>
      <c r="B22" s="33">
        <f t="shared" si="9"/>
        <v>7</v>
      </c>
      <c r="C22" s="2">
        <f t="shared" si="10"/>
        <v>18435</v>
      </c>
      <c r="D22">
        <v>2700</v>
      </c>
      <c r="F22" s="31">
        <f t="shared" si="0"/>
        <v>0.19030751220379372</v>
      </c>
      <c r="G22" s="31">
        <f t="shared" si="2"/>
        <v>3.1798980424437628E-2</v>
      </c>
      <c r="H22" s="17">
        <f t="shared" si="3"/>
        <v>-9310.4668399534476</v>
      </c>
      <c r="J22" s="35">
        <f t="shared" si="1"/>
        <v>19030.75122037937</v>
      </c>
      <c r="K22" s="35">
        <f t="shared" si="4"/>
        <v>3179.8980424437614</v>
      </c>
      <c r="L22" s="78">
        <f t="shared" si="5"/>
        <v>0.17774001571991163</v>
      </c>
      <c r="M22" s="78">
        <f t="shared" si="6"/>
        <v>3.2316312469724454E-2</v>
      </c>
      <c r="N22" s="47"/>
      <c r="O22" s="35">
        <f t="shared" si="7"/>
        <v>2.7221176714738351</v>
      </c>
      <c r="P22" s="74">
        <f t="shared" si="8"/>
        <v>1.4245276384801975</v>
      </c>
      <c r="Q22" s="2">
        <f>2723.3/(10)</f>
        <v>272.33000000000004</v>
      </c>
      <c r="R22">
        <f t="shared" si="11"/>
        <v>0.64748995410452714</v>
      </c>
      <c r="S22" s="67"/>
      <c r="T22"/>
      <c r="U22" s="16" t="s">
        <v>3</v>
      </c>
      <c r="V22"/>
      <c r="W22"/>
      <c r="X22"/>
      <c r="Y22"/>
      <c r="Z22"/>
      <c r="AA22"/>
      <c r="AB22"/>
      <c r="AC22"/>
      <c r="AD22"/>
      <c r="AE22"/>
      <c r="AF22"/>
      <c r="AG22"/>
      <c r="AH22"/>
      <c r="AI22"/>
    </row>
    <row r="23" spans="1:35">
      <c r="A23" s="1">
        <v>34749</v>
      </c>
      <c r="B23" s="33">
        <f t="shared" si="9"/>
        <v>8</v>
      </c>
      <c r="C23" s="2">
        <f t="shared" si="10"/>
        <v>21605</v>
      </c>
      <c r="D23">
        <v>3170</v>
      </c>
      <c r="F23" s="31">
        <f t="shared" si="0"/>
        <v>0.2201773363530013</v>
      </c>
      <c r="G23" s="31">
        <f t="shared" si="2"/>
        <v>2.986982414920758E-2</v>
      </c>
      <c r="H23" s="17">
        <f t="shared" si="3"/>
        <v>-11129.573712703119</v>
      </c>
      <c r="J23" s="35">
        <f t="shared" si="1"/>
        <v>22017.73363530013</v>
      </c>
      <c r="K23" s="35">
        <f t="shared" si="4"/>
        <v>2986.9824149207598</v>
      </c>
      <c r="L23" s="78">
        <f t="shared" si="5"/>
        <v>5.7734253968214584E-2</v>
      </c>
      <c r="M23" s="78">
        <f t="shared" si="6"/>
        <v>1.9103616537844485E-2</v>
      </c>
      <c r="N23" s="47"/>
      <c r="O23" s="35">
        <f t="shared" si="7"/>
        <v>3.2068101058469369</v>
      </c>
      <c r="P23" s="74">
        <f t="shared" si="8"/>
        <v>1.4596065401728562</v>
      </c>
      <c r="Q23" s="2">
        <f>2550.8/(10)</f>
        <v>255.08</v>
      </c>
      <c r="R23">
        <f t="shared" si="11"/>
        <v>0.5424410571964593</v>
      </c>
      <c r="S23" s="67"/>
      <c r="T23"/>
      <c r="U23" s="6" t="s">
        <v>47</v>
      </c>
      <c r="V23"/>
      <c r="W23"/>
      <c r="X23"/>
      <c r="Y23" t="s">
        <v>48</v>
      </c>
      <c r="Z23"/>
      <c r="AA23"/>
      <c r="AB23"/>
      <c r="AC23"/>
      <c r="AD23"/>
      <c r="AE23"/>
      <c r="AF23"/>
      <c r="AG23"/>
      <c r="AH23"/>
      <c r="AI23"/>
    </row>
    <row r="24" spans="1:35">
      <c r="A24" s="1">
        <v>34756</v>
      </c>
      <c r="B24" s="33">
        <f t="shared" si="9"/>
        <v>9</v>
      </c>
      <c r="C24" s="2">
        <f t="shared" si="10"/>
        <v>24172</v>
      </c>
      <c r="D24">
        <v>2567</v>
      </c>
      <c r="F24" s="31">
        <f t="shared" si="0"/>
        <v>0.25209210678246774</v>
      </c>
      <c r="G24" s="31">
        <f t="shared" si="2"/>
        <v>3.1914770429466444E-2</v>
      </c>
      <c r="H24" s="17">
        <f t="shared" si="3"/>
        <v>-8842.5098693987202</v>
      </c>
      <c r="J24" s="35">
        <f t="shared" si="1"/>
        <v>25209.210678246774</v>
      </c>
      <c r="K24" s="35">
        <f t="shared" si="4"/>
        <v>3191.4770429466444</v>
      </c>
      <c r="L24" s="78">
        <f t="shared" si="5"/>
        <v>0.24327115034929658</v>
      </c>
      <c r="M24" s="78">
        <f t="shared" si="6"/>
        <v>4.2909592844893867E-2</v>
      </c>
      <c r="N24" s="47"/>
      <c r="O24" s="35">
        <f t="shared" si="7"/>
        <v>3.7456444461696101</v>
      </c>
      <c r="P24" s="74">
        <f t="shared" si="8"/>
        <v>1.6934499595778809</v>
      </c>
      <c r="Q24" s="2">
        <f>2828.8/(10)</f>
        <v>282.88</v>
      </c>
      <c r="R24">
        <f t="shared" si="11"/>
        <v>0.45443531388737413</v>
      </c>
      <c r="S24" s="67"/>
      <c r="T24"/>
      <c r="U24" s="87" t="s">
        <v>141</v>
      </c>
      <c r="V24"/>
      <c r="W24"/>
      <c r="X24"/>
      <c r="Y24"/>
      <c r="Z24"/>
      <c r="AA24"/>
      <c r="AB24"/>
      <c r="AC24"/>
      <c r="AD24"/>
      <c r="AE24"/>
      <c r="AF24"/>
      <c r="AG24"/>
      <c r="AH24"/>
      <c r="AI24"/>
    </row>
    <row r="25" spans="1:35">
      <c r="A25" s="1">
        <v>34763</v>
      </c>
      <c r="B25" s="33">
        <f t="shared" si="9"/>
        <v>10</v>
      </c>
      <c r="C25" s="2">
        <f t="shared" si="10"/>
        <v>27581</v>
      </c>
      <c r="D25">
        <v>3409</v>
      </c>
      <c r="F25" s="31">
        <f t="shared" si="0"/>
        <v>0.28677930775239358</v>
      </c>
      <c r="G25" s="31">
        <f t="shared" si="2"/>
        <v>3.4687200969925835E-2</v>
      </c>
      <c r="H25" s="17">
        <f t="shared" si="3"/>
        <v>-11458.959788451975</v>
      </c>
      <c r="J25" s="35">
        <f t="shared" si="1"/>
        <v>28677.930775239358</v>
      </c>
      <c r="K25" s="35">
        <f t="shared" si="4"/>
        <v>3468.7200969925834</v>
      </c>
      <c r="L25" s="78">
        <f t="shared" si="5"/>
        <v>1.751836227415178E-2</v>
      </c>
      <c r="M25" s="78">
        <f t="shared" si="6"/>
        <v>3.9771247425378263E-2</v>
      </c>
      <c r="N25" s="47"/>
      <c r="O25" s="35">
        <f t="shared" si="7"/>
        <v>4.3580082964367497</v>
      </c>
      <c r="P25" s="74">
        <f t="shared" si="8"/>
        <v>1.998953556391144</v>
      </c>
      <c r="Q25" s="2">
        <f>3198/(10)</f>
        <v>319.8</v>
      </c>
      <c r="R25">
        <f t="shared" si="11"/>
        <v>0.38070763960096543</v>
      </c>
      <c r="S25" s="67"/>
      <c r="T25"/>
      <c r="U25" s="6" t="s">
        <v>146</v>
      </c>
      <c r="V25"/>
      <c r="W25"/>
      <c r="X25"/>
      <c r="Y25"/>
      <c r="Z25"/>
      <c r="AA25"/>
      <c r="AB25"/>
      <c r="AC25"/>
      <c r="AD25"/>
      <c r="AE25"/>
      <c r="AF25"/>
      <c r="AG25"/>
      <c r="AH25"/>
      <c r="AI25"/>
    </row>
    <row r="26" spans="1:35">
      <c r="A26" s="1">
        <v>34770</v>
      </c>
      <c r="B26" s="33">
        <f t="shared" si="9"/>
        <v>11</v>
      </c>
      <c r="C26" s="2">
        <f t="shared" si="10"/>
        <v>30651</v>
      </c>
      <c r="D26">
        <v>3070</v>
      </c>
      <c r="F26" s="31">
        <f t="shared" si="0"/>
        <v>0.31820375482793617</v>
      </c>
      <c r="G26" s="31">
        <f t="shared" si="2"/>
        <v>3.1424447075542594E-2</v>
      </c>
      <c r="H26" s="17">
        <f t="shared" si="3"/>
        <v>-10622.719197512695</v>
      </c>
      <c r="J26" s="35">
        <f t="shared" si="1"/>
        <v>31820.375482793617</v>
      </c>
      <c r="K26" s="35">
        <f t="shared" si="4"/>
        <v>3142.4447075542594</v>
      </c>
      <c r="L26" s="78">
        <f t="shared" si="5"/>
        <v>2.3597624610507937E-2</v>
      </c>
      <c r="M26" s="78">
        <f t="shared" si="6"/>
        <v>3.8151299559349358E-2</v>
      </c>
      <c r="N26" s="47"/>
      <c r="O26" s="35">
        <f t="shared" si="7"/>
        <v>4.9390519429647171</v>
      </c>
      <c r="P26" s="74">
        <f t="shared" si="8"/>
        <v>1.9625626503865388</v>
      </c>
      <c r="Q26" s="2">
        <f>2988.9/(10)</f>
        <v>298.89</v>
      </c>
      <c r="R26">
        <f t="shared" si="11"/>
        <v>0.31894155762388582</v>
      </c>
      <c r="S26" s="67"/>
      <c r="T26"/>
      <c r="V26"/>
      <c r="W26"/>
      <c r="X26"/>
      <c r="Y26"/>
      <c r="Z26"/>
      <c r="AA26"/>
      <c r="AB26"/>
      <c r="AC26"/>
      <c r="AD26"/>
      <c r="AE26"/>
      <c r="AF26"/>
      <c r="AG26"/>
      <c r="AH26"/>
      <c r="AI26"/>
    </row>
    <row r="27" spans="1:35">
      <c r="A27" s="1">
        <v>34777</v>
      </c>
      <c r="B27" s="33">
        <f t="shared" si="9"/>
        <v>12</v>
      </c>
      <c r="C27" s="2">
        <f t="shared" si="10"/>
        <v>33833</v>
      </c>
      <c r="D27">
        <v>3182</v>
      </c>
      <c r="F27" s="31">
        <f t="shared" si="0"/>
        <v>0.34151079650847282</v>
      </c>
      <c r="G27" s="31">
        <f t="shared" si="2"/>
        <v>2.3307041680536655E-2</v>
      </c>
      <c r="H27" s="17">
        <f t="shared" si="3"/>
        <v>-11961.137191836831</v>
      </c>
      <c r="J27" s="35">
        <f t="shared" si="1"/>
        <v>34151.079650847285</v>
      </c>
      <c r="K27" s="35">
        <f t="shared" si="4"/>
        <v>2330.7041680536677</v>
      </c>
      <c r="L27" s="78">
        <f t="shared" si="5"/>
        <v>0.26753483090708119</v>
      </c>
      <c r="M27" s="78">
        <f t="shared" si="6"/>
        <v>9.4014616157977408E-3</v>
      </c>
      <c r="N27" s="47"/>
      <c r="O27" s="35">
        <f t="shared" si="7"/>
        <v>5.3875708456204316</v>
      </c>
      <c r="P27" s="74">
        <f t="shared" si="8"/>
        <v>1.5626622760793676</v>
      </c>
      <c r="Q27" s="2">
        <f>2113.6/(10)</f>
        <v>211.35999999999999</v>
      </c>
      <c r="R27">
        <f t="shared" si="11"/>
        <v>0.26719641687824047</v>
      </c>
      <c r="S27" s="67"/>
      <c r="T27"/>
      <c r="V27"/>
      <c r="W27"/>
      <c r="X27"/>
      <c r="Y27"/>
      <c r="Z27"/>
      <c r="AA27"/>
      <c r="AB27"/>
      <c r="AC27"/>
      <c r="AD27"/>
      <c r="AE27"/>
      <c r="AF27"/>
      <c r="AG27"/>
      <c r="AH27"/>
      <c r="AI27"/>
    </row>
    <row r="28" spans="1:35">
      <c r="A28" s="1">
        <v>34784</v>
      </c>
      <c r="B28" s="33">
        <f t="shared" si="9"/>
        <v>13</v>
      </c>
      <c r="C28" s="2">
        <f t="shared" si="10"/>
        <v>36539</v>
      </c>
      <c r="D28">
        <v>2706</v>
      </c>
      <c r="F28" s="31">
        <f t="shared" si="0"/>
        <v>0.36263873773674737</v>
      </c>
      <c r="G28" s="31">
        <f t="shared" si="2"/>
        <v>2.1127941228274549E-2</v>
      </c>
      <c r="H28" s="17">
        <f t="shared" si="3"/>
        <v>-10437.471944676201</v>
      </c>
      <c r="J28" s="35">
        <f t="shared" si="1"/>
        <v>36263.873773674735</v>
      </c>
      <c r="K28" s="35">
        <f t="shared" si="4"/>
        <v>2112.7941228274503</v>
      </c>
      <c r="L28" s="78">
        <f t="shared" si="5"/>
        <v>0.219218727706042</v>
      </c>
      <c r="M28" s="78">
        <f t="shared" si="6"/>
        <v>7.5296594412891625E-3</v>
      </c>
      <c r="N28" s="47"/>
      <c r="O28" s="35">
        <f t="shared" si="7"/>
        <v>5.808092047040434</v>
      </c>
      <c r="P28" s="74">
        <f t="shared" si="8"/>
        <v>1.5073573227866739</v>
      </c>
      <c r="Q28" s="2">
        <f>1890.6/(10)</f>
        <v>189.06</v>
      </c>
      <c r="R28">
        <f t="shared" si="11"/>
        <v>0.2238464178969185</v>
      </c>
      <c r="S28" s="67"/>
      <c r="T28"/>
      <c r="U28"/>
      <c r="V28" s="6" t="s">
        <v>152</v>
      </c>
      <c r="W28"/>
      <c r="X28"/>
      <c r="Y28"/>
      <c r="Z28"/>
      <c r="AA28"/>
      <c r="AB28"/>
      <c r="AC28"/>
      <c r="AD28"/>
      <c r="AE28"/>
      <c r="AF28"/>
      <c r="AG28"/>
      <c r="AH28"/>
      <c r="AI28"/>
    </row>
    <row r="29" spans="1:35">
      <c r="A29" s="1">
        <v>34791</v>
      </c>
      <c r="B29" s="33">
        <f t="shared" si="9"/>
        <v>14</v>
      </c>
      <c r="C29" s="2">
        <f t="shared" si="10"/>
        <v>38429</v>
      </c>
      <c r="D29">
        <v>1890</v>
      </c>
      <c r="E29" s="54"/>
      <c r="F29" s="139">
        <f t="shared" si="0"/>
        <v>0.38292465306284296</v>
      </c>
      <c r="G29" s="139">
        <f t="shared" si="2"/>
        <v>2.0285915326095583E-2</v>
      </c>
      <c r="H29" s="17">
        <f t="shared" si="3"/>
        <v>-7366.8957894830955</v>
      </c>
      <c r="I29" s="54"/>
      <c r="J29" s="56">
        <f t="shared" si="1"/>
        <v>38292.465306284299</v>
      </c>
      <c r="K29" s="56">
        <f t="shared" si="4"/>
        <v>2028.5915326095637</v>
      </c>
      <c r="L29" s="78">
        <f t="shared" si="5"/>
        <v>7.3328853232573404E-2</v>
      </c>
      <c r="M29" s="78">
        <f t="shared" si="6"/>
        <v>3.552907796604153E-3</v>
      </c>
      <c r="N29" s="47"/>
      <c r="O29" s="56">
        <f t="shared" si="7"/>
        <v>6.2251830951167735</v>
      </c>
      <c r="P29" s="74">
        <f t="shared" si="8"/>
        <v>1.5347982718956137</v>
      </c>
      <c r="Q29" s="2">
        <f>1862.7/(10)</f>
        <v>186.27</v>
      </c>
      <c r="R29">
        <f t="shared" si="11"/>
        <v>0.18752953123662355</v>
      </c>
      <c r="S29" s="141"/>
      <c r="T29"/>
      <c r="U29" s="4">
        <v>34700</v>
      </c>
      <c r="V29" s="93" t="s">
        <v>158</v>
      </c>
      <c r="W29" s="9" t="s">
        <v>154</v>
      </c>
      <c r="X29"/>
      <c r="Y29"/>
      <c r="Z29"/>
      <c r="AA29"/>
      <c r="AB29"/>
      <c r="AC29"/>
      <c r="AD29"/>
      <c r="AE29"/>
      <c r="AF29"/>
      <c r="AG29"/>
      <c r="AH29"/>
      <c r="AI29"/>
    </row>
    <row r="30" spans="1:35">
      <c r="A30" s="1">
        <v>34798</v>
      </c>
      <c r="B30" s="33">
        <f t="shared" si="9"/>
        <v>15</v>
      </c>
      <c r="C30" s="2">
        <f t="shared" si="10"/>
        <v>40052</v>
      </c>
      <c r="D30">
        <v>1623</v>
      </c>
      <c r="E30" s="17"/>
      <c r="F30" s="31">
        <f t="shared" si="0"/>
        <v>0.399203413558334</v>
      </c>
      <c r="G30" s="31">
        <f t="shared" si="2"/>
        <v>1.627876049549104E-2</v>
      </c>
      <c r="H30" s="17">
        <f t="shared" si="3"/>
        <v>-6683.3420560477916</v>
      </c>
      <c r="J30" s="35">
        <f t="shared" si="1"/>
        <v>39920.3413558334</v>
      </c>
      <c r="K30" s="35">
        <f t="shared" si="4"/>
        <v>1627.8760495491006</v>
      </c>
      <c r="L30" s="78">
        <f t="shared" si="5"/>
        <v>3.0043435299448992E-3</v>
      </c>
      <c r="M30" s="78">
        <f t="shared" si="6"/>
        <v>3.2871927535853495E-3</v>
      </c>
      <c r="N30" s="47"/>
      <c r="O30" s="35">
        <f t="shared" si="7"/>
        <v>6.5699239039263491</v>
      </c>
      <c r="P30" s="74">
        <f t="shared" si="8"/>
        <v>1.2998398053559781</v>
      </c>
      <c r="Q30" s="2">
        <f>1242/(10)</f>
        <v>124.2</v>
      </c>
      <c r="R30">
        <f t="shared" si="11"/>
        <v>0.1571047033775736</v>
      </c>
      <c r="S30" s="67"/>
      <c r="T30"/>
      <c r="U30" s="4">
        <v>34706</v>
      </c>
      <c r="V30" s="2">
        <v>35</v>
      </c>
      <c r="W30" s="9" t="s">
        <v>154</v>
      </c>
      <c r="X30"/>
      <c r="Y30"/>
      <c r="Z30"/>
      <c r="AA30"/>
      <c r="AB30"/>
      <c r="AC30"/>
      <c r="AD30"/>
      <c r="AE30"/>
      <c r="AF30"/>
      <c r="AG30"/>
      <c r="AH30"/>
      <c r="AI30"/>
    </row>
    <row r="31" spans="1:35">
      <c r="A31" s="1">
        <v>34805</v>
      </c>
      <c r="B31" s="33">
        <f t="shared" si="9"/>
        <v>16</v>
      </c>
      <c r="C31" s="2">
        <f t="shared" si="10"/>
        <v>41639</v>
      </c>
      <c r="D31">
        <v>1587</v>
      </c>
      <c r="E31" s="17"/>
      <c r="F31" s="31">
        <f t="shared" si="0"/>
        <v>0.41284494347763134</v>
      </c>
      <c r="G31" s="31">
        <f t="shared" si="2"/>
        <v>1.3641529919297346E-2</v>
      </c>
      <c r="H31" s="17">
        <f t="shared" si="3"/>
        <v>-6815.5880758037165</v>
      </c>
      <c r="J31" s="35">
        <f t="shared" si="1"/>
        <v>41284.494347763131</v>
      </c>
      <c r="K31" s="35">
        <f t="shared" si="4"/>
        <v>1364.1529919297318</v>
      </c>
      <c r="L31" s="78">
        <f t="shared" si="5"/>
        <v>0.14042029494030764</v>
      </c>
      <c r="M31" s="78">
        <f t="shared" si="6"/>
        <v>8.5137888094543243E-3</v>
      </c>
      <c r="N31" s="47"/>
      <c r="O31" s="35">
        <f t="shared" si="7"/>
        <v>6.866086716670404</v>
      </c>
      <c r="P31" s="74">
        <f t="shared" si="8"/>
        <v>1.1423468320544616</v>
      </c>
      <c r="Q31" s="2">
        <f>755.1/(10)</f>
        <v>75.510000000000005</v>
      </c>
      <c r="R31">
        <f t="shared" si="11"/>
        <v>0.13161600554641151</v>
      </c>
      <c r="S31" s="67"/>
      <c r="T31"/>
      <c r="U31" s="91">
        <v>34713</v>
      </c>
      <c r="V31">
        <v>37</v>
      </c>
      <c r="W31" s="9" t="s">
        <v>154</v>
      </c>
      <c r="X31"/>
      <c r="Y31"/>
      <c r="Z31"/>
      <c r="AA31"/>
      <c r="AB31"/>
      <c r="AC31"/>
      <c r="AD31"/>
      <c r="AE31"/>
      <c r="AF31"/>
      <c r="AG31"/>
      <c r="AH31"/>
      <c r="AI31"/>
    </row>
    <row r="32" spans="1:35">
      <c r="A32" s="1">
        <v>34812</v>
      </c>
      <c r="B32" s="33">
        <f t="shared" si="9"/>
        <v>17</v>
      </c>
      <c r="C32" s="2">
        <f t="shared" si="10"/>
        <v>43146</v>
      </c>
      <c r="D32">
        <v>1507</v>
      </c>
      <c r="E32" s="17"/>
      <c r="F32" s="31">
        <f t="shared" si="0"/>
        <v>0.42538899868877056</v>
      </c>
      <c r="G32" s="31">
        <f t="shared" si="2"/>
        <v>1.2544055211139216E-2</v>
      </c>
      <c r="H32" s="17">
        <f t="shared" si="3"/>
        <v>-6598.4121798762317</v>
      </c>
      <c r="J32" s="35">
        <f t="shared" si="1"/>
        <v>42538.899868877059</v>
      </c>
      <c r="K32" s="35">
        <f t="shared" si="4"/>
        <v>1254.4055211139275</v>
      </c>
      <c r="L32" s="78">
        <f t="shared" si="5"/>
        <v>0.1676141200305723</v>
      </c>
      <c r="M32" s="78">
        <f t="shared" si="6"/>
        <v>1.4070832316389493E-2</v>
      </c>
      <c r="N32" s="47"/>
      <c r="O32" s="35">
        <f t="shared" si="7"/>
        <v>7.144559829315245</v>
      </c>
      <c r="P32" s="74">
        <f t="shared" si="8"/>
        <v>1.0972438998795369</v>
      </c>
      <c r="Q32" s="2">
        <f>571/(10)</f>
        <v>57.1</v>
      </c>
      <c r="R32">
        <f t="shared" si="11"/>
        <v>0.11026259904110425</v>
      </c>
      <c r="S32" s="67"/>
      <c r="T32"/>
      <c r="U32" s="91">
        <v>34720</v>
      </c>
      <c r="V32" s="2">
        <v>36</v>
      </c>
      <c r="W32" s="2" t="s">
        <v>156</v>
      </c>
      <c r="X32"/>
      <c r="Y32"/>
      <c r="Z32"/>
      <c r="AA32"/>
      <c r="AB32"/>
      <c r="AC32"/>
      <c r="AD32"/>
      <c r="AE32"/>
      <c r="AF32"/>
      <c r="AG32"/>
      <c r="AH32"/>
      <c r="AI32"/>
    </row>
    <row r="33" spans="1:35" s="40" customFormat="1">
      <c r="A33" s="165">
        <v>34819</v>
      </c>
      <c r="B33" s="142">
        <f t="shared" si="9"/>
        <v>18</v>
      </c>
      <c r="C33" s="40">
        <f t="shared" si="10"/>
        <v>44446</v>
      </c>
      <c r="D33" s="166">
        <v>1300</v>
      </c>
      <c r="E33" s="167"/>
      <c r="F33" s="168">
        <f t="shared" si="0"/>
        <v>0.43721908494649586</v>
      </c>
      <c r="G33" s="168">
        <f t="shared" si="2"/>
        <v>1.1830086257725303E-2</v>
      </c>
      <c r="H33" s="167">
        <f>(B10-SUM(D16:D33))*IFERROR(LN(1-F33),-10000)</f>
        <v>-31936.042711595717</v>
      </c>
      <c r="J33" s="169">
        <f t="shared" si="1"/>
        <v>43721.908494649586</v>
      </c>
      <c r="K33" s="169">
        <f t="shared" si="4"/>
        <v>1183.008625772527</v>
      </c>
      <c r="L33" s="78">
        <f t="shared" si="5"/>
        <v>8.9993364790363836E-2</v>
      </c>
      <c r="M33" s="78">
        <f t="shared" si="6"/>
        <v>1.6291488668280927E-2</v>
      </c>
      <c r="N33" s="169"/>
      <c r="O33" s="169">
        <f t="shared" si="7"/>
        <v>7.412810337790483</v>
      </c>
      <c r="P33" s="74">
        <f t="shared" si="8"/>
        <v>1.0783702266120825</v>
      </c>
      <c r="Q33" s="2">
        <f>470.8/(10)</f>
        <v>47.08</v>
      </c>
      <c r="R33">
        <f t="shared" si="11"/>
        <v>9.2373573387410923E-2</v>
      </c>
      <c r="S33" s="170"/>
      <c r="T33" s="166"/>
      <c r="U33" s="175">
        <v>34727</v>
      </c>
      <c r="V33" s="166">
        <v>35</v>
      </c>
      <c r="W33" s="166" t="s">
        <v>153</v>
      </c>
      <c r="X33" s="166"/>
      <c r="Y33" s="166"/>
      <c r="Z33" s="166"/>
      <c r="AA33" s="166"/>
      <c r="AB33" s="166"/>
      <c r="AC33" s="166"/>
      <c r="AD33" s="166"/>
      <c r="AE33" s="166"/>
      <c r="AF33" s="166"/>
      <c r="AG33" s="166"/>
      <c r="AH33" s="166"/>
      <c r="AI33" s="166"/>
    </row>
    <row r="34" spans="1:35" s="46" customFormat="1">
      <c r="A34" s="1">
        <v>34826</v>
      </c>
      <c r="B34" s="33">
        <f t="shared" si="9"/>
        <v>19</v>
      </c>
      <c r="C34" s="2">
        <f t="shared" si="10"/>
        <v>45573</v>
      </c>
      <c r="D34">
        <v>1127</v>
      </c>
      <c r="E34" s="17"/>
      <c r="F34" s="31">
        <f t="shared" si="0"/>
        <v>0.44918052669156261</v>
      </c>
      <c r="G34" s="31">
        <f t="shared" si="2"/>
        <v>1.1961441745066748E-2</v>
      </c>
      <c r="H34"/>
      <c r="I34" s="2"/>
      <c r="J34" s="35">
        <f t="shared" si="1"/>
        <v>44918.052669156263</v>
      </c>
      <c r="K34" s="35">
        <f t="shared" si="4"/>
        <v>1196.1441745066768</v>
      </c>
      <c r="L34" s="78">
        <f t="shared" si="5"/>
        <v>6.1352417485959883E-2</v>
      </c>
      <c r="M34" s="78">
        <f t="shared" si="6"/>
        <v>1.4371389437687607E-2</v>
      </c>
      <c r="N34" s="47"/>
      <c r="O34" s="35">
        <f t="shared" si="7"/>
        <v>7.6898347084660017</v>
      </c>
      <c r="P34" s="74">
        <f t="shared" si="8"/>
        <v>1.1349282168560877</v>
      </c>
      <c r="Q34" s="2">
        <f>603.2/(10)</f>
        <v>60.320000000000007</v>
      </c>
      <c r="R34">
        <f t="shared" si="11"/>
        <v>7.7386866757770359E-2</v>
      </c>
      <c r="S34" s="67"/>
      <c r="T34"/>
      <c r="U34" s="91">
        <v>34734</v>
      </c>
      <c r="V34" s="2">
        <v>35</v>
      </c>
      <c r="W34" t="s">
        <v>157</v>
      </c>
      <c r="X34"/>
      <c r="Y34"/>
      <c r="Z34"/>
      <c r="AA34"/>
      <c r="AB34"/>
      <c r="AC34"/>
      <c r="AD34"/>
      <c r="AE34"/>
      <c r="AF34"/>
      <c r="AG34"/>
      <c r="AH34"/>
      <c r="AI34"/>
    </row>
    <row r="35" spans="1:35">
      <c r="A35" s="1">
        <v>34833</v>
      </c>
      <c r="B35" s="33">
        <f t="shared" si="9"/>
        <v>20</v>
      </c>
      <c r="C35" s="2">
        <f t="shared" si="10"/>
        <v>46570</v>
      </c>
      <c r="D35">
        <v>997</v>
      </c>
      <c r="E35" s="17"/>
      <c r="F35" s="31">
        <f t="shared" si="0"/>
        <v>0.46051073676249488</v>
      </c>
      <c r="G35" s="31">
        <f t="shared" si="2"/>
        <v>1.1330210070932267E-2</v>
      </c>
      <c r="H35" s="17"/>
      <c r="J35" s="35">
        <f t="shared" si="1"/>
        <v>46051.073676249485</v>
      </c>
      <c r="K35" s="35">
        <f t="shared" si="4"/>
        <v>1133.0210070932226</v>
      </c>
      <c r="L35" s="78">
        <f t="shared" si="5"/>
        <v>0.13643029798718412</v>
      </c>
      <c r="M35" s="78">
        <f t="shared" si="6"/>
        <v>1.1142931581501283E-2</v>
      </c>
      <c r="N35" s="47"/>
      <c r="O35" s="35">
        <f t="shared" si="7"/>
        <v>7.9578448461843561</v>
      </c>
      <c r="P35" s="74">
        <f t="shared" si="8"/>
        <v>1.117870370317392</v>
      </c>
      <c r="Q35" s="2">
        <f>523.1/(10)</f>
        <v>52.31</v>
      </c>
      <c r="R35">
        <f t="shared" si="11"/>
        <v>6.4831606345555459E-2</v>
      </c>
      <c r="S35" s="67"/>
      <c r="T35"/>
      <c r="U35" s="91">
        <v>34741</v>
      </c>
      <c r="V35">
        <v>40</v>
      </c>
      <c r="W35" s="9" t="s">
        <v>155</v>
      </c>
      <c r="X35"/>
      <c r="Y35"/>
      <c r="Z35"/>
      <c r="AA35"/>
      <c r="AB35"/>
      <c r="AC35"/>
      <c r="AD35"/>
      <c r="AE35"/>
      <c r="AF35"/>
      <c r="AG35"/>
      <c r="AH35"/>
      <c r="AI35"/>
    </row>
    <row r="36" spans="1:35">
      <c r="A36" s="1">
        <v>34840</v>
      </c>
      <c r="B36" s="33">
        <f t="shared" si="9"/>
        <v>21</v>
      </c>
      <c r="C36" s="2">
        <f t="shared" si="10"/>
        <v>47404</v>
      </c>
      <c r="D36">
        <v>834</v>
      </c>
      <c r="E36" s="17"/>
      <c r="F36" s="31">
        <f t="shared" si="0"/>
        <v>0.47105048475081956</v>
      </c>
      <c r="G36" s="31">
        <f t="shared" si="2"/>
        <v>1.0539747988324688E-2</v>
      </c>
      <c r="H36" s="17"/>
      <c r="J36" s="35">
        <f t="shared" si="1"/>
        <v>47105.04847508196</v>
      </c>
      <c r="K36" s="35">
        <f t="shared" si="4"/>
        <v>1053.9747988324743</v>
      </c>
      <c r="L36" s="78">
        <f t="shared" si="5"/>
        <v>0.26375875159769102</v>
      </c>
      <c r="M36" s="78">
        <f t="shared" si="6"/>
        <v>6.3064620056965739E-3</v>
      </c>
      <c r="N36" s="47"/>
      <c r="O36" s="35">
        <f t="shared" si="7"/>
        <v>8.2122593057193853</v>
      </c>
      <c r="P36" s="74">
        <f t="shared" si="8"/>
        <v>1.0793988211631356</v>
      </c>
      <c r="Q36" s="2">
        <f>382.4/(10)</f>
        <v>38.239999999999995</v>
      </c>
      <c r="R36">
        <f t="shared" si="11"/>
        <v>5.4313313840465477E-2</v>
      </c>
      <c r="S36" s="67"/>
      <c r="T36"/>
      <c r="U36" s="91">
        <v>34748</v>
      </c>
      <c r="V36" s="92" t="s">
        <v>158</v>
      </c>
      <c r="W36" s="9" t="s">
        <v>159</v>
      </c>
      <c r="X36"/>
      <c r="Y36"/>
      <c r="Z36"/>
      <c r="AA36"/>
      <c r="AB36"/>
      <c r="AC36"/>
      <c r="AD36"/>
      <c r="AE36"/>
      <c r="AF36"/>
      <c r="AG36"/>
      <c r="AH36"/>
      <c r="AI36"/>
    </row>
    <row r="37" spans="1:35">
      <c r="A37" s="1"/>
      <c r="B37" s="33"/>
      <c r="C37" s="33"/>
      <c r="D37"/>
      <c r="E37" s="17"/>
      <c r="F37" s="31"/>
      <c r="G37" s="31"/>
      <c r="H37" s="17"/>
      <c r="J37" s="35"/>
      <c r="K37" s="35"/>
      <c r="L37" s="78"/>
      <c r="M37" s="78"/>
      <c r="N37"/>
      <c r="O37" s="35"/>
      <c r="P37" s="74"/>
      <c r="Q37" s="17"/>
      <c r="R37" s="67"/>
      <c r="S37" s="67"/>
      <c r="T37"/>
      <c r="U37"/>
      <c r="V37"/>
      <c r="W37"/>
      <c r="X37"/>
      <c r="Y37"/>
      <c r="Z37"/>
      <c r="AA37"/>
      <c r="AB37"/>
      <c r="AC37"/>
      <c r="AD37"/>
      <c r="AE37"/>
      <c r="AF37"/>
      <c r="AG37"/>
      <c r="AH37"/>
      <c r="AI37"/>
    </row>
    <row r="38" spans="1:35">
      <c r="A38" s="1"/>
      <c r="B38" s="33"/>
      <c r="C38" s="33"/>
      <c r="D38"/>
      <c r="E38" s="17"/>
      <c r="F38" s="31"/>
      <c r="G38" s="31"/>
      <c r="H38" s="17"/>
      <c r="J38" s="35"/>
      <c r="K38" s="35"/>
      <c r="L38" s="78"/>
      <c r="M38" s="78"/>
      <c r="N38"/>
      <c r="O38" s="35"/>
      <c r="P38" s="74"/>
      <c r="Q38" s="17"/>
      <c r="R38" s="67"/>
      <c r="S38" s="67"/>
      <c r="T38"/>
      <c r="U38"/>
      <c r="V38"/>
      <c r="W38"/>
      <c r="X38"/>
      <c r="Y38"/>
      <c r="Z38"/>
      <c r="AA38"/>
      <c r="AB38"/>
      <c r="AC38"/>
      <c r="AD38"/>
      <c r="AE38"/>
      <c r="AF38"/>
      <c r="AG38"/>
      <c r="AH38"/>
      <c r="AI38"/>
    </row>
    <row r="39" spans="1:35">
      <c r="T39"/>
      <c r="U39"/>
      <c r="V39"/>
      <c r="W39"/>
      <c r="X39"/>
      <c r="Y39"/>
      <c r="Z39"/>
      <c r="AA39"/>
      <c r="AB39"/>
      <c r="AC39"/>
      <c r="AD39"/>
      <c r="AE39"/>
      <c r="AF39"/>
      <c r="AG39"/>
      <c r="AH39"/>
      <c r="AI39"/>
    </row>
    <row r="40" spans="1:35">
      <c r="B40" s="2" t="s">
        <v>76</v>
      </c>
      <c r="C40" s="2">
        <f>22*0.2</f>
        <v>4.4000000000000004</v>
      </c>
      <c r="Q40" s="2">
        <f>10</f>
        <v>10</v>
      </c>
      <c r="T40"/>
      <c r="U40" s="6" t="s">
        <v>30</v>
      </c>
      <c r="V40"/>
      <c r="W40"/>
      <c r="X40"/>
      <c r="Y40"/>
      <c r="AI40" s="5"/>
    </row>
    <row r="41" spans="1:35">
      <c r="T41"/>
      <c r="U41" s="6" t="s">
        <v>31</v>
      </c>
      <c r="V41"/>
      <c r="W41"/>
      <c r="X41"/>
      <c r="Y41"/>
      <c r="AI41" s="5"/>
    </row>
    <row r="42" spans="1:35">
      <c r="T42"/>
      <c r="U42" s="6" t="s">
        <v>32</v>
      </c>
      <c r="V42"/>
      <c r="W42"/>
      <c r="X42"/>
      <c r="Y42"/>
      <c r="AI42" s="5"/>
    </row>
    <row r="43" spans="1:35">
      <c r="T43"/>
      <c r="U43"/>
      <c r="V43"/>
      <c r="W43"/>
      <c r="X43"/>
      <c r="Y43"/>
      <c r="AI43" s="5"/>
    </row>
    <row r="44" spans="1:35">
      <c r="A44" s="4"/>
      <c r="B44" s="4"/>
      <c r="C44" s="4"/>
      <c r="H44" s="17"/>
    </row>
    <row r="45" spans="1:35">
      <c r="A45" s="4"/>
      <c r="B45" s="4"/>
      <c r="C45" s="4"/>
      <c r="S45" s="2" t="s">
        <v>151</v>
      </c>
    </row>
    <row r="46" spans="1:35">
      <c r="A46" s="4"/>
      <c r="B46"/>
      <c r="C46"/>
      <c r="D46"/>
      <c r="E46"/>
      <c r="F46"/>
      <c r="G46"/>
      <c r="H46"/>
      <c r="I46"/>
      <c r="J46"/>
      <c r="K46"/>
      <c r="L46"/>
      <c r="M46"/>
      <c r="N46"/>
      <c r="O46"/>
      <c r="P46"/>
      <c r="Q46"/>
      <c r="R46"/>
      <c r="S46"/>
      <c r="T46"/>
      <c r="U46"/>
      <c r="V46"/>
      <c r="W46"/>
      <c r="X46"/>
      <c r="Y46"/>
      <c r="Z46"/>
      <c r="AA46"/>
      <c r="AB46"/>
      <c r="AC46"/>
      <c r="AD46"/>
      <c r="AE46"/>
      <c r="AF46"/>
      <c r="AG46"/>
    </row>
    <row r="47" spans="1:35">
      <c r="A47" s="4"/>
      <c r="B47"/>
      <c r="C47"/>
      <c r="D47"/>
      <c r="E47"/>
      <c r="F47"/>
      <c r="G47"/>
      <c r="H47"/>
      <c r="I47"/>
      <c r="J47"/>
      <c r="K47"/>
      <c r="L47"/>
      <c r="M47"/>
      <c r="N47"/>
      <c r="O47"/>
      <c r="P47"/>
      <c r="Q47"/>
      <c r="R47"/>
      <c r="S47"/>
      <c r="T47"/>
      <c r="U47"/>
      <c r="V47"/>
      <c r="W47"/>
      <c r="X47"/>
      <c r="Y47"/>
      <c r="Z47"/>
      <c r="AA47"/>
      <c r="AB47"/>
      <c r="AC47"/>
      <c r="AD47"/>
      <c r="AE47"/>
      <c r="AF47"/>
      <c r="AG47"/>
    </row>
    <row r="48" spans="1:35">
      <c r="A48" s="4"/>
      <c r="B48"/>
      <c r="C48" s="16"/>
      <c r="D48" s="102"/>
      <c r="E48"/>
      <c r="F48"/>
      <c r="G48"/>
      <c r="H48"/>
      <c r="I48"/>
      <c r="J48"/>
      <c r="K48"/>
      <c r="L48"/>
      <c r="M48"/>
      <c r="N48"/>
      <c r="O48"/>
      <c r="P48"/>
      <c r="Q48"/>
      <c r="R48"/>
      <c r="S48"/>
      <c r="T48"/>
      <c r="U48"/>
      <c r="V48"/>
      <c r="W48"/>
      <c r="X48"/>
      <c r="Y48"/>
      <c r="Z48"/>
      <c r="AA48"/>
      <c r="AB48"/>
      <c r="AC48"/>
      <c r="AD48"/>
      <c r="AE48"/>
      <c r="AF48"/>
      <c r="AG48"/>
    </row>
    <row r="49" spans="1:33">
      <c r="A49" s="4"/>
      <c r="B49"/>
      <c r="C49" s="16"/>
      <c r="D49" s="102"/>
      <c r="E49"/>
      <c r="F49"/>
      <c r="G49"/>
      <c r="H49"/>
      <c r="I49"/>
      <c r="J49"/>
      <c r="K49"/>
      <c r="L49"/>
      <c r="M49"/>
      <c r="N49"/>
      <c r="O49"/>
      <c r="P49"/>
      <c r="Q49"/>
      <c r="R49"/>
      <c r="S49"/>
      <c r="T49"/>
      <c r="U49"/>
      <c r="V49"/>
      <c r="W49"/>
      <c r="X49"/>
      <c r="Y49"/>
      <c r="Z49"/>
      <c r="AA49"/>
      <c r="AB49"/>
      <c r="AC49"/>
      <c r="AD49"/>
      <c r="AE49"/>
      <c r="AF49"/>
      <c r="AG49"/>
    </row>
    <row r="50" spans="1:33">
      <c r="A50" s="4"/>
      <c r="B50"/>
      <c r="C50" s="16"/>
      <c r="D50" s="27"/>
      <c r="E50"/>
      <c r="F50"/>
      <c r="G50"/>
      <c r="H50"/>
      <c r="I50"/>
      <c r="J50"/>
      <c r="K50"/>
      <c r="L50"/>
      <c r="M50"/>
      <c r="N50"/>
      <c r="O50"/>
      <c r="P50"/>
      <c r="Q50"/>
      <c r="R50"/>
      <c r="S50"/>
      <c r="T50"/>
      <c r="U50"/>
      <c r="V50"/>
      <c r="W50"/>
      <c r="X50"/>
      <c r="Y50"/>
      <c r="Z50"/>
      <c r="AA50"/>
      <c r="AB50"/>
      <c r="AC50"/>
      <c r="AD50"/>
      <c r="AE50"/>
      <c r="AF50"/>
      <c r="AG50"/>
    </row>
    <row r="51" spans="1:33">
      <c r="A51" s="4"/>
      <c r="B51"/>
      <c r="C51" s="16"/>
      <c r="D51" s="27"/>
      <c r="E51"/>
      <c r="F51"/>
      <c r="G51"/>
      <c r="H51"/>
      <c r="I51"/>
      <c r="J51"/>
      <c r="K51"/>
      <c r="L51"/>
      <c r="M51"/>
      <c r="N51"/>
      <c r="O51"/>
      <c r="P51"/>
      <c r="Q51"/>
      <c r="R51"/>
      <c r="S51"/>
      <c r="T51"/>
      <c r="U51"/>
      <c r="V51"/>
      <c r="W51"/>
      <c r="X51"/>
      <c r="Y51"/>
      <c r="Z51"/>
      <c r="AA51"/>
      <c r="AB51"/>
      <c r="AC51"/>
      <c r="AD51"/>
      <c r="AE51"/>
      <c r="AF51"/>
      <c r="AG51"/>
    </row>
    <row r="52" spans="1:33">
      <c r="A52" s="4"/>
      <c r="B52"/>
      <c r="C52" s="7"/>
      <c r="D52" s="27"/>
      <c r="E52"/>
      <c r="F52"/>
      <c r="G52"/>
      <c r="H52"/>
      <c r="I52"/>
      <c r="J52"/>
      <c r="K52"/>
      <c r="L52"/>
      <c r="M52"/>
      <c r="N52"/>
      <c r="O52"/>
      <c r="P52"/>
      <c r="Q52"/>
      <c r="R52"/>
      <c r="S52"/>
      <c r="T52"/>
      <c r="U52"/>
      <c r="V52"/>
      <c r="W52"/>
      <c r="X52"/>
      <c r="Y52"/>
      <c r="Z52"/>
      <c r="AA52"/>
      <c r="AB52"/>
      <c r="AC52"/>
      <c r="AD52"/>
      <c r="AE52"/>
      <c r="AF52"/>
      <c r="AG52"/>
    </row>
    <row r="53" spans="1:33">
      <c r="A53" s="4"/>
      <c r="B53"/>
      <c r="C53" s="7"/>
      <c r="D53" s="27"/>
      <c r="E53"/>
      <c r="F53"/>
      <c r="G53"/>
      <c r="H53"/>
      <c r="I53"/>
      <c r="J53"/>
      <c r="K53"/>
      <c r="L53"/>
      <c r="M53"/>
      <c r="N53"/>
      <c r="O53"/>
      <c r="P53"/>
      <c r="Q53"/>
      <c r="R53"/>
      <c r="S53"/>
      <c r="T53"/>
      <c r="U53"/>
      <c r="V53"/>
      <c r="W53"/>
      <c r="X53"/>
      <c r="Y53"/>
      <c r="Z53"/>
      <c r="AA53"/>
      <c r="AB53"/>
      <c r="AC53"/>
      <c r="AD53"/>
      <c r="AE53"/>
      <c r="AF53"/>
      <c r="AG53"/>
    </row>
    <row r="54" spans="1:33">
      <c r="A54" s="4"/>
      <c r="B54"/>
      <c r="C54" s="7"/>
      <c r="D54" s="27"/>
      <c r="E54"/>
      <c r="F54"/>
      <c r="G54"/>
      <c r="H54"/>
      <c r="I54"/>
      <c r="J54"/>
      <c r="K54"/>
      <c r="L54"/>
      <c r="M54"/>
      <c r="N54"/>
      <c r="O54"/>
      <c r="P54"/>
      <c r="Q54"/>
      <c r="R54"/>
      <c r="S54"/>
      <c r="T54"/>
      <c r="U54"/>
      <c r="V54"/>
      <c r="W54"/>
      <c r="X54"/>
      <c r="Y54"/>
      <c r="Z54"/>
      <c r="AA54"/>
      <c r="AB54"/>
      <c r="AC54"/>
      <c r="AD54"/>
      <c r="AE54"/>
      <c r="AF54"/>
      <c r="AG54"/>
    </row>
    <row r="55" spans="1:33">
      <c r="A55" s="4"/>
      <c r="B55"/>
      <c r="C55" s="7"/>
      <c r="D55" s="27"/>
      <c r="E55"/>
      <c r="F55"/>
      <c r="G55"/>
      <c r="H55"/>
      <c r="I55"/>
      <c r="J55"/>
      <c r="K55"/>
      <c r="L55"/>
      <c r="M55"/>
      <c r="N55"/>
      <c r="O55"/>
      <c r="P55"/>
      <c r="Q55"/>
      <c r="R55"/>
      <c r="S55"/>
      <c r="T55"/>
      <c r="U55"/>
      <c r="V55"/>
      <c r="W55"/>
      <c r="X55"/>
      <c r="Y55"/>
      <c r="Z55"/>
      <c r="AA55"/>
      <c r="AB55"/>
      <c r="AC55"/>
      <c r="AD55"/>
      <c r="AE55"/>
      <c r="AF55"/>
      <c r="AG55"/>
    </row>
    <row r="56" spans="1:33">
      <c r="A56" s="4"/>
      <c r="B56"/>
      <c r="C56"/>
      <c r="D56"/>
      <c r="E56"/>
      <c r="F56"/>
      <c r="G56"/>
      <c r="H56"/>
      <c r="I56"/>
      <c r="J56"/>
      <c r="K56"/>
      <c r="L56"/>
      <c r="M56"/>
      <c r="N56"/>
      <c r="O56"/>
      <c r="P56"/>
      <c r="Q56"/>
      <c r="R56"/>
      <c r="S56"/>
      <c r="T56"/>
      <c r="U56"/>
      <c r="V56"/>
      <c r="W56"/>
      <c r="X56"/>
      <c r="Y56"/>
      <c r="Z56"/>
      <c r="AA56"/>
      <c r="AB56"/>
      <c r="AC56"/>
      <c r="AD56"/>
      <c r="AE56"/>
      <c r="AF56"/>
      <c r="AG56"/>
    </row>
    <row r="57" spans="1:33">
      <c r="A57" s="4"/>
      <c r="B57"/>
      <c r="C57"/>
      <c r="D57"/>
      <c r="E57"/>
      <c r="F57"/>
      <c r="G57"/>
      <c r="H57"/>
      <c r="I57"/>
      <c r="J57"/>
      <c r="K57"/>
      <c r="L57"/>
      <c r="M57"/>
      <c r="N57"/>
      <c r="O57"/>
      <c r="P57"/>
      <c r="Q57"/>
      <c r="R57"/>
      <c r="S57"/>
      <c r="T57"/>
      <c r="U57"/>
      <c r="V57"/>
      <c r="W57"/>
      <c r="X57"/>
      <c r="Y57"/>
      <c r="Z57"/>
      <c r="AA57"/>
      <c r="AB57"/>
      <c r="AC57"/>
      <c r="AD57"/>
      <c r="AE57"/>
      <c r="AF57"/>
      <c r="AG57"/>
    </row>
    <row r="58" spans="1:33">
      <c r="A58" s="4"/>
      <c r="B58"/>
      <c r="C58"/>
      <c r="D58"/>
      <c r="E58"/>
      <c r="F58"/>
      <c r="G58"/>
      <c r="H58"/>
      <c r="I58"/>
      <c r="J58"/>
      <c r="K58"/>
      <c r="L58"/>
      <c r="M58"/>
      <c r="N58"/>
      <c r="O58"/>
      <c r="P58"/>
      <c r="Q58"/>
      <c r="R58"/>
      <c r="S58"/>
      <c r="T58"/>
      <c r="U58"/>
      <c r="V58"/>
      <c r="W58"/>
      <c r="X58"/>
      <c r="Y58"/>
      <c r="Z58"/>
      <c r="AA58"/>
      <c r="AB58"/>
      <c r="AC58"/>
      <c r="AD58"/>
      <c r="AE58"/>
      <c r="AF58"/>
      <c r="AG58"/>
    </row>
    <row r="59" spans="1:33">
      <c r="A59" s="4"/>
      <c r="B59"/>
      <c r="C59"/>
      <c r="D59"/>
      <c r="E59"/>
      <c r="F59"/>
      <c r="G59"/>
      <c r="H59"/>
      <c r="I59"/>
      <c r="J59"/>
      <c r="K59"/>
      <c r="L59"/>
      <c r="M59"/>
      <c r="N59"/>
      <c r="O59"/>
      <c r="P59"/>
      <c r="Q59"/>
      <c r="R59"/>
      <c r="S59"/>
      <c r="T59"/>
      <c r="U59"/>
      <c r="V59"/>
      <c r="W59"/>
      <c r="X59"/>
      <c r="Y59"/>
      <c r="Z59"/>
      <c r="AA59"/>
      <c r="AB59"/>
      <c r="AC59"/>
      <c r="AD59"/>
      <c r="AE59"/>
      <c r="AF59"/>
      <c r="AG59"/>
    </row>
    <row r="60" spans="1:33">
      <c r="A60" s="4"/>
      <c r="B60"/>
      <c r="C60"/>
      <c r="D60"/>
      <c r="E60"/>
      <c r="F60"/>
      <c r="G60"/>
      <c r="H60"/>
      <c r="I60"/>
      <c r="J60"/>
      <c r="K60"/>
      <c r="L60"/>
      <c r="M60"/>
      <c r="N60"/>
      <c r="O60"/>
      <c r="P60"/>
      <c r="Q60"/>
      <c r="R60"/>
      <c r="S60"/>
      <c r="T60"/>
      <c r="U60"/>
      <c r="V60"/>
      <c r="W60"/>
      <c r="X60"/>
      <c r="Y60"/>
      <c r="Z60"/>
      <c r="AA60"/>
      <c r="AB60"/>
      <c r="AC60"/>
      <c r="AD60"/>
      <c r="AE60"/>
      <c r="AF60"/>
      <c r="AG60"/>
    </row>
    <row r="61" spans="1:33">
      <c r="A61" s="4"/>
      <c r="B61"/>
      <c r="C61"/>
      <c r="D61"/>
      <c r="E61"/>
      <c r="F61"/>
      <c r="G61"/>
      <c r="H61"/>
      <c r="I61"/>
      <c r="J61"/>
      <c r="K61"/>
      <c r="L61"/>
      <c r="M61"/>
      <c r="N61"/>
      <c r="O61"/>
      <c r="P61"/>
      <c r="Q61"/>
      <c r="R61"/>
      <c r="S61"/>
      <c r="T61"/>
      <c r="U61"/>
      <c r="V61"/>
      <c r="W61"/>
      <c r="X61"/>
      <c r="Y61"/>
      <c r="Z61"/>
      <c r="AA61"/>
      <c r="AB61"/>
      <c r="AC61"/>
      <c r="AD61"/>
      <c r="AE61"/>
      <c r="AF61"/>
      <c r="AG61"/>
    </row>
    <row r="62" spans="1:33">
      <c r="A62" s="4"/>
      <c r="B62"/>
      <c r="C62"/>
      <c r="D62"/>
      <c r="E62"/>
      <c r="F62"/>
      <c r="G62"/>
      <c r="H62"/>
      <c r="I62"/>
      <c r="J62"/>
      <c r="K62"/>
      <c r="L62"/>
      <c r="M62"/>
      <c r="N62"/>
      <c r="O62"/>
      <c r="P62"/>
      <c r="Q62"/>
      <c r="R62"/>
      <c r="S62"/>
      <c r="T62"/>
      <c r="U62"/>
      <c r="V62"/>
      <c r="W62"/>
      <c r="X62"/>
      <c r="Y62"/>
      <c r="Z62"/>
      <c r="AA62"/>
      <c r="AB62"/>
      <c r="AC62"/>
      <c r="AD62"/>
      <c r="AE62"/>
      <c r="AF62"/>
      <c r="AG62"/>
    </row>
    <row r="63" spans="1:33">
      <c r="B63"/>
      <c r="C63"/>
      <c r="D63"/>
      <c r="E63"/>
      <c r="F63"/>
      <c r="G63"/>
      <c r="H63"/>
      <c r="I63"/>
      <c r="J63"/>
      <c r="K63"/>
      <c r="L63"/>
      <c r="M63"/>
      <c r="N63"/>
      <c r="O63"/>
      <c r="P63"/>
      <c r="Q63"/>
      <c r="R63"/>
      <c r="S63"/>
      <c r="T63"/>
      <c r="U63"/>
      <c r="V63"/>
      <c r="W63"/>
      <c r="X63"/>
      <c r="Y63"/>
      <c r="Z63"/>
      <c r="AA63"/>
      <c r="AB63"/>
      <c r="AC63"/>
      <c r="AD63"/>
      <c r="AE63"/>
      <c r="AF63"/>
      <c r="AG63"/>
    </row>
    <row r="64" spans="1:33">
      <c r="B64"/>
      <c r="C64"/>
      <c r="D64"/>
      <c r="E64"/>
      <c r="F64"/>
      <c r="G64"/>
      <c r="H64"/>
      <c r="I64"/>
      <c r="J64"/>
      <c r="K64"/>
      <c r="L64"/>
      <c r="M64"/>
      <c r="N64"/>
      <c r="O64"/>
      <c r="P64"/>
      <c r="Q64"/>
      <c r="R64"/>
      <c r="S64"/>
      <c r="T64"/>
      <c r="U64"/>
      <c r="V64"/>
      <c r="W64"/>
      <c r="X64"/>
      <c r="Y64"/>
      <c r="Z64"/>
      <c r="AA64"/>
      <c r="AB64"/>
      <c r="AC64"/>
      <c r="AD64"/>
      <c r="AE64"/>
      <c r="AF64"/>
      <c r="AG64"/>
    </row>
    <row r="65" spans="2:33">
      <c r="B65"/>
      <c r="C65"/>
      <c r="D65"/>
      <c r="E65"/>
      <c r="F65"/>
      <c r="G65"/>
      <c r="H65"/>
      <c r="I65"/>
      <c r="J65"/>
      <c r="K65"/>
      <c r="L65"/>
      <c r="M65"/>
      <c r="N65"/>
      <c r="O65"/>
      <c r="P65"/>
      <c r="Q65"/>
      <c r="R65"/>
      <c r="S65"/>
      <c r="T65"/>
      <c r="U65"/>
      <c r="V65"/>
      <c r="W65"/>
      <c r="X65"/>
      <c r="Y65"/>
      <c r="Z65"/>
      <c r="AA65"/>
      <c r="AB65"/>
      <c r="AC65"/>
      <c r="AD65"/>
      <c r="AE65"/>
      <c r="AF65"/>
      <c r="AG65"/>
    </row>
    <row r="66" spans="2:33">
      <c r="B66"/>
      <c r="C66"/>
      <c r="D66"/>
      <c r="E66"/>
      <c r="F66"/>
      <c r="G66"/>
      <c r="H66"/>
      <c r="I66"/>
      <c r="J66"/>
      <c r="K66"/>
      <c r="L66"/>
      <c r="M66"/>
      <c r="N66"/>
      <c r="O66"/>
      <c r="P66"/>
      <c r="Q66"/>
      <c r="R66"/>
      <c r="S66"/>
      <c r="T66"/>
      <c r="U66"/>
      <c r="V66"/>
      <c r="W66"/>
      <c r="X66"/>
      <c r="Y66"/>
      <c r="Z66"/>
      <c r="AA66"/>
      <c r="AB66"/>
      <c r="AC66"/>
      <c r="AD66"/>
      <c r="AE66"/>
      <c r="AF66"/>
      <c r="AG66"/>
    </row>
    <row r="67" spans="2:33">
      <c r="B67"/>
      <c r="C67"/>
      <c r="D67"/>
      <c r="E67"/>
      <c r="F67"/>
      <c r="G67"/>
      <c r="H67"/>
      <c r="I67"/>
      <c r="J67"/>
      <c r="K67"/>
      <c r="L67"/>
      <c r="M67"/>
      <c r="N67"/>
      <c r="O67"/>
      <c r="P67"/>
      <c r="Q67"/>
      <c r="R67"/>
      <c r="S67"/>
      <c r="T67"/>
      <c r="U67"/>
      <c r="V67"/>
      <c r="W67"/>
      <c r="X67"/>
      <c r="Y67"/>
      <c r="Z67"/>
      <c r="AA67"/>
      <c r="AB67"/>
      <c r="AC67"/>
      <c r="AD67"/>
      <c r="AE67"/>
      <c r="AF67"/>
      <c r="AG67"/>
    </row>
    <row r="68" spans="2:33">
      <c r="B68"/>
      <c r="C68"/>
      <c r="D68"/>
      <c r="E68"/>
      <c r="F68"/>
      <c r="G68"/>
      <c r="H68"/>
      <c r="I68"/>
      <c r="J68"/>
      <c r="K68"/>
      <c r="L68"/>
      <c r="M68"/>
      <c r="N68"/>
      <c r="O68"/>
      <c r="P68"/>
      <c r="Q68"/>
      <c r="R68"/>
      <c r="S68"/>
      <c r="T68"/>
      <c r="U68"/>
      <c r="V68"/>
      <c r="W68"/>
      <c r="X68"/>
      <c r="Y68"/>
      <c r="Z68"/>
      <c r="AA68"/>
      <c r="AB68"/>
      <c r="AC68"/>
      <c r="AD68"/>
      <c r="AE68"/>
      <c r="AF68"/>
      <c r="AG68"/>
    </row>
    <row r="69" spans="2:33">
      <c r="B69"/>
      <c r="C69"/>
      <c r="D69"/>
      <c r="E69"/>
      <c r="F69"/>
      <c r="G69"/>
      <c r="H69"/>
      <c r="I69"/>
      <c r="J69"/>
      <c r="K69"/>
      <c r="L69"/>
      <c r="M69"/>
      <c r="N69"/>
      <c r="O69"/>
      <c r="P69"/>
      <c r="Q69"/>
      <c r="R69"/>
      <c r="S69"/>
      <c r="T69"/>
      <c r="U69"/>
      <c r="V69"/>
      <c r="W69"/>
      <c r="X69"/>
      <c r="Y69"/>
      <c r="Z69"/>
      <c r="AA69"/>
      <c r="AB69"/>
      <c r="AC69"/>
      <c r="AD69"/>
      <c r="AE69"/>
      <c r="AF69"/>
      <c r="AG69"/>
    </row>
    <row r="70" spans="2:33">
      <c r="B70"/>
      <c r="C70"/>
      <c r="D70"/>
      <c r="E70"/>
      <c r="F70"/>
      <c r="G70"/>
      <c r="H70"/>
      <c r="I70"/>
      <c r="J70"/>
      <c r="K70"/>
      <c r="L70"/>
      <c r="M70"/>
      <c r="N70"/>
      <c r="O70"/>
      <c r="P70"/>
      <c r="Q70"/>
      <c r="R70"/>
      <c r="S70"/>
      <c r="T70"/>
      <c r="U70"/>
      <c r="V70"/>
      <c r="W70"/>
      <c r="X70"/>
      <c r="Y70"/>
      <c r="Z70"/>
      <c r="AA70"/>
      <c r="AB70"/>
      <c r="AC70"/>
      <c r="AD70"/>
      <c r="AE70"/>
      <c r="AF70"/>
      <c r="AG70"/>
    </row>
    <row r="71" spans="2:33">
      <c r="B71"/>
      <c r="C71"/>
      <c r="D71"/>
      <c r="E71"/>
      <c r="F71"/>
      <c r="G71"/>
      <c r="H71"/>
      <c r="I71"/>
      <c r="J71"/>
      <c r="K71"/>
      <c r="L71"/>
      <c r="M71"/>
      <c r="N71"/>
      <c r="O71"/>
      <c r="P71"/>
      <c r="Q71"/>
      <c r="R71"/>
      <c r="S71"/>
      <c r="T71"/>
      <c r="U71"/>
      <c r="V71"/>
      <c r="W71"/>
      <c r="X71"/>
      <c r="Y71"/>
      <c r="Z71"/>
      <c r="AA71"/>
      <c r="AB71"/>
      <c r="AC71"/>
      <c r="AD71"/>
      <c r="AE71"/>
      <c r="AF71"/>
      <c r="AG71"/>
    </row>
    <row r="72" spans="2:33">
      <c r="B72"/>
      <c r="C72"/>
      <c r="D72"/>
      <c r="E72"/>
      <c r="F72"/>
      <c r="G72"/>
      <c r="H72"/>
      <c r="I72"/>
      <c r="J72"/>
      <c r="K72"/>
      <c r="L72"/>
      <c r="M72"/>
      <c r="N72"/>
      <c r="O72"/>
      <c r="P72"/>
      <c r="Q72"/>
      <c r="R72"/>
      <c r="S72"/>
      <c r="T72"/>
      <c r="U72"/>
      <c r="V72"/>
      <c r="W72"/>
      <c r="X72"/>
      <c r="Y72"/>
      <c r="Z72"/>
      <c r="AA72"/>
      <c r="AB72"/>
      <c r="AC72"/>
      <c r="AD72"/>
      <c r="AE72"/>
      <c r="AF72"/>
      <c r="AG72"/>
    </row>
    <row r="73" spans="2:33">
      <c r="B73"/>
      <c r="C73"/>
      <c r="D73"/>
      <c r="E73"/>
      <c r="F73"/>
      <c r="G73"/>
      <c r="H73"/>
      <c r="I73"/>
      <c r="J73"/>
      <c r="K73"/>
      <c r="L73"/>
      <c r="M73"/>
      <c r="N73"/>
      <c r="O73"/>
      <c r="P73"/>
      <c r="Q73"/>
      <c r="R73"/>
      <c r="S73"/>
      <c r="T73"/>
      <c r="U73"/>
      <c r="V73"/>
      <c r="W73"/>
      <c r="X73"/>
      <c r="Y73"/>
      <c r="Z73"/>
      <c r="AA73"/>
      <c r="AB73"/>
      <c r="AC73"/>
      <c r="AD73"/>
      <c r="AE73"/>
      <c r="AF73"/>
      <c r="AG73"/>
    </row>
    <row r="74" spans="2:33">
      <c r="B74"/>
      <c r="C74"/>
      <c r="D74"/>
      <c r="E74"/>
      <c r="F74"/>
      <c r="G74"/>
      <c r="H74"/>
      <c r="I74"/>
      <c r="J74"/>
      <c r="K74"/>
      <c r="L74"/>
      <c r="M74"/>
      <c r="N74"/>
      <c r="O74"/>
      <c r="P74"/>
      <c r="Q74"/>
      <c r="R74"/>
      <c r="S74"/>
      <c r="T74"/>
      <c r="U74"/>
      <c r="V74"/>
      <c r="W74"/>
      <c r="X74"/>
      <c r="Y74"/>
      <c r="Z74"/>
      <c r="AA74"/>
      <c r="AB74"/>
      <c r="AC74"/>
      <c r="AD74"/>
      <c r="AE74"/>
      <c r="AF74"/>
      <c r="AG74"/>
    </row>
  </sheetData>
  <scenarios current="0" show="0">
    <scenario name="pittsfield best fit" locked="1" count="1" user="Author">
      <inputCells r="D37" deleted="1" val=""/>
    </scenario>
  </scenarios>
  <mergeCells count="1">
    <mergeCell ref="U17:U20"/>
  </mergeCells>
  <hyperlinks>
    <hyperlink ref="W31" r:id="rId1" location="v=onepage&amp;q=dink%20billboard%201995&amp;f=false" xr:uid="{E480363B-984D-4AA7-9542-17CDBBAEB922}"/>
    <hyperlink ref="W30" r:id="rId2" location="v=onepage&amp;q=dink%20billboard%201995&amp;f=false" xr:uid="{129B12B4-8204-4D84-AEE0-3979879731E1}"/>
    <hyperlink ref="W29" r:id="rId3" location="v=onepage&amp;q=dink%20billboard%201995&amp;f=false" xr:uid="{5256E1D4-CF1E-4765-A332-3F31F0B3AB1F}"/>
    <hyperlink ref="W35" r:id="rId4" location="v=onepage&amp;q=dink%20billboard%201995&amp;f=false" xr:uid="{3B8CB2C2-0BFF-4E84-B8AF-A1C5208CD7F5}"/>
    <hyperlink ref="W36" r:id="rId5" location="v=onepage&amp;q=modern%20rock%20billboard%201995%20February%2018&amp;f=false" xr:uid="{1D604956-C4AF-4578-B752-40C58A345FE4}"/>
    <hyperlink ref="T16" r:id="rId6" location="v=onepage&amp;q=dink%20billboard%201995&amp;f=false" xr:uid="{660EA684-8529-4AFC-B1C1-FA663ED91432}"/>
  </hyperlinks>
  <printOptions gridLines="1" gridLinesSet="0"/>
  <pageMargins left="0.75" right="0.75" top="1" bottom="1" header="0.5" footer="0.5"/>
  <pageSetup orientation="portrait" r:id="rId7"/>
  <headerFooter alignWithMargins="0">
    <oddHeader>&amp;A</oddHeader>
    <oddFooter>Page &amp;P</oddFooter>
  </headerFooter>
  <drawing r:id="rId8"/>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0CAE0-E286-4880-AE8E-287E781C8ED5}">
  <dimension ref="A1:AI74"/>
  <sheetViews>
    <sheetView zoomScale="85" zoomScaleNormal="85" workbookViewId="0">
      <selection activeCell="AA4" sqref="AA4"/>
    </sheetView>
  </sheetViews>
  <sheetFormatPr defaultRowHeight="12.75"/>
  <cols>
    <col min="1" max="1" width="12" style="2" customWidth="1"/>
    <col min="2" max="2" width="10.5703125" style="2" customWidth="1"/>
    <col min="3" max="3" width="15.42578125" style="2" customWidth="1"/>
    <col min="4" max="4" width="10.5703125" style="2" customWidth="1"/>
    <col min="5" max="5" width="3.7109375" style="2" customWidth="1"/>
    <col min="6" max="6" width="10.28515625" style="2" customWidth="1"/>
    <col min="7" max="7" width="16.42578125" style="2" customWidth="1"/>
    <col min="8" max="8" width="9.5703125" style="2" customWidth="1"/>
    <col min="9" max="9" width="3.28515625" style="2" customWidth="1"/>
    <col min="10" max="11" width="12.42578125" style="2" customWidth="1"/>
    <col min="12" max="12" width="7.140625" style="2" customWidth="1"/>
    <col min="13" max="13" width="7.7109375" style="2" customWidth="1"/>
    <col min="14" max="14" width="6.7109375" style="54" customWidth="1"/>
    <col min="15" max="15" width="6.85546875" style="2" customWidth="1"/>
    <col min="16" max="16" width="16" style="2" customWidth="1"/>
    <col min="17" max="17" width="14.42578125" style="2" customWidth="1"/>
    <col min="18" max="18" width="17.5703125" style="2" customWidth="1"/>
    <col min="19" max="19" width="16.85546875" style="2" customWidth="1"/>
    <col min="20" max="20" width="9.7109375" style="2" customWidth="1"/>
    <col min="21" max="21" width="11.140625" style="2" customWidth="1"/>
    <col min="22" max="22" width="6.7109375" style="2" customWidth="1"/>
    <col min="23" max="23" width="10.140625" style="2" customWidth="1"/>
    <col min="24" max="24" width="11.140625" style="2" customWidth="1"/>
    <col min="25" max="25" width="12.28515625" style="2" bestFit="1" customWidth="1"/>
    <col min="26" max="16384" width="9.140625" style="2"/>
  </cols>
  <sheetData>
    <row r="1" spans="1:35">
      <c r="J1" s="50" t="s">
        <v>174</v>
      </c>
      <c r="K1" s="50" t="s">
        <v>175</v>
      </c>
      <c r="P1"/>
      <c r="Q1"/>
      <c r="R1"/>
      <c r="S1"/>
    </row>
    <row r="2" spans="1:35">
      <c r="A2" s="2" t="s">
        <v>117</v>
      </c>
      <c r="B2" s="102">
        <f>EXP(C2)</f>
        <v>1.6229744391668625E-2</v>
      </c>
      <c r="C2" s="27">
        <v>-4.1209096467066662</v>
      </c>
      <c r="E2" s="27"/>
      <c r="F2" s="2" t="s">
        <v>107</v>
      </c>
      <c r="G2" s="28">
        <f>-2*G3+3*LN(B10)</f>
        <v>396328.60985372862</v>
      </c>
      <c r="H2" s="28"/>
      <c r="J2" s="105">
        <v>381121.05158977234</v>
      </c>
      <c r="K2" s="105">
        <v>380740.27772641537</v>
      </c>
      <c r="P2"/>
      <c r="Q2"/>
      <c r="R2"/>
      <c r="S2"/>
      <c r="U2"/>
      <c r="V2"/>
      <c r="W2"/>
    </row>
    <row r="3" spans="1:35">
      <c r="A3" s="2" t="s">
        <v>98</v>
      </c>
      <c r="B3" s="121">
        <f>EXP(C3)</f>
        <v>1.0255652443840235</v>
      </c>
      <c r="C3" s="27">
        <v>2.5243918528954312E-2</v>
      </c>
      <c r="E3" s="27"/>
      <c r="F3" s="2" t="s">
        <v>99</v>
      </c>
      <c r="G3" s="28">
        <f>SUM(H16:H33)</f>
        <v>-198147.03553866685</v>
      </c>
      <c r="H3" s="28"/>
      <c r="J3" s="105">
        <v>-190514.47409302628</v>
      </c>
      <c r="K3" s="105">
        <v>-190324.08716134779</v>
      </c>
      <c r="P3"/>
      <c r="Q3"/>
      <c r="R3"/>
      <c r="S3"/>
      <c r="T3" s="104"/>
      <c r="U3"/>
      <c r="V3"/>
      <c r="W3"/>
      <c r="X3"/>
      <c r="Y3"/>
      <c r="Z3"/>
      <c r="AA3"/>
      <c r="AB3"/>
      <c r="AC3"/>
      <c r="AD3"/>
      <c r="AE3"/>
      <c r="AF3"/>
      <c r="AG3"/>
      <c r="AH3"/>
      <c r="AI3"/>
    </row>
    <row r="4" spans="1:35">
      <c r="A4" s="75" t="s">
        <v>115</v>
      </c>
      <c r="B4" s="90">
        <f>C4</f>
        <v>0</v>
      </c>
      <c r="C4" s="184">
        <v>0</v>
      </c>
      <c r="E4" s="27"/>
      <c r="F4" s="2" t="s">
        <v>130</v>
      </c>
      <c r="G4" s="77">
        <f>AVERAGE(M17:M34)</f>
        <v>7.5424389656576336</v>
      </c>
      <c r="J4" s="117">
        <v>4.2071108281514981E-2</v>
      </c>
      <c r="K4" s="117">
        <v>1.4816458465902294E-2</v>
      </c>
      <c r="O4" s="2" t="s">
        <v>187</v>
      </c>
      <c r="P4" s="123">
        <f>2*(G3-'W (Jan 1)'!G3)</f>
        <v>-13338.124864324345</v>
      </c>
      <c r="Q4"/>
      <c r="R4"/>
      <c r="S4"/>
      <c r="T4" s="105"/>
      <c r="U4"/>
      <c r="V4"/>
      <c r="W4"/>
      <c r="X4"/>
      <c r="Y4"/>
      <c r="Z4"/>
      <c r="AA4"/>
      <c r="AB4"/>
      <c r="AC4"/>
      <c r="AD4"/>
      <c r="AE4"/>
      <c r="AF4"/>
      <c r="AG4"/>
      <c r="AH4"/>
      <c r="AI4"/>
    </row>
    <row r="5" spans="1:35">
      <c r="A5" s="75" t="s">
        <v>134</v>
      </c>
      <c r="B5" s="27">
        <f>C5</f>
        <v>0</v>
      </c>
      <c r="C5" s="27">
        <v>0</v>
      </c>
      <c r="E5" s="27"/>
      <c r="F5" s="2" t="s">
        <v>139</v>
      </c>
      <c r="G5" s="77">
        <f>AVERAGE(M30:M38)</f>
        <v>21.709903024667785</v>
      </c>
      <c r="J5" s="117">
        <v>2.5537710013584011E-2</v>
      </c>
      <c r="K5" s="117">
        <v>9.343147066772679E-3</v>
      </c>
      <c r="O5" s="2" t="s">
        <v>198</v>
      </c>
      <c r="P5">
        <v>1</v>
      </c>
      <c r="Q5"/>
      <c r="R5"/>
      <c r="S5"/>
      <c r="T5" s="106"/>
      <c r="U5"/>
      <c r="V5"/>
      <c r="W5"/>
      <c r="X5" s="66"/>
      <c r="Y5" s="28"/>
      <c r="Z5"/>
      <c r="AA5"/>
      <c r="AB5"/>
      <c r="AC5"/>
      <c r="AD5"/>
      <c r="AE5"/>
      <c r="AF5"/>
      <c r="AG5"/>
      <c r="AH5"/>
      <c r="AI5"/>
    </row>
    <row r="6" spans="1:35">
      <c r="A6" s="2" t="s">
        <v>143</v>
      </c>
      <c r="B6" s="27">
        <f>EXP(C6)</f>
        <v>1.1051612917148501</v>
      </c>
      <c r="C6" s="27">
        <v>9.9991289670616115E-2</v>
      </c>
      <c r="E6" s="27"/>
      <c r="F6" s="2" t="s">
        <v>144</v>
      </c>
      <c r="G6" s="89">
        <f>CORREL(C17:C38,J17:J38)^2</f>
        <v>0.98553695696154675</v>
      </c>
      <c r="J6" s="118">
        <v>0.99918183684393613</v>
      </c>
      <c r="K6" s="124">
        <v>0.99976301613106733</v>
      </c>
      <c r="O6" s="2" t="s">
        <v>165</v>
      </c>
      <c r="P6" s="187" t="e">
        <f>_xlfn.CHISQ.DIST.RT(P4,P5)</f>
        <v>#NUM!</v>
      </c>
      <c r="Q6"/>
      <c r="R6"/>
      <c r="S6"/>
      <c r="T6" s="106"/>
      <c r="U6"/>
      <c r="V6"/>
      <c r="W6"/>
      <c r="X6" s="66"/>
      <c r="Y6" s="28"/>
      <c r="Z6"/>
      <c r="AA6"/>
      <c r="AB6"/>
      <c r="AC6"/>
      <c r="AD6"/>
      <c r="AE6"/>
      <c r="AF6"/>
      <c r="AG6"/>
      <c r="AH6"/>
      <c r="AI6"/>
    </row>
    <row r="7" spans="1:35">
      <c r="A7" s="75" t="s">
        <v>148</v>
      </c>
      <c r="B7" s="27">
        <f>C7</f>
        <v>0</v>
      </c>
      <c r="C7" s="27">
        <v>0</v>
      </c>
      <c r="E7" s="27"/>
      <c r="J7" s="3"/>
      <c r="K7" s="3"/>
      <c r="P7"/>
      <c r="Q7"/>
      <c r="R7"/>
      <c r="S7"/>
      <c r="T7" s="106"/>
      <c r="U7"/>
      <c r="V7"/>
      <c r="W7"/>
      <c r="X7" s="66"/>
      <c r="Y7" s="84"/>
      <c r="Z7"/>
      <c r="AA7"/>
      <c r="AB7"/>
      <c r="AC7"/>
      <c r="AD7"/>
      <c r="AE7"/>
      <c r="AF7"/>
      <c r="AG7"/>
      <c r="AH7"/>
      <c r="AI7"/>
    </row>
    <row r="8" spans="1:35">
      <c r="A8" s="75" t="s">
        <v>149</v>
      </c>
      <c r="B8" s="27">
        <f>EXP(C8)</f>
        <v>1.8729062640039973</v>
      </c>
      <c r="C8" s="27">
        <v>0.62749137629610374</v>
      </c>
      <c r="E8" s="27"/>
      <c r="F8" s="115" t="s">
        <v>130</v>
      </c>
      <c r="G8" s="116">
        <f>AVERAGE(L16:L32)</f>
        <v>0.37473881927023672</v>
      </c>
      <c r="J8" s="125">
        <v>0.10101928531775015</v>
      </c>
      <c r="K8" s="126">
        <v>7.3238026353644653E-2</v>
      </c>
      <c r="P8"/>
      <c r="Q8"/>
      <c r="R8"/>
      <c r="S8"/>
      <c r="T8" s="119"/>
      <c r="U8"/>
      <c r="V8"/>
      <c r="W8"/>
      <c r="X8" s="66"/>
      <c r="Y8" s="84"/>
      <c r="Z8"/>
      <c r="AA8"/>
      <c r="AB8"/>
      <c r="AC8"/>
      <c r="AD8"/>
      <c r="AE8"/>
      <c r="AF8"/>
      <c r="AG8"/>
      <c r="AH8"/>
      <c r="AI8"/>
    </row>
    <row r="9" spans="1:35">
      <c r="A9" s="2" t="s">
        <v>150</v>
      </c>
      <c r="B9" s="27">
        <f>EXP(C9)</f>
        <v>0.83775985352803517</v>
      </c>
      <c r="C9" s="27">
        <v>-0.17702379053829231</v>
      </c>
      <c r="E9" s="27"/>
      <c r="F9" s="115" t="s">
        <v>139</v>
      </c>
      <c r="G9" s="116">
        <f>AVERAGE(L33:L36)</f>
        <v>0.23789226800589025</v>
      </c>
      <c r="J9" s="125">
        <v>3.7158551039105814</v>
      </c>
      <c r="K9" s="126">
        <v>0.16600586617694288</v>
      </c>
      <c r="P9"/>
      <c r="Q9"/>
      <c r="R9"/>
      <c r="S9"/>
      <c r="T9" s="119"/>
      <c r="U9"/>
      <c r="V9"/>
      <c r="W9"/>
      <c r="X9" s="66"/>
      <c r="Y9" s="103"/>
      <c r="Z9"/>
      <c r="AA9"/>
      <c r="AB9"/>
      <c r="AC9"/>
      <c r="AD9"/>
      <c r="AE9"/>
      <c r="AF9"/>
      <c r="AG9"/>
      <c r="AH9"/>
      <c r="AI9"/>
    </row>
    <row r="10" spans="1:35">
      <c r="A10" s="2" t="s">
        <v>105</v>
      </c>
      <c r="B10" s="28">
        <v>100000</v>
      </c>
      <c r="C10" s="27"/>
      <c r="E10" s="27"/>
      <c r="F10" s="115" t="s">
        <v>145</v>
      </c>
      <c r="G10" s="116">
        <f>MEDIAN(L17:L38)</f>
        <v>0.37094433005446337</v>
      </c>
      <c r="J10" s="125">
        <v>0.11433729943848264</v>
      </c>
      <c r="K10" s="126">
        <v>7.5129489764360471E-2</v>
      </c>
      <c r="T10" s="119"/>
      <c r="X10"/>
      <c r="Y10"/>
      <c r="Z10"/>
      <c r="AA10"/>
      <c r="AB10"/>
      <c r="AC10"/>
      <c r="AD10"/>
      <c r="AE10"/>
      <c r="AF10"/>
      <c r="AG10"/>
      <c r="AH10"/>
      <c r="AI10"/>
    </row>
    <row r="11" spans="1:35">
      <c r="E11" s="27"/>
      <c r="F11" s="54"/>
      <c r="G11" s="54"/>
      <c r="T11" s="119"/>
      <c r="U11" s="119"/>
      <c r="V11" s="119"/>
      <c r="W11" s="119"/>
      <c r="X11"/>
      <c r="Y11"/>
      <c r="Z11"/>
      <c r="AA11"/>
      <c r="AB11"/>
      <c r="AC11"/>
      <c r="AD11"/>
      <c r="AE11"/>
      <c r="AF11"/>
      <c r="AG11"/>
      <c r="AH11"/>
      <c r="AI11"/>
    </row>
    <row r="12" spans="1:35">
      <c r="E12" s="27"/>
      <c r="T12" s="8"/>
      <c r="U12" s="8"/>
      <c r="V12" s="119"/>
      <c r="W12" s="119"/>
      <c r="X12"/>
      <c r="Y12"/>
      <c r="Z12"/>
      <c r="AA12"/>
      <c r="AB12"/>
      <c r="AC12"/>
      <c r="AD12"/>
      <c r="AE12"/>
      <c r="AF12"/>
      <c r="AG12"/>
      <c r="AH12"/>
      <c r="AI12"/>
    </row>
    <row r="13" spans="1:35">
      <c r="Q13" s="27">
        <f>B4</f>
        <v>0</v>
      </c>
      <c r="R13" s="27">
        <f>B7</f>
        <v>0</v>
      </c>
      <c r="S13" s="27"/>
      <c r="T13" s="27"/>
      <c r="U13" s="27"/>
      <c r="X13"/>
      <c r="Y13"/>
      <c r="Z13"/>
      <c r="AA13"/>
      <c r="AB13"/>
      <c r="AC13"/>
      <c r="AD13"/>
      <c r="AE13"/>
      <c r="AF13"/>
      <c r="AG13"/>
      <c r="AH13"/>
      <c r="AI13"/>
    </row>
    <row r="14" spans="1:35">
      <c r="L14" s="2" t="s">
        <v>170</v>
      </c>
      <c r="M14" s="2" t="s">
        <v>169</v>
      </c>
      <c r="P14" s="7" t="s">
        <v>147</v>
      </c>
      <c r="X14"/>
      <c r="Y14"/>
      <c r="Z14"/>
      <c r="AA14"/>
      <c r="AB14"/>
      <c r="AC14"/>
      <c r="AD14"/>
      <c r="AE14"/>
      <c r="AF14"/>
      <c r="AG14"/>
      <c r="AH14"/>
      <c r="AI14"/>
    </row>
    <row r="15" spans="1:35">
      <c r="A15" s="32" t="s">
        <v>1</v>
      </c>
      <c r="B15" s="119" t="s">
        <v>100</v>
      </c>
      <c r="C15" s="119" t="s">
        <v>128</v>
      </c>
      <c r="D15" s="119" t="s">
        <v>101</v>
      </c>
      <c r="E15" s="7"/>
      <c r="F15" s="119" t="s">
        <v>103</v>
      </c>
      <c r="G15" s="32" t="s">
        <v>104</v>
      </c>
      <c r="H15" s="7" t="s">
        <v>118</v>
      </c>
      <c r="I15" s="7"/>
      <c r="J15" s="7" t="s">
        <v>106</v>
      </c>
      <c r="K15" s="114" t="s">
        <v>168</v>
      </c>
      <c r="L15" s="114" t="s">
        <v>129</v>
      </c>
      <c r="M15" s="7" t="s">
        <v>129</v>
      </c>
      <c r="N15" s="44"/>
      <c r="O15" s="7" t="s">
        <v>108</v>
      </c>
      <c r="P15" s="7" t="s">
        <v>109</v>
      </c>
      <c r="Q15" s="45" t="s">
        <v>116</v>
      </c>
      <c r="R15" s="45" t="s">
        <v>160</v>
      </c>
      <c r="S15" s="143" t="s">
        <v>143</v>
      </c>
      <c r="T15"/>
      <c r="U15" s="16"/>
      <c r="V15"/>
      <c r="W15"/>
      <c r="X15"/>
      <c r="Y15"/>
      <c r="Z15"/>
      <c r="AA15"/>
      <c r="AB15"/>
      <c r="AC15"/>
      <c r="AD15"/>
      <c r="AE15"/>
      <c r="AF15"/>
      <c r="AG15"/>
      <c r="AH15"/>
      <c r="AI15"/>
    </row>
    <row r="16" spans="1:35">
      <c r="A16" s="1">
        <v>34700</v>
      </c>
      <c r="B16" s="183">
        <f>1</f>
        <v>1</v>
      </c>
      <c r="C16" s="2">
        <f>D16</f>
        <v>2976</v>
      </c>
      <c r="D16">
        <v>2976</v>
      </c>
      <c r="E16" s="7"/>
      <c r="F16" s="31">
        <f t="shared" ref="F16:F36" si="0">1-EXP(-$B$2*O16)</f>
        <v>1.6098751706831393E-2</v>
      </c>
      <c r="G16" s="174">
        <f>F16</f>
        <v>1.6098751706831393E-2</v>
      </c>
      <c r="H16" s="17">
        <f>D16*IFERROR(LN(G16),-10000)</f>
        <v>-12287.944306154752</v>
      </c>
      <c r="I16" s="7"/>
      <c r="J16" s="35">
        <f t="shared" ref="J16:J36" si="1">$B$10*F16</f>
        <v>1609.8751706831395</v>
      </c>
      <c r="K16" s="35">
        <f>J16</f>
        <v>1609.8751706831395</v>
      </c>
      <c r="L16" s="78">
        <f>ABS((D16-K16)/D16)</f>
        <v>0.4590473216790526</v>
      </c>
      <c r="M16" s="78">
        <f>ABS((C16-J16)/C16)</f>
        <v>0.4590473216790526</v>
      </c>
      <c r="N16" s="44"/>
      <c r="O16" s="35">
        <f>B16^B3*P16</f>
        <v>1</v>
      </c>
      <c r="P16" s="74">
        <f>EXP(SUMPRODUCT($Q$13:$R$13,Q16:R16))</f>
        <v>1</v>
      </c>
      <c r="Q16" s="2">
        <f>1550.2/(10)</f>
        <v>155.02000000000001</v>
      </c>
      <c r="R16">
        <f>$B$8*$B$9^(B16-1)</f>
        <v>1.8729062640039973</v>
      </c>
      <c r="S16" s="188">
        <f>'W+cov (Lag6 AP+BB)'!K16-delta1!K16</f>
        <v>1504.3032243313601</v>
      </c>
      <c r="T16" s="9" t="s">
        <v>154</v>
      </c>
      <c r="U16" s="16"/>
      <c r="V16"/>
      <c r="W16"/>
      <c r="X16"/>
      <c r="Y16"/>
      <c r="Z16"/>
      <c r="AA16"/>
      <c r="AB16"/>
      <c r="AC16"/>
      <c r="AD16"/>
      <c r="AE16"/>
      <c r="AF16"/>
      <c r="AG16"/>
      <c r="AH16"/>
      <c r="AI16"/>
    </row>
    <row r="17" spans="1:35">
      <c r="A17" s="1">
        <v>34707</v>
      </c>
      <c r="B17" s="33">
        <f>1+B16</f>
        <v>2</v>
      </c>
      <c r="C17" s="2">
        <f>C16+D17</f>
        <v>5505</v>
      </c>
      <c r="D17">
        <v>2529</v>
      </c>
      <c r="F17" s="31">
        <f t="shared" si="0"/>
        <v>3.2499960291046182E-2</v>
      </c>
      <c r="G17" s="31">
        <f t="shared" ref="G17:G36" si="2">F17-F16</f>
        <v>1.6401208584214788E-2</v>
      </c>
      <c r="H17" s="17">
        <f t="shared" ref="H17:H32" si="3">D17*IFERROR(LN(G17),-10000)</f>
        <v>-10395.202239098095</v>
      </c>
      <c r="J17" s="35">
        <f t="shared" si="1"/>
        <v>3249.9960291046182</v>
      </c>
      <c r="K17" s="35">
        <f t="shared" ref="K17:K36" si="4">J17-J16</f>
        <v>1640.1208584214787</v>
      </c>
      <c r="L17" s="78">
        <f t="shared" ref="L17:L36" si="5">ABS((D17-K17)/D17)</f>
        <v>0.35147455183017845</v>
      </c>
      <c r="M17" s="78">
        <f t="shared" ref="M17:M36" si="6">ABS((D17-J17)/D17)</f>
        <v>0.28509135195912144</v>
      </c>
      <c r="N17" s="47"/>
      <c r="O17" s="35">
        <f t="shared" ref="O17:O36" si="7">O16+(B17^$B$3-B16^$B$3)*P17</f>
        <v>2.0357568325176665</v>
      </c>
      <c r="P17" s="74">
        <f t="shared" ref="P17:P36" si="8">EXP(SUMPRODUCT($Q$13:$R$13,Q17:R17))</f>
        <v>1</v>
      </c>
      <c r="Q17" s="2">
        <f>1492.6/(10)</f>
        <v>149.26</v>
      </c>
      <c r="R17">
        <f>$B$8*$B$9^(B17-1)</f>
        <v>1.5690456774037282</v>
      </c>
      <c r="S17" s="188">
        <f>'W+cov (Lag6 AP+BB)'!K17-delta1!K17</f>
        <v>514.14462430037202</v>
      </c>
      <c r="T17"/>
      <c r="U17" s="196"/>
      <c r="V17" s="6"/>
      <c r="W17"/>
      <c r="X17"/>
      <c r="Y17"/>
      <c r="Z17"/>
      <c r="AA17"/>
      <c r="AB17"/>
      <c r="AC17"/>
      <c r="AD17"/>
      <c r="AE17"/>
      <c r="AF17"/>
      <c r="AG17"/>
      <c r="AH17"/>
      <c r="AI17"/>
    </row>
    <row r="18" spans="1:35" ht="12.75" customHeight="1">
      <c r="A18" s="1">
        <v>34714</v>
      </c>
      <c r="B18" s="33">
        <f t="shared" ref="B18:B36" si="9">1+B17</f>
        <v>3</v>
      </c>
      <c r="C18" s="2">
        <f t="shared" ref="C18:C36" si="10">C17+D18</f>
        <v>7926</v>
      </c>
      <c r="D18">
        <v>2421</v>
      </c>
      <c r="F18" s="31">
        <f t="shared" si="0"/>
        <v>4.8842978652378966E-2</v>
      </c>
      <c r="G18" s="31">
        <f t="shared" si="2"/>
        <v>1.6343018361332784E-2</v>
      </c>
      <c r="H18" s="17">
        <f t="shared" si="3"/>
        <v>-9959.8838066683493</v>
      </c>
      <c r="J18" s="35">
        <f t="shared" si="1"/>
        <v>4884.297865237897</v>
      </c>
      <c r="K18" s="35">
        <f t="shared" si="4"/>
        <v>1634.3018361332788</v>
      </c>
      <c r="L18" s="78">
        <f t="shared" si="5"/>
        <v>0.32494761002342881</v>
      </c>
      <c r="M18" s="29">
        <f t="shared" si="6"/>
        <v>1.0174712371903747</v>
      </c>
      <c r="N18" s="47"/>
      <c r="O18" s="35">
        <f t="shared" si="7"/>
        <v>3.0854532906112109</v>
      </c>
      <c r="P18" s="74">
        <f t="shared" si="8"/>
        <v>1</v>
      </c>
      <c r="Q18" s="2">
        <f>2254.7/(10)</f>
        <v>225.46999999999997</v>
      </c>
      <c r="R18">
        <f>$B$8*$B$9^(B18-1)</f>
        <v>1.314483476880544</v>
      </c>
      <c r="S18" s="188">
        <f>'W+cov (Lag6 AP+BB)'!K18-delta1!K18</f>
        <v>1028.3749737324151</v>
      </c>
      <c r="T18"/>
      <c r="U18" s="196"/>
      <c r="V18" s="6"/>
      <c r="W18"/>
      <c r="Y18"/>
      <c r="Z18"/>
      <c r="AA18"/>
      <c r="AB18"/>
      <c r="AC18"/>
      <c r="AD18"/>
      <c r="AE18"/>
      <c r="AF18"/>
      <c r="AG18"/>
      <c r="AH18"/>
      <c r="AI18"/>
    </row>
    <row r="19" spans="1:35">
      <c r="A19" s="1">
        <v>34721</v>
      </c>
      <c r="B19" s="33">
        <f t="shared" si="9"/>
        <v>4</v>
      </c>
      <c r="C19" s="2">
        <f t="shared" si="10"/>
        <v>10311</v>
      </c>
      <c r="D19">
        <v>2385</v>
      </c>
      <c r="F19" s="31">
        <f t="shared" si="0"/>
        <v>6.5048876257359778E-2</v>
      </c>
      <c r="G19" s="31">
        <f t="shared" si="2"/>
        <v>1.6205897604980812E-2</v>
      </c>
      <c r="H19" s="17">
        <f t="shared" si="3"/>
        <v>-9831.8764271291693</v>
      </c>
      <c r="J19" s="35">
        <f t="shared" si="1"/>
        <v>6504.887625735978</v>
      </c>
      <c r="K19" s="35">
        <f t="shared" si="4"/>
        <v>1620.589760498081</v>
      </c>
      <c r="L19" s="78">
        <f t="shared" si="5"/>
        <v>0.32050743794629727</v>
      </c>
      <c r="M19" s="29">
        <f t="shared" si="6"/>
        <v>1.7274161952771396</v>
      </c>
      <c r="N19" s="47"/>
      <c r="O19" s="35">
        <f t="shared" si="7"/>
        <v>4.1443058811423619</v>
      </c>
      <c r="P19" s="74">
        <f t="shared" si="8"/>
        <v>1</v>
      </c>
      <c r="Q19" s="2">
        <f>2067.5/(10)</f>
        <v>206.75</v>
      </c>
      <c r="R19">
        <f>$B$8*$B$9^(B19-1)</f>
        <v>1.101221485056467</v>
      </c>
      <c r="S19" s="188">
        <f>'W+cov (Lag6 AP+BB)'!K19-delta1!K19</f>
        <v>923.53093816116689</v>
      </c>
      <c r="T19"/>
      <c r="U19" s="196"/>
      <c r="V19"/>
      <c r="W19"/>
      <c r="X19"/>
      <c r="Y19"/>
      <c r="Z19"/>
      <c r="AA19"/>
      <c r="AB19"/>
      <c r="AC19"/>
      <c r="AD19"/>
      <c r="AE19"/>
      <c r="AF19"/>
      <c r="AG19"/>
      <c r="AH19"/>
      <c r="AI19"/>
    </row>
    <row r="20" spans="1:35">
      <c r="A20" s="1">
        <v>34728</v>
      </c>
      <c r="B20" s="33">
        <f t="shared" si="9"/>
        <v>5</v>
      </c>
      <c r="C20" s="2">
        <f t="shared" si="10"/>
        <v>12941</v>
      </c>
      <c r="D20">
        <v>2630</v>
      </c>
      <c r="F20" s="31">
        <f t="shared" si="0"/>
        <v>8.1080985209628698E-2</v>
      </c>
      <c r="G20" s="31">
        <f t="shared" si="2"/>
        <v>1.603210895226892E-2</v>
      </c>
      <c r="H20" s="17">
        <f t="shared" si="3"/>
        <v>-10870.21542400766</v>
      </c>
      <c r="J20" s="35">
        <f t="shared" si="1"/>
        <v>8108.0985209628698</v>
      </c>
      <c r="K20" s="35">
        <f t="shared" si="4"/>
        <v>1603.2108952268918</v>
      </c>
      <c r="L20" s="78">
        <f t="shared" si="5"/>
        <v>0.39041410827874834</v>
      </c>
      <c r="M20" s="70">
        <f t="shared" si="6"/>
        <v>2.0829271942824601</v>
      </c>
      <c r="N20" s="47"/>
      <c r="O20" s="35">
        <f t="shared" si="7"/>
        <v>5.2100194344882569</v>
      </c>
      <c r="P20" s="74">
        <f t="shared" si="8"/>
        <v>1</v>
      </c>
      <c r="Q20" s="2">
        <f>2003.2/(10)</f>
        <v>200.32</v>
      </c>
      <c r="R20">
        <f t="shared" ref="R20:R36" si="11">$B$8*$B$9^(B20-1)</f>
        <v>0.92255915002283106</v>
      </c>
      <c r="S20" s="188">
        <f>'W+cov (Lag6 AP+BB)'!K20-delta1!K20</f>
        <v>931.51699777276372</v>
      </c>
      <c r="T20"/>
      <c r="U20" s="196"/>
      <c r="V20"/>
      <c r="W20"/>
      <c r="X20"/>
      <c r="Y20"/>
      <c r="Z20"/>
      <c r="AA20"/>
      <c r="AB20"/>
      <c r="AC20"/>
      <c r="AD20"/>
      <c r="AE20"/>
      <c r="AF20"/>
      <c r="AG20"/>
      <c r="AH20"/>
      <c r="AI20"/>
    </row>
    <row r="21" spans="1:35">
      <c r="A21" s="1">
        <v>34735</v>
      </c>
      <c r="B21" s="33">
        <f t="shared" si="9"/>
        <v>6</v>
      </c>
      <c r="C21" s="2">
        <f t="shared" si="10"/>
        <v>15735</v>
      </c>
      <c r="D21">
        <v>2794</v>
      </c>
      <c r="F21" s="31">
        <f t="shared" si="0"/>
        <v>9.6918793428999561E-2</v>
      </c>
      <c r="G21" s="31">
        <f t="shared" si="2"/>
        <v>1.5837808219370864E-2</v>
      </c>
      <c r="H21" s="17">
        <f t="shared" si="3"/>
        <v>-11582.12263041247</v>
      </c>
      <c r="J21" s="35">
        <f t="shared" si="1"/>
        <v>9691.8793428999561</v>
      </c>
      <c r="K21" s="35">
        <f t="shared" si="4"/>
        <v>1583.7808219370863</v>
      </c>
      <c r="L21" s="78">
        <f t="shared" si="5"/>
        <v>0.4331493121198689</v>
      </c>
      <c r="M21" s="70">
        <f t="shared" si="6"/>
        <v>2.4688186624552455</v>
      </c>
      <c r="N21" s="47"/>
      <c r="O21" s="35">
        <f t="shared" si="7"/>
        <v>6.2812326177758875</v>
      </c>
      <c r="P21" s="74">
        <f t="shared" si="8"/>
        <v>1</v>
      </c>
      <c r="Q21" s="2">
        <f>2347.2/(10)</f>
        <v>234.71999999999997</v>
      </c>
      <c r="R21">
        <f t="shared" si="11"/>
        <v>0.77288301839407558</v>
      </c>
      <c r="S21" s="188">
        <f>'W+cov (Lag6 AP+BB)'!K21-delta1!K21</f>
        <v>1257.1030767375751</v>
      </c>
      <c r="T21"/>
      <c r="U21"/>
      <c r="V21"/>
      <c r="W21"/>
      <c r="X21"/>
      <c r="Y21"/>
      <c r="Z21"/>
      <c r="AA21"/>
      <c r="AB21"/>
      <c r="AC21"/>
      <c r="AD21"/>
      <c r="AE21"/>
      <c r="AF21"/>
      <c r="AG21"/>
      <c r="AH21"/>
      <c r="AI21"/>
    </row>
    <row r="22" spans="1:35">
      <c r="A22" s="1">
        <v>34742</v>
      </c>
      <c r="B22" s="33">
        <f t="shared" si="9"/>
        <v>7</v>
      </c>
      <c r="C22" s="2">
        <f t="shared" si="10"/>
        <v>18435</v>
      </c>
      <c r="D22">
        <v>2700</v>
      </c>
      <c r="F22" s="31">
        <f t="shared" si="0"/>
        <v>0.11254982082725384</v>
      </c>
      <c r="G22" s="31">
        <f t="shared" si="2"/>
        <v>1.5631027398254282E-2</v>
      </c>
      <c r="H22" s="17">
        <f t="shared" si="3"/>
        <v>-11227.942991488895</v>
      </c>
      <c r="J22" s="35">
        <f t="shared" si="1"/>
        <v>11254.982082725384</v>
      </c>
      <c r="K22" s="35">
        <f t="shared" si="4"/>
        <v>1563.1027398254282</v>
      </c>
      <c r="L22" s="78">
        <f t="shared" si="5"/>
        <v>0.42107305932391548</v>
      </c>
      <c r="M22" s="70">
        <f t="shared" si="6"/>
        <v>3.1685118824908831</v>
      </c>
      <c r="N22" s="47"/>
      <c r="O22" s="35">
        <f t="shared" si="7"/>
        <v>7.357041027271956</v>
      </c>
      <c r="P22" s="74">
        <f t="shared" si="8"/>
        <v>1</v>
      </c>
      <c r="Q22" s="2">
        <f>2723.3/(10)</f>
        <v>272.33000000000004</v>
      </c>
      <c r="R22">
        <f t="shared" si="11"/>
        <v>0.64749036428412643</v>
      </c>
      <c r="S22" s="188">
        <f>'W+cov (Lag6 AP+BB)'!K22-delta1!K22</f>
        <v>1616.7953026183332</v>
      </c>
      <c r="T22"/>
      <c r="U22" s="16" t="s">
        <v>3</v>
      </c>
      <c r="V22"/>
      <c r="W22"/>
      <c r="X22"/>
      <c r="Y22"/>
      <c r="Z22"/>
      <c r="AA22"/>
      <c r="AB22"/>
      <c r="AC22"/>
      <c r="AD22"/>
      <c r="AE22"/>
      <c r="AF22"/>
      <c r="AG22"/>
      <c r="AH22"/>
      <c r="AI22"/>
    </row>
    <row r="23" spans="1:35">
      <c r="A23" s="1">
        <v>34749</v>
      </c>
      <c r="B23" s="33">
        <f t="shared" si="9"/>
        <v>8</v>
      </c>
      <c r="C23" s="2">
        <f t="shared" si="10"/>
        <v>21605</v>
      </c>
      <c r="D23">
        <v>3170</v>
      </c>
      <c r="F23" s="31">
        <f t="shared" si="0"/>
        <v>0.12796619748661597</v>
      </c>
      <c r="G23" s="31">
        <f t="shared" si="2"/>
        <v>1.541637665936213E-2</v>
      </c>
      <c r="H23" s="17">
        <f t="shared" si="3"/>
        <v>-13226.269981036168</v>
      </c>
      <c r="J23" s="35">
        <f t="shared" si="1"/>
        <v>12796.619748661597</v>
      </c>
      <c r="K23" s="35">
        <f t="shared" si="4"/>
        <v>1541.6376659362122</v>
      </c>
      <c r="L23" s="78">
        <f t="shared" si="5"/>
        <v>0.51367896973621063</v>
      </c>
      <c r="M23" s="70">
        <f t="shared" si="6"/>
        <v>3.0367885642465606</v>
      </c>
      <c r="N23" s="47"/>
      <c r="O23" s="35">
        <f t="shared" si="7"/>
        <v>8.4367990135787085</v>
      </c>
      <c r="P23" s="74">
        <f t="shared" si="8"/>
        <v>1</v>
      </c>
      <c r="Q23" s="2">
        <f>2550.8/(10)</f>
        <v>255.08</v>
      </c>
      <c r="R23">
        <f t="shared" si="11"/>
        <v>0.54244143274348389</v>
      </c>
      <c r="S23" s="188">
        <f>'W+cov (Lag6 AP+BB)'!K23-delta1!K23</f>
        <v>1445.3447489845476</v>
      </c>
      <c r="T23"/>
      <c r="U23" s="6" t="s">
        <v>47</v>
      </c>
      <c r="V23"/>
      <c r="W23"/>
      <c r="X23"/>
      <c r="Y23" t="s">
        <v>48</v>
      </c>
      <c r="Z23"/>
      <c r="AA23"/>
      <c r="AB23"/>
      <c r="AC23"/>
      <c r="AD23"/>
      <c r="AE23"/>
      <c r="AF23"/>
      <c r="AG23"/>
      <c r="AH23"/>
      <c r="AI23"/>
    </row>
    <row r="24" spans="1:35">
      <c r="A24" s="1">
        <v>34756</v>
      </c>
      <c r="B24" s="33">
        <f t="shared" si="9"/>
        <v>9</v>
      </c>
      <c r="C24" s="2">
        <f t="shared" si="10"/>
        <v>24172</v>
      </c>
      <c r="D24">
        <v>2567</v>
      </c>
      <c r="F24" s="31">
        <f t="shared" si="0"/>
        <v>0.1431629545541927</v>
      </c>
      <c r="G24" s="31">
        <f t="shared" si="2"/>
        <v>1.5196757067576727E-2</v>
      </c>
      <c r="H24" s="17">
        <f t="shared" si="3"/>
        <v>-10747.190167829929</v>
      </c>
      <c r="J24" s="35">
        <f t="shared" si="1"/>
        <v>14316.295455419269</v>
      </c>
      <c r="K24" s="35">
        <f t="shared" si="4"/>
        <v>1519.6757067576727</v>
      </c>
      <c r="L24" s="78">
        <f t="shared" si="5"/>
        <v>0.40799543951785244</v>
      </c>
      <c r="M24" s="70">
        <f t="shared" si="6"/>
        <v>4.5770531575454889</v>
      </c>
      <c r="N24" s="47"/>
      <c r="O24" s="35">
        <f t="shared" si="7"/>
        <v>9.520022008543549</v>
      </c>
      <c r="P24" s="74">
        <f t="shared" si="8"/>
        <v>1</v>
      </c>
      <c r="Q24" s="2">
        <f>2828.8/(10)</f>
        <v>282.88</v>
      </c>
      <c r="R24">
        <f t="shared" si="11"/>
        <v>0.45443565524271856</v>
      </c>
      <c r="S24" s="188">
        <f>'W+cov (Lag6 AP+BB)'!K24-delta1!K24</f>
        <v>1671.8013361889716</v>
      </c>
      <c r="T24"/>
      <c r="U24" s="87" t="s">
        <v>141</v>
      </c>
      <c r="V24"/>
      <c r="W24"/>
      <c r="X24"/>
      <c r="Y24"/>
      <c r="Z24"/>
      <c r="AA24"/>
      <c r="AB24"/>
      <c r="AC24"/>
      <c r="AD24"/>
      <c r="AE24"/>
      <c r="AF24"/>
      <c r="AG24"/>
      <c r="AH24"/>
      <c r="AI24"/>
    </row>
    <row r="25" spans="1:35">
      <c r="A25" s="1">
        <v>34763</v>
      </c>
      <c r="B25" s="33">
        <f t="shared" si="9"/>
        <v>10</v>
      </c>
      <c r="C25" s="2">
        <f t="shared" si="10"/>
        <v>27581</v>
      </c>
      <c r="D25">
        <v>3409</v>
      </c>
      <c r="F25" s="31">
        <f t="shared" si="0"/>
        <v>0.15813706920905757</v>
      </c>
      <c r="G25" s="31">
        <f t="shared" si="2"/>
        <v>1.4974114654864867E-2</v>
      </c>
      <c r="H25" s="17">
        <f t="shared" si="3"/>
        <v>-14322.682568453642</v>
      </c>
      <c r="J25" s="35">
        <f t="shared" si="1"/>
        <v>15813.706920905757</v>
      </c>
      <c r="K25" s="35">
        <f t="shared" si="4"/>
        <v>1497.4114654864879</v>
      </c>
      <c r="L25" s="78">
        <f t="shared" si="5"/>
        <v>0.56074759005969843</v>
      </c>
      <c r="M25" s="29">
        <f t="shared" si="6"/>
        <v>3.6388110650940915</v>
      </c>
      <c r="N25" s="47"/>
      <c r="O25" s="35">
        <f t="shared" si="7"/>
        <v>10.606332661309301</v>
      </c>
      <c r="P25" s="74">
        <f t="shared" si="8"/>
        <v>1</v>
      </c>
      <c r="Q25" s="2">
        <f>3198/(10)</f>
        <v>319.8</v>
      </c>
      <c r="R25">
        <f t="shared" si="11"/>
        <v>0.3807079479740566</v>
      </c>
      <c r="S25" s="188">
        <f>'W+cov (Lag6 AP+BB)'!K25-delta1!K25</f>
        <v>1971.3086315060955</v>
      </c>
      <c r="T25"/>
      <c r="U25" s="6" t="s">
        <v>146</v>
      </c>
      <c r="V25"/>
      <c r="W25"/>
      <c r="X25"/>
      <c r="Y25"/>
      <c r="Z25"/>
      <c r="AA25"/>
      <c r="AB25"/>
      <c r="AC25"/>
      <c r="AD25"/>
      <c r="AE25"/>
      <c r="AF25"/>
      <c r="AG25"/>
      <c r="AH25"/>
      <c r="AI25"/>
    </row>
    <row r="26" spans="1:35">
      <c r="A26" s="1">
        <v>34770</v>
      </c>
      <c r="B26" s="33">
        <f t="shared" si="9"/>
        <v>11</v>
      </c>
      <c r="C26" s="2">
        <f t="shared" si="10"/>
        <v>30651</v>
      </c>
      <c r="D26">
        <v>3070</v>
      </c>
      <c r="F26" s="31">
        <f t="shared" si="0"/>
        <v>0.17288688638639937</v>
      </c>
      <c r="G26" s="31">
        <f t="shared" si="2"/>
        <v>1.4749817177341806E-2</v>
      </c>
      <c r="H26" s="17">
        <f t="shared" si="3"/>
        <v>-12944.730494460908</v>
      </c>
      <c r="J26" s="35">
        <f t="shared" si="1"/>
        <v>17288.688638639938</v>
      </c>
      <c r="K26" s="35">
        <f t="shared" si="4"/>
        <v>1474.9817177341811</v>
      </c>
      <c r="L26" s="78">
        <f t="shared" si="5"/>
        <v>0.51954992907681397</v>
      </c>
      <c r="M26" s="29">
        <f t="shared" si="6"/>
        <v>4.631494670566755</v>
      </c>
      <c r="N26" s="47"/>
      <c r="O26" s="35">
        <f t="shared" si="7"/>
        <v>11.695428646195882</v>
      </c>
      <c r="P26" s="74">
        <f t="shared" si="8"/>
        <v>1</v>
      </c>
      <c r="Q26" s="2">
        <f>2988.9/(10)</f>
        <v>298.89</v>
      </c>
      <c r="R26">
        <f t="shared" si="11"/>
        <v>0.31894183473170445</v>
      </c>
      <c r="S26" s="188">
        <f>'W+cov (Lag6 AP+BB)'!K26-delta1!K26</f>
        <v>1667.4629898200783</v>
      </c>
      <c r="T26"/>
      <c r="V26"/>
      <c r="W26"/>
      <c r="X26"/>
      <c r="Y26"/>
      <c r="Z26"/>
      <c r="AA26"/>
      <c r="AB26"/>
      <c r="AC26"/>
      <c r="AD26"/>
      <c r="AE26"/>
      <c r="AF26"/>
      <c r="AG26"/>
      <c r="AH26"/>
      <c r="AI26"/>
    </row>
    <row r="27" spans="1:35">
      <c r="A27" s="1">
        <v>34777</v>
      </c>
      <c r="B27" s="33">
        <f t="shared" si="9"/>
        <v>12</v>
      </c>
      <c r="C27" s="2">
        <f t="shared" si="10"/>
        <v>33833</v>
      </c>
      <c r="D27">
        <v>3182</v>
      </c>
      <c r="F27" s="31">
        <f t="shared" si="0"/>
        <v>0.18741174677486483</v>
      </c>
      <c r="G27" s="31">
        <f t="shared" si="2"/>
        <v>1.4524860388465455E-2</v>
      </c>
      <c r="H27" s="17">
        <f t="shared" si="3"/>
        <v>-13465.885397334081</v>
      </c>
      <c r="J27" s="35">
        <f t="shared" si="1"/>
        <v>18741.174677486484</v>
      </c>
      <c r="K27" s="35">
        <f t="shared" si="4"/>
        <v>1452.4860388465459</v>
      </c>
      <c r="L27" s="78">
        <f t="shared" si="5"/>
        <v>0.54353047176412761</v>
      </c>
      <c r="M27" s="29">
        <f t="shared" si="6"/>
        <v>4.8897469131007174</v>
      </c>
      <c r="N27" s="47"/>
      <c r="O27" s="35">
        <f t="shared" si="7"/>
        <v>12.787062218270094</v>
      </c>
      <c r="P27" s="74">
        <f t="shared" si="8"/>
        <v>1</v>
      </c>
      <c r="Q27" s="2">
        <f>2113.6/(10)</f>
        <v>211.35999999999999</v>
      </c>
      <c r="R27">
        <f t="shared" si="11"/>
        <v>0.26719666474879555</v>
      </c>
      <c r="S27" s="188">
        <f>'W+cov (Lag6 AP+BB)'!K27-delta1!K27</f>
        <v>878.21812920712182</v>
      </c>
      <c r="T27"/>
      <c r="V27"/>
      <c r="W27"/>
      <c r="X27"/>
      <c r="Y27"/>
      <c r="Z27"/>
      <c r="AA27"/>
      <c r="AB27"/>
      <c r="AC27"/>
      <c r="AD27"/>
      <c r="AE27"/>
      <c r="AF27"/>
      <c r="AG27"/>
      <c r="AH27"/>
      <c r="AI27"/>
    </row>
    <row r="28" spans="1:35">
      <c r="A28" s="1">
        <v>34784</v>
      </c>
      <c r="B28" s="33">
        <f t="shared" si="9"/>
        <v>13</v>
      </c>
      <c r="C28" s="2">
        <f t="shared" si="10"/>
        <v>36539</v>
      </c>
      <c r="D28">
        <v>2706</v>
      </c>
      <c r="F28" s="31">
        <f t="shared" si="0"/>
        <v>0.20171173589970837</v>
      </c>
      <c r="G28" s="31">
        <f t="shared" si="2"/>
        <v>1.4299989124843537E-2</v>
      </c>
      <c r="H28" s="17">
        <f t="shared" si="3"/>
        <v>-11493.725534999247</v>
      </c>
      <c r="J28" s="35">
        <f t="shared" si="1"/>
        <v>20171.173589970836</v>
      </c>
      <c r="K28" s="35">
        <f t="shared" si="4"/>
        <v>1429.9989124843523</v>
      </c>
      <c r="L28" s="78">
        <f t="shared" si="5"/>
        <v>0.47154511733763771</v>
      </c>
      <c r="M28" s="29">
        <f t="shared" si="6"/>
        <v>6.4542400554215948</v>
      </c>
      <c r="N28" s="47"/>
      <c r="O28" s="35">
        <f t="shared" si="7"/>
        <v>13.881026596364521</v>
      </c>
      <c r="P28" s="74">
        <f t="shared" si="8"/>
        <v>1</v>
      </c>
      <c r="Q28" s="2">
        <f>1890.6/(10)</f>
        <v>189.06</v>
      </c>
      <c r="R28">
        <f t="shared" si="11"/>
        <v>0.22384663872313046</v>
      </c>
      <c r="S28" s="188">
        <f>'W+cov (Lag6 AP+BB)'!K28-delta1!K28</f>
        <v>682.79521034309801</v>
      </c>
      <c r="T28"/>
      <c r="U28"/>
      <c r="V28" s="6" t="s">
        <v>152</v>
      </c>
      <c r="W28"/>
      <c r="X28"/>
      <c r="Y28"/>
      <c r="Z28"/>
      <c r="AA28"/>
      <c r="AB28"/>
      <c r="AC28"/>
      <c r="AD28"/>
      <c r="AE28"/>
      <c r="AF28"/>
      <c r="AG28"/>
      <c r="AH28"/>
      <c r="AI28"/>
    </row>
    <row r="29" spans="1:35">
      <c r="A29" s="1">
        <v>34791</v>
      </c>
      <c r="B29" s="33">
        <f t="shared" si="9"/>
        <v>14</v>
      </c>
      <c r="C29" s="2">
        <f t="shared" si="10"/>
        <v>38429</v>
      </c>
      <c r="D29">
        <v>1890</v>
      </c>
      <c r="E29" s="54"/>
      <c r="F29" s="139">
        <f t="shared" si="0"/>
        <v>0.21578750830859694</v>
      </c>
      <c r="G29" s="139">
        <f t="shared" si="2"/>
        <v>1.4075772408888576E-2</v>
      </c>
      <c r="H29" s="17">
        <f t="shared" si="3"/>
        <v>-8057.6374316539632</v>
      </c>
      <c r="I29" s="54"/>
      <c r="J29" s="56">
        <f t="shared" si="1"/>
        <v>21578.750830859695</v>
      </c>
      <c r="K29" s="56">
        <f t="shared" si="4"/>
        <v>1407.5772408888588</v>
      </c>
      <c r="L29" s="78">
        <f t="shared" si="5"/>
        <v>0.25525013709584193</v>
      </c>
      <c r="M29" s="78">
        <f t="shared" si="6"/>
        <v>10.417328481936346</v>
      </c>
      <c r="N29" s="47"/>
      <c r="O29" s="56">
        <f t="shared" si="7"/>
        <v>14.977146538381673</v>
      </c>
      <c r="P29" s="74">
        <f t="shared" si="8"/>
        <v>1</v>
      </c>
      <c r="Q29" s="2">
        <f>1862.7/(10)</f>
        <v>186.27</v>
      </c>
      <c r="R29">
        <f t="shared" si="11"/>
        <v>0.18752972726943276</v>
      </c>
      <c r="S29" s="188">
        <f>'W+cov (Lag6 AP+BB)'!K29-delta1!K29</f>
        <v>621.01429172070493</v>
      </c>
      <c r="T29"/>
      <c r="U29" s="4">
        <v>34700</v>
      </c>
      <c r="V29" s="93" t="s">
        <v>158</v>
      </c>
      <c r="W29" s="9" t="s">
        <v>154</v>
      </c>
      <c r="X29"/>
      <c r="Y29"/>
      <c r="Z29"/>
      <c r="AA29"/>
      <c r="AB29"/>
      <c r="AC29"/>
      <c r="AD29"/>
      <c r="AE29"/>
      <c r="AF29"/>
      <c r="AG29"/>
      <c r="AH29"/>
      <c r="AI29"/>
    </row>
    <row r="30" spans="1:35">
      <c r="A30" s="1">
        <v>34798</v>
      </c>
      <c r="B30" s="33">
        <f t="shared" si="9"/>
        <v>15</v>
      </c>
      <c r="C30" s="2">
        <f t="shared" si="10"/>
        <v>40052</v>
      </c>
      <c r="D30">
        <v>1623</v>
      </c>
      <c r="E30" s="17"/>
      <c r="F30" s="31">
        <f t="shared" si="0"/>
        <v>0.22964016046833724</v>
      </c>
      <c r="G30" s="31">
        <f t="shared" si="2"/>
        <v>1.3852652159740297E-2</v>
      </c>
      <c r="H30" s="17">
        <f t="shared" si="3"/>
        <v>-6945.2691239838377</v>
      </c>
      <c r="J30" s="35">
        <f t="shared" si="1"/>
        <v>22964.016046833724</v>
      </c>
      <c r="K30" s="35">
        <f t="shared" si="4"/>
        <v>1385.2652159740283</v>
      </c>
      <c r="L30" s="78">
        <f t="shared" si="5"/>
        <v>0.14647860999751802</v>
      </c>
      <c r="M30" s="78">
        <f t="shared" si="6"/>
        <v>13.149116479872903</v>
      </c>
      <c r="N30" s="47"/>
      <c r="O30" s="35">
        <f t="shared" si="7"/>
        <v>16.075271608290151</v>
      </c>
      <c r="P30" s="74">
        <f t="shared" si="8"/>
        <v>1</v>
      </c>
      <c r="Q30" s="2">
        <f>1242/(10)</f>
        <v>124.2</v>
      </c>
      <c r="R30">
        <f t="shared" si="11"/>
        <v>0.15710487684939237</v>
      </c>
      <c r="S30" s="188">
        <f>'W+cov (Lag6 AP+BB)'!K30-delta1!K30</f>
        <v>242.61083357507232</v>
      </c>
      <c r="T30"/>
      <c r="U30" s="4">
        <v>34706</v>
      </c>
      <c r="V30" s="2">
        <v>35</v>
      </c>
      <c r="W30" s="9" t="s">
        <v>154</v>
      </c>
      <c r="X30"/>
      <c r="Y30"/>
      <c r="Z30"/>
      <c r="AA30"/>
      <c r="AB30"/>
      <c r="AC30"/>
      <c r="AD30"/>
      <c r="AE30"/>
      <c r="AF30"/>
      <c r="AG30"/>
      <c r="AH30"/>
      <c r="AI30"/>
    </row>
    <row r="31" spans="1:35">
      <c r="A31" s="1">
        <v>34805</v>
      </c>
      <c r="B31" s="33">
        <f t="shared" si="9"/>
        <v>16</v>
      </c>
      <c r="C31" s="2">
        <f t="shared" si="10"/>
        <v>41639</v>
      </c>
      <c r="D31">
        <v>1587</v>
      </c>
      <c r="E31" s="17"/>
      <c r="F31" s="31">
        <f t="shared" si="0"/>
        <v>0.24327113644759546</v>
      </c>
      <c r="G31" s="31">
        <f t="shared" si="2"/>
        <v>1.363097597925822E-2</v>
      </c>
      <c r="H31" s="17">
        <f t="shared" si="3"/>
        <v>-6816.8163533767765</v>
      </c>
      <c r="J31" s="35">
        <f t="shared" si="1"/>
        <v>24327.113644759545</v>
      </c>
      <c r="K31" s="35">
        <f t="shared" si="4"/>
        <v>1363.0975979258219</v>
      </c>
      <c r="L31" s="78">
        <f t="shared" si="5"/>
        <v>0.14108531951744052</v>
      </c>
      <c r="M31" s="78">
        <f t="shared" si="6"/>
        <v>14.328994105078479</v>
      </c>
      <c r="N31" s="47"/>
      <c r="O31" s="35">
        <f t="shared" si="7"/>
        <v>17.175271236471168</v>
      </c>
      <c r="P31" s="74">
        <f t="shared" si="8"/>
        <v>1</v>
      </c>
      <c r="Q31" s="2">
        <f>755.1/(10)</f>
        <v>75.510000000000005</v>
      </c>
      <c r="R31">
        <f t="shared" si="11"/>
        <v>0.13161615861788695</v>
      </c>
      <c r="S31" s="188">
        <f>'W+cov (Lag6 AP+BB)'!K31-delta1!K31</f>
        <v>1.0553940039098961</v>
      </c>
      <c r="T31"/>
      <c r="U31" s="91">
        <v>34713</v>
      </c>
      <c r="V31">
        <v>37</v>
      </c>
      <c r="W31" s="9" t="s">
        <v>154</v>
      </c>
      <c r="X31"/>
      <c r="Y31"/>
      <c r="Z31"/>
      <c r="AA31"/>
      <c r="AB31"/>
      <c r="AC31"/>
      <c r="AD31"/>
      <c r="AE31"/>
      <c r="AF31"/>
      <c r="AG31"/>
      <c r="AH31"/>
      <c r="AI31"/>
    </row>
    <row r="32" spans="1:35">
      <c r="A32" s="1">
        <v>34812</v>
      </c>
      <c r="B32" s="33">
        <f t="shared" si="9"/>
        <v>17</v>
      </c>
      <c r="C32" s="2">
        <f t="shared" si="10"/>
        <v>43146</v>
      </c>
      <c r="D32">
        <v>1507</v>
      </c>
      <c r="E32" s="17"/>
      <c r="F32" s="31">
        <f t="shared" si="0"/>
        <v>0.2566821563672943</v>
      </c>
      <c r="G32" s="31">
        <f t="shared" si="2"/>
        <v>1.3411019919698841E-2</v>
      </c>
      <c r="H32" s="17">
        <f t="shared" si="3"/>
        <v>-6497.6995415890697</v>
      </c>
      <c r="J32" s="35">
        <f t="shared" si="1"/>
        <v>25668.21563672943</v>
      </c>
      <c r="K32" s="35">
        <f t="shared" si="4"/>
        <v>1341.1019919698847</v>
      </c>
      <c r="L32" s="78">
        <f t="shared" si="5"/>
        <v>0.11008494228939304</v>
      </c>
      <c r="M32" s="78">
        <f t="shared" si="6"/>
        <v>16.032658020391128</v>
      </c>
      <c r="N32" s="47"/>
      <c r="O32" s="35">
        <f t="shared" si="7"/>
        <v>18.27703101274669</v>
      </c>
      <c r="P32" s="74">
        <f t="shared" si="8"/>
        <v>1</v>
      </c>
      <c r="Q32" s="2">
        <f>571/(10)</f>
        <v>57.1</v>
      </c>
      <c r="R32">
        <f t="shared" si="11"/>
        <v>0.11026273376564359</v>
      </c>
      <c r="S32" s="188">
        <f>'W+cov (Lag6 AP+BB)'!K32-delta1!K32</f>
        <v>-86.696470855957159</v>
      </c>
      <c r="T32"/>
      <c r="U32" s="91">
        <v>34720</v>
      </c>
      <c r="V32" s="2">
        <v>36</v>
      </c>
      <c r="W32" s="2" t="s">
        <v>156</v>
      </c>
      <c r="X32"/>
      <c r="Y32"/>
      <c r="Z32"/>
      <c r="AA32"/>
      <c r="AB32"/>
      <c r="AC32"/>
      <c r="AD32"/>
      <c r="AE32"/>
      <c r="AF32"/>
      <c r="AG32"/>
      <c r="AH32"/>
      <c r="AI32"/>
    </row>
    <row r="33" spans="1:35" s="40" customFormat="1">
      <c r="A33" s="165">
        <v>34819</v>
      </c>
      <c r="B33" s="142">
        <f t="shared" si="9"/>
        <v>18</v>
      </c>
      <c r="C33" s="40">
        <f t="shared" si="10"/>
        <v>44446</v>
      </c>
      <c r="D33" s="166">
        <v>1300</v>
      </c>
      <c r="E33" s="167"/>
      <c r="F33" s="168">
        <f t="shared" si="0"/>
        <v>0.26987516108970744</v>
      </c>
      <c r="G33" s="168">
        <f t="shared" si="2"/>
        <v>1.3193004722413137E-2</v>
      </c>
      <c r="H33" s="167">
        <f>(B10-SUM(D16:D33))*IFERROR(LN(1-F33),-10000)</f>
        <v>-17473.941118989849</v>
      </c>
      <c r="J33" s="169">
        <f t="shared" si="1"/>
        <v>26987.516108970744</v>
      </c>
      <c r="K33" s="169">
        <f t="shared" si="4"/>
        <v>1319.3004722413134</v>
      </c>
      <c r="L33" s="78">
        <f t="shared" si="5"/>
        <v>1.4846517108702616E-2</v>
      </c>
      <c r="M33" s="70">
        <f t="shared" si="6"/>
        <v>19.759627776131342</v>
      </c>
      <c r="N33" s="169"/>
      <c r="O33" s="169">
        <f t="shared" si="7"/>
        <v>19.380449849611075</v>
      </c>
      <c r="P33" s="74">
        <f t="shared" si="8"/>
        <v>1</v>
      </c>
      <c r="Q33" s="2">
        <f>470.8/(10)</f>
        <v>47.08</v>
      </c>
      <c r="R33">
        <f t="shared" si="11"/>
        <v>9.2373691689106321E-2</v>
      </c>
      <c r="S33" s="188">
        <f>'W+cov (Lag6 AP+BB)'!K33-delta1!K33</f>
        <v>-136.29184646878639</v>
      </c>
      <c r="T33" s="166"/>
      <c r="U33" s="175">
        <v>34727</v>
      </c>
      <c r="V33" s="166">
        <v>35</v>
      </c>
      <c r="W33" s="166" t="s">
        <v>153</v>
      </c>
      <c r="X33" s="166"/>
      <c r="Y33" s="166"/>
      <c r="Z33" s="166"/>
      <c r="AA33" s="166"/>
      <c r="AB33" s="166"/>
      <c r="AC33" s="166"/>
      <c r="AD33" s="166"/>
      <c r="AE33" s="166"/>
      <c r="AF33" s="166"/>
      <c r="AG33" s="166"/>
      <c r="AH33" s="166"/>
      <c r="AI33" s="166"/>
    </row>
    <row r="34" spans="1:35" s="46" customFormat="1">
      <c r="A34" s="1">
        <v>34826</v>
      </c>
      <c r="B34" s="33">
        <f t="shared" si="9"/>
        <v>19</v>
      </c>
      <c r="C34" s="2">
        <f t="shared" si="10"/>
        <v>45573</v>
      </c>
      <c r="D34">
        <v>1127</v>
      </c>
      <c r="E34" s="17"/>
      <c r="F34" s="31">
        <f t="shared" si="0"/>
        <v>0.28285226876033975</v>
      </c>
      <c r="G34" s="31">
        <f t="shared" si="2"/>
        <v>1.2977107670632315E-2</v>
      </c>
      <c r="H34"/>
      <c r="I34" s="2"/>
      <c r="J34" s="35">
        <f t="shared" si="1"/>
        <v>28285.226876033976</v>
      </c>
      <c r="K34" s="35">
        <f t="shared" si="4"/>
        <v>1297.7107670632322</v>
      </c>
      <c r="L34" s="78">
        <f t="shared" si="5"/>
        <v>0.1514736176248733</v>
      </c>
      <c r="M34" s="78">
        <f t="shared" si="6"/>
        <v>24.097805568796783</v>
      </c>
      <c r="N34" s="47"/>
      <c r="O34" s="35">
        <f t="shared" si="7"/>
        <v>20.485437774122726</v>
      </c>
      <c r="P34" s="74">
        <f t="shared" si="8"/>
        <v>1</v>
      </c>
      <c r="Q34" s="2">
        <f>603.2/(10)</f>
        <v>60.320000000000007</v>
      </c>
      <c r="R34">
        <f t="shared" si="11"/>
        <v>7.7386970419309573E-2</v>
      </c>
      <c r="S34" s="188">
        <f>'W+cov (Lag6 AP+BB)'!K34-delta1!K34</f>
        <v>-101.56659255655541</v>
      </c>
      <c r="T34"/>
      <c r="U34" s="91">
        <v>34734</v>
      </c>
      <c r="V34" s="2">
        <v>35</v>
      </c>
      <c r="W34" t="s">
        <v>157</v>
      </c>
      <c r="X34"/>
      <c r="Y34"/>
      <c r="Z34"/>
      <c r="AA34"/>
      <c r="AB34"/>
      <c r="AC34"/>
      <c r="AD34"/>
      <c r="AE34"/>
      <c r="AF34"/>
      <c r="AG34"/>
      <c r="AH34"/>
      <c r="AI34"/>
    </row>
    <row r="35" spans="1:35">
      <c r="A35" s="1">
        <v>34833</v>
      </c>
      <c r="B35" s="33">
        <f t="shared" si="9"/>
        <v>20</v>
      </c>
      <c r="C35" s="2">
        <f t="shared" si="10"/>
        <v>46570</v>
      </c>
      <c r="D35">
        <v>997</v>
      </c>
      <c r="E35" s="17"/>
      <c r="F35" s="31">
        <f t="shared" si="0"/>
        <v>0.29561574017772607</v>
      </c>
      <c r="G35" s="31">
        <f t="shared" si="2"/>
        <v>1.2763471417386318E-2</v>
      </c>
      <c r="H35" s="17"/>
      <c r="J35" s="35">
        <f t="shared" si="1"/>
        <v>29561.574017772607</v>
      </c>
      <c r="K35" s="35">
        <f t="shared" si="4"/>
        <v>1276.3471417386318</v>
      </c>
      <c r="L35" s="78">
        <f t="shared" si="5"/>
        <v>0.28018770485319133</v>
      </c>
      <c r="M35" s="78">
        <f t="shared" si="6"/>
        <v>28.650525594556278</v>
      </c>
      <c r="N35" s="47"/>
      <c r="O35" s="35">
        <f t="shared" si="7"/>
        <v>21.591914183215685</v>
      </c>
      <c r="P35" s="74">
        <f t="shared" si="8"/>
        <v>1</v>
      </c>
      <c r="Q35" s="2">
        <f>523.1/(10)</f>
        <v>52.31</v>
      </c>
      <c r="R35">
        <f t="shared" si="11"/>
        <v>6.4831697003459185E-2</v>
      </c>
      <c r="S35" s="188">
        <f>'W+cov (Lag6 AP+BB)'!K35-delta1!K35</f>
        <v>-143.32613464540918</v>
      </c>
      <c r="T35"/>
      <c r="U35" s="91">
        <v>34741</v>
      </c>
      <c r="V35">
        <v>40</v>
      </c>
      <c r="W35" s="9" t="s">
        <v>155</v>
      </c>
      <c r="X35"/>
      <c r="Y35"/>
      <c r="Z35"/>
      <c r="AA35"/>
      <c r="AB35"/>
      <c r="AC35"/>
      <c r="AD35"/>
      <c r="AE35"/>
      <c r="AF35"/>
      <c r="AG35"/>
      <c r="AH35"/>
      <c r="AI35"/>
    </row>
    <row r="36" spans="1:35">
      <c r="A36" s="1">
        <v>34840</v>
      </c>
      <c r="B36" s="33">
        <f t="shared" si="9"/>
        <v>21</v>
      </c>
      <c r="C36" s="2">
        <f t="shared" si="10"/>
        <v>47404</v>
      </c>
      <c r="D36">
        <v>834</v>
      </c>
      <c r="E36" s="17"/>
      <c r="F36" s="31">
        <f t="shared" si="0"/>
        <v>0.30816795085624893</v>
      </c>
      <c r="G36" s="31">
        <f t="shared" si="2"/>
        <v>1.2552210678522857E-2</v>
      </c>
      <c r="H36" s="17"/>
      <c r="J36" s="35">
        <f t="shared" si="1"/>
        <v>30816.795085624894</v>
      </c>
      <c r="K36" s="35">
        <f t="shared" si="4"/>
        <v>1255.2210678522861</v>
      </c>
      <c r="L36" s="78">
        <f t="shared" si="5"/>
        <v>0.50506123243679379</v>
      </c>
      <c r="M36" s="78">
        <f t="shared" si="6"/>
        <v>35.950593627847596</v>
      </c>
      <c r="N36" s="47"/>
      <c r="O36" s="35">
        <f t="shared" si="7"/>
        <v>22.69980644675794</v>
      </c>
      <c r="P36" s="74">
        <f t="shared" si="8"/>
        <v>1</v>
      </c>
      <c r="Q36" s="2">
        <f>382.4/(10)</f>
        <v>38.239999999999995</v>
      </c>
      <c r="R36">
        <f t="shared" si="11"/>
        <v>5.4313392985591923E-2</v>
      </c>
      <c r="S36" s="188">
        <f>'W+cov (Lag6 AP+BB)'!K36-delta1!K36</f>
        <v>-201.24626901981173</v>
      </c>
      <c r="T36"/>
      <c r="U36" s="91">
        <v>34748</v>
      </c>
      <c r="V36" s="92" t="s">
        <v>158</v>
      </c>
      <c r="W36" s="9" t="s">
        <v>159</v>
      </c>
      <c r="X36"/>
      <c r="Y36"/>
      <c r="Z36"/>
      <c r="AA36"/>
      <c r="AB36"/>
      <c r="AC36"/>
      <c r="AD36"/>
      <c r="AE36"/>
      <c r="AF36"/>
      <c r="AG36"/>
      <c r="AH36"/>
      <c r="AI36"/>
    </row>
    <row r="37" spans="1:35">
      <c r="A37" s="1"/>
      <c r="B37" s="33"/>
      <c r="C37" s="33"/>
      <c r="D37"/>
      <c r="E37" s="17"/>
      <c r="F37" s="31"/>
      <c r="G37" s="31"/>
      <c r="H37" s="17"/>
      <c r="J37" s="35"/>
      <c r="K37" s="35"/>
      <c r="L37" s="78"/>
      <c r="M37" s="78"/>
      <c r="N37"/>
      <c r="O37" s="35"/>
      <c r="P37" s="74"/>
      <c r="Q37" s="17"/>
      <c r="R37" s="67"/>
      <c r="S37" s="67"/>
      <c r="T37"/>
      <c r="U37"/>
      <c r="V37"/>
      <c r="W37"/>
      <c r="X37"/>
      <c r="Y37"/>
      <c r="Z37"/>
      <c r="AA37"/>
      <c r="AB37"/>
      <c r="AC37"/>
      <c r="AD37"/>
      <c r="AE37"/>
      <c r="AF37"/>
      <c r="AG37"/>
      <c r="AH37"/>
      <c r="AI37"/>
    </row>
    <row r="38" spans="1:35">
      <c r="A38" s="1"/>
      <c r="B38" s="33"/>
      <c r="C38" s="33"/>
      <c r="D38"/>
      <c r="E38" s="17"/>
      <c r="F38" s="31"/>
      <c r="G38" s="31"/>
      <c r="H38" s="17"/>
      <c r="J38" s="35"/>
      <c r="K38" s="35"/>
      <c r="L38" s="78"/>
      <c r="M38" s="78"/>
      <c r="N38"/>
      <c r="O38" s="35"/>
      <c r="P38" s="74"/>
      <c r="Q38" s="17"/>
      <c r="R38" s="67"/>
      <c r="S38" s="35">
        <f>SUM(S16:S31)</f>
        <v>16957.380703003586</v>
      </c>
      <c r="T38"/>
      <c r="U38"/>
      <c r="V38"/>
      <c r="W38"/>
      <c r="X38"/>
      <c r="Y38"/>
      <c r="Z38"/>
      <c r="AA38"/>
      <c r="AB38"/>
      <c r="AC38"/>
      <c r="AD38"/>
      <c r="AE38"/>
      <c r="AF38"/>
      <c r="AG38"/>
      <c r="AH38"/>
      <c r="AI38"/>
    </row>
    <row r="39" spans="1:35">
      <c r="T39"/>
      <c r="U39"/>
      <c r="V39"/>
      <c r="W39"/>
      <c r="X39"/>
      <c r="Y39"/>
      <c r="Z39"/>
      <c r="AA39"/>
      <c r="AB39"/>
      <c r="AC39"/>
      <c r="AD39"/>
      <c r="AE39"/>
      <c r="AF39"/>
      <c r="AG39"/>
      <c r="AH39"/>
      <c r="AI39"/>
    </row>
    <row r="40" spans="1:35">
      <c r="B40" s="2" t="s">
        <v>76</v>
      </c>
      <c r="C40" s="2">
        <f>22*0.2</f>
        <v>4.4000000000000004</v>
      </c>
      <c r="Q40" s="2">
        <f>10</f>
        <v>10</v>
      </c>
      <c r="T40"/>
      <c r="U40" s="6" t="s">
        <v>30</v>
      </c>
      <c r="V40"/>
      <c r="W40"/>
      <c r="X40"/>
      <c r="Y40"/>
      <c r="AI40" s="5"/>
    </row>
    <row r="41" spans="1:35">
      <c r="T41"/>
      <c r="U41" s="6" t="s">
        <v>31</v>
      </c>
      <c r="V41"/>
      <c r="W41"/>
      <c r="X41"/>
      <c r="Y41"/>
      <c r="AI41" s="5"/>
    </row>
    <row r="42" spans="1:35">
      <c r="T42"/>
      <c r="U42" s="6" t="s">
        <v>32</v>
      </c>
      <c r="V42"/>
      <c r="W42"/>
      <c r="X42"/>
      <c r="Y42"/>
      <c r="AI42" s="5"/>
    </row>
    <row r="43" spans="1:35">
      <c r="T43"/>
      <c r="U43"/>
      <c r="V43"/>
      <c r="W43"/>
      <c r="X43"/>
      <c r="Y43"/>
      <c r="AI43" s="5"/>
    </row>
    <row r="44" spans="1:35">
      <c r="A44" s="4"/>
      <c r="B44" s="4"/>
      <c r="C44" s="4"/>
      <c r="H44" s="17"/>
    </row>
    <row r="45" spans="1:35">
      <c r="A45" s="4"/>
      <c r="B45" s="4"/>
      <c r="C45" s="4"/>
      <c r="S45" s="2" t="s">
        <v>151</v>
      </c>
    </row>
    <row r="46" spans="1:35">
      <c r="A46" s="4"/>
      <c r="B46"/>
      <c r="C46"/>
      <c r="D46"/>
      <c r="E46"/>
      <c r="F46"/>
      <c r="G46"/>
      <c r="H46"/>
      <c r="I46"/>
      <c r="J46"/>
      <c r="K46"/>
      <c r="L46"/>
      <c r="M46"/>
      <c r="N46"/>
      <c r="O46"/>
      <c r="P46"/>
      <c r="Q46"/>
      <c r="R46"/>
      <c r="S46"/>
      <c r="T46"/>
      <c r="U46"/>
      <c r="V46"/>
      <c r="W46"/>
      <c r="X46"/>
      <c r="Y46"/>
      <c r="Z46"/>
      <c r="AA46"/>
      <c r="AB46"/>
      <c r="AC46"/>
      <c r="AD46"/>
      <c r="AE46"/>
      <c r="AF46"/>
      <c r="AG46"/>
    </row>
    <row r="47" spans="1:35">
      <c r="A47" s="4"/>
      <c r="B47"/>
      <c r="C47"/>
      <c r="D47"/>
      <c r="E47"/>
      <c r="F47"/>
      <c r="G47"/>
      <c r="H47"/>
      <c r="I47"/>
      <c r="J47"/>
      <c r="K47"/>
      <c r="L47"/>
      <c r="M47"/>
      <c r="N47"/>
      <c r="O47"/>
      <c r="P47"/>
      <c r="Q47"/>
      <c r="R47"/>
      <c r="S47"/>
      <c r="T47"/>
      <c r="U47"/>
      <c r="V47"/>
      <c r="W47"/>
      <c r="X47"/>
      <c r="Y47"/>
      <c r="Z47"/>
      <c r="AA47"/>
      <c r="AB47"/>
      <c r="AC47"/>
      <c r="AD47"/>
      <c r="AE47"/>
      <c r="AF47"/>
      <c r="AG47"/>
    </row>
    <row r="48" spans="1:35">
      <c r="A48" s="4"/>
      <c r="B48"/>
      <c r="C48" s="16"/>
      <c r="D48" s="102"/>
      <c r="E48"/>
      <c r="F48"/>
      <c r="G48"/>
      <c r="H48"/>
      <c r="I48"/>
      <c r="J48"/>
      <c r="K48"/>
      <c r="L48"/>
      <c r="M48"/>
      <c r="N48"/>
      <c r="O48"/>
      <c r="P48"/>
      <c r="Q48"/>
      <c r="R48"/>
      <c r="S48"/>
      <c r="T48"/>
      <c r="U48"/>
      <c r="V48"/>
      <c r="W48"/>
      <c r="X48"/>
      <c r="Y48"/>
      <c r="Z48"/>
      <c r="AA48"/>
      <c r="AB48"/>
      <c r="AC48"/>
      <c r="AD48"/>
      <c r="AE48"/>
      <c r="AF48"/>
      <c r="AG48"/>
    </row>
    <row r="49" spans="1:33">
      <c r="A49" s="4"/>
      <c r="B49"/>
      <c r="C49" s="16"/>
      <c r="D49" s="102"/>
      <c r="E49"/>
      <c r="F49"/>
      <c r="G49"/>
      <c r="H49"/>
      <c r="I49"/>
      <c r="J49"/>
      <c r="K49"/>
      <c r="L49"/>
      <c r="M49"/>
      <c r="N49"/>
      <c r="O49"/>
      <c r="P49"/>
      <c r="Q49"/>
      <c r="R49"/>
      <c r="S49"/>
      <c r="T49"/>
      <c r="U49"/>
      <c r="V49"/>
      <c r="W49"/>
      <c r="X49"/>
      <c r="Y49"/>
      <c r="Z49"/>
      <c r="AA49"/>
      <c r="AB49"/>
      <c r="AC49"/>
      <c r="AD49"/>
      <c r="AE49"/>
      <c r="AF49"/>
      <c r="AG49"/>
    </row>
    <row r="50" spans="1:33">
      <c r="A50" s="4"/>
      <c r="B50"/>
      <c r="C50" s="16"/>
      <c r="D50" s="27"/>
      <c r="E50"/>
      <c r="F50"/>
      <c r="G50"/>
      <c r="H50"/>
      <c r="I50"/>
      <c r="J50"/>
      <c r="K50"/>
      <c r="L50"/>
      <c r="M50"/>
      <c r="N50"/>
      <c r="O50"/>
      <c r="P50"/>
      <c r="Q50"/>
      <c r="R50"/>
      <c r="S50"/>
      <c r="T50"/>
      <c r="U50"/>
      <c r="V50"/>
      <c r="W50"/>
      <c r="X50"/>
      <c r="Y50"/>
      <c r="Z50"/>
      <c r="AA50"/>
      <c r="AB50"/>
      <c r="AC50"/>
      <c r="AD50"/>
      <c r="AE50"/>
      <c r="AF50"/>
      <c r="AG50"/>
    </row>
    <row r="51" spans="1:33">
      <c r="A51" s="4"/>
      <c r="B51"/>
      <c r="C51" s="16"/>
      <c r="D51" s="27"/>
      <c r="E51"/>
      <c r="F51"/>
      <c r="G51"/>
      <c r="H51"/>
      <c r="I51"/>
      <c r="J51"/>
      <c r="K51"/>
      <c r="L51"/>
      <c r="M51"/>
      <c r="N51"/>
      <c r="O51"/>
      <c r="P51"/>
      <c r="Q51"/>
      <c r="R51"/>
      <c r="S51"/>
      <c r="T51"/>
      <c r="U51"/>
      <c r="V51"/>
      <c r="W51"/>
      <c r="X51"/>
      <c r="Y51"/>
      <c r="Z51"/>
      <c r="AA51"/>
      <c r="AB51"/>
      <c r="AC51"/>
      <c r="AD51"/>
      <c r="AE51"/>
      <c r="AF51"/>
      <c r="AG51"/>
    </row>
    <row r="52" spans="1:33">
      <c r="A52" s="4"/>
      <c r="B52"/>
      <c r="C52" s="7"/>
      <c r="D52" s="27"/>
      <c r="E52"/>
      <c r="F52"/>
      <c r="G52"/>
      <c r="H52"/>
      <c r="I52"/>
      <c r="J52"/>
      <c r="K52"/>
      <c r="L52"/>
      <c r="M52"/>
      <c r="N52"/>
      <c r="O52"/>
      <c r="P52"/>
      <c r="Q52"/>
      <c r="R52"/>
      <c r="S52"/>
      <c r="T52"/>
      <c r="U52"/>
      <c r="V52"/>
      <c r="W52"/>
      <c r="X52"/>
      <c r="Y52"/>
      <c r="Z52"/>
      <c r="AA52"/>
      <c r="AB52"/>
      <c r="AC52"/>
      <c r="AD52"/>
      <c r="AE52"/>
      <c r="AF52"/>
      <c r="AG52"/>
    </row>
    <row r="53" spans="1:33">
      <c r="A53" s="4"/>
      <c r="B53"/>
      <c r="C53" s="7"/>
      <c r="D53" s="27"/>
      <c r="E53"/>
      <c r="F53"/>
      <c r="G53"/>
      <c r="H53"/>
      <c r="I53"/>
      <c r="J53"/>
      <c r="K53"/>
      <c r="L53"/>
      <c r="M53"/>
      <c r="N53"/>
      <c r="O53"/>
      <c r="P53"/>
      <c r="Q53"/>
      <c r="R53"/>
      <c r="S53"/>
      <c r="T53"/>
      <c r="U53"/>
      <c r="V53"/>
      <c r="W53"/>
      <c r="X53"/>
      <c r="Y53"/>
      <c r="Z53"/>
      <c r="AA53"/>
      <c r="AB53"/>
      <c r="AC53"/>
      <c r="AD53"/>
      <c r="AE53"/>
      <c r="AF53"/>
      <c r="AG53"/>
    </row>
    <row r="54" spans="1:33">
      <c r="A54" s="4"/>
      <c r="B54"/>
      <c r="C54" s="7"/>
      <c r="D54" s="27"/>
      <c r="E54"/>
      <c r="F54"/>
      <c r="G54"/>
      <c r="H54"/>
      <c r="I54"/>
      <c r="J54"/>
      <c r="K54"/>
      <c r="L54"/>
      <c r="M54"/>
      <c r="N54"/>
      <c r="O54"/>
      <c r="P54"/>
      <c r="Q54"/>
      <c r="R54"/>
      <c r="S54"/>
      <c r="T54"/>
      <c r="U54"/>
      <c r="V54"/>
      <c r="W54"/>
      <c r="X54"/>
      <c r="Y54"/>
      <c r="Z54"/>
      <c r="AA54"/>
      <c r="AB54"/>
      <c r="AC54"/>
      <c r="AD54"/>
      <c r="AE54"/>
      <c r="AF54"/>
      <c r="AG54"/>
    </row>
    <row r="55" spans="1:33">
      <c r="A55" s="4"/>
      <c r="B55"/>
      <c r="C55" s="7"/>
      <c r="D55" s="27"/>
      <c r="E55"/>
      <c r="F55"/>
      <c r="G55"/>
      <c r="H55"/>
      <c r="I55"/>
      <c r="J55"/>
      <c r="K55"/>
      <c r="L55"/>
      <c r="M55"/>
      <c r="N55"/>
      <c r="O55"/>
      <c r="P55"/>
      <c r="Q55"/>
      <c r="R55"/>
      <c r="S55"/>
      <c r="T55"/>
      <c r="U55"/>
      <c r="V55"/>
      <c r="W55"/>
      <c r="X55"/>
      <c r="Y55"/>
      <c r="Z55"/>
      <c r="AA55"/>
      <c r="AB55"/>
      <c r="AC55"/>
      <c r="AD55"/>
      <c r="AE55"/>
      <c r="AF55"/>
      <c r="AG55"/>
    </row>
    <row r="56" spans="1:33">
      <c r="A56" s="4"/>
      <c r="B56"/>
      <c r="C56"/>
      <c r="D56"/>
      <c r="E56"/>
      <c r="F56"/>
      <c r="G56"/>
      <c r="H56"/>
      <c r="I56"/>
      <c r="J56"/>
      <c r="K56"/>
      <c r="L56"/>
      <c r="M56"/>
      <c r="N56"/>
      <c r="O56"/>
      <c r="P56"/>
      <c r="Q56"/>
      <c r="R56"/>
      <c r="S56"/>
      <c r="T56"/>
      <c r="U56"/>
      <c r="V56"/>
      <c r="W56"/>
      <c r="X56"/>
      <c r="Y56"/>
      <c r="Z56"/>
      <c r="AA56"/>
      <c r="AB56"/>
      <c r="AC56"/>
      <c r="AD56"/>
      <c r="AE56"/>
      <c r="AF56"/>
      <c r="AG56"/>
    </row>
    <row r="57" spans="1:33">
      <c r="A57" s="4"/>
      <c r="B57"/>
      <c r="C57"/>
      <c r="D57"/>
      <c r="E57"/>
      <c r="F57"/>
      <c r="G57"/>
      <c r="H57"/>
      <c r="I57"/>
      <c r="J57"/>
      <c r="K57"/>
      <c r="L57"/>
      <c r="M57"/>
      <c r="N57"/>
      <c r="O57"/>
      <c r="P57"/>
      <c r="Q57"/>
      <c r="R57"/>
      <c r="S57"/>
      <c r="T57"/>
      <c r="U57"/>
      <c r="V57"/>
      <c r="W57"/>
      <c r="X57"/>
      <c r="Y57"/>
      <c r="Z57"/>
      <c r="AA57"/>
      <c r="AB57"/>
      <c r="AC57"/>
      <c r="AD57"/>
      <c r="AE57"/>
      <c r="AF57"/>
      <c r="AG57"/>
    </row>
    <row r="58" spans="1:33">
      <c r="A58" s="4"/>
      <c r="B58"/>
      <c r="C58"/>
      <c r="D58"/>
      <c r="E58"/>
      <c r="F58"/>
      <c r="G58"/>
      <c r="H58"/>
      <c r="I58"/>
      <c r="J58"/>
      <c r="K58"/>
      <c r="L58"/>
      <c r="M58"/>
      <c r="N58"/>
      <c r="O58"/>
      <c r="P58"/>
      <c r="Q58"/>
      <c r="R58"/>
      <c r="S58"/>
      <c r="T58"/>
      <c r="U58"/>
      <c r="V58"/>
      <c r="W58"/>
      <c r="X58"/>
      <c r="Y58"/>
      <c r="Z58"/>
      <c r="AA58"/>
      <c r="AB58"/>
      <c r="AC58"/>
      <c r="AD58"/>
      <c r="AE58"/>
      <c r="AF58"/>
      <c r="AG58"/>
    </row>
    <row r="59" spans="1:33">
      <c r="A59" s="4"/>
      <c r="B59"/>
      <c r="C59"/>
      <c r="D59"/>
      <c r="E59"/>
      <c r="F59"/>
      <c r="G59"/>
      <c r="H59"/>
      <c r="I59"/>
      <c r="J59"/>
      <c r="K59"/>
      <c r="L59"/>
      <c r="M59"/>
      <c r="N59"/>
      <c r="O59"/>
      <c r="P59"/>
      <c r="Q59"/>
      <c r="R59"/>
      <c r="S59"/>
      <c r="T59"/>
      <c r="U59"/>
      <c r="V59"/>
      <c r="W59"/>
      <c r="X59"/>
      <c r="Y59"/>
      <c r="Z59"/>
      <c r="AA59"/>
      <c r="AB59"/>
      <c r="AC59"/>
      <c r="AD59"/>
      <c r="AE59"/>
      <c r="AF59"/>
      <c r="AG59"/>
    </row>
    <row r="60" spans="1:33">
      <c r="A60" s="4"/>
      <c r="B60"/>
      <c r="C60"/>
      <c r="D60"/>
      <c r="E60"/>
      <c r="F60"/>
      <c r="G60"/>
      <c r="H60"/>
      <c r="I60"/>
      <c r="J60"/>
      <c r="K60"/>
      <c r="L60"/>
      <c r="M60"/>
      <c r="N60"/>
      <c r="O60"/>
      <c r="P60"/>
      <c r="Q60"/>
      <c r="R60"/>
      <c r="S60"/>
      <c r="T60"/>
      <c r="U60"/>
      <c r="V60"/>
      <c r="W60"/>
      <c r="X60"/>
      <c r="Y60"/>
      <c r="Z60"/>
      <c r="AA60"/>
      <c r="AB60"/>
      <c r="AC60"/>
      <c r="AD60"/>
      <c r="AE60"/>
      <c r="AF60"/>
      <c r="AG60"/>
    </row>
    <row r="61" spans="1:33">
      <c r="A61" s="4"/>
      <c r="B61"/>
      <c r="C61"/>
      <c r="D61"/>
      <c r="E61"/>
      <c r="F61"/>
      <c r="G61"/>
      <c r="H61"/>
      <c r="I61"/>
      <c r="J61"/>
      <c r="K61"/>
      <c r="L61"/>
      <c r="M61"/>
      <c r="N61"/>
      <c r="O61"/>
      <c r="P61"/>
      <c r="Q61"/>
      <c r="R61"/>
      <c r="S61"/>
      <c r="T61"/>
      <c r="U61"/>
      <c r="V61"/>
      <c r="W61"/>
      <c r="X61"/>
      <c r="Y61"/>
      <c r="Z61"/>
      <c r="AA61"/>
      <c r="AB61"/>
      <c r="AC61"/>
      <c r="AD61"/>
      <c r="AE61"/>
      <c r="AF61"/>
      <c r="AG61"/>
    </row>
    <row r="62" spans="1:33">
      <c r="A62" s="4"/>
      <c r="B62"/>
      <c r="C62"/>
      <c r="D62"/>
      <c r="E62"/>
      <c r="F62"/>
      <c r="G62"/>
      <c r="H62"/>
      <c r="I62"/>
      <c r="J62"/>
      <c r="K62"/>
      <c r="L62"/>
      <c r="M62"/>
      <c r="N62"/>
      <c r="O62"/>
      <c r="P62"/>
      <c r="Q62"/>
      <c r="R62"/>
      <c r="S62"/>
      <c r="T62"/>
      <c r="U62"/>
      <c r="V62"/>
      <c r="W62"/>
      <c r="X62"/>
      <c r="Y62"/>
      <c r="Z62"/>
      <c r="AA62"/>
      <c r="AB62"/>
      <c r="AC62"/>
      <c r="AD62"/>
      <c r="AE62"/>
      <c r="AF62"/>
      <c r="AG62"/>
    </row>
    <row r="63" spans="1:33">
      <c r="B63"/>
      <c r="C63"/>
      <c r="D63"/>
      <c r="E63"/>
      <c r="F63"/>
      <c r="G63"/>
      <c r="H63"/>
      <c r="I63"/>
      <c r="J63"/>
      <c r="K63"/>
      <c r="L63"/>
      <c r="M63"/>
      <c r="N63"/>
      <c r="O63"/>
      <c r="P63"/>
      <c r="Q63"/>
      <c r="R63"/>
      <c r="S63"/>
      <c r="T63"/>
      <c r="U63"/>
      <c r="V63"/>
      <c r="W63"/>
      <c r="X63"/>
      <c r="Y63"/>
      <c r="Z63"/>
      <c r="AA63"/>
      <c r="AB63"/>
      <c r="AC63"/>
      <c r="AD63"/>
      <c r="AE63"/>
      <c r="AF63"/>
      <c r="AG63"/>
    </row>
    <row r="64" spans="1:33">
      <c r="B64"/>
      <c r="C64"/>
      <c r="D64"/>
      <c r="E64"/>
      <c r="F64"/>
      <c r="G64"/>
      <c r="H64"/>
      <c r="I64"/>
      <c r="J64"/>
      <c r="K64"/>
      <c r="L64"/>
      <c r="M64"/>
      <c r="N64"/>
      <c r="O64"/>
      <c r="P64"/>
      <c r="Q64"/>
      <c r="R64"/>
      <c r="S64"/>
      <c r="T64"/>
      <c r="U64"/>
      <c r="V64"/>
      <c r="W64"/>
      <c r="X64"/>
      <c r="Y64"/>
      <c r="Z64"/>
      <c r="AA64"/>
      <c r="AB64"/>
      <c r="AC64"/>
      <c r="AD64"/>
      <c r="AE64"/>
      <c r="AF64"/>
      <c r="AG64"/>
    </row>
    <row r="65" spans="2:33">
      <c r="B65"/>
      <c r="C65"/>
      <c r="D65"/>
      <c r="E65"/>
      <c r="F65"/>
      <c r="G65"/>
      <c r="H65"/>
      <c r="I65"/>
      <c r="J65"/>
      <c r="K65"/>
      <c r="L65"/>
      <c r="M65"/>
      <c r="N65"/>
      <c r="O65"/>
      <c r="P65"/>
      <c r="Q65"/>
      <c r="R65"/>
      <c r="S65"/>
      <c r="T65"/>
      <c r="U65"/>
      <c r="V65"/>
      <c r="W65"/>
      <c r="X65"/>
      <c r="Y65"/>
      <c r="Z65"/>
      <c r="AA65"/>
      <c r="AB65"/>
      <c r="AC65"/>
      <c r="AD65"/>
      <c r="AE65"/>
      <c r="AF65"/>
      <c r="AG65"/>
    </row>
    <row r="66" spans="2:33">
      <c r="B66"/>
      <c r="C66"/>
      <c r="D66"/>
      <c r="E66"/>
      <c r="F66"/>
      <c r="G66"/>
      <c r="H66"/>
      <c r="I66"/>
      <c r="J66"/>
      <c r="K66"/>
      <c r="L66"/>
      <c r="M66"/>
      <c r="N66"/>
      <c r="O66"/>
      <c r="P66"/>
      <c r="Q66"/>
      <c r="R66"/>
      <c r="S66"/>
      <c r="T66"/>
      <c r="U66"/>
      <c r="V66"/>
      <c r="W66"/>
      <c r="X66"/>
      <c r="Y66"/>
      <c r="Z66"/>
      <c r="AA66"/>
      <c r="AB66"/>
      <c r="AC66"/>
      <c r="AD66"/>
      <c r="AE66"/>
      <c r="AF66"/>
      <c r="AG66"/>
    </row>
    <row r="67" spans="2:33">
      <c r="B67"/>
      <c r="C67"/>
      <c r="D67"/>
      <c r="E67"/>
      <c r="F67"/>
      <c r="G67"/>
      <c r="H67"/>
      <c r="I67"/>
      <c r="J67"/>
      <c r="K67"/>
      <c r="L67"/>
      <c r="M67"/>
      <c r="N67"/>
      <c r="O67"/>
      <c r="P67"/>
      <c r="Q67"/>
      <c r="R67"/>
      <c r="S67"/>
      <c r="T67"/>
      <c r="U67"/>
      <c r="V67"/>
      <c r="W67"/>
      <c r="X67"/>
      <c r="Y67"/>
      <c r="Z67"/>
      <c r="AA67"/>
      <c r="AB67"/>
      <c r="AC67"/>
      <c r="AD67"/>
      <c r="AE67"/>
      <c r="AF67"/>
      <c r="AG67"/>
    </row>
    <row r="68" spans="2:33">
      <c r="B68"/>
      <c r="C68"/>
      <c r="D68"/>
      <c r="E68"/>
      <c r="F68"/>
      <c r="G68"/>
      <c r="H68"/>
      <c r="I68"/>
      <c r="J68"/>
      <c r="K68"/>
      <c r="L68"/>
      <c r="M68"/>
      <c r="N68"/>
      <c r="O68"/>
      <c r="P68"/>
      <c r="Q68"/>
      <c r="R68"/>
      <c r="S68"/>
      <c r="T68"/>
      <c r="U68"/>
      <c r="V68"/>
      <c r="W68"/>
      <c r="X68"/>
      <c r="Y68"/>
      <c r="Z68"/>
      <c r="AA68"/>
      <c r="AB68"/>
      <c r="AC68"/>
      <c r="AD68"/>
      <c r="AE68"/>
      <c r="AF68"/>
      <c r="AG68"/>
    </row>
    <row r="69" spans="2:33">
      <c r="B69"/>
      <c r="C69"/>
      <c r="D69"/>
      <c r="E69"/>
      <c r="F69"/>
      <c r="G69"/>
      <c r="H69"/>
      <c r="I69"/>
      <c r="J69"/>
      <c r="K69"/>
      <c r="L69"/>
      <c r="M69"/>
      <c r="N69"/>
      <c r="O69"/>
      <c r="P69"/>
      <c r="Q69"/>
      <c r="R69"/>
      <c r="S69"/>
      <c r="T69"/>
      <c r="U69"/>
      <c r="V69"/>
      <c r="W69"/>
      <c r="X69"/>
      <c r="Y69"/>
      <c r="Z69"/>
      <c r="AA69"/>
      <c r="AB69"/>
      <c r="AC69"/>
      <c r="AD69"/>
      <c r="AE69"/>
      <c r="AF69"/>
      <c r="AG69"/>
    </row>
    <row r="70" spans="2:33">
      <c r="B70"/>
      <c r="C70"/>
      <c r="D70"/>
      <c r="E70"/>
      <c r="F70"/>
      <c r="G70"/>
      <c r="H70"/>
      <c r="I70"/>
      <c r="J70"/>
      <c r="K70"/>
      <c r="L70"/>
      <c r="M70"/>
      <c r="N70"/>
      <c r="O70"/>
      <c r="P70"/>
      <c r="Q70"/>
      <c r="R70"/>
      <c r="S70"/>
      <c r="T70"/>
      <c r="U70"/>
      <c r="V70"/>
      <c r="W70"/>
      <c r="X70"/>
      <c r="Y70"/>
      <c r="Z70"/>
      <c r="AA70"/>
      <c r="AB70"/>
      <c r="AC70"/>
      <c r="AD70"/>
      <c r="AE70"/>
      <c r="AF70"/>
      <c r="AG70"/>
    </row>
    <row r="71" spans="2:33">
      <c r="B71"/>
      <c r="C71"/>
      <c r="D71"/>
      <c r="E71"/>
      <c r="F71"/>
      <c r="G71"/>
      <c r="H71"/>
      <c r="I71"/>
      <c r="J71"/>
      <c r="K71"/>
      <c r="L71"/>
      <c r="M71"/>
      <c r="N71"/>
      <c r="O71"/>
      <c r="P71"/>
      <c r="Q71"/>
      <c r="R71"/>
      <c r="S71"/>
      <c r="T71"/>
      <c r="U71"/>
      <c r="V71"/>
      <c r="W71"/>
      <c r="X71"/>
      <c r="Y71"/>
      <c r="Z71"/>
      <c r="AA71"/>
      <c r="AB71"/>
      <c r="AC71"/>
      <c r="AD71"/>
      <c r="AE71"/>
      <c r="AF71"/>
      <c r="AG71"/>
    </row>
    <row r="72" spans="2:33">
      <c r="B72"/>
      <c r="C72"/>
      <c r="D72"/>
      <c r="E72"/>
      <c r="F72"/>
      <c r="G72"/>
      <c r="H72"/>
      <c r="I72"/>
      <c r="J72"/>
      <c r="K72"/>
      <c r="L72"/>
      <c r="M72"/>
      <c r="N72"/>
      <c r="O72"/>
      <c r="P72"/>
      <c r="Q72"/>
      <c r="R72"/>
      <c r="S72"/>
      <c r="T72"/>
      <c r="U72"/>
      <c r="V72"/>
      <c r="W72"/>
      <c r="X72"/>
      <c r="Y72"/>
      <c r="Z72"/>
      <c r="AA72"/>
      <c r="AB72"/>
      <c r="AC72"/>
      <c r="AD72"/>
      <c r="AE72"/>
      <c r="AF72"/>
      <c r="AG72"/>
    </row>
    <row r="73" spans="2:33">
      <c r="B73"/>
      <c r="C73"/>
      <c r="D73"/>
      <c r="E73"/>
      <c r="F73"/>
      <c r="G73"/>
      <c r="H73"/>
      <c r="I73"/>
      <c r="J73"/>
      <c r="K73"/>
      <c r="L73"/>
      <c r="M73"/>
      <c r="N73"/>
      <c r="O73"/>
      <c r="P73"/>
      <c r="Q73"/>
      <c r="R73"/>
      <c r="S73"/>
      <c r="T73"/>
      <c r="U73"/>
      <c r="V73"/>
      <c r="W73"/>
      <c r="X73"/>
      <c r="Y73"/>
      <c r="Z73"/>
      <c r="AA73"/>
      <c r="AB73"/>
      <c r="AC73"/>
      <c r="AD73"/>
      <c r="AE73"/>
      <c r="AF73"/>
      <c r="AG73"/>
    </row>
    <row r="74" spans="2:33">
      <c r="B74"/>
      <c r="C74"/>
      <c r="D74"/>
      <c r="E74"/>
      <c r="F74"/>
      <c r="G74"/>
      <c r="H74"/>
      <c r="I74"/>
      <c r="J74"/>
      <c r="K74"/>
      <c r="L74"/>
      <c r="M74"/>
      <c r="N74"/>
      <c r="O74"/>
      <c r="P74"/>
      <c r="Q74"/>
      <c r="R74"/>
      <c r="S74"/>
      <c r="T74"/>
      <c r="U74"/>
      <c r="V74"/>
      <c r="W74"/>
      <c r="X74"/>
      <c r="Y74"/>
      <c r="Z74"/>
      <c r="AA74"/>
      <c r="AB74"/>
      <c r="AC74"/>
      <c r="AD74"/>
      <c r="AE74"/>
      <c r="AF74"/>
      <c r="AG74"/>
    </row>
  </sheetData>
  <scenarios current="0" show="0">
    <scenario name="pittsfield best fit" locked="1" count="1" user="Author">
      <inputCells r="D37" deleted="1" val=""/>
    </scenario>
  </scenarios>
  <mergeCells count="1">
    <mergeCell ref="U17:U20"/>
  </mergeCells>
  <hyperlinks>
    <hyperlink ref="W31" r:id="rId1" location="v=onepage&amp;q=dink%20billboard%201995&amp;f=false" xr:uid="{5E23FB08-1B9C-4C5F-A8B8-BC5850B2DE0F}"/>
    <hyperlink ref="W30" r:id="rId2" location="v=onepage&amp;q=dink%20billboard%201995&amp;f=false" xr:uid="{93AA8E1C-BA2E-4C7F-AF7E-830520E020BC}"/>
    <hyperlink ref="W29" r:id="rId3" location="v=onepage&amp;q=dink%20billboard%201995&amp;f=false" xr:uid="{3ED8B22D-4170-4C9A-8A2E-CD259CA0E829}"/>
    <hyperlink ref="W35" r:id="rId4" location="v=onepage&amp;q=dink%20billboard%201995&amp;f=false" xr:uid="{EBE7525C-E26C-49AA-B8A4-28028383F7B7}"/>
    <hyperlink ref="W36" r:id="rId5" location="v=onepage&amp;q=modern%20rock%20billboard%201995%20February%2018&amp;f=false" xr:uid="{5932C670-D9B7-438D-93C1-BFB6A35D4295}"/>
    <hyperlink ref="T16" r:id="rId6" location="v=onepage&amp;q=dink%20billboard%201995&amp;f=false" xr:uid="{CB266E13-2430-4350-BD35-AD6FEE253101}"/>
  </hyperlinks>
  <printOptions gridLines="1" gridLinesSet="0"/>
  <pageMargins left="0.75" right="0.75" top="1" bottom="1" header="0.5" footer="0.5"/>
  <pageSetup orientation="portrait" r:id="rId7"/>
  <headerFooter alignWithMargins="0">
    <oddHeader>&amp;A</oddHeader>
    <oddFooter>Page &amp;P</oddFooter>
  </headerFooter>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workbookViewId="0">
      <selection activeCell="Z19" sqref="Z19"/>
    </sheetView>
  </sheetViews>
  <sheetFormatPr defaultRowHeight="12.75"/>
  <cols>
    <col min="1" max="1" width="12" customWidth="1"/>
    <col min="4" max="4" width="10.28515625" customWidth="1"/>
  </cols>
  <sheetData>
    <row r="1" spans="1:11">
      <c r="A1" s="16" t="s">
        <v>1</v>
      </c>
      <c r="B1" s="16" t="s">
        <v>2</v>
      </c>
      <c r="C1" s="16" t="s">
        <v>0</v>
      </c>
      <c r="D1" s="6" t="s">
        <v>9</v>
      </c>
    </row>
    <row r="2" spans="1:11">
      <c r="A2" s="1">
        <v>34658</v>
      </c>
      <c r="B2">
        <v>1375</v>
      </c>
      <c r="C2" s="15">
        <v>1550.2</v>
      </c>
      <c r="D2" s="191" t="s">
        <v>40</v>
      </c>
      <c r="E2" s="6" t="s">
        <v>49</v>
      </c>
      <c r="K2" s="9" t="s">
        <v>50</v>
      </c>
    </row>
    <row r="3" spans="1:11">
      <c r="A3" s="1">
        <v>34665</v>
      </c>
      <c r="B3">
        <v>1102</v>
      </c>
      <c r="C3" s="15">
        <v>1492.6</v>
      </c>
      <c r="D3" s="191"/>
      <c r="G3" s="6" t="s">
        <v>29</v>
      </c>
    </row>
    <row r="4" spans="1:11">
      <c r="A4" s="1">
        <v>34672</v>
      </c>
      <c r="B4">
        <v>1152</v>
      </c>
      <c r="C4" s="15">
        <v>2254.6999999999998</v>
      </c>
      <c r="D4" s="191"/>
    </row>
    <row r="5" spans="1:11">
      <c r="A5" s="1">
        <v>34679</v>
      </c>
      <c r="B5">
        <v>1247</v>
      </c>
      <c r="C5" s="15">
        <v>2067.5</v>
      </c>
      <c r="D5" s="191"/>
    </row>
    <row r="6" spans="1:11">
      <c r="A6" s="1">
        <v>34686</v>
      </c>
      <c r="B6">
        <v>1639</v>
      </c>
      <c r="C6" s="15">
        <v>2003.2</v>
      </c>
    </row>
    <row r="7" spans="1:11">
      <c r="A7" s="1">
        <v>34693</v>
      </c>
      <c r="B7">
        <v>2576</v>
      </c>
      <c r="C7" s="15">
        <v>2347.1999999999998</v>
      </c>
      <c r="D7" s="16" t="s">
        <v>3</v>
      </c>
    </row>
    <row r="8" spans="1:11">
      <c r="A8" s="1">
        <v>34700</v>
      </c>
      <c r="B8">
        <v>2976</v>
      </c>
      <c r="C8" s="15">
        <v>2723.3</v>
      </c>
      <c r="D8" s="6" t="s">
        <v>47</v>
      </c>
      <c r="H8" t="s">
        <v>48</v>
      </c>
    </row>
    <row r="9" spans="1:11">
      <c r="A9" s="1">
        <v>34707</v>
      </c>
      <c r="B9">
        <v>2529</v>
      </c>
      <c r="C9" s="15">
        <v>2550.8000000000002</v>
      </c>
    </row>
    <row r="10" spans="1:11">
      <c r="A10" s="1">
        <v>34714</v>
      </c>
      <c r="B10">
        <v>2421</v>
      </c>
      <c r="C10" s="15">
        <v>2828.8</v>
      </c>
    </row>
    <row r="11" spans="1:11">
      <c r="A11" s="1">
        <v>34721</v>
      </c>
      <c r="B11">
        <v>2385</v>
      </c>
      <c r="C11" s="15">
        <v>3198</v>
      </c>
    </row>
    <row r="12" spans="1:11">
      <c r="A12" s="1">
        <v>34728</v>
      </c>
      <c r="B12">
        <v>2630</v>
      </c>
      <c r="C12" s="15">
        <v>2988.9</v>
      </c>
    </row>
    <row r="13" spans="1:11">
      <c r="A13" s="1">
        <v>34735</v>
      </c>
      <c r="B13">
        <v>2794</v>
      </c>
      <c r="C13" s="15">
        <v>2113.6</v>
      </c>
    </row>
    <row r="14" spans="1:11">
      <c r="A14" s="1">
        <v>34742</v>
      </c>
      <c r="B14">
        <v>2700</v>
      </c>
      <c r="C14" s="15">
        <v>1890.6</v>
      </c>
    </row>
    <row r="15" spans="1:11">
      <c r="A15" s="1">
        <v>34749</v>
      </c>
      <c r="B15">
        <v>3170</v>
      </c>
      <c r="C15" s="15">
        <v>1862.7</v>
      </c>
    </row>
    <row r="16" spans="1:11">
      <c r="A16" s="1">
        <v>34756</v>
      </c>
      <c r="B16">
        <v>2567</v>
      </c>
      <c r="C16" s="15">
        <v>1242</v>
      </c>
    </row>
    <row r="17" spans="1:4">
      <c r="A17" s="1">
        <v>34763</v>
      </c>
      <c r="B17">
        <v>3409</v>
      </c>
      <c r="C17" s="15">
        <v>755.1</v>
      </c>
    </row>
    <row r="18" spans="1:4">
      <c r="A18" s="1">
        <v>34770</v>
      </c>
      <c r="B18">
        <v>3070</v>
      </c>
      <c r="C18" s="15">
        <v>571</v>
      </c>
    </row>
    <row r="19" spans="1:4">
      <c r="A19" s="1">
        <v>34777</v>
      </c>
      <c r="B19">
        <v>3182</v>
      </c>
      <c r="C19" s="15">
        <v>470.8</v>
      </c>
    </row>
    <row r="20" spans="1:4">
      <c r="A20" s="1">
        <v>34784</v>
      </c>
      <c r="B20">
        <v>2706</v>
      </c>
      <c r="C20" s="15">
        <v>603.20000000000005</v>
      </c>
    </row>
    <row r="21" spans="1:4">
      <c r="A21" s="1">
        <v>34791</v>
      </c>
      <c r="B21">
        <v>1890</v>
      </c>
      <c r="C21" s="15">
        <v>523.1</v>
      </c>
    </row>
    <row r="22" spans="1:4">
      <c r="A22" s="1">
        <v>34798</v>
      </c>
      <c r="B22">
        <v>1623</v>
      </c>
      <c r="C22" s="15">
        <v>382.4</v>
      </c>
    </row>
    <row r="23" spans="1:4">
      <c r="A23" s="1">
        <v>34805</v>
      </c>
      <c r="B23">
        <v>1587</v>
      </c>
      <c r="C23" s="15">
        <v>290.7</v>
      </c>
    </row>
    <row r="24" spans="1:4">
      <c r="A24" s="1">
        <v>34812</v>
      </c>
      <c r="B24">
        <v>1507</v>
      </c>
      <c r="C24" s="15">
        <v>322.7</v>
      </c>
    </row>
    <row r="25" spans="1:4">
      <c r="A25" s="1">
        <v>34819</v>
      </c>
      <c r="B25">
        <v>1300</v>
      </c>
      <c r="C25" s="15">
        <v>284.10000000000002</v>
      </c>
      <c r="D25" s="6" t="s">
        <v>30</v>
      </c>
    </row>
    <row r="26" spans="1:4">
      <c r="A26" s="1">
        <v>34826</v>
      </c>
      <c r="B26">
        <v>1127</v>
      </c>
      <c r="C26" s="15">
        <v>336</v>
      </c>
      <c r="D26" s="6" t="s">
        <v>31</v>
      </c>
    </row>
    <row r="27" spans="1:4">
      <c r="A27" s="1">
        <v>34833</v>
      </c>
      <c r="B27">
        <v>997</v>
      </c>
      <c r="C27" s="15">
        <v>308.39999999999998</v>
      </c>
      <c r="D27" s="6" t="s">
        <v>32</v>
      </c>
    </row>
    <row r="28" spans="1:4">
      <c r="A28" s="1">
        <v>34840</v>
      </c>
      <c r="B28">
        <v>834</v>
      </c>
      <c r="C28" s="15">
        <v>133.19999999999999</v>
      </c>
    </row>
    <row r="29" spans="1:4">
      <c r="A29" s="1"/>
    </row>
    <row r="30" spans="1:4">
      <c r="A30" s="1"/>
      <c r="B30" s="6" t="s">
        <v>4</v>
      </c>
    </row>
    <row r="31" spans="1:4">
      <c r="A31" s="1"/>
      <c r="B31" s="6" t="s">
        <v>5</v>
      </c>
    </row>
    <row r="32" spans="1:4">
      <c r="A32" s="1"/>
    </row>
    <row r="33" spans="1:2">
      <c r="A33" s="1"/>
      <c r="B33" s="6" t="s">
        <v>8</v>
      </c>
    </row>
    <row r="34" spans="1:2">
      <c r="A34" s="1"/>
      <c r="B34" s="6" t="s">
        <v>39</v>
      </c>
    </row>
    <row r="35" spans="1:2">
      <c r="A35" s="1"/>
    </row>
    <row r="36" spans="1:2">
      <c r="A36" s="1"/>
      <c r="B36" s="6" t="s">
        <v>41</v>
      </c>
    </row>
    <row r="37" spans="1:2">
      <c r="A37" s="1"/>
      <c r="B37" s="6" t="s">
        <v>43</v>
      </c>
    </row>
    <row r="38" spans="1:2">
      <c r="A38" s="1"/>
      <c r="B38" s="6" t="s">
        <v>42</v>
      </c>
    </row>
    <row r="39" spans="1:2">
      <c r="A39" s="1"/>
    </row>
    <row r="40" spans="1:2">
      <c r="A40" s="1"/>
      <c r="B40" s="16" t="s">
        <v>44</v>
      </c>
    </row>
    <row r="41" spans="1:2">
      <c r="A41" s="1"/>
      <c r="B41" s="6" t="s">
        <v>45</v>
      </c>
    </row>
    <row r="42" spans="1:2">
      <c r="A42" s="1"/>
      <c r="B42" t="s">
        <v>46</v>
      </c>
    </row>
    <row r="43" spans="1:2">
      <c r="A43" s="1"/>
    </row>
    <row r="44" spans="1:2">
      <c r="A44" s="1"/>
      <c r="B44" s="6"/>
    </row>
    <row r="45" spans="1:2">
      <c r="A45" s="1"/>
      <c r="B45" s="9"/>
    </row>
    <row r="46" spans="1:2">
      <c r="A46" s="1"/>
    </row>
    <row r="47" spans="1:2">
      <c r="A47" s="1"/>
      <c r="B47" s="6"/>
    </row>
    <row r="48" spans="1:2">
      <c r="A48" s="1"/>
      <c r="B48" s="9"/>
    </row>
    <row r="49" spans="1:2">
      <c r="A49" s="1"/>
    </row>
    <row r="50" spans="1:2">
      <c r="A50" s="1"/>
      <c r="B50" s="6"/>
    </row>
    <row r="51" spans="1:2">
      <c r="A51" s="1"/>
      <c r="B51" s="9"/>
    </row>
    <row r="52" spans="1:2">
      <c r="A52" s="1"/>
    </row>
    <row r="53" spans="1:2">
      <c r="A53" s="1"/>
    </row>
  </sheetData>
  <scenarios current="0" show="0">
    <scenario name="pittsfield best fit" locked="1" count="1" user="Author">
      <inputCells r="D37" deleted="1" val=""/>
    </scenario>
  </scenarios>
  <mergeCells count="1">
    <mergeCell ref="D2:D5"/>
  </mergeCells>
  <phoneticPr fontId="1" type="noConversion"/>
  <hyperlinks>
    <hyperlink ref="K2" r:id="rId1" xr:uid="{6D1BB236-0033-4715-AB8D-208C782B3642}"/>
  </hyperlinks>
  <printOptions gridLines="1" gridLinesSet="0"/>
  <pageMargins left="0.75" right="0.75" top="1" bottom="1" header="0.5" footer="0.5"/>
  <pageSetup orientation="portrait" r:id="rId2"/>
  <headerFooter alignWithMargins="0">
    <oddHeader>&amp;A</oddHeader>
    <oddFooter>Page &amp;P</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36958-7651-49FE-9FDF-A3418B228143}">
  <sheetPr>
    <tabColor theme="6"/>
  </sheetPr>
  <dimension ref="A1"/>
  <sheetViews>
    <sheetView workbookViewId="0">
      <selection activeCell="I39" sqref="I39"/>
    </sheetView>
  </sheetViews>
  <sheetFormatPr defaultRowHeight="12.75"/>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33CB0-D787-4DCF-A23A-CD14B24D5EFB}">
  <dimension ref="A1:Z56"/>
  <sheetViews>
    <sheetView zoomScale="115" zoomScaleNormal="115" workbookViewId="0">
      <selection activeCell="G3" sqref="G3"/>
    </sheetView>
  </sheetViews>
  <sheetFormatPr defaultRowHeight="12.75"/>
  <cols>
    <col min="1" max="1" width="12" style="2" customWidth="1"/>
    <col min="2" max="2" width="8.5703125" style="2" customWidth="1"/>
    <col min="3" max="3" width="10.42578125" style="2" bestFit="1" customWidth="1"/>
    <col min="4" max="4" width="7.42578125" style="2" bestFit="1" customWidth="1"/>
    <col min="5" max="5" width="3.7109375" style="2" customWidth="1"/>
    <col min="6" max="6" width="9.140625" style="2"/>
    <col min="7" max="7" width="8.28515625" style="2" customWidth="1"/>
    <col min="8" max="8" width="5.42578125" style="2" customWidth="1"/>
    <col min="9" max="9" width="3.28515625" style="2" customWidth="1"/>
    <col min="10" max="10" width="7.85546875" style="2" customWidth="1"/>
    <col min="11" max="12" width="6.42578125" style="2" customWidth="1"/>
    <col min="13" max="13" width="5.140625" style="2" customWidth="1"/>
    <col min="14" max="14" width="9.140625" style="2"/>
    <col min="15" max="15" width="11.140625" style="2" customWidth="1"/>
    <col min="16" max="16384" width="9.140625" style="2"/>
  </cols>
  <sheetData>
    <row r="1" spans="1:14">
      <c r="A1" s="2" t="s">
        <v>96</v>
      </c>
      <c r="B1" s="17">
        <v>3007.5829792109662</v>
      </c>
      <c r="E1" s="27"/>
      <c r="F1" s="2" t="s">
        <v>107</v>
      </c>
      <c r="G1" s="28">
        <f>-2*G2+3*LN(B3)</f>
        <v>62108.309621707624</v>
      </c>
    </row>
    <row r="2" spans="1:14" ht="12" customHeight="1">
      <c r="A2" s="2" t="s">
        <v>97</v>
      </c>
      <c r="B2" s="17">
        <v>1923533.5659846589</v>
      </c>
      <c r="E2" s="27"/>
      <c r="F2" s="2" t="s">
        <v>99</v>
      </c>
      <c r="G2" s="28">
        <f>SUM(H6:H33)</f>
        <v>-31036.885422656356</v>
      </c>
    </row>
    <row r="3" spans="1:14">
      <c r="A3" s="2" t="s">
        <v>105</v>
      </c>
      <c r="B3" s="28">
        <v>100000</v>
      </c>
      <c r="F3" s="2" t="s">
        <v>130</v>
      </c>
      <c r="G3" s="146">
        <f>AVERAGE(L6:L32)</f>
        <v>0.51344884571353144</v>
      </c>
    </row>
    <row r="5" spans="1:14">
      <c r="A5" s="32" t="s">
        <v>1</v>
      </c>
      <c r="B5" s="30" t="s">
        <v>100</v>
      </c>
      <c r="C5" s="30" t="s">
        <v>101</v>
      </c>
      <c r="D5" s="30" t="s">
        <v>102</v>
      </c>
      <c r="E5" s="7"/>
      <c r="F5" s="30" t="s">
        <v>103</v>
      </c>
      <c r="G5" s="32" t="s">
        <v>104</v>
      </c>
      <c r="H5" s="7"/>
      <c r="I5" s="7"/>
      <c r="J5" s="7" t="s">
        <v>106</v>
      </c>
      <c r="K5" s="7" t="s">
        <v>171</v>
      </c>
      <c r="L5" s="7" t="s">
        <v>129</v>
      </c>
      <c r="M5" s="7"/>
      <c r="N5" s="7" t="s">
        <v>9</v>
      </c>
    </row>
    <row r="6" spans="1:14">
      <c r="A6" s="34">
        <v>34973</v>
      </c>
      <c r="B6" s="33">
        <v>1</v>
      </c>
      <c r="C6" s="3">
        <v>74</v>
      </c>
      <c r="D6" s="3">
        <v>0</v>
      </c>
      <c r="F6" s="31">
        <f t="shared" ref="F6:F32" si="0">1-(B$2/(B$2+B6))^B$1</f>
        <v>1.5623497248570262E-3</v>
      </c>
      <c r="G6" s="31">
        <f>F6</f>
        <v>1.5623497248570262E-3</v>
      </c>
      <c r="H6" s="17">
        <f t="shared" ref="H6:H32" si="1">C6*IFERROR(LN(G6),-10000)</f>
        <v>-478.15576242321237</v>
      </c>
      <c r="J6" s="67">
        <f t="shared" ref="J6:J32" si="2">$B$3*F6</f>
        <v>156.23497248570263</v>
      </c>
      <c r="K6" s="35">
        <f>J6</f>
        <v>156.23497248570263</v>
      </c>
      <c r="L6" s="29">
        <f>ABS(C6-K6)/C6</f>
        <v>1.1112834119689545</v>
      </c>
      <c r="N6" s="2" t="s">
        <v>51</v>
      </c>
    </row>
    <row r="7" spans="1:14">
      <c r="A7" s="34">
        <v>34980</v>
      </c>
      <c r="B7" s="33">
        <f>B6+1</f>
        <v>2</v>
      </c>
      <c r="C7" s="3">
        <v>68</v>
      </c>
      <c r="D7" s="3">
        <v>0</v>
      </c>
      <c r="F7" s="31">
        <f t="shared" si="0"/>
        <v>3.1222577026502885E-3</v>
      </c>
      <c r="G7" s="31">
        <f>F7-F6</f>
        <v>1.5599079777932623E-3</v>
      </c>
      <c r="H7" s="17">
        <f t="shared" si="1"/>
        <v>-439.49273446771616</v>
      </c>
      <c r="J7" s="35">
        <f t="shared" si="2"/>
        <v>312.22577026502887</v>
      </c>
      <c r="K7" s="35">
        <f>J7-J6</f>
        <v>155.99079777932624</v>
      </c>
      <c r="L7" s="29">
        <f t="shared" ref="L7:L32" si="3">ABS(C7-K7)/C7</f>
        <v>1.2939823202842096</v>
      </c>
    </row>
    <row r="8" spans="1:14">
      <c r="A8" s="34">
        <v>34987</v>
      </c>
      <c r="B8" s="33">
        <f t="shared" ref="B8:B32" si="4">B7+1</f>
        <v>3</v>
      </c>
      <c r="C8" s="3">
        <v>85</v>
      </c>
      <c r="D8" s="3">
        <v>0</v>
      </c>
      <c r="F8" s="31">
        <f t="shared" si="0"/>
        <v>4.679727751105589E-3</v>
      </c>
      <c r="G8" s="31">
        <f t="shared" ref="G8:G32" si="5">F8-F7</f>
        <v>1.5574700484553006E-3</v>
      </c>
      <c r="H8" s="17">
        <f t="shared" si="1"/>
        <v>-549.49886573117863</v>
      </c>
      <c r="J8" s="35">
        <f t="shared" si="2"/>
        <v>467.97277511055893</v>
      </c>
      <c r="K8" s="35">
        <f t="shared" ref="K8:K32" si="6">J8-J7</f>
        <v>155.74700484553006</v>
      </c>
      <c r="L8" s="29">
        <f t="shared" si="3"/>
        <v>0.83231770406505945</v>
      </c>
    </row>
    <row r="9" spans="1:14">
      <c r="A9" s="34">
        <v>34994</v>
      </c>
      <c r="B9" s="33">
        <f t="shared" si="4"/>
        <v>4</v>
      </c>
      <c r="C9" s="3">
        <v>86</v>
      </c>
      <c r="D9" s="3">
        <v>0</v>
      </c>
      <c r="F9" s="31">
        <f t="shared" si="0"/>
        <v>6.2347636809810814E-3</v>
      </c>
      <c r="G9" s="31">
        <f t="shared" si="5"/>
        <v>1.5550359298754923E-3</v>
      </c>
      <c r="H9" s="17">
        <f t="shared" si="1"/>
        <v>-556.09806997262172</v>
      </c>
      <c r="J9" s="35">
        <f t="shared" si="2"/>
        <v>623.47636809810808</v>
      </c>
      <c r="K9" s="35">
        <f t="shared" si="6"/>
        <v>155.50359298754915</v>
      </c>
      <c r="L9" s="29">
        <f t="shared" si="3"/>
        <v>0.80818131380871105</v>
      </c>
    </row>
    <row r="10" spans="1:14">
      <c r="A10" s="34">
        <v>35001</v>
      </c>
      <c r="B10" s="33">
        <f t="shared" si="4"/>
        <v>5</v>
      </c>
      <c r="C10" s="3">
        <v>96</v>
      </c>
      <c r="D10" s="3">
        <v>0</v>
      </c>
      <c r="F10" s="31">
        <f t="shared" si="0"/>
        <v>7.7873692984036236E-3</v>
      </c>
      <c r="G10" s="31">
        <f t="shared" si="5"/>
        <v>1.5526056174225422E-3</v>
      </c>
      <c r="H10" s="17">
        <f t="shared" si="1"/>
        <v>-620.9107887287704</v>
      </c>
      <c r="J10" s="35">
        <f t="shared" si="2"/>
        <v>778.73692984036234</v>
      </c>
      <c r="K10" s="35">
        <f t="shared" si="6"/>
        <v>155.26056174225425</v>
      </c>
      <c r="L10" s="29">
        <f t="shared" si="3"/>
        <v>0.61729751814848177</v>
      </c>
      <c r="N10" s="2" t="s">
        <v>22</v>
      </c>
    </row>
    <row r="11" spans="1:14">
      <c r="A11" s="34">
        <v>35008</v>
      </c>
      <c r="B11" s="33">
        <f t="shared" si="4"/>
        <v>6</v>
      </c>
      <c r="C11" s="3">
        <v>107</v>
      </c>
      <c r="D11" s="3">
        <v>0</v>
      </c>
      <c r="F11" s="31">
        <f t="shared" si="0"/>
        <v>9.3375484025521871E-3</v>
      </c>
      <c r="G11" s="31">
        <f t="shared" si="5"/>
        <v>1.5501791041485635E-3</v>
      </c>
      <c r="H11" s="17">
        <f t="shared" si="1"/>
        <v>-692.22417399193057</v>
      </c>
      <c r="J11" s="35">
        <f t="shared" si="2"/>
        <v>933.75484025521871</v>
      </c>
      <c r="K11" s="35">
        <f t="shared" si="6"/>
        <v>155.01791041485637</v>
      </c>
      <c r="L11" s="29">
        <f t="shared" si="3"/>
        <v>0.44876551789585395</v>
      </c>
      <c r="N11" s="2" t="s">
        <v>21</v>
      </c>
    </row>
    <row r="12" spans="1:14">
      <c r="A12" s="34">
        <v>35015</v>
      </c>
      <c r="B12" s="33">
        <f t="shared" si="4"/>
        <v>7</v>
      </c>
      <c r="C12" s="3">
        <v>85</v>
      </c>
      <c r="D12" s="3">
        <v>0</v>
      </c>
      <c r="F12" s="31">
        <f t="shared" si="0"/>
        <v>1.0885304787326411E-2</v>
      </c>
      <c r="G12" s="31">
        <f t="shared" si="5"/>
        <v>1.5477563847742237E-3</v>
      </c>
      <c r="H12" s="17">
        <f t="shared" si="1"/>
        <v>-550.03065568196632</v>
      </c>
      <c r="J12" s="35">
        <f t="shared" si="2"/>
        <v>1088.5304787326411</v>
      </c>
      <c r="K12" s="35">
        <f t="shared" si="6"/>
        <v>154.77563847742238</v>
      </c>
      <c r="L12" s="29">
        <f t="shared" si="3"/>
        <v>0.82088986444026324</v>
      </c>
    </row>
    <row r="13" spans="1:14">
      <c r="A13" s="34">
        <v>35022</v>
      </c>
      <c r="B13" s="33">
        <f t="shared" si="4"/>
        <v>8</v>
      </c>
      <c r="C13" s="3">
        <v>74</v>
      </c>
      <c r="D13" s="3">
        <v>0</v>
      </c>
      <c r="F13" s="31">
        <f t="shared" si="0"/>
        <v>1.2430642240031431E-2</v>
      </c>
      <c r="G13" s="31">
        <f t="shared" si="5"/>
        <v>1.5453374527050201E-3</v>
      </c>
      <c r="H13" s="17">
        <f t="shared" si="1"/>
        <v>-478.96596026036536</v>
      </c>
      <c r="J13" s="35">
        <f t="shared" si="2"/>
        <v>1243.0642240031432</v>
      </c>
      <c r="K13" s="35">
        <f t="shared" si="6"/>
        <v>154.5337452705021</v>
      </c>
      <c r="L13" s="29">
        <f t="shared" si="3"/>
        <v>1.0882938550067851</v>
      </c>
    </row>
    <row r="14" spans="1:14">
      <c r="A14" s="34">
        <v>35029</v>
      </c>
      <c r="B14" s="33">
        <f t="shared" si="4"/>
        <v>9</v>
      </c>
      <c r="C14" s="3">
        <v>87</v>
      </c>
      <c r="D14" s="3">
        <v>0</v>
      </c>
      <c r="F14" s="31">
        <f t="shared" si="0"/>
        <v>1.3973564542380301E-2</v>
      </c>
      <c r="G14" s="31">
        <f t="shared" si="5"/>
        <v>1.5429223023488703E-3</v>
      </c>
      <c r="H14" s="17">
        <f t="shared" si="1"/>
        <v>-563.24470437617958</v>
      </c>
      <c r="J14" s="35">
        <f t="shared" si="2"/>
        <v>1397.3564542380302</v>
      </c>
      <c r="K14" s="35">
        <f t="shared" si="6"/>
        <v>154.29223023488703</v>
      </c>
      <c r="L14" s="29">
        <f t="shared" si="3"/>
        <v>0.77347391074582794</v>
      </c>
      <c r="N14" s="2" t="s">
        <v>23</v>
      </c>
    </row>
    <row r="15" spans="1:14">
      <c r="A15" s="34">
        <v>35036</v>
      </c>
      <c r="B15" s="33">
        <f t="shared" si="4"/>
        <v>10</v>
      </c>
      <c r="C15" s="3">
        <v>74</v>
      </c>
      <c r="D15" s="3">
        <v>0</v>
      </c>
      <c r="F15" s="31">
        <f t="shared" si="0"/>
        <v>1.5514075470171917E-2</v>
      </c>
      <c r="G15" s="31">
        <f t="shared" si="5"/>
        <v>1.5405109277916162E-3</v>
      </c>
      <c r="H15" s="17">
        <f t="shared" si="1"/>
        <v>-479.19744482525778</v>
      </c>
      <c r="J15" s="35">
        <f t="shared" si="2"/>
        <v>1551.4075470171917</v>
      </c>
      <c r="K15" s="35">
        <f t="shared" si="6"/>
        <v>154.05109277916154</v>
      </c>
      <c r="L15" s="29">
        <f t="shared" si="3"/>
        <v>1.0817715240427235</v>
      </c>
    </row>
    <row r="16" spans="1:14">
      <c r="A16" s="34">
        <v>35043</v>
      </c>
      <c r="B16" s="33">
        <f t="shared" si="4"/>
        <v>11</v>
      </c>
      <c r="C16" s="3">
        <v>88</v>
      </c>
      <c r="D16" s="3">
        <v>0</v>
      </c>
      <c r="F16" s="31">
        <f t="shared" si="0"/>
        <v>1.7052178793628303E-2</v>
      </c>
      <c r="G16" s="31">
        <f t="shared" si="5"/>
        <v>1.5381033234563857E-3</v>
      </c>
      <c r="H16" s="17">
        <f t="shared" si="1"/>
        <v>-569.99406021838865</v>
      </c>
      <c r="J16" s="35">
        <f t="shared" si="2"/>
        <v>1705.2178793628302</v>
      </c>
      <c r="K16" s="35">
        <f t="shared" si="6"/>
        <v>153.81033234563847</v>
      </c>
      <c r="L16" s="29">
        <f t="shared" si="3"/>
        <v>0.74784468574589169</v>
      </c>
    </row>
    <row r="17" spans="1:26">
      <c r="A17" s="34">
        <v>35050</v>
      </c>
      <c r="B17" s="33">
        <f t="shared" si="4"/>
        <v>12</v>
      </c>
      <c r="C17" s="3">
        <v>101</v>
      </c>
      <c r="D17" s="3">
        <v>0</v>
      </c>
      <c r="F17" s="31">
        <f t="shared" si="0"/>
        <v>1.8587878276090652E-2</v>
      </c>
      <c r="G17" s="31">
        <f t="shared" si="5"/>
        <v>1.5356994824623493E-3</v>
      </c>
      <c r="H17" s="17">
        <f t="shared" si="1"/>
        <v>-654.35570059654503</v>
      </c>
      <c r="J17" s="35">
        <f t="shared" si="2"/>
        <v>1858.7878276090653</v>
      </c>
      <c r="K17" s="35">
        <f t="shared" si="6"/>
        <v>153.56994824623507</v>
      </c>
      <c r="L17" s="29">
        <f t="shared" si="3"/>
        <v>0.52049453709143634</v>
      </c>
    </row>
    <row r="18" spans="1:26">
      <c r="A18" s="34">
        <v>35057</v>
      </c>
      <c r="B18" s="33">
        <f t="shared" si="4"/>
        <v>13</v>
      </c>
      <c r="C18" s="3">
        <v>176</v>
      </c>
      <c r="D18" s="3">
        <v>0</v>
      </c>
      <c r="F18" s="31">
        <f t="shared" si="0"/>
        <v>2.0121177676653779E-2</v>
      </c>
      <c r="G18" s="31">
        <f t="shared" si="5"/>
        <v>1.5332994005631262E-3</v>
      </c>
      <c r="H18" s="17">
        <f t="shared" si="1"/>
        <v>-1140.538677426297</v>
      </c>
      <c r="J18" s="35">
        <f t="shared" si="2"/>
        <v>2012.1177676653779</v>
      </c>
      <c r="K18" s="35">
        <f t="shared" si="6"/>
        <v>153.32994005631258</v>
      </c>
      <c r="L18" s="29">
        <f t="shared" si="3"/>
        <v>0.12880715877095125</v>
      </c>
      <c r="N18" s="8" t="s">
        <v>25</v>
      </c>
    </row>
    <row r="19" spans="1:26">
      <c r="A19" s="34">
        <v>35064</v>
      </c>
      <c r="B19" s="33">
        <f t="shared" si="4"/>
        <v>14</v>
      </c>
      <c r="C19" s="3">
        <v>144</v>
      </c>
      <c r="D19" s="3">
        <v>0</v>
      </c>
      <c r="F19" s="31">
        <f t="shared" si="0"/>
        <v>2.165208074656888E-2</v>
      </c>
      <c r="G19" s="31">
        <f t="shared" si="5"/>
        <v>1.5309030699151016E-3</v>
      </c>
      <c r="H19" s="17">
        <f t="shared" si="1"/>
        <v>-933.39323653354268</v>
      </c>
      <c r="J19" s="35">
        <f t="shared" si="2"/>
        <v>2165.2080746568881</v>
      </c>
      <c r="K19" s="35">
        <f t="shared" si="6"/>
        <v>153.09030699151026</v>
      </c>
      <c r="L19" s="29">
        <f t="shared" si="3"/>
        <v>6.3127131885487922E-2</v>
      </c>
      <c r="N19" s="7" t="s">
        <v>7</v>
      </c>
    </row>
    <row r="20" spans="1:26">
      <c r="A20" s="34">
        <v>35071</v>
      </c>
      <c r="B20" s="33">
        <f t="shared" si="4"/>
        <v>15</v>
      </c>
      <c r="C20" s="3">
        <v>178</v>
      </c>
      <c r="D20" s="3">
        <v>0</v>
      </c>
      <c r="F20" s="31">
        <f t="shared" si="0"/>
        <v>2.3180591232856207E-2</v>
      </c>
      <c r="G20" s="31">
        <f t="shared" si="5"/>
        <v>1.5285104862873267E-3</v>
      </c>
      <c r="H20" s="17">
        <f t="shared" si="1"/>
        <v>-1154.0561569944086</v>
      </c>
      <c r="J20" s="35">
        <f t="shared" si="2"/>
        <v>2318.0591232856209</v>
      </c>
      <c r="K20" s="35">
        <f t="shared" si="6"/>
        <v>152.85104862873277</v>
      </c>
      <c r="L20" s="29">
        <f t="shared" si="3"/>
        <v>0.14128624365880466</v>
      </c>
      <c r="N20" s="12" t="s">
        <v>24</v>
      </c>
    </row>
    <row r="21" spans="1:26">
      <c r="A21" s="34">
        <v>35078</v>
      </c>
      <c r="B21" s="33">
        <f t="shared" si="4"/>
        <v>16</v>
      </c>
      <c r="C21" s="3">
        <v>141</v>
      </c>
      <c r="D21" s="3">
        <v>0</v>
      </c>
      <c r="F21" s="31">
        <f t="shared" si="0"/>
        <v>2.4706712875695702E-2</v>
      </c>
      <c r="G21" s="31">
        <f t="shared" si="5"/>
        <v>1.5261216428394953E-3</v>
      </c>
      <c r="H21" s="17">
        <f t="shared" si="1"/>
        <v>-914.38861464379556</v>
      </c>
      <c r="J21" s="35">
        <f t="shared" si="2"/>
        <v>2470.6712875695703</v>
      </c>
      <c r="K21" s="35">
        <f t="shared" si="6"/>
        <v>152.61216428394937</v>
      </c>
      <c r="L21" s="29">
        <f t="shared" si="3"/>
        <v>8.2355775063470707E-2</v>
      </c>
      <c r="N21" s="13" t="s">
        <v>33</v>
      </c>
    </row>
    <row r="22" spans="1:26">
      <c r="A22" s="34">
        <v>35085</v>
      </c>
      <c r="B22" s="33">
        <f t="shared" si="4"/>
        <v>17</v>
      </c>
      <c r="C22" s="3">
        <v>151</v>
      </c>
      <c r="D22" s="3">
        <v>0</v>
      </c>
      <c r="F22" s="31">
        <f t="shared" si="0"/>
        <v>2.6230449410070245E-2</v>
      </c>
      <c r="G22" s="31">
        <f t="shared" si="5"/>
        <v>1.5237365343745424E-3</v>
      </c>
      <c r="H22" s="17">
        <f t="shared" si="1"/>
        <v>-979.475046869832</v>
      </c>
      <c r="J22" s="35">
        <f t="shared" si="2"/>
        <v>2623.0449410070246</v>
      </c>
      <c r="K22" s="35">
        <f t="shared" si="6"/>
        <v>152.37365343745432</v>
      </c>
      <c r="L22" s="29">
        <f t="shared" si="3"/>
        <v>9.097042632147832E-3</v>
      </c>
      <c r="N22" s="12" t="s">
        <v>36</v>
      </c>
      <c r="R22" s="19"/>
    </row>
    <row r="23" spans="1:26">
      <c r="A23" s="34">
        <v>35092</v>
      </c>
      <c r="B23" s="33">
        <f t="shared" si="4"/>
        <v>18</v>
      </c>
      <c r="C23" s="3">
        <v>102</v>
      </c>
      <c r="D23" s="3">
        <v>0</v>
      </c>
      <c r="F23" s="31">
        <f t="shared" si="0"/>
        <v>2.7751804564470683E-2</v>
      </c>
      <c r="G23" s="31">
        <f t="shared" si="5"/>
        <v>1.5213551544004389E-3</v>
      </c>
      <c r="H23" s="17">
        <f t="shared" si="1"/>
        <v>-661.79168682173963</v>
      </c>
      <c r="J23" s="35">
        <f t="shared" si="2"/>
        <v>2775.1804564470685</v>
      </c>
      <c r="K23" s="35">
        <f t="shared" si="6"/>
        <v>152.13551544004395</v>
      </c>
      <c r="L23" s="29">
        <f t="shared" si="3"/>
        <v>0.49152466117690141</v>
      </c>
      <c r="O23" s="11"/>
    </row>
    <row r="24" spans="1:26">
      <c r="A24" s="34">
        <v>35099</v>
      </c>
      <c r="B24" s="33">
        <f t="shared" si="4"/>
        <v>19</v>
      </c>
      <c r="C24" s="3">
        <v>132</v>
      </c>
      <c r="D24" s="33">
        <v>20.080000000000002</v>
      </c>
      <c r="E24" s="17"/>
      <c r="F24" s="31">
        <f t="shared" si="0"/>
        <v>2.9270782061882605E-2</v>
      </c>
      <c r="G24" s="31">
        <f t="shared" si="5"/>
        <v>1.5189774974119219E-3</v>
      </c>
      <c r="H24" s="17">
        <f t="shared" si="1"/>
        <v>-856.64275878173498</v>
      </c>
      <c r="J24" s="35">
        <f t="shared" si="2"/>
        <v>2927.0782061882605</v>
      </c>
      <c r="K24" s="35">
        <f t="shared" si="6"/>
        <v>151.897749741192</v>
      </c>
      <c r="L24" s="29">
        <f t="shared" si="3"/>
        <v>0.15074052834236365</v>
      </c>
      <c r="N24" s="17">
        <f>AVERAGE(D6:D32)</f>
        <v>120.4285185185185</v>
      </c>
      <c r="Z24" s="5"/>
    </row>
    <row r="25" spans="1:26">
      <c r="A25" s="34">
        <v>35106</v>
      </c>
      <c r="B25" s="33">
        <f t="shared" si="4"/>
        <v>20</v>
      </c>
      <c r="C25" s="3">
        <v>188</v>
      </c>
      <c r="D25" s="33">
        <v>18.669999999999998</v>
      </c>
      <c r="E25" s="17"/>
      <c r="F25" s="31">
        <f t="shared" si="0"/>
        <v>3.0787385619469032E-2</v>
      </c>
      <c r="G25" s="31">
        <f t="shared" si="5"/>
        <v>1.5166035575864267E-3</v>
      </c>
      <c r="H25" s="17">
        <f t="shared" si="1"/>
        <v>-1220.3610058359116</v>
      </c>
      <c r="J25" s="35">
        <f t="shared" si="2"/>
        <v>3078.7385619469032</v>
      </c>
      <c r="K25" s="35">
        <f t="shared" si="6"/>
        <v>151.66035575864271</v>
      </c>
      <c r="L25" s="29">
        <f t="shared" si="3"/>
        <v>0.19329598000721965</v>
      </c>
      <c r="N25" s="17">
        <f>_xlfn.STDEV.S(D6:D32)</f>
        <v>234.93822542734841</v>
      </c>
      <c r="Z25" s="5"/>
    </row>
    <row r="26" spans="1:26">
      <c r="A26" s="34">
        <v>35113</v>
      </c>
      <c r="B26" s="33">
        <f t="shared" si="4"/>
        <v>21</v>
      </c>
      <c r="C26" s="3">
        <v>121</v>
      </c>
      <c r="D26" s="33">
        <v>83.27000000000001</v>
      </c>
      <c r="E26" s="17"/>
      <c r="F26" s="31">
        <f t="shared" si="0"/>
        <v>3.2301618948903155E-2</v>
      </c>
      <c r="G26" s="31">
        <f t="shared" si="5"/>
        <v>1.5142333294341226E-3</v>
      </c>
      <c r="H26" s="17">
        <f t="shared" si="1"/>
        <v>-785.63436857581485</v>
      </c>
      <c r="J26" s="35">
        <f t="shared" si="2"/>
        <v>3230.1618948903156</v>
      </c>
      <c r="K26" s="35">
        <f t="shared" si="6"/>
        <v>151.42333294341233</v>
      </c>
      <c r="L26" s="29">
        <f t="shared" si="3"/>
        <v>0.25143250366456477</v>
      </c>
      <c r="Z26" s="5"/>
    </row>
    <row r="27" spans="1:26">
      <c r="A27" s="34">
        <v>35120</v>
      </c>
      <c r="B27" s="33">
        <f t="shared" si="4"/>
        <v>22</v>
      </c>
      <c r="C27" s="3">
        <v>139</v>
      </c>
      <c r="D27" s="33">
        <v>184.69</v>
      </c>
      <c r="E27" s="17"/>
      <c r="F27" s="31">
        <f t="shared" si="0"/>
        <v>3.3813485755729289E-2</v>
      </c>
      <c r="G27" s="31">
        <f t="shared" si="5"/>
        <v>1.5118668068261343E-3</v>
      </c>
      <c r="H27" s="17">
        <f t="shared" si="1"/>
        <v>-902.72300332015698</v>
      </c>
      <c r="J27" s="35">
        <f t="shared" si="2"/>
        <v>3381.3485755729289</v>
      </c>
      <c r="K27" s="35">
        <f t="shared" si="6"/>
        <v>151.18668068261331</v>
      </c>
      <c r="L27" s="29">
        <f t="shared" si="3"/>
        <v>8.7673961745419526E-2</v>
      </c>
      <c r="Z27" s="5"/>
    </row>
    <row r="28" spans="1:26">
      <c r="A28" s="34">
        <v>35127</v>
      </c>
      <c r="B28" s="33">
        <f t="shared" si="4"/>
        <v>23</v>
      </c>
      <c r="C28" s="3">
        <v>166</v>
      </c>
      <c r="D28" s="33">
        <v>424.75</v>
      </c>
      <c r="E28" s="17"/>
      <c r="F28" s="31">
        <f t="shared" si="0"/>
        <v>3.5322989739374644E-2</v>
      </c>
      <c r="G28" s="31">
        <f t="shared" si="5"/>
        <v>1.509503983645355E-3</v>
      </c>
      <c r="H28" s="17">
        <f t="shared" si="1"/>
        <v>-1078.3317121820314</v>
      </c>
      <c r="J28" s="35">
        <f t="shared" si="2"/>
        <v>3532.2989739374643</v>
      </c>
      <c r="K28" s="35">
        <f t="shared" si="6"/>
        <v>150.95039836453543</v>
      </c>
      <c r="L28" s="29">
        <f t="shared" si="3"/>
        <v>9.0660250816051627E-2</v>
      </c>
      <c r="Z28" s="5"/>
    </row>
    <row r="29" spans="1:26">
      <c r="A29" s="34">
        <v>35134</v>
      </c>
      <c r="B29" s="33">
        <f t="shared" si="4"/>
        <v>24</v>
      </c>
      <c r="C29" s="3">
        <v>170</v>
      </c>
      <c r="D29" s="33">
        <v>518.51</v>
      </c>
      <c r="E29" s="17"/>
      <c r="F29" s="31">
        <f t="shared" si="0"/>
        <v>3.683013459380402E-2</v>
      </c>
      <c r="G29" s="31">
        <f t="shared" si="5"/>
        <v>1.5071448544293764E-3</v>
      </c>
      <c r="H29" s="17">
        <f t="shared" si="1"/>
        <v>-1104.5815012934163</v>
      </c>
      <c r="J29" s="35">
        <f t="shared" si="2"/>
        <v>3683.0134593804019</v>
      </c>
      <c r="K29" s="35">
        <f t="shared" si="6"/>
        <v>150.71448544293753</v>
      </c>
      <c r="L29" s="29">
        <f t="shared" si="3"/>
        <v>0.11344420327683806</v>
      </c>
      <c r="Z29" s="5"/>
    </row>
    <row r="30" spans="1:26">
      <c r="A30" s="34">
        <v>35141</v>
      </c>
      <c r="B30" s="33">
        <f t="shared" si="4"/>
        <v>25</v>
      </c>
      <c r="C30" s="3">
        <v>316</v>
      </c>
      <c r="D30" s="33">
        <v>673.75</v>
      </c>
      <c r="E30" s="17"/>
      <c r="F30" s="31">
        <f t="shared" si="0"/>
        <v>3.8334924007205062E-2</v>
      </c>
      <c r="G30" s="31">
        <f t="shared" si="5"/>
        <v>1.504789413401042E-3</v>
      </c>
      <c r="H30" s="17">
        <f t="shared" si="1"/>
        <v>-2053.7163316101946</v>
      </c>
      <c r="J30" s="35">
        <f t="shared" si="2"/>
        <v>3833.4924007205063</v>
      </c>
      <c r="K30" s="35">
        <f t="shared" si="6"/>
        <v>150.47894134010448</v>
      </c>
      <c r="L30" s="29">
        <f t="shared" si="3"/>
        <v>0.5238008185439732</v>
      </c>
      <c r="Z30" s="5"/>
    </row>
    <row r="31" spans="1:26">
      <c r="A31" s="34">
        <v>35148</v>
      </c>
      <c r="B31" s="33">
        <f t="shared" si="4"/>
        <v>26</v>
      </c>
      <c r="C31" s="3">
        <v>427</v>
      </c>
      <c r="D31" s="33">
        <v>670.4</v>
      </c>
      <c r="E31" s="17"/>
      <c r="F31" s="31">
        <f t="shared" si="0"/>
        <v>3.9837361662318549E-2</v>
      </c>
      <c r="G31" s="31">
        <f t="shared" si="5"/>
        <v>1.5024376551134866E-3</v>
      </c>
      <c r="H31" s="17">
        <f t="shared" si="1"/>
        <v>-2775.7845470426123</v>
      </c>
      <c r="J31" s="35">
        <f t="shared" si="2"/>
        <v>3983.7361662318549</v>
      </c>
      <c r="K31" s="35">
        <f t="shared" si="6"/>
        <v>150.24376551134856</v>
      </c>
      <c r="L31" s="29">
        <f t="shared" si="3"/>
        <v>0.64814106437623287</v>
      </c>
      <c r="Z31" s="5"/>
    </row>
    <row r="32" spans="1:26">
      <c r="A32" s="34">
        <v>35155</v>
      </c>
      <c r="B32" s="33">
        <f t="shared" si="4"/>
        <v>27</v>
      </c>
      <c r="C32" s="3">
        <v>584</v>
      </c>
      <c r="D32" s="33">
        <v>657.45</v>
      </c>
      <c r="E32" s="17"/>
      <c r="F32" s="31">
        <f t="shared" si="0"/>
        <v>4.1337451235483935E-2</v>
      </c>
      <c r="G32" s="31">
        <f t="shared" si="5"/>
        <v>1.5000895731653863E-3</v>
      </c>
      <c r="H32" s="17">
        <f t="shared" si="1"/>
        <v>-3797.3025870125543</v>
      </c>
      <c r="J32" s="35">
        <f t="shared" si="2"/>
        <v>4133.7451235483932</v>
      </c>
      <c r="K32" s="35">
        <f t="shared" si="6"/>
        <v>150.00895731653827</v>
      </c>
      <c r="L32" s="29">
        <f t="shared" si="3"/>
        <v>0.74313534706072215</v>
      </c>
      <c r="Z32" s="5"/>
    </row>
    <row r="33" spans="1:14">
      <c r="A33" s="4"/>
      <c r="B33" s="4"/>
      <c r="H33" s="17">
        <f>(B3-SUM(C6:C32))*IFERROR(LN(1-F32),-10000)</f>
        <v>-4045.9952664381835</v>
      </c>
    </row>
    <row r="34" spans="1:14">
      <c r="A34" s="4"/>
      <c r="B34" s="4"/>
    </row>
    <row r="35" spans="1:14">
      <c r="A35" s="4"/>
      <c r="B35" s="4"/>
    </row>
    <row r="36" spans="1:14">
      <c r="A36" s="4"/>
      <c r="B36" s="4"/>
      <c r="D36" s="7"/>
      <c r="E36" s="7"/>
      <c r="F36" s="7"/>
      <c r="G36" s="7"/>
      <c r="H36" s="7"/>
      <c r="I36" s="7"/>
      <c r="J36" s="7"/>
      <c r="K36" s="7"/>
      <c r="L36" s="7"/>
      <c r="M36" s="7"/>
      <c r="N36" s="7"/>
    </row>
    <row r="37" spans="1:14">
      <c r="A37" s="4"/>
      <c r="B37" s="4"/>
      <c r="D37" s="7"/>
      <c r="E37" s="7"/>
      <c r="F37" s="7"/>
      <c r="G37" s="7"/>
      <c r="H37" s="7"/>
      <c r="I37" s="7"/>
      <c r="J37" s="7"/>
      <c r="K37" s="7"/>
      <c r="L37" s="7"/>
      <c r="M37" s="7"/>
      <c r="N37" s="7"/>
    </row>
    <row r="38" spans="1:14">
      <c r="A38" s="4"/>
      <c r="B38" s="4"/>
      <c r="D38" s="7"/>
      <c r="E38" s="7"/>
      <c r="F38" s="7"/>
      <c r="G38" s="7"/>
      <c r="H38" s="7"/>
      <c r="I38" s="7"/>
      <c r="J38" s="7"/>
      <c r="K38" s="7"/>
      <c r="L38" s="7"/>
      <c r="M38" s="7"/>
      <c r="N38" s="7"/>
    </row>
    <row r="39" spans="1:14">
      <c r="A39" s="4"/>
      <c r="B39" s="4"/>
    </row>
    <row r="40" spans="1:14">
      <c r="A40" s="4"/>
      <c r="B40" s="4"/>
      <c r="D40" s="7"/>
      <c r="E40" s="7"/>
      <c r="F40" s="7"/>
      <c r="G40" s="7"/>
      <c r="H40" s="7"/>
      <c r="I40" s="7"/>
      <c r="J40" s="7"/>
      <c r="K40" s="7"/>
      <c r="L40" s="7"/>
      <c r="M40" s="7"/>
      <c r="N40" s="7"/>
    </row>
    <row r="41" spans="1:14">
      <c r="A41" s="4"/>
      <c r="B41" s="4"/>
      <c r="D41" s="20"/>
      <c r="E41" s="20"/>
      <c r="F41" s="20"/>
      <c r="G41" s="20"/>
      <c r="H41" s="20"/>
      <c r="I41" s="20"/>
      <c r="J41" s="20"/>
      <c r="K41" s="20"/>
      <c r="L41" s="20"/>
      <c r="M41" s="20"/>
      <c r="N41" s="20"/>
    </row>
    <row r="42" spans="1:14">
      <c r="A42" s="4"/>
      <c r="B42" s="4"/>
    </row>
    <row r="43" spans="1:14">
      <c r="A43" s="4"/>
      <c r="B43" s="4"/>
    </row>
    <row r="44" spans="1:14">
      <c r="A44" s="4"/>
      <c r="B44" s="4"/>
    </row>
    <row r="45" spans="1:14">
      <c r="A45" s="4"/>
      <c r="B45" s="4"/>
      <c r="C45" s="9"/>
    </row>
    <row r="46" spans="1:14">
      <c r="A46" s="4"/>
      <c r="B46" s="4"/>
    </row>
    <row r="47" spans="1:14">
      <c r="A47" s="4"/>
      <c r="B47" s="4"/>
    </row>
    <row r="48" spans="1:14" ht="14.25">
      <c r="A48" s="4"/>
      <c r="B48" s="4"/>
      <c r="C48" s="9"/>
      <c r="D48" s="10"/>
      <c r="E48" s="10"/>
      <c r="F48" s="10"/>
      <c r="G48" s="10"/>
      <c r="H48" s="10"/>
      <c r="I48" s="10"/>
      <c r="J48" s="10"/>
      <c r="K48" s="10"/>
      <c r="L48" s="10"/>
      <c r="M48" s="10"/>
      <c r="N48" s="10"/>
    </row>
    <row r="49" spans="1:14">
      <c r="A49" s="4"/>
      <c r="B49" s="4"/>
      <c r="C49" s="3"/>
    </row>
    <row r="50" spans="1:14">
      <c r="A50" s="4"/>
      <c r="B50" s="4"/>
      <c r="D50" s="7"/>
      <c r="E50" s="7"/>
      <c r="F50" s="7"/>
      <c r="G50" s="7"/>
      <c r="H50" s="7"/>
      <c r="I50" s="7"/>
      <c r="J50" s="7"/>
      <c r="K50" s="7"/>
      <c r="L50" s="7"/>
      <c r="M50" s="7"/>
      <c r="N50" s="7"/>
    </row>
    <row r="51" spans="1:14">
      <c r="A51" s="4"/>
      <c r="B51" s="4"/>
      <c r="D51" s="14"/>
      <c r="E51" s="14"/>
      <c r="F51" s="14"/>
      <c r="G51" s="14"/>
      <c r="H51" s="14"/>
      <c r="I51" s="14"/>
      <c r="J51" s="14"/>
      <c r="K51" s="14"/>
      <c r="L51" s="14"/>
      <c r="M51" s="14"/>
      <c r="N51" s="14"/>
    </row>
    <row r="53" spans="1:14">
      <c r="D53" s="7"/>
      <c r="E53" s="7"/>
      <c r="F53" s="7"/>
      <c r="G53" s="7"/>
      <c r="H53" s="7"/>
      <c r="I53" s="7"/>
      <c r="J53" s="7"/>
      <c r="K53" s="7"/>
      <c r="L53" s="7"/>
      <c r="M53" s="7"/>
      <c r="N53" s="7"/>
    </row>
    <row r="56" spans="1:14" ht="15">
      <c r="D56" s="18"/>
      <c r="E56" s="18"/>
      <c r="F56" s="18"/>
      <c r="G56" s="18"/>
      <c r="H56" s="18"/>
      <c r="I56" s="18"/>
      <c r="J56" s="18"/>
      <c r="K56" s="18"/>
      <c r="L56" s="18"/>
      <c r="M56" s="18"/>
      <c r="N56" s="18"/>
    </row>
  </sheetData>
  <scenarios current="0" show="0">
    <scenario name="pittsfield best fit" locked="1" count="1" user="Author">
      <inputCells r="D37" deleted="1" val=""/>
    </scenario>
  </scenarios>
  <printOptions gridLines="1" gridLinesSet="0"/>
  <pageMargins left="0.75" right="0.75" top="1" bottom="1" header="0.5" footer="0.5"/>
  <pageSetup orientation="portrait" r:id="rId1"/>
  <headerFooter alignWithMargins="0">
    <oddHeader>&amp;A</oddHeader>
    <oddFoote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21C95-15E3-4F28-B894-15D10F214A3B}">
  <dimension ref="A1:AE59"/>
  <sheetViews>
    <sheetView zoomScaleNormal="100" workbookViewId="0">
      <selection activeCell="G4" sqref="G4"/>
    </sheetView>
  </sheetViews>
  <sheetFormatPr defaultRowHeight="12.75"/>
  <cols>
    <col min="1" max="1" width="12" style="2" customWidth="1"/>
    <col min="2" max="3" width="10.85546875" style="2" customWidth="1"/>
    <col min="4" max="4" width="10.5703125" style="2" customWidth="1"/>
    <col min="5" max="5" width="3.7109375" style="2" customWidth="1"/>
    <col min="6" max="6" width="11.28515625" style="2" customWidth="1"/>
    <col min="7" max="7" width="10.85546875" style="2" customWidth="1"/>
    <col min="8" max="8" width="8.42578125" style="2" customWidth="1"/>
    <col min="9" max="9" width="3.28515625" style="2" customWidth="1"/>
    <col min="10" max="12" width="7.7109375" style="2" customWidth="1"/>
    <col min="13" max="13" width="6.7109375" style="54" customWidth="1"/>
    <col min="14" max="14" width="6.7109375" style="2" customWidth="1"/>
    <col min="15" max="15" width="9.28515625" style="2" customWidth="1"/>
    <col min="16" max="16" width="11.7109375" style="54" customWidth="1"/>
    <col min="17" max="17" width="8.5703125" style="2" customWidth="1"/>
    <col min="18" max="18" width="6.28515625" style="2" customWidth="1"/>
    <col min="19" max="19" width="6.7109375" style="2" customWidth="1"/>
    <col min="20" max="20" width="11.140625" style="2" customWidth="1"/>
    <col min="21" max="16384" width="9.140625" style="2"/>
  </cols>
  <sheetData>
    <row r="1" spans="1:22">
      <c r="A1" s="2" t="s">
        <v>117</v>
      </c>
      <c r="B1" s="161">
        <f>EXP(C1)</f>
        <v>1.5635638746399185E-3</v>
      </c>
      <c r="C1" s="27">
        <v>-6.4607875282776357</v>
      </c>
      <c r="E1" s="27"/>
      <c r="F1" s="2" t="s">
        <v>107</v>
      </c>
      <c r="G1" s="28">
        <f>-2*G2+LN(B5)</f>
        <v>62085.266004556514</v>
      </c>
    </row>
    <row r="2" spans="1:22">
      <c r="A2" s="127" t="s">
        <v>98</v>
      </c>
      <c r="B2" s="128">
        <f>EXP(C2)</f>
        <v>1</v>
      </c>
      <c r="C2" s="128">
        <v>0</v>
      </c>
      <c r="E2" s="27"/>
      <c r="F2" s="2" t="s">
        <v>99</v>
      </c>
      <c r="G2" s="28">
        <f>SUM(H9:H36)</f>
        <v>-31036.87653954577</v>
      </c>
      <c r="P2" s="192"/>
      <c r="Q2" s="192"/>
      <c r="R2" s="192"/>
      <c r="S2" s="192"/>
      <c r="U2" s="66"/>
      <c r="V2" s="66"/>
    </row>
    <row r="3" spans="1:22">
      <c r="A3" s="129" t="s">
        <v>125</v>
      </c>
      <c r="B3" s="130">
        <f>C3</f>
        <v>0</v>
      </c>
      <c r="C3" s="128">
        <v>0</v>
      </c>
      <c r="E3" s="27"/>
      <c r="F3" s="2" t="s">
        <v>130</v>
      </c>
      <c r="G3" s="146">
        <f>AVERAGE(L9:L35)</f>
        <v>0.5134473454700843</v>
      </c>
      <c r="P3" s="62"/>
      <c r="Q3" s="88"/>
      <c r="R3" s="88"/>
      <c r="S3" s="88"/>
      <c r="T3" s="7"/>
      <c r="U3" s="28"/>
      <c r="V3" s="28"/>
    </row>
    <row r="4" spans="1:22">
      <c r="A4" s="129" t="s">
        <v>126</v>
      </c>
      <c r="B4" s="130">
        <f>C4</f>
        <v>0</v>
      </c>
      <c r="C4" s="128">
        <v>0</v>
      </c>
      <c r="E4" s="27"/>
      <c r="G4" s="146"/>
      <c r="P4" s="62"/>
      <c r="Q4" s="88"/>
      <c r="R4" s="88"/>
      <c r="S4" s="88"/>
      <c r="T4" s="7"/>
      <c r="U4" s="28"/>
      <c r="V4" s="28"/>
    </row>
    <row r="5" spans="1:22">
      <c r="A5" s="2" t="s">
        <v>105</v>
      </c>
      <c r="B5" s="28">
        <v>100000</v>
      </c>
      <c r="C5" s="28"/>
      <c r="E5" s="27"/>
      <c r="N5" s="54"/>
      <c r="O5" s="54"/>
      <c r="P5" s="62"/>
      <c r="Q5" s="193"/>
      <c r="R5" s="193"/>
      <c r="S5" s="62"/>
      <c r="T5" s="7"/>
    </row>
    <row r="6" spans="1:22">
      <c r="N6" s="54"/>
      <c r="O6" s="54"/>
      <c r="P6" s="63">
        <v>0</v>
      </c>
      <c r="Q6" s="63">
        <v>0</v>
      </c>
      <c r="R6" s="63">
        <v>0</v>
      </c>
      <c r="S6" s="54"/>
    </row>
    <row r="7" spans="1:22">
      <c r="N7" s="54"/>
      <c r="O7" s="54"/>
      <c r="Q7" s="54"/>
      <c r="R7" s="54"/>
      <c r="S7" s="54"/>
    </row>
    <row r="8" spans="1:22">
      <c r="A8" s="32" t="s">
        <v>1</v>
      </c>
      <c r="B8" s="88" t="s">
        <v>100</v>
      </c>
      <c r="C8" s="88" t="s">
        <v>128</v>
      </c>
      <c r="D8" s="88" t="s">
        <v>101</v>
      </c>
      <c r="E8" s="7"/>
      <c r="F8" s="88" t="s">
        <v>103</v>
      </c>
      <c r="G8" s="32" t="s">
        <v>104</v>
      </c>
      <c r="H8" s="7"/>
      <c r="I8" s="7"/>
      <c r="J8" s="7" t="s">
        <v>106</v>
      </c>
      <c r="K8" s="7" t="s">
        <v>173</v>
      </c>
      <c r="L8" s="7" t="s">
        <v>129</v>
      </c>
      <c r="M8" s="55"/>
      <c r="N8" s="55" t="s">
        <v>108</v>
      </c>
      <c r="O8" s="55" t="s">
        <v>109</v>
      </c>
      <c r="P8" s="62" t="s">
        <v>116</v>
      </c>
      <c r="Q8" s="55" t="s">
        <v>114</v>
      </c>
      <c r="R8" s="62" t="s">
        <v>112</v>
      </c>
      <c r="S8" s="62" t="s">
        <v>113</v>
      </c>
      <c r="T8" s="7" t="s">
        <v>111</v>
      </c>
    </row>
    <row r="9" spans="1:22">
      <c r="A9" s="34">
        <v>34973</v>
      </c>
      <c r="B9" s="33">
        <v>1</v>
      </c>
      <c r="C9" s="33">
        <f>D9</f>
        <v>74</v>
      </c>
      <c r="D9" s="3">
        <v>74</v>
      </c>
      <c r="F9" s="31">
        <f>1-EXP(-$B$1*N9)</f>
        <v>1.5623421454783459E-3</v>
      </c>
      <c r="G9" s="31">
        <f>F9</f>
        <v>1.5623421454783459E-3</v>
      </c>
      <c r="H9" s="17">
        <f t="shared" ref="H9:H35" si="0">D9*IFERROR(LN(G9),-10000)</f>
        <v>-478.15612141798408</v>
      </c>
      <c r="J9" s="35">
        <f t="shared" ref="J9:J35" si="1">$B$5*F9</f>
        <v>156.2342145478346</v>
      </c>
      <c r="K9" s="145">
        <f>J9</f>
        <v>156.2342145478346</v>
      </c>
      <c r="L9" s="78">
        <f>ABS(D9-K9)/D9</f>
        <v>1.1112731695653324</v>
      </c>
      <c r="M9" s="56"/>
      <c r="N9" s="56">
        <f>B9^B2*O9</f>
        <v>1</v>
      </c>
      <c r="O9" s="141">
        <f>EXP(SUMPRODUCT($P$6,P9))</f>
        <v>1</v>
      </c>
      <c r="P9" s="64">
        <v>0</v>
      </c>
      <c r="Q9" s="72">
        <v>0</v>
      </c>
      <c r="R9" s="72">
        <v>0</v>
      </c>
      <c r="S9" s="72">
        <v>0</v>
      </c>
      <c r="T9" s="2" t="s">
        <v>131</v>
      </c>
    </row>
    <row r="10" spans="1:22">
      <c r="A10" s="34">
        <v>34980</v>
      </c>
      <c r="B10" s="33">
        <f>B9+1</f>
        <v>2</v>
      </c>
      <c r="C10" s="33">
        <f>C9+D10</f>
        <v>142</v>
      </c>
      <c r="D10" s="3">
        <v>68</v>
      </c>
      <c r="F10" s="31">
        <f>1-EXP(-$B$1*N10)</f>
        <v>3.1222433779771741E-3</v>
      </c>
      <c r="G10" s="31">
        <f>F10-F9</f>
        <v>1.5599012324988282E-3</v>
      </c>
      <c r="H10" s="17">
        <f t="shared" si="0"/>
        <v>-439.49302851135189</v>
      </c>
      <c r="J10" s="35">
        <f t="shared" si="1"/>
        <v>312.2243377977174</v>
      </c>
      <c r="K10" s="145">
        <f>J10-J9</f>
        <v>155.9901232498828</v>
      </c>
      <c r="L10" s="78">
        <f t="shared" ref="L10:L35" si="2">ABS(D10-K10)/D10</f>
        <v>1.2939724007335707</v>
      </c>
      <c r="M10" s="56"/>
      <c r="N10" s="56">
        <f>N9+(B10^$B$2-B9^$B$2)*O10</f>
        <v>2</v>
      </c>
      <c r="O10" s="141">
        <f t="shared" ref="O10:O35" si="3">EXP(SUMPRODUCT($P$6,P10))</f>
        <v>1</v>
      </c>
      <c r="P10" s="64">
        <v>0</v>
      </c>
      <c r="Q10" s="72">
        <v>0</v>
      </c>
      <c r="R10" s="72">
        <v>0</v>
      </c>
      <c r="S10" s="72">
        <v>0</v>
      </c>
    </row>
    <row r="11" spans="1:22">
      <c r="A11" s="34">
        <v>34987</v>
      </c>
      <c r="B11" s="33">
        <f t="shared" ref="B11:B35" si="4">B10+1</f>
        <v>3</v>
      </c>
      <c r="C11" s="33">
        <f t="shared" ref="C11:C35" si="5">C10+D11</f>
        <v>227</v>
      </c>
      <c r="D11" s="3">
        <v>85</v>
      </c>
      <c r="F11" s="31">
        <f>1-EXP(-$B$1*N11)</f>
        <v>4.6797075110377451E-3</v>
      </c>
      <c r="G11" s="31">
        <f t="shared" ref="G11:G35" si="6">F11-F10</f>
        <v>1.557464133060571E-3</v>
      </c>
      <c r="H11" s="17">
        <f t="shared" si="0"/>
        <v>-549.49918856853105</v>
      </c>
      <c r="J11" s="35">
        <f t="shared" si="1"/>
        <v>467.97075110377449</v>
      </c>
      <c r="K11" s="145">
        <f t="shared" ref="K11:K35" si="7">J11-J10</f>
        <v>155.74641330605709</v>
      </c>
      <c r="L11" s="78">
        <f t="shared" si="2"/>
        <v>0.83231074477714229</v>
      </c>
      <c r="M11" s="56"/>
      <c r="N11" s="56">
        <f>N10+(B11^$B$2-B10^$B$2)*O11</f>
        <v>3</v>
      </c>
      <c r="O11" s="141">
        <f t="shared" si="3"/>
        <v>1</v>
      </c>
      <c r="P11" s="64">
        <v>0</v>
      </c>
      <c r="Q11" s="72">
        <v>0</v>
      </c>
      <c r="R11" s="72">
        <v>0</v>
      </c>
      <c r="S11" s="72">
        <v>0</v>
      </c>
    </row>
    <row r="12" spans="1:22">
      <c r="A12" s="34">
        <v>34994</v>
      </c>
      <c r="B12" s="33">
        <f t="shared" si="4"/>
        <v>4</v>
      </c>
      <c r="C12" s="33">
        <f t="shared" si="5"/>
        <v>313</v>
      </c>
      <c r="D12" s="3">
        <v>86</v>
      </c>
      <c r="F12" s="31">
        <f>1-EXP(-$B$1*N12)</f>
        <v>6.2347383522430855E-3</v>
      </c>
      <c r="G12" s="31">
        <f t="shared" si="6"/>
        <v>1.5550308412053404E-3</v>
      </c>
      <c r="H12" s="17">
        <f t="shared" si="0"/>
        <v>-556.0983513978548</v>
      </c>
      <c r="J12" s="35">
        <f t="shared" si="1"/>
        <v>623.47383522430857</v>
      </c>
      <c r="K12" s="145">
        <f t="shared" si="7"/>
        <v>155.50308412053408</v>
      </c>
      <c r="L12" s="78">
        <f t="shared" si="2"/>
        <v>0.80817539675039629</v>
      </c>
      <c r="M12" s="56"/>
      <c r="N12" s="56">
        <f t="shared" ref="N12:N35" si="8">N11+(B12^$B$2-B11^$B$2)*O12</f>
        <v>4</v>
      </c>
      <c r="O12" s="141">
        <f t="shared" si="3"/>
        <v>1</v>
      </c>
      <c r="P12" s="64">
        <v>0</v>
      </c>
      <c r="Q12" s="72">
        <v>0</v>
      </c>
      <c r="R12" s="72">
        <v>0</v>
      </c>
      <c r="S12" s="72">
        <v>0</v>
      </c>
    </row>
    <row r="13" spans="1:22">
      <c r="A13" s="34">
        <v>35001</v>
      </c>
      <c r="B13" s="33">
        <f t="shared" si="4"/>
        <v>5</v>
      </c>
      <c r="C13" s="33">
        <f t="shared" si="5"/>
        <v>409</v>
      </c>
      <c r="D13" s="3">
        <v>96</v>
      </c>
      <c r="F13" s="31">
        <f t="shared" ref="F13:F35" si="9">1-EXP(-$B$1*N13)</f>
        <v>7.787339703227647E-3</v>
      </c>
      <c r="G13" s="31">
        <f t="shared" si="6"/>
        <v>1.5526013509845615E-3</v>
      </c>
      <c r="H13" s="17">
        <f t="shared" si="0"/>
        <v>-620.91105252957357</v>
      </c>
      <c r="J13" s="35">
        <f t="shared" si="1"/>
        <v>778.73397032276466</v>
      </c>
      <c r="K13" s="145">
        <f t="shared" si="7"/>
        <v>155.26013509845609</v>
      </c>
      <c r="L13" s="78">
        <f t="shared" si="2"/>
        <v>0.61729307394225097</v>
      </c>
      <c r="M13" s="56"/>
      <c r="N13" s="56">
        <f t="shared" si="8"/>
        <v>5</v>
      </c>
      <c r="O13" s="141">
        <f t="shared" si="3"/>
        <v>1</v>
      </c>
      <c r="P13" s="64">
        <v>0</v>
      </c>
      <c r="Q13" s="72">
        <v>0</v>
      </c>
      <c r="R13" s="72">
        <v>0</v>
      </c>
      <c r="S13" s="72">
        <v>0</v>
      </c>
      <c r="T13" s="2" t="s">
        <v>22</v>
      </c>
    </row>
    <row r="14" spans="1:22">
      <c r="A14" s="34">
        <v>35008</v>
      </c>
      <c r="B14" s="33">
        <f t="shared" si="4"/>
        <v>6</v>
      </c>
      <c r="C14" s="33">
        <f t="shared" si="5"/>
        <v>516</v>
      </c>
      <c r="D14" s="3">
        <v>107</v>
      </c>
      <c r="F14" s="31">
        <f t="shared" si="9"/>
        <v>9.3375153596865212E-3</v>
      </c>
      <c r="G14" s="31">
        <f t="shared" si="6"/>
        <v>1.5501756564588742E-3</v>
      </c>
      <c r="H14" s="17">
        <f t="shared" si="0"/>
        <v>-692.22441196650141</v>
      </c>
      <c r="J14" s="35">
        <f t="shared" si="1"/>
        <v>933.75153596865209</v>
      </c>
      <c r="K14" s="145">
        <f t="shared" si="7"/>
        <v>155.01756564588743</v>
      </c>
      <c r="L14" s="78">
        <f t="shared" si="2"/>
        <v>0.44876229575595727</v>
      </c>
      <c r="M14" s="56"/>
      <c r="N14" s="56">
        <f t="shared" si="8"/>
        <v>6</v>
      </c>
      <c r="O14" s="141">
        <f t="shared" si="3"/>
        <v>1</v>
      </c>
      <c r="P14" s="64">
        <v>0</v>
      </c>
      <c r="Q14" s="72">
        <v>0</v>
      </c>
      <c r="R14" s="72">
        <v>0</v>
      </c>
      <c r="S14" s="72">
        <v>0</v>
      </c>
      <c r="T14" s="2" t="s">
        <v>21</v>
      </c>
    </row>
    <row r="15" spans="1:22">
      <c r="A15" s="34">
        <v>35015</v>
      </c>
      <c r="B15" s="33">
        <f t="shared" si="4"/>
        <v>7</v>
      </c>
      <c r="C15" s="33">
        <f t="shared" si="5"/>
        <v>601</v>
      </c>
      <c r="D15" s="3">
        <v>85</v>
      </c>
      <c r="F15" s="31">
        <f t="shared" si="9"/>
        <v>1.0885269111384432E-2</v>
      </c>
      <c r="G15" s="31">
        <f t="shared" si="6"/>
        <v>1.5477537516979112E-3</v>
      </c>
      <c r="H15" s="17">
        <f t="shared" si="0"/>
        <v>-550.03080028591</v>
      </c>
      <c r="J15" s="35">
        <f t="shared" si="1"/>
        <v>1088.5269111384432</v>
      </c>
      <c r="K15" s="145">
        <f t="shared" si="7"/>
        <v>154.77537516979112</v>
      </c>
      <c r="L15" s="78">
        <f t="shared" si="2"/>
        <v>0.82088676670342497</v>
      </c>
      <c r="M15" s="56"/>
      <c r="N15" s="56">
        <f t="shared" si="8"/>
        <v>7</v>
      </c>
      <c r="O15" s="141">
        <f t="shared" si="3"/>
        <v>1</v>
      </c>
      <c r="P15" s="64">
        <v>0</v>
      </c>
      <c r="Q15" s="72">
        <v>0</v>
      </c>
      <c r="R15" s="72">
        <v>0</v>
      </c>
      <c r="S15" s="72">
        <v>0</v>
      </c>
    </row>
    <row r="16" spans="1:22">
      <c r="A16" s="34">
        <v>35022</v>
      </c>
      <c r="B16" s="33">
        <f t="shared" si="4"/>
        <v>8</v>
      </c>
      <c r="C16" s="33">
        <f t="shared" si="5"/>
        <v>675</v>
      </c>
      <c r="D16" s="3">
        <v>74</v>
      </c>
      <c r="F16" s="31">
        <f t="shared" si="9"/>
        <v>1.2430604742165174E-2</v>
      </c>
      <c r="G16" s="31">
        <f t="shared" si="6"/>
        <v>1.545335630780742E-3</v>
      </c>
      <c r="H16" s="17">
        <f t="shared" si="0"/>
        <v>-478.96604750504827</v>
      </c>
      <c r="J16" s="35">
        <f t="shared" si="1"/>
        <v>1243.0604742165174</v>
      </c>
      <c r="K16" s="145">
        <f t="shared" si="7"/>
        <v>154.53356307807417</v>
      </c>
      <c r="L16" s="78">
        <f t="shared" si="2"/>
        <v>1.0882913929469482</v>
      </c>
      <c r="M16" s="56"/>
      <c r="N16" s="56">
        <f t="shared" si="8"/>
        <v>8</v>
      </c>
      <c r="O16" s="141">
        <f t="shared" si="3"/>
        <v>1</v>
      </c>
      <c r="P16" s="64">
        <v>0</v>
      </c>
      <c r="Q16" s="72">
        <v>0</v>
      </c>
      <c r="R16" s="72">
        <v>0</v>
      </c>
      <c r="S16" s="72">
        <v>0</v>
      </c>
    </row>
    <row r="17" spans="1:31">
      <c r="A17" s="34">
        <v>35029</v>
      </c>
      <c r="B17" s="33">
        <f t="shared" si="4"/>
        <v>9</v>
      </c>
      <c r="C17" s="33">
        <f t="shared" si="5"/>
        <v>762</v>
      </c>
      <c r="D17" s="3">
        <v>87</v>
      </c>
      <c r="F17" s="31">
        <f t="shared" si="9"/>
        <v>1.3973526029961048E-2</v>
      </c>
      <c r="G17" s="31">
        <f t="shared" si="6"/>
        <v>1.5429212877958731E-3</v>
      </c>
      <c r="H17" s="17">
        <f t="shared" si="0"/>
        <v>-563.24476158329855</v>
      </c>
      <c r="J17" s="35">
        <f t="shared" si="1"/>
        <v>1397.3526029961047</v>
      </c>
      <c r="K17" s="145">
        <f t="shared" si="7"/>
        <v>154.2921287795873</v>
      </c>
      <c r="L17" s="78">
        <f t="shared" si="2"/>
        <v>0.77347274459295745</v>
      </c>
      <c r="M17" s="56"/>
      <c r="N17" s="56">
        <f t="shared" si="8"/>
        <v>9</v>
      </c>
      <c r="O17" s="141">
        <f t="shared" si="3"/>
        <v>1</v>
      </c>
      <c r="P17" s="64">
        <v>0</v>
      </c>
      <c r="Q17" s="72">
        <v>1</v>
      </c>
      <c r="R17" s="72">
        <v>0</v>
      </c>
      <c r="S17" s="72">
        <v>0</v>
      </c>
      <c r="T17" s="2" t="s">
        <v>23</v>
      </c>
    </row>
    <row r="18" spans="1:31">
      <c r="A18" s="34">
        <v>35036</v>
      </c>
      <c r="B18" s="33">
        <f t="shared" si="4"/>
        <v>10</v>
      </c>
      <c r="C18" s="33">
        <f t="shared" si="5"/>
        <v>836</v>
      </c>
      <c r="D18" s="3">
        <v>74</v>
      </c>
      <c r="F18" s="31">
        <f t="shared" si="9"/>
        <v>1.5514036746801851E-2</v>
      </c>
      <c r="G18" s="31">
        <f t="shared" si="6"/>
        <v>1.5405107168408039E-3</v>
      </c>
      <c r="H18" s="17">
        <f t="shared" si="0"/>
        <v>-479.19745495849406</v>
      </c>
      <c r="J18" s="35">
        <f t="shared" si="1"/>
        <v>1551.4036746801851</v>
      </c>
      <c r="K18" s="145">
        <f t="shared" si="7"/>
        <v>154.0510716840804</v>
      </c>
      <c r="L18" s="78">
        <f t="shared" si="2"/>
        <v>1.0817712389740595</v>
      </c>
      <c r="M18" s="56"/>
      <c r="N18" s="56">
        <f t="shared" si="8"/>
        <v>10</v>
      </c>
      <c r="O18" s="141">
        <f t="shared" si="3"/>
        <v>1</v>
      </c>
      <c r="P18" s="64">
        <v>0</v>
      </c>
      <c r="Q18" s="72">
        <v>0</v>
      </c>
      <c r="R18" s="64">
        <v>1</v>
      </c>
      <c r="S18" s="72">
        <v>0</v>
      </c>
      <c r="T18" s="68"/>
    </row>
    <row r="19" spans="1:31">
      <c r="A19" s="34">
        <v>35043</v>
      </c>
      <c r="B19" s="33">
        <f t="shared" si="4"/>
        <v>11</v>
      </c>
      <c r="C19" s="33">
        <f t="shared" si="5"/>
        <v>924</v>
      </c>
      <c r="D19" s="3">
        <v>88</v>
      </c>
      <c r="F19" s="31">
        <f t="shared" si="9"/>
        <v>1.7052140658824211E-2</v>
      </c>
      <c r="G19" s="31">
        <f t="shared" si="6"/>
        <v>1.5381039120223594E-3</v>
      </c>
      <c r="H19" s="17">
        <f t="shared" si="0"/>
        <v>-569.99402654458072</v>
      </c>
      <c r="J19" s="35">
        <f t="shared" si="1"/>
        <v>1705.214065882421</v>
      </c>
      <c r="K19" s="145">
        <f t="shared" si="7"/>
        <v>153.81039120223591</v>
      </c>
      <c r="L19" s="78">
        <f t="shared" si="2"/>
        <v>0.74784535457086254</v>
      </c>
      <c r="M19" s="56"/>
      <c r="N19" s="56">
        <f t="shared" si="8"/>
        <v>11</v>
      </c>
      <c r="O19" s="141">
        <f t="shared" si="3"/>
        <v>1</v>
      </c>
      <c r="P19" s="64">
        <v>0</v>
      </c>
      <c r="Q19" s="72">
        <v>0</v>
      </c>
      <c r="R19" s="64">
        <v>1</v>
      </c>
      <c r="S19" s="72">
        <v>0</v>
      </c>
    </row>
    <row r="20" spans="1:31">
      <c r="A20" s="34">
        <v>35050</v>
      </c>
      <c r="B20" s="33">
        <f t="shared" si="4"/>
        <v>12</v>
      </c>
      <c r="C20" s="33">
        <f t="shared" si="5"/>
        <v>1025</v>
      </c>
      <c r="D20" s="3">
        <v>101</v>
      </c>
      <c r="F20" s="31">
        <f t="shared" si="9"/>
        <v>1.858784152628068E-2</v>
      </c>
      <c r="G20" s="31">
        <f t="shared" si="6"/>
        <v>1.5357008674564687E-3</v>
      </c>
      <c r="H20" s="17">
        <f t="shared" si="0"/>
        <v>-654.35560950818785</v>
      </c>
      <c r="J20" s="35">
        <f t="shared" si="1"/>
        <v>1858.7841526280679</v>
      </c>
      <c r="K20" s="145">
        <f t="shared" si="7"/>
        <v>153.5700867456469</v>
      </c>
      <c r="L20" s="78">
        <f t="shared" si="2"/>
        <v>0.52049590837274162</v>
      </c>
      <c r="M20" s="56"/>
      <c r="N20" s="56">
        <f t="shared" si="8"/>
        <v>12</v>
      </c>
      <c r="O20" s="141">
        <f t="shared" si="3"/>
        <v>1</v>
      </c>
      <c r="P20" s="64">
        <v>0</v>
      </c>
      <c r="Q20" s="72">
        <v>0</v>
      </c>
      <c r="R20" s="64">
        <v>1</v>
      </c>
      <c r="S20" s="72">
        <v>0</v>
      </c>
    </row>
    <row r="21" spans="1:31">
      <c r="A21" s="137">
        <v>35057</v>
      </c>
      <c r="B21" s="138">
        <f t="shared" si="4"/>
        <v>13</v>
      </c>
      <c r="C21" s="138">
        <f t="shared" si="5"/>
        <v>1201</v>
      </c>
      <c r="D21" s="64">
        <v>176</v>
      </c>
      <c r="E21" s="54"/>
      <c r="F21" s="139">
        <f t="shared" si="9"/>
        <v>2.0121143103549066E-2</v>
      </c>
      <c r="G21" s="139">
        <f t="shared" si="6"/>
        <v>1.5333015772683867E-3</v>
      </c>
      <c r="H21" s="140">
        <f t="shared" si="0"/>
        <v>-1140.5384275730371</v>
      </c>
      <c r="I21" s="54"/>
      <c r="J21" s="56">
        <f t="shared" si="1"/>
        <v>2012.1143103549066</v>
      </c>
      <c r="K21" s="145">
        <f t="shared" si="7"/>
        <v>153.33015772683871</v>
      </c>
      <c r="L21" s="78">
        <f t="shared" si="2"/>
        <v>0.12880592200659827</v>
      </c>
      <c r="M21" s="56"/>
      <c r="N21" s="56">
        <f t="shared" si="8"/>
        <v>13</v>
      </c>
      <c r="O21" s="141">
        <f t="shared" si="3"/>
        <v>1</v>
      </c>
      <c r="P21" s="64">
        <v>0</v>
      </c>
      <c r="Q21" s="72">
        <v>0</v>
      </c>
      <c r="R21" s="64">
        <v>1</v>
      </c>
      <c r="S21" s="72">
        <v>0</v>
      </c>
      <c r="T21" s="8" t="s">
        <v>25</v>
      </c>
    </row>
    <row r="22" spans="1:31">
      <c r="A22" s="137">
        <v>35064</v>
      </c>
      <c r="B22" s="138">
        <f t="shared" si="4"/>
        <v>14</v>
      </c>
      <c r="C22" s="138">
        <f t="shared" si="5"/>
        <v>1345</v>
      </c>
      <c r="D22" s="64">
        <v>144</v>
      </c>
      <c r="E22" s="54"/>
      <c r="F22" s="139">
        <f t="shared" si="9"/>
        <v>2.1652049139141538E-2</v>
      </c>
      <c r="G22" s="139">
        <f t="shared" si="6"/>
        <v>1.530906035592472E-3</v>
      </c>
      <c r="H22" s="140">
        <f t="shared" si="0"/>
        <v>-933.39295757588945</v>
      </c>
      <c r="I22" s="54"/>
      <c r="J22" s="56">
        <f t="shared" si="1"/>
        <v>2165.2049139141536</v>
      </c>
      <c r="K22" s="56">
        <f t="shared" si="7"/>
        <v>153.09060355924703</v>
      </c>
      <c r="L22" s="78">
        <f t="shared" si="2"/>
        <v>6.3129191383659924E-2</v>
      </c>
      <c r="M22" s="56"/>
      <c r="N22" s="56">
        <f t="shared" si="8"/>
        <v>14</v>
      </c>
      <c r="O22" s="141">
        <f t="shared" si="3"/>
        <v>1</v>
      </c>
      <c r="P22" s="64">
        <v>0</v>
      </c>
      <c r="Q22" s="72">
        <v>0</v>
      </c>
      <c r="R22" s="64">
        <v>0</v>
      </c>
      <c r="S22" s="72">
        <v>0</v>
      </c>
      <c r="T22" s="7"/>
    </row>
    <row r="23" spans="1:31">
      <c r="A23" s="137">
        <v>35071</v>
      </c>
      <c r="B23" s="138">
        <f t="shared" si="4"/>
        <v>15</v>
      </c>
      <c r="C23" s="138">
        <f t="shared" si="5"/>
        <v>1523</v>
      </c>
      <c r="D23" s="64">
        <v>178</v>
      </c>
      <c r="E23" s="54"/>
      <c r="F23" s="139">
        <f t="shared" si="9"/>
        <v>2.3180563375713836E-2</v>
      </c>
      <c r="G23" s="139">
        <f t="shared" si="6"/>
        <v>1.5285142365722981E-3</v>
      </c>
      <c r="H23" s="140">
        <f t="shared" si="0"/>
        <v>-1154.0557202621048</v>
      </c>
      <c r="I23" s="54"/>
      <c r="J23" s="56">
        <f t="shared" si="1"/>
        <v>2318.0563375713837</v>
      </c>
      <c r="K23" s="56">
        <f t="shared" si="7"/>
        <v>152.85142365723004</v>
      </c>
      <c r="L23" s="78">
        <f t="shared" si="2"/>
        <v>0.14128413675713458</v>
      </c>
      <c r="M23" s="56"/>
      <c r="N23" s="56">
        <f t="shared" si="8"/>
        <v>15</v>
      </c>
      <c r="O23" s="141">
        <f t="shared" si="3"/>
        <v>1</v>
      </c>
      <c r="P23" s="64">
        <v>0</v>
      </c>
      <c r="Q23" s="72">
        <v>1</v>
      </c>
      <c r="R23" s="72">
        <v>0</v>
      </c>
      <c r="S23" s="72">
        <v>0</v>
      </c>
      <c r="T23" s="12" t="s">
        <v>24</v>
      </c>
      <c r="Y23" s="2" t="s">
        <v>133</v>
      </c>
    </row>
    <row r="24" spans="1:31">
      <c r="A24" s="137">
        <v>35078</v>
      </c>
      <c r="B24" s="138">
        <f t="shared" si="4"/>
        <v>16</v>
      </c>
      <c r="C24" s="138">
        <f t="shared" si="5"/>
        <v>1664</v>
      </c>
      <c r="D24" s="64">
        <v>141</v>
      </c>
      <c r="E24" s="54"/>
      <c r="F24" s="139">
        <f t="shared" si="9"/>
        <v>2.4706689550074379E-2</v>
      </c>
      <c r="G24" s="139">
        <f t="shared" si="6"/>
        <v>1.5261261743605425E-3</v>
      </c>
      <c r="H24" s="140">
        <f t="shared" si="0"/>
        <v>-914.38819597237307</v>
      </c>
      <c r="I24" s="54"/>
      <c r="J24" s="56">
        <f t="shared" si="1"/>
        <v>2470.6689550074379</v>
      </c>
      <c r="K24" s="56">
        <f t="shared" si="7"/>
        <v>152.61261743605428</v>
      </c>
      <c r="L24" s="78">
        <f t="shared" si="2"/>
        <v>8.2358988908186381E-2</v>
      </c>
      <c r="M24" s="56"/>
      <c r="N24" s="56">
        <f t="shared" si="8"/>
        <v>16</v>
      </c>
      <c r="O24" s="141">
        <f t="shared" si="3"/>
        <v>1</v>
      </c>
      <c r="P24" s="64">
        <v>0</v>
      </c>
      <c r="Q24" s="72">
        <v>0</v>
      </c>
      <c r="R24" s="72">
        <v>0</v>
      </c>
      <c r="S24" s="72">
        <v>0</v>
      </c>
      <c r="T24" s="13" t="s">
        <v>33</v>
      </c>
    </row>
    <row r="25" spans="1:31">
      <c r="A25" s="137">
        <v>35085</v>
      </c>
      <c r="B25" s="138">
        <f t="shared" si="4"/>
        <v>17</v>
      </c>
      <c r="C25" s="138">
        <f t="shared" si="5"/>
        <v>1815</v>
      </c>
      <c r="D25" s="64">
        <v>151</v>
      </c>
      <c r="E25" s="54"/>
      <c r="F25" s="139">
        <f t="shared" si="9"/>
        <v>2.6230431393193476E-2</v>
      </c>
      <c r="G25" s="139">
        <f t="shared" si="6"/>
        <v>1.5237418431190974E-3</v>
      </c>
      <c r="H25" s="140">
        <f t="shared" si="0"/>
        <v>-979.47452078214349</v>
      </c>
      <c r="I25" s="54"/>
      <c r="J25" s="56">
        <f t="shared" si="1"/>
        <v>2623.0431393193476</v>
      </c>
      <c r="K25" s="56">
        <f t="shared" si="7"/>
        <v>152.37418431190963</v>
      </c>
      <c r="L25" s="78">
        <f t="shared" si="2"/>
        <v>9.100558357017419E-3</v>
      </c>
      <c r="M25" s="56"/>
      <c r="N25" s="56">
        <f t="shared" si="8"/>
        <v>17</v>
      </c>
      <c r="O25" s="141">
        <f t="shared" si="3"/>
        <v>1</v>
      </c>
      <c r="P25" s="64">
        <v>0</v>
      </c>
      <c r="Q25" s="72">
        <v>0</v>
      </c>
      <c r="R25" s="72">
        <v>0</v>
      </c>
      <c r="S25" s="72">
        <v>0</v>
      </c>
      <c r="T25" s="12" t="s">
        <v>36</v>
      </c>
      <c r="W25" s="19"/>
    </row>
    <row r="26" spans="1:31" s="54" customFormat="1">
      <c r="A26" s="137">
        <v>35092</v>
      </c>
      <c r="B26" s="138">
        <f t="shared" si="4"/>
        <v>18</v>
      </c>
      <c r="C26" s="138">
        <f t="shared" si="5"/>
        <v>1917</v>
      </c>
      <c r="D26" s="64">
        <v>102</v>
      </c>
      <c r="F26" s="139">
        <f t="shared" si="9"/>
        <v>2.7751792630212213E-2</v>
      </c>
      <c r="G26" s="139">
        <f t="shared" si="6"/>
        <v>1.5213612370187368E-3</v>
      </c>
      <c r="H26" s="140">
        <f t="shared" si="0"/>
        <v>-661.79127901043785</v>
      </c>
      <c r="J26" s="56">
        <f t="shared" si="1"/>
        <v>2775.1792630212212</v>
      </c>
      <c r="K26" s="56">
        <f t="shared" si="7"/>
        <v>152.13612370187366</v>
      </c>
      <c r="L26" s="78">
        <f t="shared" si="2"/>
        <v>0.49153062452817309</v>
      </c>
      <c r="M26" s="56"/>
      <c r="N26" s="56">
        <f t="shared" si="8"/>
        <v>18</v>
      </c>
      <c r="O26" s="141">
        <f t="shared" si="3"/>
        <v>1</v>
      </c>
      <c r="P26" s="72">
        <v>0</v>
      </c>
      <c r="Q26" s="72">
        <v>0</v>
      </c>
      <c r="R26" s="72">
        <v>0</v>
      </c>
      <c r="S26" s="72">
        <v>0</v>
      </c>
    </row>
    <row r="27" spans="1:31">
      <c r="A27" s="137">
        <v>35099</v>
      </c>
      <c r="B27" s="138">
        <f t="shared" si="4"/>
        <v>19</v>
      </c>
      <c r="C27" s="138">
        <f t="shared" si="5"/>
        <v>2049</v>
      </c>
      <c r="D27" s="64">
        <v>132</v>
      </c>
      <c r="E27" s="140"/>
      <c r="F27" s="139">
        <f t="shared" si="9"/>
        <v>2.9270776980451774E-2</v>
      </c>
      <c r="G27" s="139">
        <f t="shared" si="6"/>
        <v>1.5189843502395606E-3</v>
      </c>
      <c r="H27" s="140">
        <f t="shared" si="0"/>
        <v>-856.64216326849703</v>
      </c>
      <c r="I27" s="54"/>
      <c r="J27" s="56">
        <f t="shared" si="1"/>
        <v>2927.0776980451774</v>
      </c>
      <c r="K27" s="56">
        <f t="shared" si="7"/>
        <v>151.89843502395615</v>
      </c>
      <c r="L27" s="78">
        <f t="shared" si="2"/>
        <v>0.1507457198784557</v>
      </c>
      <c r="M27" s="56"/>
      <c r="N27" s="56">
        <f>N26+(B27^$B$2-B26^$B$2)*O27</f>
        <v>19</v>
      </c>
      <c r="O27" s="141">
        <f t="shared" si="3"/>
        <v>1</v>
      </c>
      <c r="P27" s="144">
        <v>2.9997242948235288</v>
      </c>
      <c r="Q27" s="72">
        <v>0</v>
      </c>
      <c r="R27" s="72">
        <v>0</v>
      </c>
      <c r="S27" s="64">
        <v>1</v>
      </c>
      <c r="AE27" s="5"/>
    </row>
    <row r="28" spans="1:31">
      <c r="A28" s="137">
        <v>35106</v>
      </c>
      <c r="B28" s="138">
        <f t="shared" si="4"/>
        <v>20</v>
      </c>
      <c r="C28" s="138">
        <f t="shared" si="5"/>
        <v>2237</v>
      </c>
      <c r="D28" s="64">
        <v>188</v>
      </c>
      <c r="E28" s="140"/>
      <c r="F28" s="139">
        <f t="shared" si="9"/>
        <v>3.0787388157422657E-2</v>
      </c>
      <c r="G28" s="139">
        <f t="shared" si="6"/>
        <v>1.5166111769708834E-3</v>
      </c>
      <c r="H28" s="140">
        <f t="shared" si="0"/>
        <v>-1220.3600613302281</v>
      </c>
      <c r="I28" s="54"/>
      <c r="J28" s="56">
        <f t="shared" si="1"/>
        <v>3078.7388157422656</v>
      </c>
      <c r="K28" s="56">
        <f t="shared" si="7"/>
        <v>151.66111769708823</v>
      </c>
      <c r="L28" s="78">
        <f t="shared" si="2"/>
        <v>0.19329192714314772</v>
      </c>
      <c r="M28" s="56"/>
      <c r="N28" s="56">
        <f t="shared" si="8"/>
        <v>20</v>
      </c>
      <c r="O28" s="141">
        <f t="shared" si="3"/>
        <v>1</v>
      </c>
      <c r="P28" s="144">
        <v>2.926917957553631</v>
      </c>
      <c r="Q28" s="72">
        <v>0</v>
      </c>
      <c r="R28" s="72">
        <v>0</v>
      </c>
      <c r="S28" s="64">
        <v>1</v>
      </c>
      <c r="AE28" s="5"/>
    </row>
    <row r="29" spans="1:31">
      <c r="A29" s="137">
        <v>35113</v>
      </c>
      <c r="B29" s="138">
        <f t="shared" si="4"/>
        <v>21</v>
      </c>
      <c r="C29" s="138">
        <f t="shared" si="5"/>
        <v>2358</v>
      </c>
      <c r="D29" s="64">
        <v>121</v>
      </c>
      <c r="E29" s="140"/>
      <c r="F29" s="139">
        <f t="shared" si="9"/>
        <v>3.2301629868833448E-2</v>
      </c>
      <c r="G29" s="139">
        <f t="shared" si="6"/>
        <v>1.5142417114107909E-3</v>
      </c>
      <c r="H29" s="140">
        <f t="shared" si="0"/>
        <v>-785.63369878711705</v>
      </c>
      <c r="I29" s="54"/>
      <c r="J29" s="56">
        <f t="shared" si="1"/>
        <v>3230.1629868833447</v>
      </c>
      <c r="K29" s="56">
        <f t="shared" si="7"/>
        <v>151.42417114107911</v>
      </c>
      <c r="L29" s="78">
        <f t="shared" si="2"/>
        <v>0.25143943091800919</v>
      </c>
      <c r="M29" s="56"/>
      <c r="N29" s="56">
        <f t="shared" si="8"/>
        <v>21</v>
      </c>
      <c r="O29" s="141">
        <f t="shared" si="3"/>
        <v>1</v>
      </c>
      <c r="P29" s="144">
        <v>4.4220883402477282</v>
      </c>
      <c r="Q29" s="72">
        <v>0</v>
      </c>
      <c r="R29" s="72">
        <v>0</v>
      </c>
      <c r="S29" s="64">
        <v>1</v>
      </c>
      <c r="AE29" s="5"/>
    </row>
    <row r="30" spans="1:31">
      <c r="A30" s="137">
        <v>35120</v>
      </c>
      <c r="B30" s="138">
        <f t="shared" si="4"/>
        <v>22</v>
      </c>
      <c r="C30" s="138">
        <f t="shared" si="5"/>
        <v>2497</v>
      </c>
      <c r="D30" s="64">
        <v>139</v>
      </c>
      <c r="E30" s="140"/>
      <c r="F30" s="139">
        <f t="shared" si="9"/>
        <v>3.3813505816600142E-2</v>
      </c>
      <c r="G30" s="139">
        <f t="shared" si="6"/>
        <v>1.5118759477666943E-3</v>
      </c>
      <c r="H30" s="140">
        <f t="shared" si="0"/>
        <v>-902.72216291087557</v>
      </c>
      <c r="I30" s="54"/>
      <c r="J30" s="56">
        <f t="shared" si="1"/>
        <v>3381.3505816600141</v>
      </c>
      <c r="K30" s="56">
        <f t="shared" si="7"/>
        <v>151.18759477666936</v>
      </c>
      <c r="L30" s="78">
        <f t="shared" si="2"/>
        <v>8.7680537961650054E-2</v>
      </c>
      <c r="M30" s="56"/>
      <c r="N30" s="56">
        <f t="shared" si="8"/>
        <v>22</v>
      </c>
      <c r="O30" s="141">
        <f t="shared" si="3"/>
        <v>1</v>
      </c>
      <c r="P30" s="144">
        <v>5.2186787438878204</v>
      </c>
      <c r="Q30" s="72">
        <v>0</v>
      </c>
      <c r="R30" s="72">
        <v>0</v>
      </c>
      <c r="S30" s="64">
        <v>1</v>
      </c>
      <c r="AE30" s="5"/>
    </row>
    <row r="31" spans="1:31">
      <c r="A31" s="137">
        <v>35127</v>
      </c>
      <c r="B31" s="138">
        <f t="shared" si="4"/>
        <v>23</v>
      </c>
      <c r="C31" s="138">
        <f t="shared" si="5"/>
        <v>2663</v>
      </c>
      <c r="D31" s="64">
        <v>166</v>
      </c>
      <c r="E31" s="140"/>
      <c r="F31" s="139">
        <f t="shared" si="9"/>
        <v>3.5323019696854807E-2</v>
      </c>
      <c r="G31" s="139">
        <f t="shared" si="6"/>
        <v>1.5095138802546648E-3</v>
      </c>
      <c r="H31" s="140">
        <f t="shared" si="0"/>
        <v>-1078.3306238564769</v>
      </c>
      <c r="I31" s="54"/>
      <c r="J31" s="56">
        <f t="shared" si="1"/>
        <v>3532.3019696854808</v>
      </c>
      <c r="K31" s="56">
        <f t="shared" si="7"/>
        <v>150.95138802546671</v>
      </c>
      <c r="L31" s="78">
        <f t="shared" si="2"/>
        <v>9.0654289003212568E-2</v>
      </c>
      <c r="M31" s="56"/>
      <c r="N31" s="56">
        <f t="shared" si="8"/>
        <v>23</v>
      </c>
      <c r="O31" s="141">
        <f t="shared" si="3"/>
        <v>1</v>
      </c>
      <c r="P31" s="144">
        <v>6.0515007605520417</v>
      </c>
      <c r="Q31" s="72">
        <v>0</v>
      </c>
      <c r="R31" s="72">
        <v>0</v>
      </c>
      <c r="S31" s="64">
        <v>1</v>
      </c>
      <c r="AE31" s="5"/>
    </row>
    <row r="32" spans="1:31">
      <c r="A32" s="137">
        <v>35134</v>
      </c>
      <c r="B32" s="138">
        <f t="shared" si="4"/>
        <v>24</v>
      </c>
      <c r="C32" s="138">
        <f t="shared" si="5"/>
        <v>2833</v>
      </c>
      <c r="D32" s="64">
        <v>170</v>
      </c>
      <c r="E32" s="140"/>
      <c r="F32" s="139">
        <f t="shared" si="9"/>
        <v>3.683017519995524E-2</v>
      </c>
      <c r="G32" s="139">
        <f t="shared" si="6"/>
        <v>1.5071555031004324E-3</v>
      </c>
      <c r="H32" s="140">
        <f t="shared" si="0"/>
        <v>-1104.5803001695301</v>
      </c>
      <c r="I32" s="54"/>
      <c r="J32" s="56">
        <f t="shared" si="1"/>
        <v>3683.0175199955238</v>
      </c>
      <c r="K32" s="56">
        <f t="shared" si="7"/>
        <v>150.715550310043</v>
      </c>
      <c r="L32" s="78">
        <f t="shared" si="2"/>
        <v>0.11343793935268824</v>
      </c>
      <c r="M32" s="56"/>
      <c r="N32" s="56">
        <f t="shared" si="8"/>
        <v>24</v>
      </c>
      <c r="O32" s="141">
        <f t="shared" si="3"/>
        <v>1</v>
      </c>
      <c r="P32" s="144">
        <v>6.2509593138866872</v>
      </c>
      <c r="Q32" s="72">
        <v>0</v>
      </c>
      <c r="R32" s="72">
        <v>0</v>
      </c>
      <c r="S32" s="64">
        <v>1</v>
      </c>
      <c r="AE32" s="5"/>
    </row>
    <row r="33" spans="1:31">
      <c r="A33" s="137">
        <v>35141</v>
      </c>
      <c r="B33" s="138">
        <f t="shared" si="4"/>
        <v>25</v>
      </c>
      <c r="C33" s="138">
        <f t="shared" si="5"/>
        <v>3149</v>
      </c>
      <c r="D33" s="64">
        <v>316</v>
      </c>
      <c r="E33" s="140"/>
      <c r="F33" s="139">
        <f t="shared" si="9"/>
        <v>3.8334976010493405E-2</v>
      </c>
      <c r="G33" s="139">
        <f t="shared" si="6"/>
        <v>1.5048008105381649E-3</v>
      </c>
      <c r="H33" s="140">
        <f t="shared" si="0"/>
        <v>-2053.7139382642158</v>
      </c>
      <c r="I33" s="54"/>
      <c r="J33" s="56">
        <f t="shared" si="1"/>
        <v>3833.4976010493406</v>
      </c>
      <c r="K33" s="56">
        <f t="shared" si="7"/>
        <v>150.48008105381678</v>
      </c>
      <c r="L33" s="78">
        <f t="shared" si="2"/>
        <v>0.52379721185501016</v>
      </c>
      <c r="M33" s="56"/>
      <c r="N33" s="56">
        <f t="shared" si="8"/>
        <v>25</v>
      </c>
      <c r="O33" s="141">
        <f t="shared" si="3"/>
        <v>1</v>
      </c>
      <c r="P33" s="144">
        <v>6.5128591222232073</v>
      </c>
      <c r="Q33" s="72">
        <v>0</v>
      </c>
      <c r="R33" s="72">
        <v>0</v>
      </c>
      <c r="S33" s="64">
        <v>1</v>
      </c>
      <c r="AE33" s="5"/>
    </row>
    <row r="34" spans="1:31">
      <c r="A34" s="137">
        <v>35148</v>
      </c>
      <c r="B34" s="138">
        <f t="shared" si="4"/>
        <v>26</v>
      </c>
      <c r="C34" s="138">
        <f t="shared" si="5"/>
        <v>3576</v>
      </c>
      <c r="D34" s="64">
        <v>427</v>
      </c>
      <c r="E34" s="140"/>
      <c r="F34" s="139">
        <f t="shared" si="9"/>
        <v>3.9837425807304649E-2</v>
      </c>
      <c r="G34" s="139">
        <f t="shared" si="6"/>
        <v>1.5024497968112449E-3</v>
      </c>
      <c r="H34" s="140">
        <f t="shared" si="0"/>
        <v>-2775.7810963277179</v>
      </c>
      <c r="I34" s="54"/>
      <c r="J34" s="56">
        <f t="shared" si="1"/>
        <v>3983.7425807304649</v>
      </c>
      <c r="K34" s="56">
        <f t="shared" si="7"/>
        <v>150.24497968112428</v>
      </c>
      <c r="L34" s="78">
        <f t="shared" si="2"/>
        <v>0.64813822088729678</v>
      </c>
      <c r="M34" s="56"/>
      <c r="N34" s="56">
        <f t="shared" si="8"/>
        <v>26</v>
      </c>
      <c r="O34" s="141">
        <f t="shared" si="3"/>
        <v>1</v>
      </c>
      <c r="P34" s="144">
        <v>6.5078745491678731</v>
      </c>
      <c r="Q34" s="72">
        <v>0</v>
      </c>
      <c r="R34" s="72">
        <v>0</v>
      </c>
      <c r="S34" s="64">
        <v>1</v>
      </c>
      <c r="AE34" s="5"/>
    </row>
    <row r="35" spans="1:31">
      <c r="A35" s="137">
        <v>35155</v>
      </c>
      <c r="B35" s="138">
        <f t="shared" si="4"/>
        <v>27</v>
      </c>
      <c r="C35" s="138">
        <f t="shared" si="5"/>
        <v>4160</v>
      </c>
      <c r="D35" s="64">
        <v>584</v>
      </c>
      <c r="E35" s="140"/>
      <c r="F35" s="139">
        <f t="shared" si="9"/>
        <v>4.1337528263476919E-2</v>
      </c>
      <c r="G35" s="139">
        <f t="shared" si="6"/>
        <v>1.5001024561722698E-3</v>
      </c>
      <c r="H35" s="140">
        <f t="shared" si="0"/>
        <v>-3797.2975715495795</v>
      </c>
      <c r="I35" s="54"/>
      <c r="J35" s="56">
        <f t="shared" si="1"/>
        <v>4133.7528263476916</v>
      </c>
      <c r="K35" s="56">
        <f t="shared" si="7"/>
        <v>150.0102456172267</v>
      </c>
      <c r="L35" s="78">
        <f t="shared" si="2"/>
        <v>0.74313314106639261</v>
      </c>
      <c r="M35" s="56"/>
      <c r="N35" s="56">
        <f t="shared" si="8"/>
        <v>27</v>
      </c>
      <c r="O35" s="141">
        <f t="shared" si="3"/>
        <v>1</v>
      </c>
      <c r="P35" s="144">
        <v>6.4883687155329284</v>
      </c>
      <c r="Q35" s="72">
        <v>0</v>
      </c>
      <c r="R35" s="72">
        <v>0</v>
      </c>
      <c r="S35" s="64">
        <v>1</v>
      </c>
      <c r="AE35" s="5"/>
    </row>
    <row r="36" spans="1:31">
      <c r="A36" s="4"/>
      <c r="B36" s="4"/>
      <c r="C36" s="4"/>
      <c r="H36" s="17">
        <f>(B5-SUM(D9:D35))*IFERROR(LN(1-F35),-10000)</f>
        <v>-4046.0029671282268</v>
      </c>
    </row>
    <row r="37" spans="1:31">
      <c r="A37" s="4"/>
      <c r="B37" s="4"/>
      <c r="C37" s="4"/>
    </row>
    <row r="38" spans="1:31">
      <c r="A38" s="4"/>
      <c r="B38" s="4"/>
      <c r="C38" s="4"/>
    </row>
    <row r="39" spans="1:31">
      <c r="A39" s="4"/>
      <c r="B39" s="4"/>
      <c r="C39" s="4"/>
      <c r="E39" s="7"/>
      <c r="F39" s="7"/>
      <c r="G39" s="7"/>
      <c r="H39" s="7"/>
      <c r="I39" s="7"/>
      <c r="J39" s="7"/>
      <c r="K39" s="7"/>
      <c r="L39" s="7"/>
      <c r="M39" s="55"/>
      <c r="N39" s="7"/>
      <c r="O39" s="7"/>
      <c r="P39" s="55"/>
      <c r="Q39" s="7"/>
      <c r="R39" s="7"/>
      <c r="S39" s="7"/>
    </row>
    <row r="40" spans="1:31">
      <c r="A40" s="4"/>
      <c r="B40" s="69"/>
      <c r="C40" s="69"/>
      <c r="E40" s="7"/>
      <c r="F40" s="7"/>
      <c r="G40" s="7"/>
      <c r="H40" s="7"/>
      <c r="I40" s="7"/>
      <c r="J40" s="7"/>
      <c r="K40" s="7"/>
      <c r="L40" s="7"/>
      <c r="M40" s="55"/>
      <c r="N40" s="7"/>
      <c r="O40" s="7"/>
      <c r="P40" s="55"/>
      <c r="Q40" s="7"/>
      <c r="R40" s="7"/>
      <c r="S40" s="7"/>
    </row>
    <row r="41" spans="1:31">
      <c r="A41" s="4"/>
      <c r="B41" s="4"/>
      <c r="C41" s="4"/>
      <c r="E41" s="7"/>
      <c r="F41" s="7"/>
      <c r="G41" s="7"/>
      <c r="H41" s="7"/>
      <c r="I41" s="7"/>
      <c r="J41" s="7"/>
      <c r="K41" s="7"/>
      <c r="L41" s="7"/>
      <c r="M41" s="55"/>
      <c r="N41" s="7"/>
      <c r="O41" s="7"/>
      <c r="P41" s="55"/>
      <c r="Q41" s="7"/>
      <c r="R41" s="7"/>
      <c r="S41" s="7"/>
    </row>
    <row r="42" spans="1:31">
      <c r="A42" s="4"/>
      <c r="B42" s="4"/>
      <c r="C42" s="4"/>
    </row>
    <row r="43" spans="1:31">
      <c r="A43" s="4"/>
      <c r="C43" s="4"/>
      <c r="E43" s="7"/>
      <c r="F43" s="7"/>
      <c r="G43" s="7"/>
      <c r="H43" s="7"/>
      <c r="I43" s="7"/>
      <c r="J43" s="7"/>
      <c r="K43" s="7"/>
      <c r="L43" s="7"/>
      <c r="M43" s="55"/>
      <c r="N43" s="7"/>
      <c r="O43" s="7"/>
      <c r="P43" s="55"/>
      <c r="Q43" s="7"/>
      <c r="R43" s="7"/>
      <c r="S43" s="7"/>
    </row>
    <row r="44" spans="1:31">
      <c r="A44" s="4"/>
      <c r="B44" s="4"/>
      <c r="C44" s="4"/>
      <c r="E44" s="20"/>
      <c r="F44" s="20"/>
      <c r="G44" s="20"/>
      <c r="H44" s="20"/>
      <c r="I44" s="20"/>
      <c r="J44" s="20"/>
      <c r="K44" s="20"/>
      <c r="L44" s="20"/>
      <c r="M44" s="57"/>
      <c r="N44" s="20"/>
      <c r="O44" s="20"/>
      <c r="P44" s="57"/>
      <c r="Q44" s="20"/>
      <c r="R44" s="20"/>
      <c r="S44" s="20"/>
    </row>
    <row r="45" spans="1:31">
      <c r="A45" s="4"/>
      <c r="B45" s="4"/>
      <c r="C45" s="4"/>
    </row>
    <row r="46" spans="1:31">
      <c r="A46" s="4"/>
      <c r="B46" s="4"/>
      <c r="C46" s="4"/>
    </row>
    <row r="47" spans="1:31">
      <c r="A47" s="4"/>
      <c r="B47" s="4"/>
      <c r="C47" s="4"/>
    </row>
    <row r="48" spans="1:31">
      <c r="A48" s="4"/>
      <c r="B48" s="4"/>
      <c r="C48" s="4"/>
      <c r="D48" s="9"/>
    </row>
    <row r="49" spans="1:19">
      <c r="A49" s="4"/>
      <c r="B49" s="4"/>
      <c r="C49" s="4"/>
    </row>
    <row r="50" spans="1:19">
      <c r="A50" s="4"/>
      <c r="B50" s="4"/>
      <c r="C50" s="4"/>
    </row>
    <row r="51" spans="1:19" ht="14.25">
      <c r="A51" s="4"/>
      <c r="B51" s="4"/>
      <c r="C51" s="4"/>
      <c r="D51" s="9"/>
      <c r="E51" s="10"/>
      <c r="F51" s="10"/>
      <c r="G51" s="10"/>
      <c r="H51" s="10"/>
      <c r="I51" s="10"/>
      <c r="J51" s="10"/>
      <c r="K51" s="10"/>
      <c r="L51" s="10"/>
      <c r="M51" s="58"/>
      <c r="N51" s="10"/>
      <c r="O51" s="10"/>
      <c r="P51" s="58"/>
      <c r="Q51" s="10"/>
      <c r="R51" s="10"/>
      <c r="S51" s="10"/>
    </row>
    <row r="52" spans="1:19">
      <c r="A52" s="4"/>
      <c r="B52" s="4"/>
      <c r="C52" s="4"/>
      <c r="D52" s="3"/>
    </row>
    <row r="53" spans="1:19">
      <c r="A53" s="4"/>
      <c r="B53" s="4"/>
      <c r="C53" s="4"/>
      <c r="E53" s="7"/>
      <c r="F53" s="7"/>
      <c r="G53" s="7"/>
      <c r="H53" s="7"/>
      <c r="I53" s="7"/>
      <c r="J53" s="7"/>
      <c r="K53" s="7"/>
      <c r="L53" s="7"/>
      <c r="M53" s="55"/>
      <c r="N53" s="7"/>
      <c r="O53" s="7"/>
      <c r="P53" s="55"/>
      <c r="Q53" s="7"/>
      <c r="R53" s="7"/>
      <c r="S53" s="7"/>
    </row>
    <row r="54" spans="1:19">
      <c r="A54" s="4"/>
      <c r="B54" s="4"/>
      <c r="C54" s="4"/>
      <c r="E54" s="14"/>
      <c r="F54" s="14"/>
      <c r="G54" s="14"/>
      <c r="H54" s="14"/>
      <c r="I54" s="14"/>
      <c r="J54" s="14"/>
      <c r="K54" s="14"/>
      <c r="L54" s="14"/>
      <c r="M54" s="59"/>
      <c r="N54" s="14"/>
      <c r="O54" s="14"/>
      <c r="P54" s="59"/>
      <c r="Q54" s="14"/>
      <c r="R54" s="14"/>
      <c r="S54" s="14"/>
    </row>
    <row r="56" spans="1:19">
      <c r="E56" s="7"/>
      <c r="F56" s="7"/>
      <c r="G56" s="7"/>
      <c r="H56" s="7"/>
      <c r="I56" s="7"/>
      <c r="J56" s="7"/>
      <c r="K56" s="7"/>
      <c r="L56" s="7"/>
      <c r="M56" s="55"/>
      <c r="N56" s="7"/>
      <c r="O56" s="7"/>
      <c r="P56" s="55"/>
      <c r="Q56" s="7"/>
      <c r="R56" s="7"/>
      <c r="S56" s="7"/>
    </row>
    <row r="59" spans="1:19" ht="15">
      <c r="E59" s="18"/>
      <c r="F59" s="18"/>
      <c r="G59" s="18"/>
      <c r="H59" s="18"/>
      <c r="I59" s="18"/>
      <c r="J59" s="18"/>
      <c r="K59" s="18"/>
      <c r="L59" s="18"/>
      <c r="M59" s="60"/>
      <c r="N59" s="18"/>
      <c r="O59" s="18"/>
      <c r="P59" s="60"/>
      <c r="Q59" s="18"/>
      <c r="R59" s="18"/>
      <c r="S59" s="18"/>
    </row>
  </sheetData>
  <scenarios current="0" show="0">
    <scenario name="pittsfield best fit" locked="1" count="1" user="Author">
      <inputCells r="D37" deleted="1" val=""/>
    </scenario>
  </scenarios>
  <mergeCells count="2">
    <mergeCell ref="P2:S2"/>
    <mergeCell ref="Q5:R5"/>
  </mergeCells>
  <printOptions gridLines="1" gridLinesSet="0"/>
  <pageMargins left="0.75" right="0.75" top="1" bottom="1" header="0.5" footer="0.5"/>
  <pageSetup orientation="portrait" r:id="rId1"/>
  <headerFooter alignWithMargins="0">
    <oddHeader>&amp;A</oddHeader>
    <oddFoote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98BA7-D7D8-411C-BEB4-721D5963EC7F}">
  <dimension ref="A1:AD59"/>
  <sheetViews>
    <sheetView zoomScale="85" zoomScaleNormal="85" workbookViewId="0">
      <selection activeCell="G4" sqref="G4"/>
    </sheetView>
  </sheetViews>
  <sheetFormatPr defaultRowHeight="12.75"/>
  <cols>
    <col min="1" max="1" width="12" style="2" customWidth="1"/>
    <col min="2" max="3" width="10.85546875" style="2" customWidth="1"/>
    <col min="4" max="4" width="10.5703125" style="2" customWidth="1"/>
    <col min="5" max="5" width="3.7109375" style="2" customWidth="1"/>
    <col min="6" max="6" width="11.7109375" style="2" customWidth="1"/>
    <col min="7" max="7" width="10.85546875" style="2" customWidth="1"/>
    <col min="8" max="8" width="8.42578125" style="2" customWidth="1"/>
    <col min="9" max="9" width="3.28515625" style="2" customWidth="1"/>
    <col min="10" max="12" width="7.7109375" style="2" customWidth="1"/>
    <col min="13" max="13" width="6.7109375" style="54" customWidth="1"/>
    <col min="14" max="14" width="6.7109375" style="2" customWidth="1"/>
    <col min="15" max="15" width="9.28515625" style="2" customWidth="1"/>
    <col min="16" max="16" width="11.7109375" style="54" customWidth="1"/>
    <col min="17" max="17" width="8.5703125" style="2" customWidth="1"/>
    <col min="18" max="18" width="6.28515625" style="2" customWidth="1"/>
    <col min="19" max="19" width="11.140625" style="2" customWidth="1"/>
    <col min="20" max="16384" width="9.140625" style="2"/>
  </cols>
  <sheetData>
    <row r="1" spans="1:21">
      <c r="A1" s="2" t="s">
        <v>117</v>
      </c>
      <c r="B1" s="161">
        <f>EXP(C1)</f>
        <v>2.107707130511749E-4</v>
      </c>
      <c r="C1" s="27">
        <v>-8.4647396833438719</v>
      </c>
      <c r="E1" s="27"/>
      <c r="F1" s="2" t="s">
        <v>107</v>
      </c>
      <c r="G1" s="28">
        <f>-2*G2+2*LN(B5)</f>
        <v>61298.334150247509</v>
      </c>
      <c r="J1" s="7" t="s">
        <v>187</v>
      </c>
      <c r="K1" s="35">
        <f>2*(G2-'Exp (All)'!G2)</f>
        <v>798.44477977397037</v>
      </c>
    </row>
    <row r="2" spans="1:21">
      <c r="A2" s="2" t="s">
        <v>98</v>
      </c>
      <c r="B2" s="27">
        <f>EXP(C2)</f>
        <v>1.6092767894898159</v>
      </c>
      <c r="C2" s="27">
        <v>0.47578487900159544</v>
      </c>
      <c r="E2" s="27"/>
      <c r="F2" s="2" t="s">
        <v>99</v>
      </c>
      <c r="G2" s="28">
        <f>SUM(H9:H36)</f>
        <v>-30637.654149658785</v>
      </c>
      <c r="J2" s="7" t="s">
        <v>164</v>
      </c>
      <c r="K2" s="2">
        <v>1</v>
      </c>
      <c r="P2" s="192"/>
      <c r="Q2" s="192"/>
      <c r="R2" s="192"/>
      <c r="T2" s="66"/>
      <c r="U2" s="66"/>
    </row>
    <row r="3" spans="1:21">
      <c r="A3" s="129" t="s">
        <v>125</v>
      </c>
      <c r="B3" s="130">
        <f>C3</f>
        <v>0</v>
      </c>
      <c r="C3" s="128">
        <v>0</v>
      </c>
      <c r="E3" s="27"/>
      <c r="F3" s="2" t="s">
        <v>130</v>
      </c>
      <c r="G3" s="146">
        <f>AVERAGE(L9:L35)</f>
        <v>0.37951550440949644</v>
      </c>
      <c r="J3" s="7" t="s">
        <v>165</v>
      </c>
      <c r="K3" s="2">
        <f>_xlfn.CHISQ.DIST.RT(K1,K2)</f>
        <v>1.17542359836198E-175</v>
      </c>
      <c r="P3" s="62"/>
      <c r="Q3" s="88"/>
      <c r="R3" s="88"/>
      <c r="S3" s="7"/>
      <c r="T3" s="28"/>
      <c r="U3" s="28"/>
    </row>
    <row r="4" spans="1:21">
      <c r="A4" s="129" t="s">
        <v>126</v>
      </c>
      <c r="B4" s="130">
        <f>C4</f>
        <v>0</v>
      </c>
      <c r="C4" s="128">
        <v>0</v>
      </c>
      <c r="E4" s="27"/>
      <c r="G4" s="146"/>
      <c r="P4" s="62"/>
      <c r="Q4" s="88"/>
      <c r="R4" s="88"/>
      <c r="S4" s="7"/>
      <c r="T4" s="28"/>
      <c r="U4" s="28"/>
    </row>
    <row r="5" spans="1:21">
      <c r="A5" s="2" t="s">
        <v>105</v>
      </c>
      <c r="B5" s="28">
        <v>100000</v>
      </c>
      <c r="C5" s="28"/>
      <c r="E5" s="27"/>
      <c r="P5" s="62"/>
      <c r="Q5" s="192" t="s">
        <v>110</v>
      </c>
      <c r="R5" s="192"/>
      <c r="S5" s="7"/>
    </row>
    <row r="6" spans="1:21">
      <c r="P6" s="63"/>
      <c r="Q6" s="27">
        <f>C3</f>
        <v>0</v>
      </c>
      <c r="R6" s="27">
        <f>C4</f>
        <v>0</v>
      </c>
    </row>
    <row r="8" spans="1:21">
      <c r="A8" s="32" t="s">
        <v>1</v>
      </c>
      <c r="B8" s="88" t="s">
        <v>100</v>
      </c>
      <c r="C8" s="88" t="s">
        <v>128</v>
      </c>
      <c r="D8" s="88" t="s">
        <v>101</v>
      </c>
      <c r="E8" s="7"/>
      <c r="F8" s="88" t="s">
        <v>103</v>
      </c>
      <c r="G8" s="32" t="s">
        <v>104</v>
      </c>
      <c r="H8" s="7"/>
      <c r="I8" s="7"/>
      <c r="J8" s="7" t="s">
        <v>106</v>
      </c>
      <c r="K8" s="7" t="s">
        <v>173</v>
      </c>
      <c r="L8" s="7" t="s">
        <v>129</v>
      </c>
      <c r="M8" s="55"/>
      <c r="N8" s="7" t="s">
        <v>108</v>
      </c>
      <c r="O8" s="7" t="s">
        <v>109</v>
      </c>
      <c r="P8" s="62" t="s">
        <v>116</v>
      </c>
      <c r="Q8" s="45" t="s">
        <v>114</v>
      </c>
      <c r="R8" s="61" t="s">
        <v>112</v>
      </c>
      <c r="S8" s="7" t="s">
        <v>111</v>
      </c>
    </row>
    <row r="9" spans="1:21">
      <c r="A9" s="34">
        <v>34973</v>
      </c>
      <c r="B9" s="33">
        <v>1</v>
      </c>
      <c r="C9" s="33">
        <f>D9</f>
        <v>74</v>
      </c>
      <c r="D9" s="3">
        <v>74</v>
      </c>
      <c r="F9" s="31">
        <f>1-EXP(-$B$1*N9)</f>
        <v>2.1074850246494137E-4</v>
      </c>
      <c r="G9" s="31">
        <f>F9</f>
        <v>2.1074850246494137E-4</v>
      </c>
      <c r="H9" s="17">
        <f t="shared" ref="H9:H35" si="0">D9*IFERROR(LN(G9),-10000)</f>
        <v>-626.39853494684314</v>
      </c>
      <c r="J9" s="35">
        <f t="shared" ref="J9:J35" si="1">$B$5*F9</f>
        <v>21.074850246494137</v>
      </c>
      <c r="K9" s="35">
        <f>J9</f>
        <v>21.074850246494137</v>
      </c>
      <c r="L9" s="78">
        <f>ABS(D9-K9)/D9</f>
        <v>0.7152047263987279</v>
      </c>
      <c r="M9" s="56"/>
      <c r="N9" s="35">
        <f>B9^B2*O9</f>
        <v>1</v>
      </c>
      <c r="O9" s="67">
        <f>EXP(SUMPRODUCT($Q$6:$R$6,Q9:R9))</f>
        <v>1</v>
      </c>
      <c r="P9" s="64">
        <v>0</v>
      </c>
      <c r="Q9" s="38">
        <v>0</v>
      </c>
      <c r="R9" s="38">
        <v>0</v>
      </c>
      <c r="S9" s="2" t="s">
        <v>131</v>
      </c>
    </row>
    <row r="10" spans="1:21">
      <c r="A10" s="34">
        <v>34980</v>
      </c>
      <c r="B10" s="33">
        <f>B9+1</f>
        <v>2</v>
      </c>
      <c r="C10" s="33">
        <f>C9+D10</f>
        <v>142</v>
      </c>
      <c r="D10" s="3">
        <v>68</v>
      </c>
      <c r="F10" s="31">
        <f>1-EXP(-$B$1*N10)</f>
        <v>6.4285232466188003E-4</v>
      </c>
      <c r="G10" s="31">
        <f>F10-F9</f>
        <v>4.3210382219693866E-4</v>
      </c>
      <c r="H10" s="17">
        <f t="shared" si="0"/>
        <v>-526.78543752158066</v>
      </c>
      <c r="J10" s="35">
        <f t="shared" si="1"/>
        <v>64.285232466188006</v>
      </c>
      <c r="K10" s="35">
        <f>J10-J9</f>
        <v>43.210382219693869</v>
      </c>
      <c r="L10" s="78">
        <f t="shared" ref="L10:L35" si="2">ABS(D10-K10)/D10</f>
        <v>0.36455320265156077</v>
      </c>
      <c r="M10" s="56"/>
      <c r="N10" s="35">
        <f>N9+(B10^$B$2-B9^$B$2)*O10</f>
        <v>3.050988600389664</v>
      </c>
      <c r="O10" s="67">
        <f>EXP(SUMPRODUCT($Q$6:$R$6,Q10:R10))</f>
        <v>1</v>
      </c>
      <c r="P10" s="64">
        <v>0</v>
      </c>
      <c r="Q10" s="38">
        <v>0</v>
      </c>
      <c r="R10" s="38">
        <v>0</v>
      </c>
    </row>
    <row r="11" spans="1:21">
      <c r="A11" s="34">
        <v>34987</v>
      </c>
      <c r="B11" s="33">
        <f t="shared" ref="B11:B35" si="3">B10+1</f>
        <v>3</v>
      </c>
      <c r="C11" s="33">
        <f t="shared" ref="C11:C35" si="4">C10+D11</f>
        <v>227</v>
      </c>
      <c r="D11" s="3">
        <v>85</v>
      </c>
      <c r="F11" s="31">
        <f>1-EXP(-$B$1*N11)</f>
        <v>1.2341339486375835E-3</v>
      </c>
      <c r="G11" s="31">
        <f t="shared" ref="G11:G35" si="5">F11-F10</f>
        <v>5.912816239757035E-4</v>
      </c>
      <c r="H11" s="17">
        <f t="shared" si="0"/>
        <v>-631.82354130064994</v>
      </c>
      <c r="J11" s="35">
        <f t="shared" si="1"/>
        <v>123.41339486375836</v>
      </c>
      <c r="K11" s="35">
        <f t="shared" ref="K11:K35" si="6">J11-J10</f>
        <v>59.12816239757035</v>
      </c>
      <c r="L11" s="78">
        <f t="shared" si="2"/>
        <v>0.3043745600285841</v>
      </c>
      <c r="M11" s="56"/>
      <c r="N11" s="35">
        <f>N10+(B11^$B$2-B10^$B$2)*O11</f>
        <v>5.8589549810185657</v>
      </c>
      <c r="O11" s="67">
        <f>EXP(SUMPRODUCT($Q$6:$R$6,Q11:R11))</f>
        <v>1</v>
      </c>
      <c r="P11" s="64">
        <v>0</v>
      </c>
      <c r="Q11" s="38">
        <v>0</v>
      </c>
      <c r="R11" s="38">
        <v>0</v>
      </c>
    </row>
    <row r="12" spans="1:21">
      <c r="A12" s="34">
        <v>34994</v>
      </c>
      <c r="B12" s="33">
        <f t="shared" si="3"/>
        <v>4</v>
      </c>
      <c r="C12" s="33">
        <f t="shared" si="4"/>
        <v>313</v>
      </c>
      <c r="D12" s="3">
        <v>86</v>
      </c>
      <c r="F12" s="31">
        <f>1-EXP(-$B$1*N12)</f>
        <v>1.9600424121738458E-3</v>
      </c>
      <c r="G12" s="31">
        <f t="shared" si="5"/>
        <v>7.2590846353626226E-4</v>
      </c>
      <c r="H12" s="17">
        <f t="shared" si="0"/>
        <v>-621.61545055599447</v>
      </c>
      <c r="J12" s="35">
        <f t="shared" si="1"/>
        <v>196.00424121738459</v>
      </c>
      <c r="K12" s="35">
        <f t="shared" si="6"/>
        <v>72.590846353626233</v>
      </c>
      <c r="L12" s="78">
        <f t="shared" si="2"/>
        <v>0.15592039123690427</v>
      </c>
      <c r="M12" s="56"/>
      <c r="N12" s="35">
        <f t="shared" ref="N12:N35" si="7">N11+(B12^$B$2-B11^$B$2)*O12</f>
        <v>9.3085314397076804</v>
      </c>
      <c r="O12" s="67">
        <f>EXP(SUMPRODUCT($Q$6:$R$6,Q12:R12))</f>
        <v>1</v>
      </c>
      <c r="P12" s="64">
        <v>0</v>
      </c>
      <c r="Q12" s="38">
        <v>0</v>
      </c>
      <c r="R12" s="38">
        <v>0</v>
      </c>
    </row>
    <row r="13" spans="1:21">
      <c r="A13" s="34">
        <v>35001</v>
      </c>
      <c r="B13" s="33">
        <f t="shared" si="3"/>
        <v>5</v>
      </c>
      <c r="C13" s="33">
        <f t="shared" si="4"/>
        <v>409</v>
      </c>
      <c r="D13" s="3">
        <v>96</v>
      </c>
      <c r="F13" s="31">
        <f t="shared" ref="F13:F35" si="8">1-EXP(-$B$1*N13)</f>
        <v>2.805669509388653E-3</v>
      </c>
      <c r="G13" s="31">
        <f t="shared" si="5"/>
        <v>8.4562709721480722E-4</v>
      </c>
      <c r="H13" s="17">
        <f t="shared" si="0"/>
        <v>-679.2414795807033</v>
      </c>
      <c r="J13" s="35">
        <f t="shared" si="1"/>
        <v>280.56695093886532</v>
      </c>
      <c r="K13" s="35">
        <f t="shared" si="6"/>
        <v>84.562709721480729</v>
      </c>
      <c r="L13" s="78">
        <f t="shared" si="2"/>
        <v>0.1191384404012424</v>
      </c>
      <c r="M13" s="56"/>
      <c r="N13" s="35">
        <f t="shared" si="7"/>
        <v>13.330185853681211</v>
      </c>
      <c r="O13" s="67">
        <f t="shared" ref="O13:O35" si="9">EXP(SUMPRODUCT($Q$6:$R$6,Q13:R13))</f>
        <v>1</v>
      </c>
      <c r="P13" s="64">
        <v>0</v>
      </c>
      <c r="Q13" s="72">
        <v>0</v>
      </c>
      <c r="R13" s="38">
        <v>0</v>
      </c>
      <c r="S13" s="2" t="s">
        <v>22</v>
      </c>
    </row>
    <row r="14" spans="1:21">
      <c r="A14" s="34">
        <v>35008</v>
      </c>
      <c r="B14" s="33">
        <f t="shared" si="3"/>
        <v>6</v>
      </c>
      <c r="C14" s="33">
        <f t="shared" si="4"/>
        <v>516</v>
      </c>
      <c r="D14" s="3">
        <v>107</v>
      </c>
      <c r="F14" s="31">
        <f t="shared" si="8"/>
        <v>3.7605652791143918E-3</v>
      </c>
      <c r="G14" s="31">
        <f t="shared" si="5"/>
        <v>9.5489576972573875E-4</v>
      </c>
      <c r="H14" s="17">
        <f t="shared" si="0"/>
        <v>-744.06819506445538</v>
      </c>
      <c r="J14" s="35">
        <f t="shared" si="1"/>
        <v>376.05652791143916</v>
      </c>
      <c r="K14" s="35">
        <f t="shared" si="6"/>
        <v>95.489576972573843</v>
      </c>
      <c r="L14" s="78">
        <f t="shared" si="2"/>
        <v>0.10757404698529119</v>
      </c>
      <c r="M14" s="56"/>
      <c r="N14" s="35">
        <f t="shared" si="7"/>
        <v>17.875604857283875</v>
      </c>
      <c r="O14" s="67">
        <f t="shared" si="9"/>
        <v>1</v>
      </c>
      <c r="P14" s="64">
        <v>0</v>
      </c>
      <c r="Q14" s="72">
        <v>0</v>
      </c>
      <c r="R14" s="38">
        <v>0</v>
      </c>
      <c r="S14" s="2" t="s">
        <v>21</v>
      </c>
    </row>
    <row r="15" spans="1:21">
      <c r="A15" s="34">
        <v>35015</v>
      </c>
      <c r="B15" s="33">
        <f t="shared" si="3"/>
        <v>7</v>
      </c>
      <c r="C15" s="33">
        <f t="shared" si="4"/>
        <v>601</v>
      </c>
      <c r="D15" s="3">
        <v>85</v>
      </c>
      <c r="F15" s="31">
        <f t="shared" si="8"/>
        <v>4.8168027778853206E-3</v>
      </c>
      <c r="G15" s="31">
        <f t="shared" si="5"/>
        <v>1.0562374987709289E-3</v>
      </c>
      <c r="H15" s="17">
        <f t="shared" si="0"/>
        <v>-582.50858826191632</v>
      </c>
      <c r="J15" s="35">
        <f t="shared" si="1"/>
        <v>481.68027778853207</v>
      </c>
      <c r="K15" s="35">
        <f t="shared" si="6"/>
        <v>105.62374987709291</v>
      </c>
      <c r="L15" s="78">
        <f t="shared" si="2"/>
        <v>0.24263235149521065</v>
      </c>
      <c r="M15" s="56"/>
      <c r="N15" s="35">
        <f t="shared" si="7"/>
        <v>22.908500379772224</v>
      </c>
      <c r="O15" s="67">
        <f t="shared" si="9"/>
        <v>1</v>
      </c>
      <c r="P15" s="64">
        <v>0</v>
      </c>
      <c r="Q15" s="38">
        <v>0</v>
      </c>
      <c r="R15" s="38">
        <v>0</v>
      </c>
    </row>
    <row r="16" spans="1:21">
      <c r="A16" s="34">
        <v>35022</v>
      </c>
      <c r="B16" s="33">
        <f t="shared" si="3"/>
        <v>8</v>
      </c>
      <c r="C16" s="33">
        <f t="shared" si="4"/>
        <v>675</v>
      </c>
      <c r="D16" s="3">
        <v>74</v>
      </c>
      <c r="F16" s="31">
        <f t="shared" si="8"/>
        <v>5.968055300816788E-3</v>
      </c>
      <c r="G16" s="31">
        <f t="shared" si="5"/>
        <v>1.1512525229314674E-3</v>
      </c>
      <c r="H16" s="17">
        <f t="shared" si="0"/>
        <v>-500.75095364050497</v>
      </c>
      <c r="J16" s="35">
        <f t="shared" si="1"/>
        <v>596.80553008167885</v>
      </c>
      <c r="K16" s="35">
        <f t="shared" si="6"/>
        <v>115.12525229314679</v>
      </c>
      <c r="L16" s="78">
        <f t="shared" si="2"/>
        <v>0.55574665261009171</v>
      </c>
      <c r="M16" s="56"/>
      <c r="N16" s="35">
        <f t="shared" si="7"/>
        <v>28.40022330891691</v>
      </c>
      <c r="O16" s="67">
        <f t="shared" si="9"/>
        <v>1</v>
      </c>
      <c r="P16" s="64">
        <v>0</v>
      </c>
      <c r="Q16" s="38">
        <v>0</v>
      </c>
      <c r="R16" s="38">
        <v>0</v>
      </c>
    </row>
    <row r="17" spans="1:30">
      <c r="A17" s="34">
        <v>35029</v>
      </c>
      <c r="B17" s="33">
        <f t="shared" si="3"/>
        <v>9</v>
      </c>
      <c r="C17" s="33">
        <f t="shared" si="4"/>
        <v>762</v>
      </c>
      <c r="D17" s="3">
        <v>87</v>
      </c>
      <c r="F17" s="31">
        <f t="shared" si="8"/>
        <v>7.209089713728245E-3</v>
      </c>
      <c r="G17" s="31">
        <f t="shared" si="5"/>
        <v>1.241034412911457E-3</v>
      </c>
      <c r="H17" s="17">
        <f t="shared" si="0"/>
        <v>-582.18747375483974</v>
      </c>
      <c r="J17" s="35">
        <f t="shared" si="1"/>
        <v>720.90897137282445</v>
      </c>
      <c r="K17" s="35">
        <f t="shared" si="6"/>
        <v>124.1034412911456</v>
      </c>
      <c r="L17" s="78">
        <f t="shared" si="2"/>
        <v>0.42647633667983448</v>
      </c>
      <c r="M17" s="56"/>
      <c r="N17" s="35">
        <f t="shared" si="7"/>
        <v>34.327353469602258</v>
      </c>
      <c r="O17" s="67">
        <f t="shared" si="9"/>
        <v>1</v>
      </c>
      <c r="P17" s="64">
        <v>0</v>
      </c>
      <c r="Q17" s="41">
        <v>1</v>
      </c>
      <c r="R17" s="38">
        <v>0</v>
      </c>
      <c r="S17" s="2" t="s">
        <v>23</v>
      </c>
    </row>
    <row r="18" spans="1:30">
      <c r="A18" s="34">
        <v>35036</v>
      </c>
      <c r="B18" s="33">
        <f t="shared" si="3"/>
        <v>10</v>
      </c>
      <c r="C18" s="33">
        <f t="shared" si="4"/>
        <v>836</v>
      </c>
      <c r="D18" s="3">
        <v>74</v>
      </c>
      <c r="F18" s="31">
        <f t="shared" si="8"/>
        <v>8.5354608921537345E-3</v>
      </c>
      <c r="G18" s="31">
        <f t="shared" si="5"/>
        <v>1.3263711784254895E-3</v>
      </c>
      <c r="H18" s="17">
        <f t="shared" si="0"/>
        <v>-490.27282922140103</v>
      </c>
      <c r="J18" s="35">
        <f t="shared" si="1"/>
        <v>853.5460892153734</v>
      </c>
      <c r="K18" s="35">
        <f t="shared" si="6"/>
        <v>132.63711784254895</v>
      </c>
      <c r="L18" s="78">
        <f t="shared" si="2"/>
        <v>0.79239348435876955</v>
      </c>
      <c r="M18" s="56"/>
      <c r="N18" s="35">
        <f t="shared" si="7"/>
        <v>40.670245080656954</v>
      </c>
      <c r="O18" s="67">
        <f t="shared" si="9"/>
        <v>1</v>
      </c>
      <c r="P18" s="64">
        <v>0</v>
      </c>
      <c r="Q18" s="38">
        <v>0</v>
      </c>
      <c r="R18" s="42">
        <v>1</v>
      </c>
      <c r="S18" s="68" t="s">
        <v>132</v>
      </c>
    </row>
    <row r="19" spans="1:30">
      <c r="A19" s="34">
        <v>35043</v>
      </c>
      <c r="B19" s="33">
        <f t="shared" si="3"/>
        <v>11</v>
      </c>
      <c r="C19" s="33">
        <f t="shared" si="4"/>
        <v>924</v>
      </c>
      <c r="D19" s="3">
        <v>88</v>
      </c>
      <c r="F19" s="31">
        <f t="shared" si="8"/>
        <v>9.9433145710543513E-3</v>
      </c>
      <c r="G19" s="31">
        <f t="shared" si="5"/>
        <v>1.4078536789006169E-3</v>
      </c>
      <c r="H19" s="17">
        <f t="shared" si="0"/>
        <v>-577.780627413601</v>
      </c>
      <c r="J19" s="35">
        <f t="shared" si="1"/>
        <v>994.33145710543511</v>
      </c>
      <c r="K19" s="35">
        <f t="shared" si="6"/>
        <v>140.78536789006171</v>
      </c>
      <c r="L19" s="78">
        <f t="shared" si="2"/>
        <v>0.59983372602342844</v>
      </c>
      <c r="M19" s="56"/>
      <c r="N19" s="35">
        <f t="shared" si="7"/>
        <v>47.412087471641755</v>
      </c>
      <c r="O19" s="67">
        <f t="shared" si="9"/>
        <v>1</v>
      </c>
      <c r="P19" s="64">
        <v>0</v>
      </c>
      <c r="Q19" s="38">
        <v>0</v>
      </c>
      <c r="R19" s="42">
        <v>1</v>
      </c>
    </row>
    <row r="20" spans="1:30">
      <c r="A20" s="34">
        <v>35050</v>
      </c>
      <c r="B20" s="33">
        <f t="shared" si="3"/>
        <v>12</v>
      </c>
      <c r="C20" s="33">
        <f t="shared" si="4"/>
        <v>1025</v>
      </c>
      <c r="D20" s="3">
        <v>101</v>
      </c>
      <c r="F20" s="31">
        <f t="shared" si="8"/>
        <v>1.1429253467027278E-2</v>
      </c>
      <c r="G20" s="31">
        <f t="shared" si="5"/>
        <v>1.4859388959729269E-3</v>
      </c>
      <c r="H20" s="17">
        <f t="shared" si="0"/>
        <v>-657.68255378682363</v>
      </c>
      <c r="J20" s="35">
        <f t="shared" si="1"/>
        <v>1142.9253467027279</v>
      </c>
      <c r="K20" s="35">
        <f t="shared" si="6"/>
        <v>148.59388959729279</v>
      </c>
      <c r="L20" s="78">
        <f t="shared" si="2"/>
        <v>0.47122662967616619</v>
      </c>
      <c r="M20" s="56"/>
      <c r="N20" s="35">
        <f t="shared" si="7"/>
        <v>54.538266644643215</v>
      </c>
      <c r="O20" s="67">
        <f t="shared" si="9"/>
        <v>1</v>
      </c>
      <c r="P20" s="64">
        <v>0</v>
      </c>
      <c r="Q20" s="38">
        <v>0</v>
      </c>
      <c r="R20" s="42">
        <v>1</v>
      </c>
    </row>
    <row r="21" spans="1:30">
      <c r="A21" s="34">
        <v>35057</v>
      </c>
      <c r="B21" s="33">
        <f t="shared" si="3"/>
        <v>13</v>
      </c>
      <c r="C21" s="33">
        <f t="shared" si="4"/>
        <v>1201</v>
      </c>
      <c r="D21" s="3">
        <v>176</v>
      </c>
      <c r="F21" s="31">
        <f t="shared" si="8"/>
        <v>1.2990242639894012E-2</v>
      </c>
      <c r="G21" s="31">
        <f t="shared" si="5"/>
        <v>1.5609891728667336E-3</v>
      </c>
      <c r="H21" s="17">
        <f t="shared" si="0"/>
        <v>-1137.3886609354315</v>
      </c>
      <c r="J21" s="35">
        <f t="shared" si="1"/>
        <v>1299.0242639894011</v>
      </c>
      <c r="K21" s="35">
        <f t="shared" si="6"/>
        <v>156.09891728667321</v>
      </c>
      <c r="L21" s="78">
        <f t="shared" si="2"/>
        <v>0.11307433359844765</v>
      </c>
      <c r="M21" s="56"/>
      <c r="N21" s="35">
        <f t="shared" si="7"/>
        <v>62.035913489770323</v>
      </c>
      <c r="O21" s="67">
        <f t="shared" si="9"/>
        <v>1</v>
      </c>
      <c r="P21" s="64">
        <v>0</v>
      </c>
      <c r="Q21" s="38">
        <v>0</v>
      </c>
      <c r="R21" s="42">
        <v>1</v>
      </c>
      <c r="S21" s="8" t="s">
        <v>25</v>
      </c>
    </row>
    <row r="22" spans="1:30">
      <c r="A22" s="137">
        <v>35064</v>
      </c>
      <c r="B22" s="138">
        <f t="shared" si="3"/>
        <v>14</v>
      </c>
      <c r="C22" s="138">
        <f t="shared" si="4"/>
        <v>1345</v>
      </c>
      <c r="D22" s="64">
        <v>144</v>
      </c>
      <c r="E22" s="54"/>
      <c r="F22" s="139">
        <f t="shared" si="8"/>
        <v>1.4623540387055156E-2</v>
      </c>
      <c r="G22" s="139">
        <f t="shared" si="5"/>
        <v>1.6332977471611443E-3</v>
      </c>
      <c r="H22" s="140">
        <f t="shared" si="0"/>
        <v>-924.07019763216624</v>
      </c>
      <c r="I22" s="54"/>
      <c r="J22" s="56">
        <f t="shared" si="1"/>
        <v>1462.3540387055157</v>
      </c>
      <c r="K22" s="56">
        <f t="shared" si="6"/>
        <v>163.32977471611457</v>
      </c>
      <c r="L22" s="78">
        <f t="shared" si="2"/>
        <v>0.13423454663968451</v>
      </c>
      <c r="M22" s="56"/>
      <c r="N22" s="35">
        <f t="shared" si="7"/>
        <v>69.893573510707313</v>
      </c>
      <c r="O22" s="67">
        <f t="shared" si="9"/>
        <v>1</v>
      </c>
      <c r="P22" s="64">
        <v>0</v>
      </c>
      <c r="Q22" s="38">
        <v>0</v>
      </c>
      <c r="R22" s="3">
        <v>0</v>
      </c>
      <c r="S22" s="7"/>
    </row>
    <row r="23" spans="1:30">
      <c r="A23" s="137">
        <v>35071</v>
      </c>
      <c r="B23" s="138">
        <f t="shared" si="3"/>
        <v>15</v>
      </c>
      <c r="C23" s="138">
        <f t="shared" si="4"/>
        <v>1523</v>
      </c>
      <c r="D23" s="64">
        <v>178</v>
      </c>
      <c r="E23" s="54"/>
      <c r="F23" s="139">
        <f t="shared" si="8"/>
        <v>1.6326646413532431E-2</v>
      </c>
      <c r="G23" s="139">
        <f t="shared" si="5"/>
        <v>1.7031060264772746E-3</v>
      </c>
      <c r="H23" s="140">
        <f t="shared" si="0"/>
        <v>-1134.8036884653284</v>
      </c>
      <c r="I23" s="54"/>
      <c r="J23" s="56">
        <f t="shared" si="1"/>
        <v>1632.664641353243</v>
      </c>
      <c r="K23" s="56">
        <f t="shared" si="6"/>
        <v>170.31060264772736</v>
      </c>
      <c r="L23" s="78">
        <f t="shared" si="2"/>
        <v>4.3198861529621546E-2</v>
      </c>
      <c r="M23" s="56"/>
      <c r="N23" s="35">
        <f t="shared" si="7"/>
        <v>78.100958805328759</v>
      </c>
      <c r="O23" s="67">
        <f>EXP(SUMPRODUCT($Q$6:$R$6,Q23:R23))</f>
        <v>1</v>
      </c>
      <c r="P23" s="64">
        <v>0</v>
      </c>
      <c r="Q23" s="41">
        <v>1</v>
      </c>
      <c r="R23" s="38">
        <v>0</v>
      </c>
      <c r="S23" s="12" t="s">
        <v>24</v>
      </c>
      <c r="X23" s="2" t="s">
        <v>133</v>
      </c>
    </row>
    <row r="24" spans="1:30">
      <c r="A24" s="137">
        <v>35078</v>
      </c>
      <c r="B24" s="138">
        <f t="shared" si="3"/>
        <v>16</v>
      </c>
      <c r="C24" s="138">
        <f t="shared" si="4"/>
        <v>1664</v>
      </c>
      <c r="D24" s="64">
        <v>141</v>
      </c>
      <c r="E24" s="54"/>
      <c r="F24" s="139">
        <f t="shared" si="8"/>
        <v>1.8097262075919773E-2</v>
      </c>
      <c r="G24" s="139">
        <f t="shared" si="5"/>
        <v>1.7706156623873426E-3</v>
      </c>
      <c r="H24" s="140">
        <f t="shared" si="0"/>
        <v>-893.43634250362538</v>
      </c>
      <c r="I24" s="54"/>
      <c r="J24" s="56">
        <f t="shared" si="1"/>
        <v>1809.7262075919773</v>
      </c>
      <c r="K24" s="56">
        <f t="shared" si="6"/>
        <v>177.06156623873426</v>
      </c>
      <c r="L24" s="78">
        <f t="shared" si="2"/>
        <v>0.25575578892719331</v>
      </c>
      <c r="M24" s="56"/>
      <c r="N24" s="35">
        <f t="shared" si="7"/>
        <v>86.648757564026354</v>
      </c>
      <c r="O24" s="67">
        <f>EXP(SUMPRODUCT($Q$6:$R$6,Q24:R24))</f>
        <v>1</v>
      </c>
      <c r="P24" s="64">
        <v>0</v>
      </c>
      <c r="Q24" s="38">
        <v>0</v>
      </c>
      <c r="R24" s="38">
        <v>0</v>
      </c>
      <c r="S24" s="13" t="s">
        <v>33</v>
      </c>
    </row>
    <row r="25" spans="1:30">
      <c r="A25" s="34">
        <v>35085</v>
      </c>
      <c r="B25" s="33">
        <f t="shared" si="3"/>
        <v>17</v>
      </c>
      <c r="C25" s="33">
        <f t="shared" si="4"/>
        <v>1815</v>
      </c>
      <c r="D25" s="3">
        <v>151</v>
      </c>
      <c r="F25" s="31">
        <f t="shared" si="8"/>
        <v>1.9933259298711592E-2</v>
      </c>
      <c r="G25" s="31">
        <f t="shared" si="5"/>
        <v>1.8359972227918187E-3</v>
      </c>
      <c r="H25" s="17">
        <f t="shared" si="0"/>
        <v>-951.3252924132662</v>
      </c>
      <c r="J25" s="35">
        <f t="shared" si="1"/>
        <v>1993.3259298711591</v>
      </c>
      <c r="K25" s="35">
        <f t="shared" si="6"/>
        <v>183.59972227918183</v>
      </c>
      <c r="L25" s="78">
        <f t="shared" si="2"/>
        <v>0.21589220052438299</v>
      </c>
      <c r="M25" s="56"/>
      <c r="N25" s="35">
        <f t="shared" si="7"/>
        <v>95.528484904359118</v>
      </c>
      <c r="O25" s="67">
        <f t="shared" si="9"/>
        <v>1</v>
      </c>
      <c r="P25" s="64">
        <v>0</v>
      </c>
      <c r="Q25" s="38">
        <v>0</v>
      </c>
      <c r="R25" s="38">
        <v>0</v>
      </c>
      <c r="S25" s="12" t="s">
        <v>36</v>
      </c>
      <c r="V25" s="19"/>
    </row>
    <row r="26" spans="1:30" s="54" customFormat="1">
      <c r="A26" s="137">
        <v>35092</v>
      </c>
      <c r="B26" s="138">
        <f t="shared" si="3"/>
        <v>18</v>
      </c>
      <c r="C26" s="138">
        <f t="shared" si="4"/>
        <v>1917</v>
      </c>
      <c r="D26" s="64">
        <v>102</v>
      </c>
      <c r="F26" s="139">
        <f t="shared" si="8"/>
        <v>2.1832655867270234E-2</v>
      </c>
      <c r="G26" s="139">
        <f t="shared" si="5"/>
        <v>1.8993965685586423E-3</v>
      </c>
      <c r="H26" s="17">
        <f t="shared" si="0"/>
        <v>-639.15434195243108</v>
      </c>
      <c r="J26" s="56">
        <f t="shared" si="1"/>
        <v>2183.2655867270232</v>
      </c>
      <c r="K26" s="56">
        <f t="shared" si="6"/>
        <v>189.93965685586409</v>
      </c>
      <c r="L26" s="78">
        <f t="shared" si="2"/>
        <v>0.86215349858690282</v>
      </c>
      <c r="M26" s="56"/>
      <c r="N26" s="56">
        <f t="shared" si="7"/>
        <v>104.73236411730298</v>
      </c>
      <c r="O26" s="141">
        <f t="shared" si="9"/>
        <v>1</v>
      </c>
      <c r="P26" s="72">
        <v>0</v>
      </c>
      <c r="Q26" s="72">
        <v>0</v>
      </c>
      <c r="R26" s="72">
        <v>0</v>
      </c>
    </row>
    <row r="27" spans="1:30">
      <c r="A27" s="34">
        <v>35099</v>
      </c>
      <c r="B27" s="33">
        <f t="shared" si="3"/>
        <v>19</v>
      </c>
      <c r="C27" s="33">
        <f t="shared" si="4"/>
        <v>2049</v>
      </c>
      <c r="D27" s="3">
        <v>132</v>
      </c>
      <c r="E27" s="17"/>
      <c r="F27" s="31">
        <f t="shared" si="8"/>
        <v>2.3793595505371412E-2</v>
      </c>
      <c r="G27" s="31">
        <f t="shared" si="5"/>
        <v>1.9609396381011779E-3</v>
      </c>
      <c r="H27" s="17">
        <f t="shared" si="0"/>
        <v>-822.93175977198746</v>
      </c>
      <c r="J27" s="35">
        <f t="shared" si="1"/>
        <v>2379.3595505371413</v>
      </c>
      <c r="K27" s="35">
        <f t="shared" si="6"/>
        <v>196.09396381011811</v>
      </c>
      <c r="L27" s="78">
        <f t="shared" si="2"/>
        <v>0.48556033189483416</v>
      </c>
      <c r="M27" s="56"/>
      <c r="N27" s="35">
        <f>N26+(B27^$B$2-B26^$B$2)*O27</f>
        <v>114.25323074632045</v>
      </c>
      <c r="O27" s="67">
        <f t="shared" si="9"/>
        <v>1</v>
      </c>
      <c r="P27" s="65">
        <v>2.9997242948235288</v>
      </c>
      <c r="Q27" s="38">
        <v>0</v>
      </c>
      <c r="R27" s="38">
        <v>0</v>
      </c>
      <c r="AD27" s="5"/>
    </row>
    <row r="28" spans="1:30">
      <c r="A28" s="34">
        <v>35106</v>
      </c>
      <c r="B28" s="33">
        <f t="shared" si="3"/>
        <v>20</v>
      </c>
      <c r="C28" s="33">
        <f t="shared" si="4"/>
        <v>2237</v>
      </c>
      <c r="D28" s="3">
        <v>188</v>
      </c>
      <c r="E28" s="17"/>
      <c r="F28" s="31">
        <f t="shared" si="8"/>
        <v>2.5814331606927587E-2</v>
      </c>
      <c r="G28" s="31">
        <f t="shared" si="5"/>
        <v>2.0207361015561753E-3</v>
      </c>
      <c r="H28" s="17">
        <f t="shared" si="0"/>
        <v>-1166.4071643207526</v>
      </c>
      <c r="J28" s="35">
        <f t="shared" si="1"/>
        <v>2581.4331606927585</v>
      </c>
      <c r="K28" s="35">
        <f t="shared" si="6"/>
        <v>202.07361015561719</v>
      </c>
      <c r="L28" s="78">
        <f t="shared" si="2"/>
        <v>7.4859628487325469E-2</v>
      </c>
      <c r="M28" s="56"/>
      <c r="N28" s="35">
        <f t="shared" si="7"/>
        <v>124.08445411613808</v>
      </c>
      <c r="O28" s="67">
        <f t="shared" si="9"/>
        <v>1</v>
      </c>
      <c r="P28" s="65">
        <v>2.926917957553631</v>
      </c>
      <c r="Q28" s="38">
        <v>0</v>
      </c>
      <c r="R28" s="38">
        <v>0</v>
      </c>
      <c r="AD28" s="5"/>
    </row>
    <row r="29" spans="1:30">
      <c r="A29" s="34">
        <v>35113</v>
      </c>
      <c r="B29" s="33">
        <f t="shared" si="3"/>
        <v>21</v>
      </c>
      <c r="C29" s="33">
        <f t="shared" si="4"/>
        <v>2358</v>
      </c>
      <c r="D29" s="3">
        <v>121</v>
      </c>
      <c r="E29" s="17"/>
      <c r="F29" s="31">
        <f t="shared" si="8"/>
        <v>2.7893213802499206E-2</v>
      </c>
      <c r="G29" s="31">
        <f t="shared" si="5"/>
        <v>2.0788821955716186E-3</v>
      </c>
      <c r="H29" s="17">
        <f t="shared" si="0"/>
        <v>-747.28691721951134</v>
      </c>
      <c r="J29" s="35">
        <f t="shared" si="1"/>
        <v>2789.3213802499208</v>
      </c>
      <c r="K29" s="35">
        <f t="shared" si="6"/>
        <v>207.8882195571623</v>
      </c>
      <c r="L29" s="78">
        <f t="shared" si="2"/>
        <v>0.71808445915010166</v>
      </c>
      <c r="M29" s="56"/>
      <c r="N29" s="35">
        <f t="shared" si="7"/>
        <v>134.21987240773217</v>
      </c>
      <c r="O29" s="67">
        <f t="shared" si="9"/>
        <v>1</v>
      </c>
      <c r="P29" s="65">
        <v>4.4220883402477282</v>
      </c>
      <c r="Q29" s="38">
        <v>0</v>
      </c>
      <c r="R29" s="38">
        <v>0</v>
      </c>
      <c r="AD29" s="5"/>
    </row>
    <row r="30" spans="1:30">
      <c r="A30" s="34">
        <v>35120</v>
      </c>
      <c r="B30" s="33">
        <f t="shared" si="3"/>
        <v>22</v>
      </c>
      <c r="C30" s="33">
        <f t="shared" si="4"/>
        <v>2497</v>
      </c>
      <c r="D30" s="3">
        <v>139</v>
      </c>
      <c r="E30" s="17"/>
      <c r="F30" s="31">
        <f t="shared" si="8"/>
        <v>3.0028676755689321E-2</v>
      </c>
      <c r="G30" s="31">
        <f t="shared" si="5"/>
        <v>2.1354629531901148E-3</v>
      </c>
      <c r="H30" s="17">
        <f t="shared" si="0"/>
        <v>-854.72098241096592</v>
      </c>
      <c r="J30" s="35">
        <f t="shared" si="1"/>
        <v>3002.8676755689321</v>
      </c>
      <c r="K30" s="35">
        <f t="shared" si="6"/>
        <v>213.54629531901128</v>
      </c>
      <c r="L30" s="78">
        <f t="shared" si="2"/>
        <v>0.53630428287058474</v>
      </c>
      <c r="M30" s="56"/>
      <c r="N30" s="35">
        <f t="shared" si="7"/>
        <v>144.65373839665662</v>
      </c>
      <c r="O30" s="67">
        <f t="shared" si="9"/>
        <v>1</v>
      </c>
      <c r="P30" s="65">
        <v>5.2186787438878204</v>
      </c>
      <c r="Q30" s="38">
        <v>0</v>
      </c>
      <c r="R30" s="38">
        <v>0</v>
      </c>
      <c r="AD30" s="5"/>
    </row>
    <row r="31" spans="1:30">
      <c r="A31" s="34">
        <v>35127</v>
      </c>
      <c r="B31" s="33">
        <f t="shared" si="3"/>
        <v>23</v>
      </c>
      <c r="C31" s="33">
        <f t="shared" si="4"/>
        <v>2663</v>
      </c>
      <c r="D31" s="3">
        <v>166</v>
      </c>
      <c r="E31" s="17"/>
      <c r="F31" s="31">
        <f t="shared" si="8"/>
        <v>3.2219230735519022E-2</v>
      </c>
      <c r="G31" s="31">
        <f t="shared" si="5"/>
        <v>2.1905539798297013E-3</v>
      </c>
      <c r="H31" s="17">
        <f t="shared" si="0"/>
        <v>-1016.5177341804676</v>
      </c>
      <c r="J31" s="35">
        <f t="shared" si="1"/>
        <v>3221.9230735519022</v>
      </c>
      <c r="K31" s="35">
        <f t="shared" si="6"/>
        <v>219.05539798297013</v>
      </c>
      <c r="L31" s="78">
        <f t="shared" si="2"/>
        <v>0.31961083122271167</v>
      </c>
      <c r="M31" s="56"/>
      <c r="N31" s="35">
        <f t="shared" si="7"/>
        <v>155.38067369061787</v>
      </c>
      <c r="O31" s="67">
        <f t="shared" si="9"/>
        <v>1</v>
      </c>
      <c r="P31" s="65">
        <v>6.0515007605520417</v>
      </c>
      <c r="Q31" s="38">
        <v>0</v>
      </c>
      <c r="R31" s="38">
        <v>0</v>
      </c>
      <c r="AD31" s="5"/>
    </row>
    <row r="32" spans="1:30">
      <c r="A32" s="34">
        <v>35134</v>
      </c>
      <c r="B32" s="33">
        <f t="shared" si="3"/>
        <v>24</v>
      </c>
      <c r="C32" s="33">
        <f t="shared" si="4"/>
        <v>2833</v>
      </c>
      <c r="D32" s="3">
        <v>170</v>
      </c>
      <c r="E32" s="17"/>
      <c r="F32" s="31">
        <f t="shared" si="8"/>
        <v>3.446345361917369E-2</v>
      </c>
      <c r="G32" s="31">
        <f t="shared" si="5"/>
        <v>2.2442228836546674E-3</v>
      </c>
      <c r="H32" s="17">
        <f t="shared" si="0"/>
        <v>-1036.8973152378292</v>
      </c>
      <c r="J32" s="35">
        <f t="shared" si="1"/>
        <v>3446.3453619173688</v>
      </c>
      <c r="K32" s="35">
        <f t="shared" si="6"/>
        <v>224.42228836546656</v>
      </c>
      <c r="L32" s="78">
        <f t="shared" si="2"/>
        <v>0.32013110803215622</v>
      </c>
      <c r="M32" s="56"/>
      <c r="N32" s="35">
        <f t="shared" si="7"/>
        <v>166.3956298178183</v>
      </c>
      <c r="O32" s="67">
        <f t="shared" si="9"/>
        <v>1</v>
      </c>
      <c r="P32" s="65">
        <v>6.2509593138866872</v>
      </c>
      <c r="Q32" s="38">
        <v>0</v>
      </c>
      <c r="R32" s="38">
        <v>0</v>
      </c>
      <c r="AD32" s="5"/>
    </row>
    <row r="33" spans="1:30">
      <c r="A33" s="34">
        <v>35141</v>
      </c>
      <c r="B33" s="33">
        <f t="shared" si="3"/>
        <v>25</v>
      </c>
      <c r="C33" s="33">
        <f t="shared" si="4"/>
        <v>3149</v>
      </c>
      <c r="D33" s="3">
        <v>316</v>
      </c>
      <c r="E33" s="17"/>
      <c r="F33" s="31">
        <f t="shared" si="8"/>
        <v>3.6759984058476358E-2</v>
      </c>
      <c r="G33" s="31">
        <f t="shared" si="5"/>
        <v>2.2965304393026686E-3</v>
      </c>
      <c r="H33" s="17">
        <f t="shared" si="0"/>
        <v>-1920.128432685206</v>
      </c>
      <c r="J33" s="35">
        <f t="shared" si="1"/>
        <v>3675.9984058476357</v>
      </c>
      <c r="K33" s="35">
        <f t="shared" si="6"/>
        <v>229.6530439302669</v>
      </c>
      <c r="L33" s="78">
        <f t="shared" si="2"/>
        <v>0.27324986098016801</v>
      </c>
      <c r="M33" s="56"/>
      <c r="N33" s="35">
        <f t="shared" si="7"/>
        <v>177.6938548936827</v>
      </c>
      <c r="O33" s="67">
        <f t="shared" si="9"/>
        <v>1</v>
      </c>
      <c r="P33" s="65">
        <v>6.5128591222232073</v>
      </c>
      <c r="Q33" s="38">
        <v>0</v>
      </c>
      <c r="R33" s="38">
        <v>0</v>
      </c>
      <c r="AD33" s="5"/>
    </row>
    <row r="34" spans="1:30">
      <c r="A34" s="34">
        <v>35148</v>
      </c>
      <c r="B34" s="33">
        <f t="shared" si="3"/>
        <v>26</v>
      </c>
      <c r="C34" s="33">
        <f t="shared" si="4"/>
        <v>3576</v>
      </c>
      <c r="D34" s="3">
        <v>427</v>
      </c>
      <c r="E34" s="17"/>
      <c r="F34" s="31">
        <f t="shared" si="8"/>
        <v>3.9107515601893628E-2</v>
      </c>
      <c r="G34" s="31">
        <f t="shared" si="5"/>
        <v>2.3475315434172694E-3</v>
      </c>
      <c r="H34" s="17">
        <f t="shared" si="0"/>
        <v>-2585.2249185472288</v>
      </c>
      <c r="J34" s="35">
        <f t="shared" si="1"/>
        <v>3910.7515601893629</v>
      </c>
      <c r="K34" s="35">
        <f t="shared" si="6"/>
        <v>234.75315434172717</v>
      </c>
      <c r="L34" s="78">
        <f t="shared" si="2"/>
        <v>0.45022680482031108</v>
      </c>
      <c r="M34" s="56"/>
      <c r="N34" s="35">
        <f t="shared" si="7"/>
        <v>189.27086487204863</v>
      </c>
      <c r="O34" s="67">
        <f t="shared" si="9"/>
        <v>1</v>
      </c>
      <c r="P34" s="65">
        <v>6.5078745491678731</v>
      </c>
      <c r="Q34" s="38">
        <v>0</v>
      </c>
      <c r="R34" s="38">
        <v>0</v>
      </c>
      <c r="AD34" s="5"/>
    </row>
    <row r="35" spans="1:30">
      <c r="A35" s="34">
        <v>35155</v>
      </c>
      <c r="B35" s="33">
        <f t="shared" si="3"/>
        <v>27</v>
      </c>
      <c r="C35" s="33">
        <f t="shared" si="4"/>
        <v>4160</v>
      </c>
      <c r="D35" s="3">
        <v>584</v>
      </c>
      <c r="E35" s="17"/>
      <c r="F35" s="31">
        <f t="shared" si="8"/>
        <v>4.1504791607736014E-2</v>
      </c>
      <c r="G35" s="31">
        <f t="shared" si="5"/>
        <v>2.3972760058423859E-3</v>
      </c>
      <c r="H35" s="17">
        <f t="shared" si="0"/>
        <v>-3523.5185553341994</v>
      </c>
      <c r="J35" s="35">
        <f t="shared" si="1"/>
        <v>4150.4791607736015</v>
      </c>
      <c r="K35" s="35">
        <f t="shared" si="6"/>
        <v>239.72760058423864</v>
      </c>
      <c r="L35" s="78">
        <f t="shared" si="2"/>
        <v>0.58950753324616667</v>
      </c>
      <c r="M35" s="56"/>
      <c r="N35" s="35">
        <f t="shared" si="7"/>
        <v>201.122418595911</v>
      </c>
      <c r="O35" s="67">
        <f t="shared" si="9"/>
        <v>1</v>
      </c>
      <c r="P35" s="65">
        <v>6.4883687155329284</v>
      </c>
      <c r="Q35" s="38">
        <v>0</v>
      </c>
      <c r="R35" s="38">
        <v>0</v>
      </c>
      <c r="AD35" s="5"/>
    </row>
    <row r="36" spans="1:30">
      <c r="A36" s="4"/>
      <c r="B36" s="4"/>
      <c r="C36" s="4"/>
      <c r="H36" s="17">
        <f>(B5-SUM(D9:D35))*IFERROR(LN(1-F35),-10000)</f>
        <v>-4062.7261809990737</v>
      </c>
    </row>
    <row r="37" spans="1:30">
      <c r="A37" s="4"/>
      <c r="B37" s="4"/>
      <c r="C37" s="4"/>
    </row>
    <row r="38" spans="1:30">
      <c r="A38" s="4"/>
      <c r="B38" s="4"/>
      <c r="C38" s="4"/>
    </row>
    <row r="39" spans="1:30">
      <c r="A39" s="4"/>
      <c r="B39" s="4"/>
      <c r="C39" s="4"/>
      <c r="E39" s="7"/>
      <c r="F39" s="7"/>
      <c r="G39" s="7"/>
      <c r="H39" s="7"/>
      <c r="I39" s="7"/>
      <c r="J39" s="7"/>
      <c r="K39" s="7"/>
      <c r="L39" s="7"/>
      <c r="M39" s="55"/>
      <c r="N39" s="7"/>
      <c r="O39" s="7"/>
      <c r="P39" s="55"/>
      <c r="Q39" s="7"/>
      <c r="R39" s="7"/>
    </row>
    <row r="40" spans="1:30">
      <c r="A40" s="4"/>
      <c r="B40" s="69"/>
      <c r="C40" s="69"/>
      <c r="E40" s="7"/>
      <c r="F40" s="7"/>
      <c r="G40" s="7"/>
      <c r="H40" s="7"/>
      <c r="I40" s="7"/>
      <c r="J40" s="7"/>
      <c r="K40" s="7"/>
      <c r="L40" s="7"/>
      <c r="M40" s="55"/>
      <c r="N40" s="7"/>
      <c r="O40" s="7"/>
      <c r="P40" s="55"/>
      <c r="Q40" s="7"/>
      <c r="R40" s="7"/>
    </row>
    <row r="41" spans="1:30">
      <c r="A41" s="4"/>
      <c r="B41" s="4"/>
      <c r="C41" s="4"/>
      <c r="E41" s="7"/>
      <c r="F41" s="7"/>
      <c r="G41" s="7"/>
      <c r="H41" s="7"/>
      <c r="I41" s="7"/>
      <c r="J41" s="7"/>
      <c r="K41" s="7"/>
      <c r="L41" s="7"/>
      <c r="M41" s="55"/>
      <c r="N41" s="7"/>
      <c r="O41" s="7"/>
      <c r="P41" s="55"/>
      <c r="Q41" s="7"/>
      <c r="R41" s="7"/>
    </row>
    <row r="42" spans="1:30">
      <c r="A42" s="4"/>
      <c r="B42" s="4"/>
      <c r="C42" s="4"/>
    </row>
    <row r="43" spans="1:30">
      <c r="A43" s="4"/>
      <c r="C43" s="4"/>
      <c r="E43" s="7"/>
      <c r="F43" s="7"/>
      <c r="G43" s="7"/>
      <c r="H43" s="7"/>
      <c r="I43" s="7"/>
      <c r="J43" s="7"/>
      <c r="K43" s="7"/>
      <c r="L43" s="7"/>
      <c r="M43" s="55"/>
      <c r="N43" s="7"/>
      <c r="O43" s="7"/>
      <c r="P43" s="55"/>
      <c r="Q43" s="7"/>
      <c r="R43" s="7"/>
    </row>
    <row r="44" spans="1:30">
      <c r="A44" s="4"/>
      <c r="B44" s="4"/>
      <c r="C44" s="4"/>
      <c r="E44" s="20"/>
      <c r="F44" s="20"/>
      <c r="G44" s="20"/>
      <c r="H44" s="20"/>
      <c r="I44" s="20"/>
      <c r="J44" s="20"/>
      <c r="K44" s="20"/>
      <c r="L44" s="20"/>
      <c r="M44" s="57"/>
      <c r="N44" s="20"/>
      <c r="O44" s="20"/>
      <c r="P44" s="57"/>
      <c r="Q44" s="20"/>
      <c r="R44" s="20"/>
    </row>
    <row r="45" spans="1:30">
      <c r="A45" s="4"/>
      <c r="B45" s="4"/>
      <c r="C45" s="4"/>
    </row>
    <row r="46" spans="1:30">
      <c r="A46" s="4"/>
      <c r="B46" s="4"/>
      <c r="C46" s="4"/>
    </row>
    <row r="47" spans="1:30">
      <c r="A47" s="4"/>
      <c r="B47" s="4"/>
      <c r="C47" s="4"/>
    </row>
    <row r="48" spans="1:30">
      <c r="A48" s="4"/>
      <c r="B48" s="4"/>
      <c r="C48" s="4"/>
      <c r="D48" s="9"/>
    </row>
    <row r="49" spans="1:18">
      <c r="A49" s="4"/>
      <c r="B49" s="4"/>
      <c r="C49" s="4"/>
    </row>
    <row r="50" spans="1:18">
      <c r="A50" s="4"/>
      <c r="B50" s="4"/>
      <c r="C50" s="4"/>
    </row>
    <row r="51" spans="1:18" ht="14.25">
      <c r="A51" s="4"/>
      <c r="B51" s="4"/>
      <c r="C51" s="4"/>
      <c r="D51" s="9"/>
      <c r="E51" s="10"/>
      <c r="F51" s="10"/>
      <c r="G51" s="10"/>
      <c r="H51" s="10"/>
      <c r="I51" s="10"/>
      <c r="J51" s="10"/>
      <c r="K51" s="10"/>
      <c r="L51" s="10"/>
      <c r="M51" s="58"/>
      <c r="N51" s="10"/>
      <c r="O51" s="10"/>
      <c r="P51" s="58"/>
      <c r="Q51" s="10"/>
      <c r="R51" s="10"/>
    </row>
    <row r="52" spans="1:18">
      <c r="A52" s="4"/>
      <c r="B52" s="4"/>
      <c r="C52" s="4"/>
      <c r="D52" s="3"/>
    </row>
    <row r="53" spans="1:18">
      <c r="A53" s="4"/>
      <c r="B53" s="4"/>
      <c r="C53" s="4"/>
      <c r="E53" s="7"/>
      <c r="F53" s="7"/>
      <c r="G53" s="7"/>
      <c r="H53" s="7"/>
      <c r="I53" s="7"/>
      <c r="J53" s="7"/>
      <c r="K53" s="7"/>
      <c r="L53" s="7"/>
      <c r="M53" s="55"/>
      <c r="N53" s="7"/>
      <c r="O53" s="7"/>
      <c r="P53" s="55"/>
      <c r="Q53" s="7"/>
      <c r="R53" s="7"/>
    </row>
    <row r="54" spans="1:18">
      <c r="A54" s="4"/>
      <c r="B54" s="4"/>
      <c r="C54" s="4"/>
      <c r="E54" s="14"/>
      <c r="F54" s="14"/>
      <c r="G54" s="14"/>
      <c r="H54" s="14"/>
      <c r="I54" s="14"/>
      <c r="J54" s="14"/>
      <c r="K54" s="14"/>
      <c r="L54" s="14"/>
      <c r="M54" s="59"/>
      <c r="N54" s="14"/>
      <c r="O54" s="14"/>
      <c r="P54" s="59"/>
      <c r="Q54" s="14"/>
      <c r="R54" s="14"/>
    </row>
    <row r="56" spans="1:18">
      <c r="E56" s="7"/>
      <c r="F56" s="7"/>
      <c r="G56" s="7"/>
      <c r="H56" s="7"/>
      <c r="I56" s="7"/>
      <c r="J56" s="7"/>
      <c r="K56" s="7"/>
      <c r="L56" s="7"/>
      <c r="M56" s="55"/>
      <c r="N56" s="7"/>
      <c r="O56" s="7"/>
      <c r="P56" s="55"/>
      <c r="Q56" s="7"/>
      <c r="R56" s="7"/>
    </row>
    <row r="59" spans="1:18" ht="15">
      <c r="E59" s="18"/>
      <c r="F59" s="18"/>
      <c r="G59" s="18"/>
      <c r="H59" s="18"/>
      <c r="I59" s="18"/>
      <c r="J59" s="18"/>
      <c r="K59" s="18"/>
      <c r="L59" s="18"/>
      <c r="M59" s="60"/>
      <c r="N59" s="18"/>
      <c r="O59" s="18"/>
      <c r="P59" s="60"/>
      <c r="Q59" s="18"/>
      <c r="R59" s="18"/>
    </row>
  </sheetData>
  <scenarios current="0" show="0">
    <scenario name="pittsfield best fit" locked="1" count="1" user="Author">
      <inputCells r="D37" deleted="1" val=""/>
    </scenario>
  </scenarios>
  <mergeCells count="2">
    <mergeCell ref="P2:R2"/>
    <mergeCell ref="Q5:R5"/>
  </mergeCells>
  <printOptions gridLines="1" gridLinesSet="0"/>
  <pageMargins left="0.75" right="0.75" top="1" bottom="1" header="0.5" footer="0.5"/>
  <pageSetup orientation="portrait" r:id="rId1"/>
  <headerFooter alignWithMargins="0">
    <oddHeader>&amp;A</oddHeader>
    <oddFoote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FEEE8-A848-4CD5-8720-A21D055CB1C6}">
  <dimension ref="A1:AC59"/>
  <sheetViews>
    <sheetView zoomScale="70" zoomScaleNormal="70" workbookViewId="0">
      <selection activeCell="C3" sqref="C3"/>
    </sheetView>
  </sheetViews>
  <sheetFormatPr defaultRowHeight="12.75"/>
  <cols>
    <col min="1" max="1" width="12" style="54" customWidth="1"/>
    <col min="2" max="3" width="10.85546875" style="54" customWidth="1"/>
    <col min="4" max="5" width="10.5703125" style="54" customWidth="1"/>
    <col min="6" max="6" width="3.7109375" style="54" customWidth="1"/>
    <col min="7" max="7" width="12.7109375" style="54" customWidth="1"/>
    <col min="8" max="8" width="10.85546875" style="54" customWidth="1"/>
    <col min="9" max="9" width="8.42578125" style="54" customWidth="1"/>
    <col min="10" max="10" width="3.28515625" style="54" customWidth="1"/>
    <col min="11" max="13" width="7.7109375" style="54" customWidth="1"/>
    <col min="14" max="14" width="9" style="54" customWidth="1"/>
    <col min="15" max="15" width="8.85546875" style="54" customWidth="1"/>
    <col min="16" max="16" width="9.28515625" style="54" customWidth="1"/>
    <col min="17" max="17" width="13" style="54" customWidth="1"/>
    <col min="18" max="18" width="11.140625" style="54" customWidth="1"/>
    <col min="19" max="16384" width="9.140625" style="54"/>
  </cols>
  <sheetData>
    <row r="1" spans="1:22">
      <c r="A1" s="54" t="s">
        <v>117</v>
      </c>
      <c r="B1" s="162">
        <f>EXP(C1)</f>
        <v>4.0712454191834372E-4</v>
      </c>
      <c r="C1" s="63">
        <v>-7.8063914195306987</v>
      </c>
      <c r="F1" s="63"/>
      <c r="G1" s="54" t="s">
        <v>107</v>
      </c>
      <c r="H1" s="163">
        <f>-2*H2+2*LN(B4)</f>
        <v>48032.053093878254</v>
      </c>
      <c r="L1" s="54" t="s">
        <v>187</v>
      </c>
      <c r="R1"/>
      <c r="S1"/>
      <c r="T1"/>
      <c r="U1"/>
      <c r="V1"/>
    </row>
    <row r="2" spans="1:22">
      <c r="A2" s="54" t="s">
        <v>98</v>
      </c>
      <c r="B2" s="63">
        <f>EXP(C2)</f>
        <v>1.3555996132138652</v>
      </c>
      <c r="C2" s="63">
        <v>0.30424387542603953</v>
      </c>
      <c r="F2" s="63"/>
      <c r="G2" s="54" t="s">
        <v>99</v>
      </c>
      <c r="H2" s="122">
        <f>SUM(I9:I34)</f>
        <v>-24004.513621474158</v>
      </c>
      <c r="L2" s="54" t="s">
        <v>164</v>
      </c>
      <c r="N2" s="64"/>
      <c r="O2" s="64"/>
      <c r="Q2" s="143"/>
      <c r="R2"/>
      <c r="S2"/>
      <c r="T2"/>
      <c r="U2"/>
      <c r="V2"/>
    </row>
    <row r="3" spans="1:22">
      <c r="A3" s="57" t="s">
        <v>115</v>
      </c>
      <c r="B3" s="159">
        <f>C3</f>
        <v>0</v>
      </c>
      <c r="C3" s="63">
        <v>0</v>
      </c>
      <c r="F3" s="63"/>
      <c r="G3" s="54" t="s">
        <v>130</v>
      </c>
      <c r="H3" s="158">
        <f>AVERAGE(M9:M33)</f>
        <v>0.22044525533741932</v>
      </c>
      <c r="L3" s="54" t="s">
        <v>165</v>
      </c>
      <c r="N3" s="56"/>
      <c r="O3" s="56"/>
      <c r="Q3" s="143"/>
      <c r="R3"/>
      <c r="S3"/>
      <c r="T3"/>
      <c r="U3"/>
      <c r="V3"/>
    </row>
    <row r="4" spans="1:22">
      <c r="A4" s="54" t="s">
        <v>105</v>
      </c>
      <c r="B4" s="122">
        <v>100000</v>
      </c>
      <c r="C4" s="63"/>
      <c r="F4" s="63"/>
      <c r="G4" s="54" t="s">
        <v>139</v>
      </c>
      <c r="H4" s="158">
        <f>AVERAGE(M34:M35)</f>
        <v>0.65578661344189682</v>
      </c>
      <c r="N4" s="56"/>
      <c r="O4" s="56"/>
      <c r="Q4" s="143"/>
      <c r="R4"/>
      <c r="S4"/>
      <c r="T4"/>
      <c r="U4"/>
      <c r="V4"/>
    </row>
    <row r="5" spans="1:22">
      <c r="C5" s="122"/>
      <c r="F5" s="63"/>
      <c r="N5" s="147"/>
      <c r="O5" s="147"/>
      <c r="Q5" s="143"/>
      <c r="R5"/>
      <c r="S5"/>
      <c r="T5"/>
      <c r="U5"/>
      <c r="V5"/>
    </row>
    <row r="6" spans="1:22">
      <c r="Q6" s="136">
        <f>B3</f>
        <v>0</v>
      </c>
    </row>
    <row r="8" spans="1:22">
      <c r="A8" s="148" t="s">
        <v>1</v>
      </c>
      <c r="B8" s="143" t="s">
        <v>100</v>
      </c>
      <c r="C8" s="143" t="s">
        <v>128</v>
      </c>
      <c r="D8" s="143" t="s">
        <v>101</v>
      </c>
      <c r="E8" s="143" t="s">
        <v>102</v>
      </c>
      <c r="F8" s="55"/>
      <c r="G8" s="143" t="s">
        <v>103</v>
      </c>
      <c r="H8" s="148" t="s">
        <v>104</v>
      </c>
      <c r="I8" s="55"/>
      <c r="J8" s="55"/>
      <c r="K8" s="55" t="s">
        <v>106</v>
      </c>
      <c r="L8" s="55" t="s">
        <v>173</v>
      </c>
      <c r="M8" s="55" t="s">
        <v>129</v>
      </c>
      <c r="N8" s="55"/>
      <c r="O8" s="55" t="s">
        <v>108</v>
      </c>
      <c r="P8" s="55" t="s">
        <v>109</v>
      </c>
      <c r="Q8" s="143" t="s">
        <v>178</v>
      </c>
      <c r="R8" s="55" t="s">
        <v>111</v>
      </c>
    </row>
    <row r="9" spans="1:22">
      <c r="A9" s="137">
        <v>34973</v>
      </c>
      <c r="B9" s="138">
        <v>1</v>
      </c>
      <c r="C9" s="138">
        <f>D9</f>
        <v>74</v>
      </c>
      <c r="D9" s="64">
        <v>74</v>
      </c>
      <c r="E9" s="64">
        <v>0</v>
      </c>
      <c r="G9" s="139">
        <f>1-EXP(-$B$1*O9)</f>
        <v>4.0704167796767887E-4</v>
      </c>
      <c r="H9" s="139">
        <f>G9</f>
        <v>4.0704167796767887E-4</v>
      </c>
      <c r="I9" s="140">
        <f t="shared" ref="I9:I33" si="0">D9*IFERROR(LN(H9),-10000)</f>
        <v>-577.6880281422674</v>
      </c>
      <c r="K9" s="56">
        <f t="shared" ref="K9:K35" si="1">$B$4*G9</f>
        <v>40.704167796767891</v>
      </c>
      <c r="L9" s="56">
        <f>K9</f>
        <v>40.704167796767891</v>
      </c>
      <c r="M9" s="78">
        <f>ABS((D9-L9)/D9)</f>
        <v>0.44994367842205552</v>
      </c>
      <c r="N9" s="56"/>
      <c r="O9" s="56">
        <f>B9^B2*P9</f>
        <v>1</v>
      </c>
      <c r="P9" s="141">
        <f>EXP(SUMPRODUCT($Q$6,Q9))</f>
        <v>1</v>
      </c>
      <c r="Q9" s="64">
        <v>0</v>
      </c>
      <c r="R9" s="54" t="s">
        <v>131</v>
      </c>
    </row>
    <row r="10" spans="1:22">
      <c r="A10" s="137">
        <v>34980</v>
      </c>
      <c r="B10" s="138">
        <f>B9+1</f>
        <v>2</v>
      </c>
      <c r="C10" s="138">
        <f>C9+D10</f>
        <v>142</v>
      </c>
      <c r="D10" s="64">
        <v>68</v>
      </c>
      <c r="E10" s="64">
        <v>0</v>
      </c>
      <c r="G10" s="139">
        <f>1-EXP(-$B$1*O10)</f>
        <v>1.0413032271101574E-3</v>
      </c>
      <c r="H10" s="139">
        <f>G10-G9</f>
        <v>6.3426154914247856E-4</v>
      </c>
      <c r="I10" s="140">
        <f t="shared" si="0"/>
        <v>-500.68734223521494</v>
      </c>
      <c r="K10" s="56">
        <f t="shared" si="1"/>
        <v>104.13032271101574</v>
      </c>
      <c r="L10" s="56">
        <f>K10-K9</f>
        <v>63.426154914247846</v>
      </c>
      <c r="M10" s="78">
        <f t="shared" ref="M10:M35" si="2">ABS((D10-L10)/D10)</f>
        <v>6.7262427731649324E-2</v>
      </c>
      <c r="N10" s="56"/>
      <c r="O10" s="56">
        <f>O9+(B10^$B$2-B9^$B$2)*P10</f>
        <v>2.5590345280258573</v>
      </c>
      <c r="P10" s="141">
        <f t="shared" ref="P10:P35" si="3">EXP(SUMPRODUCT($Q$6,Q10))</f>
        <v>1</v>
      </c>
      <c r="Q10" s="64">
        <v>0</v>
      </c>
    </row>
    <row r="11" spans="1:22">
      <c r="A11" s="137">
        <v>34987</v>
      </c>
      <c r="B11" s="138">
        <f t="shared" ref="B11:B35" si="4">B10+1</f>
        <v>3</v>
      </c>
      <c r="C11" s="138">
        <f t="shared" ref="C11:C35" si="5">C10+D11</f>
        <v>227</v>
      </c>
      <c r="D11" s="64">
        <v>85</v>
      </c>
      <c r="E11" s="64">
        <v>0</v>
      </c>
      <c r="G11" s="139">
        <f>1-EXP(-$B$1*O11)</f>
        <v>1.8035191059317945E-3</v>
      </c>
      <c r="H11" s="139">
        <f t="shared" ref="H11:H35" si="6">G11-G10</f>
        <v>7.6221587882163711E-4</v>
      </c>
      <c r="I11" s="140">
        <f t="shared" si="0"/>
        <v>-610.23886263317297</v>
      </c>
      <c r="K11" s="56">
        <f t="shared" si="1"/>
        <v>180.35191059317947</v>
      </c>
      <c r="L11" s="56">
        <f t="shared" ref="L11:L35" si="7">K11-K10</f>
        <v>76.221587882163732</v>
      </c>
      <c r="M11" s="78">
        <f t="shared" si="2"/>
        <v>0.10327543668042669</v>
      </c>
      <c r="N11" s="56"/>
      <c r="O11" s="56">
        <f>O10+(B11^$B$2-B10^$B$2)*P11</f>
        <v>4.433894837392609</v>
      </c>
      <c r="P11" s="141">
        <f t="shared" si="3"/>
        <v>1</v>
      </c>
      <c r="Q11" s="64">
        <v>0</v>
      </c>
    </row>
    <row r="12" spans="1:22">
      <c r="A12" s="137">
        <v>34994</v>
      </c>
      <c r="B12" s="138">
        <f t="shared" si="4"/>
        <v>4</v>
      </c>
      <c r="C12" s="138">
        <f t="shared" si="5"/>
        <v>313</v>
      </c>
      <c r="D12" s="64">
        <v>86</v>
      </c>
      <c r="E12" s="64">
        <v>0</v>
      </c>
      <c r="G12" s="139">
        <f>1-EXP(-$B$1*O12)</f>
        <v>2.6625683331110706E-3</v>
      </c>
      <c r="H12" s="139">
        <f t="shared" si="6"/>
        <v>8.5904922717927601E-4</v>
      </c>
      <c r="I12" s="140">
        <f t="shared" si="0"/>
        <v>-607.13285238681294</v>
      </c>
      <c r="K12" s="56">
        <f t="shared" si="1"/>
        <v>266.25683331110707</v>
      </c>
      <c r="L12" s="56">
        <f t="shared" si="7"/>
        <v>85.904922717927604</v>
      </c>
      <c r="M12" s="78">
        <f t="shared" si="2"/>
        <v>1.1055497915394828E-3</v>
      </c>
      <c r="N12" s="56"/>
      <c r="O12" s="56">
        <f t="shared" ref="O12:O35" si="8">O11+(B12^$B$2-B11^$B$2)*P12</f>
        <v>6.5486577156285222</v>
      </c>
      <c r="P12" s="141">
        <f t="shared" si="3"/>
        <v>1</v>
      </c>
      <c r="Q12" s="64">
        <v>0</v>
      </c>
    </row>
    <row r="13" spans="1:22">
      <c r="A13" s="137">
        <v>35001</v>
      </c>
      <c r="B13" s="138">
        <f t="shared" si="4"/>
        <v>5</v>
      </c>
      <c r="C13" s="138">
        <f t="shared" si="5"/>
        <v>409</v>
      </c>
      <c r="D13" s="64">
        <v>96</v>
      </c>
      <c r="E13" s="64">
        <v>0</v>
      </c>
      <c r="G13" s="139">
        <f t="shared" ref="G13:G35" si="9">1-EXP(-$B$1*O13)</f>
        <v>3.6013683805273811E-3</v>
      </c>
      <c r="H13" s="139">
        <f t="shared" si="6"/>
        <v>9.3880004741631051E-4</v>
      </c>
      <c r="I13" s="140">
        <f t="shared" si="0"/>
        <v>-669.20717217408446</v>
      </c>
      <c r="K13" s="56">
        <f t="shared" si="1"/>
        <v>360.13683805273809</v>
      </c>
      <c r="L13" s="56">
        <f t="shared" si="7"/>
        <v>93.880004741631012</v>
      </c>
      <c r="M13" s="78">
        <f t="shared" si="2"/>
        <v>2.2083283941343623E-2</v>
      </c>
      <c r="N13" s="56"/>
      <c r="O13" s="56">
        <f t="shared" si="8"/>
        <v>8.8618310813450005</v>
      </c>
      <c r="P13" s="141">
        <f t="shared" si="3"/>
        <v>1</v>
      </c>
      <c r="Q13" s="64">
        <v>0</v>
      </c>
      <c r="R13" s="54" t="s">
        <v>22</v>
      </c>
    </row>
    <row r="14" spans="1:22">
      <c r="A14" s="137">
        <v>35008</v>
      </c>
      <c r="B14" s="138">
        <f t="shared" si="4"/>
        <v>6</v>
      </c>
      <c r="C14" s="138">
        <f t="shared" si="5"/>
        <v>516</v>
      </c>
      <c r="D14" s="64">
        <v>107</v>
      </c>
      <c r="E14" s="64">
        <v>0</v>
      </c>
      <c r="G14" s="139">
        <f t="shared" si="9"/>
        <v>4.6087813589954507E-3</v>
      </c>
      <c r="H14" s="139">
        <f t="shared" si="6"/>
        <v>1.0074129784680697E-3</v>
      </c>
      <c r="I14" s="140">
        <f t="shared" si="0"/>
        <v>-738.33955165150223</v>
      </c>
      <c r="K14" s="56">
        <f t="shared" si="1"/>
        <v>460.8781358995451</v>
      </c>
      <c r="L14" s="56">
        <f t="shared" si="7"/>
        <v>100.74129784680702</v>
      </c>
      <c r="M14" s="78">
        <f t="shared" si="2"/>
        <v>5.8492543487784904E-2</v>
      </c>
      <c r="N14" s="56"/>
      <c r="O14" s="56">
        <f t="shared" si="8"/>
        <v>11.346489982523275</v>
      </c>
      <c r="P14" s="141">
        <f t="shared" si="3"/>
        <v>1</v>
      </c>
      <c r="Q14" s="64">
        <v>0</v>
      </c>
      <c r="R14" s="54" t="s">
        <v>21</v>
      </c>
    </row>
    <row r="15" spans="1:22">
      <c r="A15" s="137">
        <v>35015</v>
      </c>
      <c r="B15" s="138">
        <f t="shared" si="4"/>
        <v>7</v>
      </c>
      <c r="C15" s="138">
        <f t="shared" si="5"/>
        <v>601</v>
      </c>
      <c r="D15" s="64">
        <v>85</v>
      </c>
      <c r="E15" s="64">
        <v>0</v>
      </c>
      <c r="G15" s="139">
        <f t="shared" si="9"/>
        <v>5.6768343854556313E-3</v>
      </c>
      <c r="H15" s="139">
        <f t="shared" si="6"/>
        <v>1.0680530264601806E-3</v>
      </c>
      <c r="I15" s="140">
        <f t="shared" si="0"/>
        <v>-581.5630206018094</v>
      </c>
      <c r="K15" s="56">
        <f t="shared" si="1"/>
        <v>567.68343854556315</v>
      </c>
      <c r="L15" s="56">
        <f t="shared" si="7"/>
        <v>106.80530264601805</v>
      </c>
      <c r="M15" s="78">
        <f t="shared" si="2"/>
        <v>0.25653297230609468</v>
      </c>
      <c r="N15" s="56"/>
      <c r="O15" s="56">
        <f t="shared" si="8"/>
        <v>13.983457801819535</v>
      </c>
      <c r="P15" s="141">
        <f t="shared" si="3"/>
        <v>1</v>
      </c>
      <c r="Q15" s="64">
        <v>0</v>
      </c>
    </row>
    <row r="16" spans="1:22">
      <c r="A16" s="137">
        <v>35022</v>
      </c>
      <c r="B16" s="138">
        <f t="shared" si="4"/>
        <v>8</v>
      </c>
      <c r="C16" s="138">
        <f t="shared" si="5"/>
        <v>675</v>
      </c>
      <c r="D16" s="64">
        <v>74</v>
      </c>
      <c r="E16" s="64">
        <v>0</v>
      </c>
      <c r="G16" s="139">
        <f t="shared" si="9"/>
        <v>6.7994695579931541E-3</v>
      </c>
      <c r="H16" s="139">
        <f t="shared" si="6"/>
        <v>1.1226351725375228E-3</v>
      </c>
      <c r="I16" s="140">
        <f t="shared" si="0"/>
        <v>-502.61366282254954</v>
      </c>
      <c r="K16" s="56">
        <f t="shared" si="1"/>
        <v>679.94695579931545</v>
      </c>
      <c r="L16" s="56">
        <f t="shared" si="7"/>
        <v>112.2635172537523</v>
      </c>
      <c r="M16" s="78">
        <f t="shared" si="2"/>
        <v>0.51707455748313913</v>
      </c>
      <c r="N16" s="56"/>
      <c r="O16" s="56">
        <f t="shared" si="8"/>
        <v>16.758241206516328</v>
      </c>
      <c r="P16" s="141">
        <f t="shared" si="3"/>
        <v>1</v>
      </c>
      <c r="Q16" s="64">
        <v>0</v>
      </c>
    </row>
    <row r="17" spans="1:29">
      <c r="A17" s="137">
        <v>35029</v>
      </c>
      <c r="B17" s="138">
        <f t="shared" si="4"/>
        <v>9</v>
      </c>
      <c r="C17" s="138">
        <f t="shared" si="5"/>
        <v>762</v>
      </c>
      <c r="D17" s="64">
        <v>87</v>
      </c>
      <c r="E17" s="64">
        <v>0</v>
      </c>
      <c r="G17" s="139">
        <f t="shared" si="9"/>
        <v>7.9718883658729256E-3</v>
      </c>
      <c r="H17" s="139">
        <f t="shared" si="6"/>
        <v>1.1724188078797715E-3</v>
      </c>
      <c r="I17" s="140">
        <f t="shared" si="0"/>
        <v>-587.13570871355705</v>
      </c>
      <c r="K17" s="56">
        <f t="shared" si="1"/>
        <v>797.1888365872926</v>
      </c>
      <c r="L17" s="56">
        <f t="shared" si="7"/>
        <v>117.24188078797715</v>
      </c>
      <c r="M17" s="78">
        <f t="shared" si="2"/>
        <v>0.34760782514916266</v>
      </c>
      <c r="N17" s="56"/>
      <c r="O17" s="56">
        <f t="shared" si="8"/>
        <v>19.659423429056829</v>
      </c>
      <c r="P17" s="141">
        <f t="shared" si="3"/>
        <v>1</v>
      </c>
      <c r="Q17" s="64">
        <v>0</v>
      </c>
      <c r="R17" s="54" t="s">
        <v>23</v>
      </c>
    </row>
    <row r="18" spans="1:29">
      <c r="A18" s="137">
        <v>35036</v>
      </c>
      <c r="B18" s="138">
        <f t="shared" si="4"/>
        <v>10</v>
      </c>
      <c r="C18" s="138">
        <f t="shared" si="5"/>
        <v>836</v>
      </c>
      <c r="D18" s="64">
        <v>74</v>
      </c>
      <c r="E18" s="64">
        <v>0</v>
      </c>
      <c r="G18" s="139">
        <f t="shared" si="9"/>
        <v>9.1901709881438975E-3</v>
      </c>
      <c r="H18" s="139">
        <f t="shared" si="6"/>
        <v>1.2182826222709719E-3</v>
      </c>
      <c r="I18" s="140">
        <f t="shared" si="0"/>
        <v>-496.56316929801159</v>
      </c>
      <c r="K18" s="56">
        <f t="shared" si="1"/>
        <v>919.01709881438978</v>
      </c>
      <c r="L18" s="56">
        <f t="shared" si="7"/>
        <v>121.82826222709718</v>
      </c>
      <c r="M18" s="78">
        <f t="shared" si="2"/>
        <v>0.64632786793374575</v>
      </c>
      <c r="N18" s="56"/>
      <c r="O18" s="56">
        <f t="shared" si="8"/>
        <v>22.677731718694584</v>
      </c>
      <c r="P18" s="141">
        <f t="shared" si="3"/>
        <v>1</v>
      </c>
      <c r="Q18" s="64">
        <v>0</v>
      </c>
      <c r="R18" s="149"/>
    </row>
    <row r="19" spans="1:29">
      <c r="A19" s="137">
        <v>35043</v>
      </c>
      <c r="B19" s="138">
        <f t="shared" si="4"/>
        <v>11</v>
      </c>
      <c r="C19" s="138">
        <f t="shared" si="5"/>
        <v>924</v>
      </c>
      <c r="D19" s="64">
        <v>88</v>
      </c>
      <c r="E19" s="64">
        <v>0</v>
      </c>
      <c r="G19" s="139">
        <f t="shared" si="9"/>
        <v>1.0451038440653093E-2</v>
      </c>
      <c r="H19" s="139">
        <f t="shared" si="6"/>
        <v>1.2608674525091956E-3</v>
      </c>
      <c r="I19" s="140">
        <f t="shared" si="0"/>
        <v>-587.48406996596873</v>
      </c>
      <c r="K19" s="56">
        <f t="shared" si="1"/>
        <v>1045.1038440653092</v>
      </c>
      <c r="L19" s="56">
        <f t="shared" si="7"/>
        <v>126.08674525091942</v>
      </c>
      <c r="M19" s="78">
        <f t="shared" si="2"/>
        <v>0.4328039233059025</v>
      </c>
      <c r="N19" s="56"/>
      <c r="O19" s="56">
        <f t="shared" si="8"/>
        <v>25.805455016664375</v>
      </c>
      <c r="P19" s="141">
        <f t="shared" si="3"/>
        <v>1</v>
      </c>
      <c r="Q19" s="64">
        <v>0</v>
      </c>
    </row>
    <row r="20" spans="1:29">
      <c r="A20" s="137">
        <v>35050</v>
      </c>
      <c r="B20" s="138">
        <f t="shared" si="4"/>
        <v>12</v>
      </c>
      <c r="C20" s="138">
        <f t="shared" si="5"/>
        <v>1025</v>
      </c>
      <c r="D20" s="64">
        <v>101</v>
      </c>
      <c r="E20" s="64">
        <v>0</v>
      </c>
      <c r="G20" s="139">
        <f t="shared" si="9"/>
        <v>1.1751695512938309E-2</v>
      </c>
      <c r="H20" s="139">
        <f t="shared" si="6"/>
        <v>1.3006570722852162E-3</v>
      </c>
      <c r="I20" s="140">
        <f t="shared" si="0"/>
        <v>-671.13345590070026</v>
      </c>
      <c r="K20" s="56">
        <f t="shared" si="1"/>
        <v>1175.1695512938309</v>
      </c>
      <c r="L20" s="56">
        <f t="shared" si="7"/>
        <v>130.06570722852166</v>
      </c>
      <c r="M20" s="78">
        <f t="shared" si="2"/>
        <v>0.28777927949031346</v>
      </c>
      <c r="N20" s="56"/>
      <c r="O20" s="56">
        <f t="shared" si="8"/>
        <v>29.036059637176578</v>
      </c>
      <c r="P20" s="141">
        <f t="shared" si="3"/>
        <v>1</v>
      </c>
      <c r="Q20" s="64">
        <v>0</v>
      </c>
    </row>
    <row r="21" spans="1:29">
      <c r="A21" s="137">
        <v>35057</v>
      </c>
      <c r="B21" s="138">
        <f t="shared" si="4"/>
        <v>13</v>
      </c>
      <c r="C21" s="138">
        <f t="shared" si="5"/>
        <v>1201</v>
      </c>
      <c r="D21" s="64">
        <v>176</v>
      </c>
      <c r="E21" s="64">
        <v>0</v>
      </c>
      <c r="G21" s="139">
        <f t="shared" si="9"/>
        <v>1.3089722445893792E-2</v>
      </c>
      <c r="H21" s="139">
        <f t="shared" si="6"/>
        <v>1.3380269329554828E-3</v>
      </c>
      <c r="I21" s="140">
        <f t="shared" si="0"/>
        <v>-1164.5144171257527</v>
      </c>
      <c r="K21" s="56">
        <f t="shared" si="1"/>
        <v>1308.9722445893792</v>
      </c>
      <c r="L21" s="56">
        <f t="shared" si="7"/>
        <v>133.80269329554835</v>
      </c>
      <c r="M21" s="78">
        <f t="shared" si="2"/>
        <v>0.23975742445711165</v>
      </c>
      <c r="N21" s="56"/>
      <c r="O21" s="56">
        <f t="shared" si="8"/>
        <v>32.363924363556805</v>
      </c>
      <c r="P21" s="141">
        <f t="shared" si="3"/>
        <v>1</v>
      </c>
      <c r="Q21" s="64">
        <v>0</v>
      </c>
      <c r="R21" s="150" t="s">
        <v>25</v>
      </c>
    </row>
    <row r="22" spans="1:29">
      <c r="A22" s="137">
        <v>35064</v>
      </c>
      <c r="B22" s="138">
        <f t="shared" si="4"/>
        <v>14</v>
      </c>
      <c r="C22" s="138">
        <f t="shared" si="5"/>
        <v>1345</v>
      </c>
      <c r="D22" s="64">
        <v>144</v>
      </c>
      <c r="E22" s="64">
        <v>0</v>
      </c>
      <c r="G22" s="139">
        <f t="shared" si="9"/>
        <v>1.4462997556064394E-2</v>
      </c>
      <c r="H22" s="139">
        <f t="shared" si="6"/>
        <v>1.373275110170602E-3</v>
      </c>
      <c r="I22" s="140">
        <f t="shared" si="0"/>
        <v>-949.04017929998929</v>
      </c>
      <c r="K22" s="56">
        <f t="shared" si="1"/>
        <v>1446.2997556064395</v>
      </c>
      <c r="L22" s="56">
        <f t="shared" si="7"/>
        <v>137.32751101706026</v>
      </c>
      <c r="M22" s="78">
        <f t="shared" si="2"/>
        <v>4.6336729048192637E-2</v>
      </c>
      <c r="N22" s="56"/>
      <c r="O22" s="56">
        <f t="shared" si="8"/>
        <v>35.784151336048744</v>
      </c>
      <c r="P22" s="141">
        <f t="shared" si="3"/>
        <v>1</v>
      </c>
      <c r="Q22" s="64">
        <v>0</v>
      </c>
      <c r="R22" s="55"/>
    </row>
    <row r="23" spans="1:29">
      <c r="A23" s="137">
        <v>35071</v>
      </c>
      <c r="B23" s="138">
        <f t="shared" si="4"/>
        <v>15</v>
      </c>
      <c r="C23" s="138">
        <f t="shared" si="5"/>
        <v>1523</v>
      </c>
      <c r="D23" s="64">
        <v>178</v>
      </c>
      <c r="E23" s="64">
        <v>0</v>
      </c>
      <c r="G23" s="139">
        <f t="shared" si="9"/>
        <v>1.5869640341138358E-2</v>
      </c>
      <c r="H23" s="139">
        <f t="shared" si="6"/>
        <v>1.4066427850739638E-3</v>
      </c>
      <c r="I23" s="140">
        <f t="shared" si="0"/>
        <v>-1168.8457962583987</v>
      </c>
      <c r="K23" s="56">
        <f t="shared" si="1"/>
        <v>1586.9640341138359</v>
      </c>
      <c r="L23" s="56">
        <f t="shared" si="7"/>
        <v>140.66427850739638</v>
      </c>
      <c r="M23" s="78">
        <f t="shared" si="2"/>
        <v>0.20975124434046979</v>
      </c>
      <c r="N23" s="56"/>
      <c r="O23" s="56">
        <f t="shared" si="8"/>
        <v>39.292427081420946</v>
      </c>
      <c r="P23" s="141">
        <f t="shared" si="3"/>
        <v>1</v>
      </c>
      <c r="Q23" s="64">
        <v>0</v>
      </c>
      <c r="R23" s="151" t="s">
        <v>24</v>
      </c>
      <c r="W23" s="54" t="s">
        <v>133</v>
      </c>
    </row>
    <row r="24" spans="1:29">
      <c r="A24" s="137">
        <v>35078</v>
      </c>
      <c r="B24" s="138">
        <f t="shared" si="4"/>
        <v>16</v>
      </c>
      <c r="C24" s="138">
        <f t="shared" si="5"/>
        <v>1664</v>
      </c>
      <c r="D24" s="64">
        <v>141</v>
      </c>
      <c r="E24" s="64">
        <v>0</v>
      </c>
      <c r="G24" s="139">
        <f t="shared" si="9"/>
        <v>1.7307968615073666E-2</v>
      </c>
      <c r="H24" s="139">
        <f t="shared" si="6"/>
        <v>1.4383282739353076E-3</v>
      </c>
      <c r="I24" s="140">
        <f t="shared" si="0"/>
        <v>-922.7426002535002</v>
      </c>
      <c r="K24" s="56">
        <f t="shared" si="1"/>
        <v>1730.7968615073667</v>
      </c>
      <c r="L24" s="56">
        <f t="shared" si="7"/>
        <v>143.83282739353081</v>
      </c>
      <c r="M24" s="78">
        <f t="shared" si="2"/>
        <v>2.00909744222043E-2</v>
      </c>
      <c r="N24" s="56"/>
      <c r="O24" s="56">
        <f t="shared" si="8"/>
        <v>42.884917876460975</v>
      </c>
      <c r="P24" s="141">
        <f t="shared" si="3"/>
        <v>1</v>
      </c>
      <c r="Q24" s="64">
        <v>0</v>
      </c>
      <c r="R24" s="152" t="s">
        <v>33</v>
      </c>
    </row>
    <row r="25" spans="1:29">
      <c r="A25" s="137">
        <v>35085</v>
      </c>
      <c r="B25" s="138">
        <f t="shared" si="4"/>
        <v>17</v>
      </c>
      <c r="C25" s="138">
        <f t="shared" si="5"/>
        <v>1815</v>
      </c>
      <c r="D25" s="64">
        <v>151</v>
      </c>
      <c r="E25" s="64">
        <v>0</v>
      </c>
      <c r="G25" s="139">
        <f t="shared" si="9"/>
        <v>1.877646553671819E-2</v>
      </c>
      <c r="H25" s="139">
        <f t="shared" si="6"/>
        <v>1.4684969216445243E-3</v>
      </c>
      <c r="I25" s="140">
        <f t="shared" si="0"/>
        <v>-985.05090144151734</v>
      </c>
      <c r="K25" s="56">
        <f t="shared" si="1"/>
        <v>1877.646553671819</v>
      </c>
      <c r="L25" s="56">
        <f t="shared" si="7"/>
        <v>146.84969216445234</v>
      </c>
      <c r="M25" s="78">
        <f t="shared" si="2"/>
        <v>2.7485482354620294E-2</v>
      </c>
      <c r="N25" s="56"/>
      <c r="O25" s="56">
        <f t="shared" si="8"/>
        <v>46.558189313633044</v>
      </c>
      <c r="P25" s="141">
        <f t="shared" si="3"/>
        <v>1</v>
      </c>
      <c r="Q25" s="64">
        <v>0</v>
      </c>
      <c r="R25" s="151" t="s">
        <v>36</v>
      </c>
      <c r="U25" s="153"/>
    </row>
    <row r="26" spans="1:29">
      <c r="A26" s="137">
        <v>35092</v>
      </c>
      <c r="B26" s="138">
        <f t="shared" si="4"/>
        <v>18</v>
      </c>
      <c r="C26" s="138">
        <f t="shared" si="5"/>
        <v>1917</v>
      </c>
      <c r="D26" s="64">
        <v>102</v>
      </c>
      <c r="E26" s="64">
        <v>0</v>
      </c>
      <c r="G26" s="139">
        <f t="shared" si="9"/>
        <v>2.0273753790702731E-2</v>
      </c>
      <c r="H26" s="139">
        <f t="shared" si="6"/>
        <v>1.4972882539845411E-3</v>
      </c>
      <c r="I26" s="140">
        <f t="shared" si="0"/>
        <v>-663.41816304019596</v>
      </c>
      <c r="K26" s="56">
        <f t="shared" si="1"/>
        <v>2027.3753790702731</v>
      </c>
      <c r="L26" s="56">
        <f t="shared" si="7"/>
        <v>149.72882539845409</v>
      </c>
      <c r="M26" s="78">
        <f t="shared" si="2"/>
        <v>0.46792966076915776</v>
      </c>
      <c r="N26" s="56"/>
      <c r="O26" s="56">
        <f t="shared" si="8"/>
        <v>50.309143356036891</v>
      </c>
      <c r="P26" s="141">
        <f t="shared" si="3"/>
        <v>1</v>
      </c>
      <c r="Q26" s="64">
        <v>0</v>
      </c>
    </row>
    <row r="27" spans="1:29">
      <c r="A27" s="137">
        <v>35099</v>
      </c>
      <c r="B27" s="138">
        <f t="shared" si="4"/>
        <v>19</v>
      </c>
      <c r="C27" s="138">
        <f t="shared" si="5"/>
        <v>2049</v>
      </c>
      <c r="D27" s="64">
        <v>132</v>
      </c>
      <c r="E27" s="138">
        <v>20.080000000000002</v>
      </c>
      <c r="F27" s="140"/>
      <c r="G27" s="139">
        <f t="shared" si="9"/>
        <v>2.1798575051335534E-2</v>
      </c>
      <c r="H27" s="139">
        <f t="shared" si="6"/>
        <v>1.5248212606328027E-3</v>
      </c>
      <c r="I27" s="140">
        <f t="shared" si="0"/>
        <v>-856.13590681533594</v>
      </c>
      <c r="K27" s="56">
        <f t="shared" si="1"/>
        <v>2179.8575051335533</v>
      </c>
      <c r="L27" s="56">
        <f t="shared" si="7"/>
        <v>152.48212606328025</v>
      </c>
      <c r="M27" s="78">
        <f t="shared" si="2"/>
        <v>0.15516762169151702</v>
      </c>
      <c r="N27" s="56"/>
      <c r="O27" s="56">
        <f>O26+(B27^$B$2-B26^$B$2)*P27</f>
        <v>54.134968305428053</v>
      </c>
      <c r="P27" s="141">
        <f t="shared" si="3"/>
        <v>1</v>
      </c>
      <c r="Q27" s="138">
        <v>0</v>
      </c>
      <c r="AC27" s="154"/>
    </row>
    <row r="28" spans="1:29">
      <c r="A28" s="137">
        <v>35106</v>
      </c>
      <c r="B28" s="138">
        <f t="shared" si="4"/>
        <v>20</v>
      </c>
      <c r="C28" s="138">
        <f t="shared" si="5"/>
        <v>2237</v>
      </c>
      <c r="D28" s="64">
        <v>188</v>
      </c>
      <c r="E28" s="138">
        <v>18.669999999999998</v>
      </c>
      <c r="F28" s="140"/>
      <c r="G28" s="139">
        <f t="shared" si="9"/>
        <v>2.3349773422870812E-2</v>
      </c>
      <c r="H28" s="139">
        <f t="shared" si="6"/>
        <v>1.5511983715352784E-3</v>
      </c>
      <c r="I28" s="140">
        <f t="shared" si="0"/>
        <v>-1216.1207707230533</v>
      </c>
      <c r="K28" s="56">
        <f t="shared" si="1"/>
        <v>2334.9773422870812</v>
      </c>
      <c r="L28" s="56">
        <f t="shared" si="7"/>
        <v>155.1198371535279</v>
      </c>
      <c r="M28" s="78">
        <f t="shared" si="2"/>
        <v>0.17489448322591544</v>
      </c>
      <c r="N28" s="56"/>
      <c r="O28" s="56">
        <f t="shared" si="8"/>
        <v>58.033098485446608</v>
      </c>
      <c r="P28" s="141">
        <f t="shared" si="3"/>
        <v>1</v>
      </c>
      <c r="Q28" s="138">
        <v>0</v>
      </c>
      <c r="AC28" s="154"/>
    </row>
    <row r="29" spans="1:29">
      <c r="A29" s="137">
        <v>35113</v>
      </c>
      <c r="B29" s="138">
        <f t="shared" si="4"/>
        <v>21</v>
      </c>
      <c r="C29" s="138">
        <f t="shared" si="5"/>
        <v>2358</v>
      </c>
      <c r="D29" s="64">
        <v>121</v>
      </c>
      <c r="E29" s="138">
        <v>83.27000000000001</v>
      </c>
      <c r="F29" s="140"/>
      <c r="G29" s="139">
        <f t="shared" si="9"/>
        <v>2.4926281922770688E-2</v>
      </c>
      <c r="H29" s="139">
        <f t="shared" si="6"/>
        <v>1.5765084998998757E-3</v>
      </c>
      <c r="I29" s="140">
        <f t="shared" si="0"/>
        <v>-780.75766517137674</v>
      </c>
      <c r="K29" s="56">
        <f t="shared" si="1"/>
        <v>2492.6281922770686</v>
      </c>
      <c r="L29" s="56">
        <f t="shared" si="7"/>
        <v>157.65084998998736</v>
      </c>
      <c r="M29" s="78">
        <f t="shared" si="2"/>
        <v>0.30289958669411043</v>
      </c>
      <c r="N29" s="56"/>
      <c r="O29" s="56">
        <f t="shared" si="8"/>
        <v>62.001181356385018</v>
      </c>
      <c r="P29" s="141">
        <f t="shared" si="3"/>
        <v>1</v>
      </c>
      <c r="Q29" s="138">
        <v>20.080000000000002</v>
      </c>
      <c r="AC29" s="154"/>
    </row>
    <row r="30" spans="1:29">
      <c r="A30" s="137">
        <v>35120</v>
      </c>
      <c r="B30" s="138">
        <f t="shared" si="4"/>
        <v>22</v>
      </c>
      <c r="C30" s="138">
        <f t="shared" si="5"/>
        <v>2497</v>
      </c>
      <c r="D30" s="64">
        <v>139</v>
      </c>
      <c r="E30" s="138">
        <v>184.69</v>
      </c>
      <c r="F30" s="140"/>
      <c r="G30" s="139">
        <f t="shared" si="9"/>
        <v>2.6527111328278785E-2</v>
      </c>
      <c r="H30" s="139">
        <f t="shared" si="6"/>
        <v>1.6008294055080974E-3</v>
      </c>
      <c r="I30" s="140">
        <f t="shared" si="0"/>
        <v>-894.77544337916891</v>
      </c>
      <c r="K30" s="56">
        <f t="shared" si="1"/>
        <v>2652.7111328278784</v>
      </c>
      <c r="L30" s="56">
        <f t="shared" si="7"/>
        <v>160.08294055080978</v>
      </c>
      <c r="M30" s="78">
        <f t="shared" si="2"/>
        <v>0.15167583130078979</v>
      </c>
      <c r="N30" s="56"/>
      <c r="O30" s="56">
        <f t="shared" si="8"/>
        <v>66.037050399062224</v>
      </c>
      <c r="P30" s="141">
        <f t="shared" si="3"/>
        <v>1</v>
      </c>
      <c r="Q30" s="138">
        <v>18.669999999999998</v>
      </c>
      <c r="AC30" s="154"/>
    </row>
    <row r="31" spans="1:29">
      <c r="A31" s="137">
        <v>35127</v>
      </c>
      <c r="B31" s="138">
        <f t="shared" si="4"/>
        <v>23</v>
      </c>
      <c r="C31" s="138">
        <f t="shared" si="5"/>
        <v>2663</v>
      </c>
      <c r="D31" s="64">
        <v>166</v>
      </c>
      <c r="E31" s="138">
        <v>424.75</v>
      </c>
      <c r="F31" s="140"/>
      <c r="G31" s="139">
        <f t="shared" si="9"/>
        <v>2.8151340882829112E-2</v>
      </c>
      <c r="H31" s="139">
        <f t="shared" si="6"/>
        <v>1.6242295545503271E-3</v>
      </c>
      <c r="I31" s="140">
        <f t="shared" si="0"/>
        <v>-1066.1718015206807</v>
      </c>
      <c r="K31" s="56">
        <f t="shared" si="1"/>
        <v>2815.1340882829113</v>
      </c>
      <c r="L31" s="56">
        <f t="shared" si="7"/>
        <v>162.42295545503293</v>
      </c>
      <c r="M31" s="78">
        <f t="shared" si="2"/>
        <v>2.1548461114259433E-2</v>
      </c>
      <c r="N31" s="56"/>
      <c r="O31" s="56">
        <f t="shared" si="8"/>
        <v>70.138702536737952</v>
      </c>
      <c r="P31" s="141">
        <f t="shared" si="3"/>
        <v>1</v>
      </c>
      <c r="Q31" s="138">
        <v>83.27000000000001</v>
      </c>
      <c r="U31" s="96">
        <f>COUNTA(B34:B35)/COUNTA(B9:B33)</f>
        <v>0.08</v>
      </c>
      <c r="AC31" s="154"/>
    </row>
    <row r="32" spans="1:29">
      <c r="A32" s="137">
        <v>35134</v>
      </c>
      <c r="B32" s="138">
        <f t="shared" si="4"/>
        <v>24</v>
      </c>
      <c r="C32" s="138">
        <f t="shared" si="5"/>
        <v>2833</v>
      </c>
      <c r="D32" s="64">
        <v>170</v>
      </c>
      <c r="E32" s="138">
        <v>518.51</v>
      </c>
      <c r="F32" s="140"/>
      <c r="G32" s="139">
        <f t="shared" si="9"/>
        <v>2.9798110483573059E-2</v>
      </c>
      <c r="H32" s="139">
        <f t="shared" si="6"/>
        <v>1.646769600743947E-3</v>
      </c>
      <c r="I32" s="140">
        <f t="shared" si="0"/>
        <v>-1089.5197537312483</v>
      </c>
      <c r="K32" s="56">
        <f t="shared" si="1"/>
        <v>2979.8110483573059</v>
      </c>
      <c r="L32" s="56">
        <f t="shared" si="7"/>
        <v>164.67696007439463</v>
      </c>
      <c r="M32" s="78">
        <f t="shared" si="2"/>
        <v>3.1311999562384542E-2</v>
      </c>
      <c r="N32" s="56"/>
      <c r="O32" s="56">
        <f t="shared" si="8"/>
        <v>74.30427916935281</v>
      </c>
      <c r="P32" s="141">
        <f t="shared" si="3"/>
        <v>1</v>
      </c>
      <c r="Q32" s="138">
        <v>184.69</v>
      </c>
      <c r="AC32" s="154"/>
    </row>
    <row r="33" spans="1:29">
      <c r="A33" s="137">
        <v>35141</v>
      </c>
      <c r="B33" s="138">
        <f t="shared" si="4"/>
        <v>25</v>
      </c>
      <c r="C33" s="138">
        <f t="shared" si="5"/>
        <v>3149</v>
      </c>
      <c r="D33" s="64">
        <v>316</v>
      </c>
      <c r="E33" s="138">
        <v>673.75</v>
      </c>
      <c r="F33" s="140"/>
      <c r="G33" s="139">
        <f t="shared" si="9"/>
        <v>3.1466614061181231E-2</v>
      </c>
      <c r="H33" s="139">
        <f t="shared" si="6"/>
        <v>1.6685035776081714E-3</v>
      </c>
      <c r="I33" s="140">
        <f t="shared" si="0"/>
        <v>-2021.0816845197623</v>
      </c>
      <c r="K33" s="56">
        <f t="shared" si="1"/>
        <v>3146.6614061181231</v>
      </c>
      <c r="L33" s="56">
        <f t="shared" si="7"/>
        <v>166.85035776081713</v>
      </c>
      <c r="M33" s="78">
        <f t="shared" si="2"/>
        <v>0.47199253873159136</v>
      </c>
      <c r="N33" s="56"/>
      <c r="O33" s="56">
        <f t="shared" si="8"/>
        <v>78.532050114292304</v>
      </c>
      <c r="P33" s="141">
        <f t="shared" si="3"/>
        <v>1</v>
      </c>
      <c r="Q33" s="138">
        <v>424.75</v>
      </c>
      <c r="AC33" s="154"/>
    </row>
    <row r="34" spans="1:29">
      <c r="A34" s="48">
        <v>35148</v>
      </c>
      <c r="B34" s="49">
        <f t="shared" si="4"/>
        <v>26</v>
      </c>
      <c r="C34" s="49">
        <f t="shared" si="5"/>
        <v>3576</v>
      </c>
      <c r="D34" s="50">
        <v>427</v>
      </c>
      <c r="E34" s="49">
        <v>670.4</v>
      </c>
      <c r="F34" s="52"/>
      <c r="G34" s="51">
        <f t="shared" si="9"/>
        <v>3.3156093928842667E-2</v>
      </c>
      <c r="H34" s="51">
        <f t="shared" si="6"/>
        <v>1.6894798676614364E-3</v>
      </c>
      <c r="I34" s="52">
        <f>(B4-SUM(D9:D33))*IFERROR(LN(1-G33),-10000)</f>
        <v>-3096.5516416685268</v>
      </c>
      <c r="J34" s="46"/>
      <c r="K34" s="47">
        <f t="shared" si="1"/>
        <v>3315.6093928842665</v>
      </c>
      <c r="L34" s="47">
        <f t="shared" si="7"/>
        <v>168.94798676614346</v>
      </c>
      <c r="M34" s="71">
        <f t="shared" si="2"/>
        <v>0.60433726752659611</v>
      </c>
      <c r="N34" s="56"/>
      <c r="O34" s="56">
        <f t="shared" si="8"/>
        <v>82.820399908759128</v>
      </c>
      <c r="P34" s="141">
        <f t="shared" si="3"/>
        <v>1</v>
      </c>
      <c r="Q34" s="138">
        <v>518.51</v>
      </c>
      <c r="AC34" s="154"/>
    </row>
    <row r="35" spans="1:29">
      <c r="A35" s="48">
        <v>35155</v>
      </c>
      <c r="B35" s="49">
        <f t="shared" si="4"/>
        <v>27</v>
      </c>
      <c r="C35" s="49">
        <f t="shared" si="5"/>
        <v>4160</v>
      </c>
      <c r="D35" s="50">
        <v>584</v>
      </c>
      <c r="E35" s="49">
        <v>657.45</v>
      </c>
      <c r="F35" s="52"/>
      <c r="G35" s="51">
        <f t="shared" si="9"/>
        <v>3.4865835926196631E-2</v>
      </c>
      <c r="H35" s="51">
        <f t="shared" si="6"/>
        <v>1.709741997353964E-3</v>
      </c>
      <c r="I35" s="52"/>
      <c r="J35" s="46"/>
      <c r="K35" s="47">
        <f t="shared" si="1"/>
        <v>3486.5835926196632</v>
      </c>
      <c r="L35" s="47">
        <f t="shared" si="7"/>
        <v>170.97419973539672</v>
      </c>
      <c r="M35" s="71">
        <f t="shared" si="2"/>
        <v>0.70723595935719741</v>
      </c>
      <c r="N35" s="56"/>
      <c r="O35" s="56">
        <f t="shared" si="8"/>
        <v>87.167816048210312</v>
      </c>
      <c r="P35" s="141">
        <f t="shared" si="3"/>
        <v>1</v>
      </c>
      <c r="Q35" s="138">
        <v>673.75</v>
      </c>
      <c r="AC35" s="154"/>
    </row>
    <row r="36" spans="1:29">
      <c r="A36" s="155"/>
      <c r="B36" s="155"/>
      <c r="C36" s="155"/>
      <c r="Q36" s="138"/>
    </row>
    <row r="37" spans="1:29">
      <c r="A37" s="155"/>
      <c r="B37" s="155"/>
      <c r="C37" s="155"/>
      <c r="Q37" s="138"/>
    </row>
    <row r="38" spans="1:29">
      <c r="A38" s="155"/>
      <c r="B38" s="155"/>
      <c r="C38" s="155"/>
    </row>
    <row r="39" spans="1:29">
      <c r="A39" s="155"/>
      <c r="B39" s="155"/>
      <c r="C39" s="155"/>
      <c r="F39" s="55"/>
      <c r="G39" s="55"/>
      <c r="H39" s="55"/>
      <c r="I39" s="55"/>
      <c r="J39" s="55"/>
      <c r="K39" s="55"/>
      <c r="L39" s="55"/>
      <c r="M39" s="55"/>
      <c r="N39" s="55"/>
      <c r="O39" s="55"/>
      <c r="P39" s="55"/>
      <c r="Q39" s="55"/>
    </row>
    <row r="40" spans="1:29">
      <c r="A40" s="155"/>
      <c r="B40" s="156"/>
      <c r="C40" s="156"/>
      <c r="F40" s="55"/>
      <c r="G40" s="55"/>
      <c r="H40" s="55"/>
      <c r="I40" s="55"/>
      <c r="J40" s="55"/>
      <c r="K40" s="55"/>
      <c r="L40" s="55"/>
      <c r="M40" s="55"/>
      <c r="N40" s="55"/>
      <c r="O40" s="55"/>
      <c r="P40" s="55"/>
      <c r="Q40" s="55"/>
    </row>
    <row r="41" spans="1:29">
      <c r="A41" s="155"/>
      <c r="B41" s="155"/>
      <c r="C41" s="155"/>
      <c r="F41" s="55"/>
      <c r="G41" s="55"/>
      <c r="H41" s="55"/>
      <c r="I41" s="55"/>
      <c r="J41" s="55"/>
      <c r="K41" s="55"/>
      <c r="L41" s="55"/>
      <c r="M41" s="55"/>
      <c r="N41" s="55"/>
      <c r="O41" s="55"/>
      <c r="P41" s="55"/>
      <c r="Q41" s="55"/>
    </row>
    <row r="42" spans="1:29">
      <c r="A42" s="155"/>
      <c r="B42" s="155"/>
      <c r="C42" s="155"/>
    </row>
    <row r="43" spans="1:29">
      <c r="A43" s="155"/>
      <c r="C43" s="155"/>
      <c r="F43" s="55"/>
      <c r="G43" s="55"/>
      <c r="H43" s="55"/>
      <c r="I43" s="55"/>
      <c r="J43" s="55"/>
      <c r="K43" s="55"/>
      <c r="L43" s="55"/>
      <c r="M43" s="55"/>
      <c r="N43" s="55"/>
      <c r="O43" s="55"/>
      <c r="P43" s="55"/>
      <c r="Q43" s="55"/>
    </row>
    <row r="44" spans="1:29">
      <c r="A44" s="155"/>
      <c r="B44" s="155"/>
      <c r="C44" s="155"/>
      <c r="F44" s="57"/>
      <c r="G44" s="57"/>
      <c r="H44" s="57"/>
      <c r="I44" s="57"/>
      <c r="J44" s="57"/>
      <c r="K44" s="57"/>
      <c r="L44" s="57"/>
      <c r="M44" s="57"/>
      <c r="N44" s="57"/>
      <c r="O44" s="57"/>
      <c r="P44" s="57"/>
      <c r="Q44" s="57"/>
    </row>
    <row r="45" spans="1:29">
      <c r="A45" s="155"/>
      <c r="B45" s="155"/>
      <c r="C45" s="155"/>
    </row>
    <row r="46" spans="1:29">
      <c r="A46" s="155"/>
      <c r="B46" s="155"/>
      <c r="C46" s="155"/>
    </row>
    <row r="47" spans="1:29">
      <c r="A47" s="155"/>
      <c r="B47" s="155"/>
      <c r="C47" s="155"/>
    </row>
    <row r="48" spans="1:29">
      <c r="A48" s="155"/>
      <c r="B48" s="155"/>
      <c r="C48" s="155"/>
      <c r="D48" s="157"/>
      <c r="E48" s="157"/>
    </row>
    <row r="49" spans="1:17">
      <c r="A49" s="155"/>
      <c r="B49" s="155"/>
      <c r="C49" s="155"/>
    </row>
    <row r="50" spans="1:17">
      <c r="A50" s="155"/>
      <c r="B50" s="155"/>
      <c r="C50" s="155"/>
    </row>
    <row r="51" spans="1:17" ht="14.25">
      <c r="A51" s="155"/>
      <c r="B51" s="155"/>
      <c r="C51" s="155"/>
      <c r="D51" s="157"/>
      <c r="E51" s="157"/>
      <c r="F51" s="58"/>
      <c r="G51" s="58"/>
      <c r="H51" s="58"/>
      <c r="I51" s="58"/>
      <c r="J51" s="58"/>
      <c r="K51" s="58"/>
      <c r="L51" s="58"/>
      <c r="M51" s="58"/>
      <c r="N51" s="58"/>
      <c r="O51" s="58"/>
      <c r="P51" s="58"/>
      <c r="Q51" s="58"/>
    </row>
    <row r="52" spans="1:17">
      <c r="A52" s="155"/>
      <c r="B52" s="155"/>
      <c r="C52" s="155"/>
      <c r="D52" s="64"/>
      <c r="E52" s="64"/>
    </row>
    <row r="53" spans="1:17">
      <c r="A53" s="155"/>
      <c r="B53" s="155"/>
      <c r="C53" s="155"/>
      <c r="F53" s="55"/>
      <c r="G53" s="55"/>
      <c r="H53" s="55"/>
      <c r="I53" s="55"/>
      <c r="J53" s="55"/>
      <c r="K53" s="55"/>
      <c r="L53" s="55"/>
      <c r="M53" s="55"/>
      <c r="N53" s="55"/>
      <c r="O53" s="55"/>
      <c r="P53" s="55"/>
      <c r="Q53" s="55"/>
    </row>
    <row r="54" spans="1:17">
      <c r="A54" s="155"/>
      <c r="B54" s="155"/>
      <c r="C54" s="155"/>
      <c r="F54" s="59"/>
      <c r="G54" s="59"/>
      <c r="H54" s="59"/>
      <c r="I54" s="59"/>
      <c r="J54" s="59"/>
      <c r="K54" s="59"/>
      <c r="L54" s="59"/>
      <c r="M54" s="59"/>
      <c r="N54" s="59"/>
      <c r="O54" s="59"/>
      <c r="P54" s="59"/>
      <c r="Q54" s="59"/>
    </row>
    <row r="56" spans="1:17">
      <c r="F56" s="55"/>
      <c r="G56" s="55"/>
      <c r="H56" s="55"/>
      <c r="I56" s="55"/>
      <c r="J56" s="55"/>
      <c r="K56" s="55"/>
      <c r="L56" s="55"/>
      <c r="M56" s="55"/>
      <c r="N56" s="55"/>
      <c r="O56" s="55"/>
      <c r="P56" s="55"/>
      <c r="Q56" s="55"/>
    </row>
    <row r="59" spans="1:17" ht="15">
      <c r="F59" s="60"/>
      <c r="G59" s="60"/>
      <c r="H59" s="60"/>
      <c r="I59" s="60"/>
      <c r="J59" s="60"/>
      <c r="K59" s="60"/>
      <c r="L59" s="60"/>
      <c r="M59" s="60"/>
      <c r="N59" s="60"/>
      <c r="O59" s="60"/>
      <c r="P59" s="60"/>
      <c r="Q59" s="60"/>
    </row>
  </sheetData>
  <scenarios current="0" show="0">
    <scenario name="pittsfield best fit" locked="1" count="1" user="Author">
      <inputCells r="D37" deleted="1" val=""/>
    </scenario>
  </scenarios>
  <printOptions gridLines="1" gridLinesSet="0"/>
  <pageMargins left="0.75" right="0.75" top="1" bottom="1" header="0.5" footer="0.5"/>
  <pageSetup orientation="portrait" r:id="rId1"/>
  <headerFooter alignWithMargins="0">
    <oddHeader>&amp;A</oddHeader>
    <oddFooter>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2B11D-8D4F-4CA4-8C8C-93F0EF799289}">
  <dimension ref="A1:AD59"/>
  <sheetViews>
    <sheetView zoomScale="70" zoomScaleNormal="70" workbookViewId="0">
      <selection activeCell="K25" sqref="K25"/>
    </sheetView>
  </sheetViews>
  <sheetFormatPr defaultRowHeight="12.75"/>
  <cols>
    <col min="1" max="1" width="12" style="54" customWidth="1"/>
    <col min="2" max="2" width="13.7109375" style="54" customWidth="1"/>
    <col min="3" max="3" width="14.7109375" style="54" customWidth="1"/>
    <col min="4" max="4" width="13.5703125" style="54" customWidth="1"/>
    <col min="5" max="5" width="10.5703125" style="54" customWidth="1"/>
    <col min="6" max="6" width="3.7109375" style="54" customWidth="1"/>
    <col min="7" max="7" width="20.28515625" style="54" customWidth="1"/>
    <col min="8" max="8" width="10.85546875" style="54" customWidth="1"/>
    <col min="9" max="9" width="8.42578125" style="54" customWidth="1"/>
    <col min="10" max="10" width="3.28515625" style="54" customWidth="1"/>
    <col min="11" max="11" width="7.7109375" style="54" customWidth="1"/>
    <col min="12" max="12" width="9.42578125" style="54" customWidth="1"/>
    <col min="13" max="14" width="7.7109375" style="54" customWidth="1"/>
    <col min="15" max="15" width="9" style="54" customWidth="1"/>
    <col min="16" max="16" width="8.85546875" style="54" customWidth="1"/>
    <col min="17" max="17" width="9.28515625" style="54" customWidth="1"/>
    <col min="18" max="18" width="13" style="54" customWidth="1"/>
    <col min="19" max="19" width="11.140625" style="54" customWidth="1"/>
    <col min="20" max="16384" width="9.140625" style="54"/>
  </cols>
  <sheetData>
    <row r="1" spans="1:23">
      <c r="A1" s="54" t="s">
        <v>117</v>
      </c>
      <c r="B1" s="162">
        <f>EXP(C1)</f>
        <v>5.2437804926640306E-4</v>
      </c>
      <c r="C1" s="63">
        <v>-7.5532976657105513</v>
      </c>
      <c r="F1" s="63"/>
      <c r="G1" s="54" t="s">
        <v>107</v>
      </c>
      <c r="H1" s="122">
        <f>-2*H2+2*LN(B4)</f>
        <v>47910.387298482419</v>
      </c>
      <c r="L1" s="54" t="s">
        <v>187</v>
      </c>
      <c r="M1" s="56">
        <f>2*(H2-'W(Holdout)'!H2)</f>
        <v>121.66579539583472</v>
      </c>
      <c r="N1" s="56"/>
      <c r="S1"/>
      <c r="T1"/>
      <c r="U1"/>
      <c r="V1"/>
      <c r="W1"/>
    </row>
    <row r="2" spans="1:23">
      <c r="A2" s="54" t="s">
        <v>98</v>
      </c>
      <c r="B2" s="63">
        <f>EXP(C2)</f>
        <v>1.251141899127457</v>
      </c>
      <c r="C2" s="63">
        <v>0.22405665361135982</v>
      </c>
      <c r="F2" s="63"/>
      <c r="G2" s="54" t="s">
        <v>99</v>
      </c>
      <c r="H2" s="122">
        <f>SUM(I9:I34)</f>
        <v>-23943.68072377624</v>
      </c>
      <c r="L2" s="54" t="s">
        <v>164</v>
      </c>
      <c r="M2" s="54">
        <v>1</v>
      </c>
      <c r="O2" s="64"/>
      <c r="P2" s="64"/>
      <c r="R2" s="62"/>
      <c r="S2"/>
      <c r="T2"/>
      <c r="U2"/>
      <c r="V2"/>
      <c r="W2"/>
    </row>
    <row r="3" spans="1:23">
      <c r="A3" s="57" t="s">
        <v>115</v>
      </c>
      <c r="B3" s="159">
        <f>C3</f>
        <v>1.7914612627456471E-3</v>
      </c>
      <c r="C3" s="63">
        <v>1.7914612627456471E-3</v>
      </c>
      <c r="F3" s="63"/>
      <c r="G3" s="54" t="s">
        <v>130</v>
      </c>
      <c r="H3" s="147">
        <f>AVERAGE(M9:M33)</f>
        <v>0.17981214180987656</v>
      </c>
      <c r="L3" s="54" t="s">
        <v>165</v>
      </c>
      <c r="M3" s="54">
        <f>_xlfn.CHISQ.DIST.RT(M1,M2)</f>
        <v>2.7319012096742248E-28</v>
      </c>
      <c r="O3" s="56"/>
      <c r="P3" s="56"/>
      <c r="R3" s="62"/>
      <c r="S3"/>
      <c r="T3"/>
      <c r="U3"/>
      <c r="V3"/>
      <c r="W3"/>
    </row>
    <row r="4" spans="1:23">
      <c r="A4" s="54" t="s">
        <v>105</v>
      </c>
      <c r="B4" s="122">
        <v>100000</v>
      </c>
      <c r="C4" s="63"/>
      <c r="F4" s="63"/>
      <c r="G4" s="54" t="s">
        <v>139</v>
      </c>
      <c r="H4" s="147">
        <f>AVERAGE(M34:M35)</f>
        <v>0.16428348602173182</v>
      </c>
      <c r="O4" s="56"/>
      <c r="P4" s="56"/>
      <c r="R4" s="62"/>
      <c r="S4"/>
      <c r="T4"/>
      <c r="U4"/>
      <c r="V4"/>
      <c r="W4"/>
    </row>
    <row r="5" spans="1:23">
      <c r="C5" s="122"/>
      <c r="F5" s="63"/>
      <c r="O5" s="147"/>
      <c r="P5" s="147"/>
      <c r="R5" s="62"/>
      <c r="S5"/>
      <c r="T5"/>
      <c r="U5"/>
      <c r="V5"/>
      <c r="W5"/>
    </row>
    <row r="6" spans="1:23">
      <c r="R6" s="136">
        <f>B3</f>
        <v>1.7914612627456471E-3</v>
      </c>
    </row>
    <row r="8" spans="1:23">
      <c r="A8" s="148" t="s">
        <v>1</v>
      </c>
      <c r="B8" s="62" t="s">
        <v>100</v>
      </c>
      <c r="C8" s="62" t="s">
        <v>128</v>
      </c>
      <c r="D8" s="62" t="s">
        <v>101</v>
      </c>
      <c r="E8" s="62" t="s">
        <v>102</v>
      </c>
      <c r="F8" s="55"/>
      <c r="G8" s="62" t="s">
        <v>103</v>
      </c>
      <c r="H8" s="148" t="s">
        <v>104</v>
      </c>
      <c r="I8" s="55"/>
      <c r="J8" s="55"/>
      <c r="K8" s="55" t="s">
        <v>106</v>
      </c>
      <c r="L8" s="55" t="s">
        <v>173</v>
      </c>
      <c r="M8" s="55" t="s">
        <v>129</v>
      </c>
      <c r="N8" s="55" t="s">
        <v>188</v>
      </c>
      <c r="O8" s="55"/>
      <c r="P8" s="55" t="s">
        <v>108</v>
      </c>
      <c r="Q8" s="55" t="s">
        <v>109</v>
      </c>
      <c r="R8" s="62" t="s">
        <v>178</v>
      </c>
      <c r="S8" s="55" t="s">
        <v>111</v>
      </c>
    </row>
    <row r="9" spans="1:23">
      <c r="A9" s="137">
        <v>34973</v>
      </c>
      <c r="B9" s="138">
        <v>1</v>
      </c>
      <c r="C9" s="138">
        <f>D9</f>
        <v>74</v>
      </c>
      <c r="D9" s="64">
        <v>74</v>
      </c>
      <c r="E9" s="64">
        <v>0</v>
      </c>
      <c r="G9" s="190">
        <f>1-EXP(-$B$1*P9)</f>
        <v>5.2424058712552402E-4</v>
      </c>
      <c r="H9" s="164">
        <f>G9</f>
        <v>5.2424058712552402E-4</v>
      </c>
      <c r="I9" s="140">
        <f t="shared" ref="I9:I33" si="0">D9*IFERROR(LN(H9),-10000)</f>
        <v>-558.96342840257637</v>
      </c>
      <c r="K9" s="56">
        <f t="shared" ref="K9:K35" si="1">$B$4*G9</f>
        <v>52.424058712552402</v>
      </c>
      <c r="L9" s="56">
        <f>K9</f>
        <v>52.424058712552402</v>
      </c>
      <c r="M9" s="78">
        <f>ABS((D9-L9)/D9)</f>
        <v>0.29156677415469728</v>
      </c>
      <c r="N9" s="145"/>
      <c r="O9" s="56"/>
      <c r="P9" s="56">
        <f>B9^B2*Q9</f>
        <v>1</v>
      </c>
      <c r="Q9" s="141">
        <f>EXP(SUMPRODUCT($R$6,R9))</f>
        <v>1</v>
      </c>
      <c r="R9" s="64">
        <v>0</v>
      </c>
      <c r="S9" s="54" t="s">
        <v>131</v>
      </c>
    </row>
    <row r="10" spans="1:23">
      <c r="A10" s="137">
        <v>34980</v>
      </c>
      <c r="B10" s="138">
        <f>B9+1</f>
        <v>2</v>
      </c>
      <c r="C10" s="138">
        <f>C9+D10</f>
        <v>142</v>
      </c>
      <c r="D10" s="64">
        <v>68</v>
      </c>
      <c r="E10" s="64">
        <v>0</v>
      </c>
      <c r="G10" s="190">
        <f>1-EXP(-$B$1*P10)</f>
        <v>1.2473971123431182E-3</v>
      </c>
      <c r="H10" s="164">
        <f>G10-G9</f>
        <v>7.2315652521759421E-4</v>
      </c>
      <c r="I10" s="140">
        <f t="shared" si="0"/>
        <v>-491.76817083088525</v>
      </c>
      <c r="K10" s="56">
        <f t="shared" si="1"/>
        <v>124.73971123431183</v>
      </c>
      <c r="L10" s="56">
        <f>K10-K9</f>
        <v>72.315652521759432</v>
      </c>
      <c r="M10" s="78">
        <f t="shared" ref="M10:M35" si="2">ABS((D10-L10)/D10)</f>
        <v>6.3465478261168121E-2</v>
      </c>
      <c r="N10" s="78"/>
      <c r="O10" s="56"/>
      <c r="P10" s="56">
        <f>P9+(B10^$B$2-B9^$B$2)*Q10</f>
        <v>2.3802974999740023</v>
      </c>
      <c r="Q10" s="141">
        <f t="shared" ref="Q10:Q26" si="3">EXP(SUMPRODUCT($R$6,R10))</f>
        <v>1</v>
      </c>
      <c r="R10" s="64">
        <v>0</v>
      </c>
    </row>
    <row r="11" spans="1:23">
      <c r="A11" s="137">
        <v>34987</v>
      </c>
      <c r="B11" s="138">
        <f t="shared" ref="B11:B35" si="4">B10+1</f>
        <v>3</v>
      </c>
      <c r="C11" s="138">
        <f t="shared" ref="C11:C35" si="5">C10+D11</f>
        <v>227</v>
      </c>
      <c r="D11" s="64">
        <v>85</v>
      </c>
      <c r="E11" s="64">
        <v>0</v>
      </c>
      <c r="G11" s="139">
        <f>1-EXP(-$B$1*P11)</f>
        <v>2.07081278015675E-3</v>
      </c>
      <c r="H11" s="164">
        <f t="shared" ref="H11:H35" si="6">G11-G10</f>
        <v>8.2341566781363174E-4</v>
      </c>
      <c r="I11" s="140">
        <f t="shared" si="0"/>
        <v>-603.67420075245286</v>
      </c>
      <c r="K11" s="56">
        <f t="shared" si="1"/>
        <v>207.081278015675</v>
      </c>
      <c r="L11" s="56">
        <f t="shared" ref="L11:L35" si="7">K11-K10</f>
        <v>82.34156678136317</v>
      </c>
      <c r="M11" s="78">
        <f t="shared" si="2"/>
        <v>3.1275684925139179E-2</v>
      </c>
      <c r="N11" s="78"/>
      <c r="O11" s="56"/>
      <c r="P11" s="56">
        <f>P10+(B11^$B$2-B10^$B$2)*Q11</f>
        <v>3.9531782089506944</v>
      </c>
      <c r="Q11" s="141">
        <f t="shared" si="3"/>
        <v>1</v>
      </c>
      <c r="R11" s="64">
        <v>0</v>
      </c>
    </row>
    <row r="12" spans="1:23">
      <c r="A12" s="137">
        <v>34994</v>
      </c>
      <c r="B12" s="138">
        <f t="shared" si="4"/>
        <v>4</v>
      </c>
      <c r="C12" s="138">
        <f t="shared" si="5"/>
        <v>313</v>
      </c>
      <c r="D12" s="64">
        <v>86</v>
      </c>
      <c r="E12" s="64">
        <v>0</v>
      </c>
      <c r="G12" s="139">
        <f>1-EXP(-$B$1*P12)</f>
        <v>2.9666204994477363E-3</v>
      </c>
      <c r="H12" s="164">
        <f t="shared" si="6"/>
        <v>8.9580771929098635E-4</v>
      </c>
      <c r="I12" s="140">
        <f t="shared" si="0"/>
        <v>-603.52948996411567</v>
      </c>
      <c r="K12" s="56">
        <f t="shared" si="1"/>
        <v>296.66204994477363</v>
      </c>
      <c r="L12" s="56">
        <f t="shared" si="7"/>
        <v>89.580771929098631</v>
      </c>
      <c r="M12" s="78">
        <f t="shared" si="2"/>
        <v>4.1636882896495711E-2</v>
      </c>
      <c r="N12" s="78"/>
      <c r="O12" s="56"/>
      <c r="P12" s="56">
        <f t="shared" ref="P12:P35" si="8">P11+(B12^$B$2-B11^$B$2)*Q12</f>
        <v>5.6658161883824851</v>
      </c>
      <c r="Q12" s="141">
        <f t="shared" si="3"/>
        <v>1</v>
      </c>
      <c r="R12" s="64">
        <v>0</v>
      </c>
    </row>
    <row r="13" spans="1:23">
      <c r="A13" s="137">
        <v>35001</v>
      </c>
      <c r="B13" s="138">
        <f t="shared" si="4"/>
        <v>5</v>
      </c>
      <c r="C13" s="138">
        <f t="shared" si="5"/>
        <v>409</v>
      </c>
      <c r="D13" s="64">
        <v>96</v>
      </c>
      <c r="E13" s="64">
        <v>0</v>
      </c>
      <c r="G13" s="139">
        <f t="shared" ref="G13:G35" si="9">1-EXP(-$B$1*P13)</f>
        <v>3.9201485017500426E-3</v>
      </c>
      <c r="H13" s="164">
        <f t="shared" si="6"/>
        <v>9.5352800230230628E-4</v>
      </c>
      <c r="I13" s="140">
        <f t="shared" si="0"/>
        <v>-667.71280948271055</v>
      </c>
      <c r="K13" s="56">
        <f t="shared" si="1"/>
        <v>392.01485017500426</v>
      </c>
      <c r="L13" s="56">
        <f t="shared" si="7"/>
        <v>95.352800230230628</v>
      </c>
      <c r="M13" s="78">
        <f t="shared" si="2"/>
        <v>6.741664268430962E-3</v>
      </c>
      <c r="N13" s="78"/>
      <c r="O13" s="56"/>
      <c r="P13" s="56">
        <f t="shared" si="8"/>
        <v>7.490497418139177</v>
      </c>
      <c r="Q13" s="141">
        <f t="shared" si="3"/>
        <v>1</v>
      </c>
      <c r="R13" s="64">
        <v>0</v>
      </c>
      <c r="S13" s="54" t="s">
        <v>22</v>
      </c>
    </row>
    <row r="14" spans="1:23">
      <c r="A14" s="137">
        <v>35008</v>
      </c>
      <c r="B14" s="138">
        <f t="shared" si="4"/>
        <v>6</v>
      </c>
      <c r="C14" s="138">
        <f t="shared" si="5"/>
        <v>516</v>
      </c>
      <c r="D14" s="64">
        <v>107</v>
      </c>
      <c r="E14" s="64">
        <v>0</v>
      </c>
      <c r="G14" s="139">
        <f t="shared" si="9"/>
        <v>4.9221077450417594E-3</v>
      </c>
      <c r="H14" s="164">
        <f t="shared" si="6"/>
        <v>1.0019592432917168E-3</v>
      </c>
      <c r="I14" s="140">
        <f t="shared" si="0"/>
        <v>-738.92038091795973</v>
      </c>
      <c r="K14" s="56">
        <f t="shared" si="1"/>
        <v>492.21077450417596</v>
      </c>
      <c r="L14" s="56">
        <f t="shared" si="7"/>
        <v>100.1959243291717</v>
      </c>
      <c r="M14" s="78">
        <f t="shared" si="2"/>
        <v>6.3589492250731752E-2</v>
      </c>
      <c r="N14" s="78"/>
      <c r="O14" s="56"/>
      <c r="P14" s="56">
        <f t="shared" si="8"/>
        <v>9.4097402077170429</v>
      </c>
      <c r="Q14" s="141">
        <f t="shared" si="3"/>
        <v>1</v>
      </c>
      <c r="R14" s="64">
        <v>0</v>
      </c>
      <c r="S14" s="54" t="s">
        <v>21</v>
      </c>
    </row>
    <row r="15" spans="1:23">
      <c r="A15" s="137">
        <v>35015</v>
      </c>
      <c r="B15" s="138">
        <f t="shared" si="4"/>
        <v>7</v>
      </c>
      <c r="C15" s="138">
        <f t="shared" si="5"/>
        <v>601</v>
      </c>
      <c r="D15" s="64">
        <v>85</v>
      </c>
      <c r="E15" s="64">
        <v>0</v>
      </c>
      <c r="G15" s="139">
        <f t="shared" si="9"/>
        <v>5.9660012176147026E-3</v>
      </c>
      <c r="H15" s="164">
        <f t="shared" si="6"/>
        <v>1.0438934725729432E-3</v>
      </c>
      <c r="I15" s="140">
        <f t="shared" si="0"/>
        <v>-583.50781576192855</v>
      </c>
      <c r="K15" s="56">
        <f t="shared" si="1"/>
        <v>596.60012176147029</v>
      </c>
      <c r="L15" s="56">
        <f t="shared" si="7"/>
        <v>104.38934725729433</v>
      </c>
      <c r="M15" s="78">
        <f t="shared" si="2"/>
        <v>0.22810996773287451</v>
      </c>
      <c r="N15" s="78"/>
      <c r="O15" s="56"/>
      <c r="P15" s="56">
        <f t="shared" si="8"/>
        <v>11.41136421033309</v>
      </c>
      <c r="Q15" s="141">
        <f t="shared" si="3"/>
        <v>1</v>
      </c>
      <c r="R15" s="64">
        <v>0</v>
      </c>
    </row>
    <row r="16" spans="1:23">
      <c r="A16" s="137">
        <v>35022</v>
      </c>
      <c r="B16" s="138">
        <f t="shared" si="4"/>
        <v>8</v>
      </c>
      <c r="C16" s="138">
        <f t="shared" si="5"/>
        <v>675</v>
      </c>
      <c r="D16" s="64">
        <v>74</v>
      </c>
      <c r="E16" s="64">
        <v>0</v>
      </c>
      <c r="G16" s="139">
        <f t="shared" si="9"/>
        <v>7.0469871402164541E-3</v>
      </c>
      <c r="H16" s="164">
        <f t="shared" si="6"/>
        <v>1.0809859226017515E-3</v>
      </c>
      <c r="I16" s="140">
        <f t="shared" si="0"/>
        <v>-505.41125046051502</v>
      </c>
      <c r="K16" s="56">
        <f t="shared" si="1"/>
        <v>704.6987140216454</v>
      </c>
      <c r="L16" s="56">
        <f t="shared" si="7"/>
        <v>108.09859226017511</v>
      </c>
      <c r="M16" s="78">
        <f t="shared" si="2"/>
        <v>0.46079178729966364</v>
      </c>
      <c r="N16" s="78"/>
      <c r="O16" s="56"/>
      <c r="P16" s="56">
        <f t="shared" si="8"/>
        <v>13.486328108519057</v>
      </c>
      <c r="Q16" s="141">
        <f t="shared" si="3"/>
        <v>1</v>
      </c>
      <c r="R16" s="64">
        <v>0</v>
      </c>
    </row>
    <row r="17" spans="1:30">
      <c r="A17" s="137">
        <v>35029</v>
      </c>
      <c r="B17" s="138">
        <f t="shared" si="4"/>
        <v>9</v>
      </c>
      <c r="C17" s="138">
        <f t="shared" si="5"/>
        <v>762</v>
      </c>
      <c r="D17" s="64">
        <v>87</v>
      </c>
      <c r="E17" s="64">
        <v>0</v>
      </c>
      <c r="G17" s="139">
        <f t="shared" si="9"/>
        <v>8.1612941397654071E-3</v>
      </c>
      <c r="H17" s="164">
        <f t="shared" si="6"/>
        <v>1.114306999548953E-3</v>
      </c>
      <c r="I17" s="140">
        <f t="shared" si="0"/>
        <v>-591.5584655357577</v>
      </c>
      <c r="K17" s="56">
        <f t="shared" si="1"/>
        <v>816.12941397654072</v>
      </c>
      <c r="L17" s="56">
        <f t="shared" si="7"/>
        <v>111.43069995489532</v>
      </c>
      <c r="M17" s="78">
        <f t="shared" si="2"/>
        <v>0.28081264315971627</v>
      </c>
      <c r="N17" s="78"/>
      <c r="O17" s="56"/>
      <c r="P17" s="56">
        <f t="shared" si="8"/>
        <v>15.627617951722621</v>
      </c>
      <c r="Q17" s="141">
        <f t="shared" si="3"/>
        <v>1</v>
      </c>
      <c r="R17" s="64">
        <v>0</v>
      </c>
      <c r="S17" s="54" t="s">
        <v>23</v>
      </c>
    </row>
    <row r="18" spans="1:30">
      <c r="A18" s="137">
        <v>35036</v>
      </c>
      <c r="B18" s="138">
        <f t="shared" si="4"/>
        <v>10</v>
      </c>
      <c r="C18" s="138">
        <f t="shared" si="5"/>
        <v>836</v>
      </c>
      <c r="D18" s="64">
        <v>74</v>
      </c>
      <c r="E18" s="64">
        <v>0</v>
      </c>
      <c r="G18" s="139">
        <f t="shared" si="9"/>
        <v>9.3058870214366429E-3</v>
      </c>
      <c r="H18" s="164">
        <f t="shared" si="6"/>
        <v>1.1445928816712359E-3</v>
      </c>
      <c r="I18" s="140">
        <f t="shared" si="0"/>
        <v>-501.18026376260445</v>
      </c>
      <c r="K18" s="56">
        <f t="shared" si="1"/>
        <v>930.58870214366425</v>
      </c>
      <c r="L18" s="56">
        <f t="shared" si="7"/>
        <v>114.45928816712353</v>
      </c>
      <c r="M18" s="78">
        <f t="shared" si="2"/>
        <v>0.54674713739356129</v>
      </c>
      <c r="N18" s="78"/>
      <c r="O18" s="56"/>
      <c r="P18" s="56">
        <f t="shared" si="8"/>
        <v>17.829612277958415</v>
      </c>
      <c r="Q18" s="141">
        <f t="shared" si="3"/>
        <v>1</v>
      </c>
      <c r="R18" s="64">
        <v>0</v>
      </c>
      <c r="S18" s="149"/>
    </row>
    <row r="19" spans="1:30">
      <c r="A19" s="137">
        <v>35043</v>
      </c>
      <c r="B19" s="138">
        <f t="shared" si="4"/>
        <v>11</v>
      </c>
      <c r="C19" s="138">
        <f t="shared" si="5"/>
        <v>924</v>
      </c>
      <c r="D19" s="64">
        <v>88</v>
      </c>
      <c r="E19" s="64">
        <v>0</v>
      </c>
      <c r="G19" s="139">
        <f t="shared" si="9"/>
        <v>1.0478260788139737E-2</v>
      </c>
      <c r="H19" s="164">
        <f t="shared" si="6"/>
        <v>1.1723737667030942E-3</v>
      </c>
      <c r="I19" s="140">
        <f t="shared" si="0"/>
        <v>-593.88777580882174</v>
      </c>
      <c r="K19" s="56">
        <f t="shared" si="1"/>
        <v>1047.8260788139737</v>
      </c>
      <c r="L19" s="56">
        <f t="shared" si="7"/>
        <v>117.23737667030946</v>
      </c>
      <c r="M19" s="78">
        <f t="shared" si="2"/>
        <v>0.33224291670806205</v>
      </c>
      <c r="N19" s="78"/>
      <c r="O19" s="56"/>
      <c r="P19" s="56">
        <f t="shared" si="8"/>
        <v>20.087691122505426</v>
      </c>
      <c r="Q19" s="141">
        <f t="shared" si="3"/>
        <v>1</v>
      </c>
      <c r="R19" s="64">
        <v>0</v>
      </c>
    </row>
    <row r="20" spans="1:30">
      <c r="A20" s="137">
        <v>35050</v>
      </c>
      <c r="B20" s="138">
        <f t="shared" si="4"/>
        <v>12</v>
      </c>
      <c r="C20" s="138">
        <f t="shared" si="5"/>
        <v>1025</v>
      </c>
      <c r="D20" s="64">
        <v>101</v>
      </c>
      <c r="E20" s="64">
        <v>0</v>
      </c>
      <c r="G20" s="139">
        <f t="shared" si="9"/>
        <v>1.1676306243847634E-2</v>
      </c>
      <c r="H20" s="164">
        <f t="shared" si="6"/>
        <v>1.1980454557078968E-3</v>
      </c>
      <c r="I20" s="140">
        <f t="shared" si="0"/>
        <v>-679.4334475383929</v>
      </c>
      <c r="K20" s="56">
        <f t="shared" si="1"/>
        <v>1167.6306243847635</v>
      </c>
      <c r="L20" s="56">
        <f t="shared" si="7"/>
        <v>119.80454557078974</v>
      </c>
      <c r="M20" s="78">
        <f t="shared" si="2"/>
        <v>0.18618361951276971</v>
      </c>
      <c r="N20" s="78"/>
      <c r="O20" s="56"/>
      <c r="P20" s="56">
        <f t="shared" si="8"/>
        <v>22.397981091833721</v>
      </c>
      <c r="Q20" s="141">
        <f t="shared" si="3"/>
        <v>1</v>
      </c>
      <c r="R20" s="64">
        <v>0</v>
      </c>
    </row>
    <row r="21" spans="1:30">
      <c r="A21" s="137">
        <v>35057</v>
      </c>
      <c r="B21" s="138">
        <f t="shared" si="4"/>
        <v>13</v>
      </c>
      <c r="C21" s="138">
        <f t="shared" si="5"/>
        <v>1201</v>
      </c>
      <c r="D21" s="64">
        <v>176</v>
      </c>
      <c r="E21" s="64">
        <v>0</v>
      </c>
      <c r="G21" s="139">
        <f t="shared" si="9"/>
        <v>1.2898218287149876E-2</v>
      </c>
      <c r="H21" s="164">
        <f t="shared" si="6"/>
        <v>1.2219120433022423E-3</v>
      </c>
      <c r="I21" s="140">
        <f t="shared" si="0"/>
        <v>-1180.4915581326541</v>
      </c>
      <c r="K21" s="56">
        <f t="shared" si="1"/>
        <v>1289.8218287149875</v>
      </c>
      <c r="L21" s="56">
        <f t="shared" si="7"/>
        <v>122.19120433022408</v>
      </c>
      <c r="M21" s="78">
        <f t="shared" si="2"/>
        <v>0.30573179357827224</v>
      </c>
      <c r="N21" s="78"/>
      <c r="O21" s="56"/>
      <c r="P21" s="56">
        <f t="shared" si="8"/>
        <v>24.757181542534248</v>
      </c>
      <c r="Q21" s="141">
        <f t="shared" si="3"/>
        <v>1</v>
      </c>
      <c r="R21" s="64">
        <v>0</v>
      </c>
      <c r="S21" s="150" t="s">
        <v>25</v>
      </c>
    </row>
    <row r="22" spans="1:30">
      <c r="A22" s="137">
        <v>35064</v>
      </c>
      <c r="B22" s="138">
        <f t="shared" si="4"/>
        <v>14</v>
      </c>
      <c r="C22" s="138">
        <f t="shared" si="5"/>
        <v>1345</v>
      </c>
      <c r="D22" s="64">
        <v>144</v>
      </c>
      <c r="E22" s="64">
        <v>0</v>
      </c>
      <c r="G22" s="139">
        <f t="shared" si="9"/>
        <v>1.4142431031363589E-2</v>
      </c>
      <c r="H22" s="164">
        <f t="shared" si="6"/>
        <v>1.244212744213713E-3</v>
      </c>
      <c r="I22" s="140">
        <f t="shared" si="0"/>
        <v>-963.25232875744257</v>
      </c>
      <c r="K22" s="56">
        <f t="shared" si="1"/>
        <v>1414.243103136359</v>
      </c>
      <c r="L22" s="56">
        <f t="shared" si="7"/>
        <v>124.42127442137144</v>
      </c>
      <c r="M22" s="78">
        <f t="shared" si="2"/>
        <v>0.13596337207380949</v>
      </c>
      <c r="N22" s="78"/>
      <c r="O22" s="56"/>
      <c r="P22" s="56">
        <f t="shared" si="8"/>
        <v>27.162441701148651</v>
      </c>
      <c r="Q22" s="141">
        <f t="shared" si="3"/>
        <v>1</v>
      </c>
      <c r="R22" s="64">
        <v>0</v>
      </c>
      <c r="S22" s="55"/>
    </row>
    <row r="23" spans="1:30">
      <c r="A23" s="137">
        <v>35071</v>
      </c>
      <c r="B23" s="138">
        <f t="shared" si="4"/>
        <v>15</v>
      </c>
      <c r="C23" s="138">
        <f t="shared" si="5"/>
        <v>1523</v>
      </c>
      <c r="D23" s="64">
        <v>178</v>
      </c>
      <c r="E23" s="64">
        <v>0</v>
      </c>
      <c r="G23" s="139">
        <f t="shared" si="9"/>
        <v>1.5407570514139324E-2</v>
      </c>
      <c r="H23" s="164">
        <f t="shared" si="6"/>
        <v>1.2651394827757345E-3</v>
      </c>
      <c r="I23" s="140">
        <f t="shared" si="0"/>
        <v>-1187.7179761674895</v>
      </c>
      <c r="K23" s="56">
        <f t="shared" si="1"/>
        <v>1540.7570514139325</v>
      </c>
      <c r="L23" s="56">
        <f t="shared" si="7"/>
        <v>126.51394827757349</v>
      </c>
      <c r="M23" s="78">
        <f t="shared" si="2"/>
        <v>0.2892474815866658</v>
      </c>
      <c r="N23" s="78"/>
      <c r="O23" s="56"/>
      <c r="P23" s="56">
        <f t="shared" si="8"/>
        <v>29.611271167589241</v>
      </c>
      <c r="Q23" s="141">
        <f t="shared" si="3"/>
        <v>1</v>
      </c>
      <c r="R23" s="64">
        <v>0</v>
      </c>
      <c r="S23" s="151" t="s">
        <v>24</v>
      </c>
      <c r="X23" s="54" t="s">
        <v>133</v>
      </c>
    </row>
    <row r="24" spans="1:30">
      <c r="A24" s="137">
        <v>35078</v>
      </c>
      <c r="B24" s="138">
        <f t="shared" si="4"/>
        <v>16</v>
      </c>
      <c r="C24" s="138">
        <f t="shared" si="5"/>
        <v>1664</v>
      </c>
      <c r="D24" s="64">
        <v>141</v>
      </c>
      <c r="E24" s="64">
        <v>0</v>
      </c>
      <c r="G24" s="139">
        <f t="shared" si="9"/>
        <v>1.6692419353672605E-2</v>
      </c>
      <c r="H24" s="164">
        <f t="shared" si="6"/>
        <v>1.2848488395332813E-3</v>
      </c>
      <c r="I24" s="140">
        <f t="shared" si="0"/>
        <v>-938.65310250440439</v>
      </c>
      <c r="K24" s="56">
        <f t="shared" si="1"/>
        <v>1669.2419353672606</v>
      </c>
      <c r="L24" s="56">
        <f t="shared" si="7"/>
        <v>128.48488395332811</v>
      </c>
      <c r="M24" s="78">
        <f t="shared" si="2"/>
        <v>8.8759688274268736E-2</v>
      </c>
      <c r="N24" s="78"/>
      <c r="O24" s="56"/>
      <c r="P24" s="56">
        <f t="shared" si="8"/>
        <v>32.101473080537033</v>
      </c>
      <c r="Q24" s="141">
        <f t="shared" si="3"/>
        <v>1</v>
      </c>
      <c r="R24" s="64">
        <v>0</v>
      </c>
      <c r="S24" s="152" t="s">
        <v>33</v>
      </c>
    </row>
    <row r="25" spans="1:30">
      <c r="A25" s="137">
        <v>35085</v>
      </c>
      <c r="B25" s="138">
        <f t="shared" si="4"/>
        <v>17</v>
      </c>
      <c r="C25" s="138">
        <f t="shared" si="5"/>
        <v>1815</v>
      </c>
      <c r="D25" s="64">
        <v>151</v>
      </c>
      <c r="E25" s="64">
        <v>0</v>
      </c>
      <c r="G25" s="139">
        <f t="shared" si="9"/>
        <v>1.7995889763718909E-2</v>
      </c>
      <c r="H25" s="164">
        <f t="shared" si="6"/>
        <v>1.3034704100463035E-3</v>
      </c>
      <c r="I25" s="140">
        <f t="shared" si="0"/>
        <v>-1003.0514788104539</v>
      </c>
      <c r="K25" s="56">
        <f t="shared" si="1"/>
        <v>1799.5889763718908</v>
      </c>
      <c r="L25" s="56">
        <f t="shared" si="7"/>
        <v>130.34704100463023</v>
      </c>
      <c r="M25" s="78">
        <f t="shared" si="2"/>
        <v>0.13677456288324352</v>
      </c>
      <c r="N25" s="78"/>
      <c r="O25" s="56"/>
      <c r="P25" s="56">
        <f t="shared" si="8"/>
        <v>34.63109313056659</v>
      </c>
      <c r="Q25" s="141">
        <f t="shared" si="3"/>
        <v>1</v>
      </c>
      <c r="R25" s="64">
        <v>0</v>
      </c>
      <c r="S25" s="151" t="s">
        <v>36</v>
      </c>
      <c r="V25" s="153"/>
    </row>
    <row r="26" spans="1:30">
      <c r="A26" s="137">
        <v>35092</v>
      </c>
      <c r="B26" s="138">
        <f t="shared" si="4"/>
        <v>18</v>
      </c>
      <c r="C26" s="138">
        <f t="shared" si="5"/>
        <v>1917</v>
      </c>
      <c r="D26" s="64">
        <v>102</v>
      </c>
      <c r="E26" s="64">
        <v>0</v>
      </c>
      <c r="G26" s="139">
        <f t="shared" si="9"/>
        <v>1.9317002567715735E-2</v>
      </c>
      <c r="H26" s="164">
        <f t="shared" si="6"/>
        <v>1.3211128039968267E-3</v>
      </c>
      <c r="I26" s="140">
        <f t="shared" si="0"/>
        <v>-676.18664814900558</v>
      </c>
      <c r="K26" s="56">
        <f t="shared" si="1"/>
        <v>1931.7002567715735</v>
      </c>
      <c r="L26" s="56">
        <f t="shared" si="7"/>
        <v>132.11128039968276</v>
      </c>
      <c r="M26" s="78">
        <f t="shared" si="2"/>
        <v>0.29520863136943876</v>
      </c>
      <c r="N26" s="78"/>
      <c r="O26" s="56"/>
      <c r="P26" s="56">
        <f t="shared" si="8"/>
        <v>37.198379941034169</v>
      </c>
      <c r="Q26" s="141">
        <f t="shared" si="3"/>
        <v>1</v>
      </c>
      <c r="R26" s="64">
        <v>0</v>
      </c>
    </row>
    <row r="27" spans="1:30">
      <c r="A27" s="137">
        <v>35099</v>
      </c>
      <c r="B27" s="138">
        <f t="shared" si="4"/>
        <v>19</v>
      </c>
      <c r="C27" s="138">
        <f t="shared" si="5"/>
        <v>2049</v>
      </c>
      <c r="D27" s="64">
        <v>132</v>
      </c>
      <c r="E27" s="138">
        <v>20.080000000000002</v>
      </c>
      <c r="F27" s="140"/>
      <c r="G27" s="139">
        <f t="shared" si="9"/>
        <v>2.0654870614279841E-2</v>
      </c>
      <c r="H27" s="164">
        <f t="shared" si="6"/>
        <v>1.3378680465641057E-3</v>
      </c>
      <c r="I27" s="140">
        <f t="shared" si="0"/>
        <v>-873.40148835015236</v>
      </c>
      <c r="K27" s="56">
        <f t="shared" si="1"/>
        <v>2065.4870614279839</v>
      </c>
      <c r="L27" s="56">
        <f t="shared" si="7"/>
        <v>133.78680465641037</v>
      </c>
      <c r="M27" s="78">
        <f t="shared" si="2"/>
        <v>1.3536398912199757E-2</v>
      </c>
      <c r="N27" s="78"/>
      <c r="O27" s="56"/>
      <c r="P27" s="56">
        <f>P26+(B27^$B$2-B26^$B$2)*Q27</f>
        <v>39.801753784598063</v>
      </c>
      <c r="Q27" s="141">
        <f t="shared" ref="Q27:Q35" si="10">EXP(SUMPRODUCT($R$6,R27))</f>
        <v>1</v>
      </c>
      <c r="R27" s="138">
        <v>0</v>
      </c>
      <c r="AD27" s="154"/>
    </row>
    <row r="28" spans="1:30">
      <c r="A28" s="137">
        <v>35106</v>
      </c>
      <c r="B28" s="138">
        <f t="shared" si="4"/>
        <v>20</v>
      </c>
      <c r="C28" s="138">
        <f t="shared" si="5"/>
        <v>2237</v>
      </c>
      <c r="D28" s="64">
        <v>188</v>
      </c>
      <c r="E28" s="138">
        <v>18.669999999999998</v>
      </c>
      <c r="F28" s="140"/>
      <c r="G28" s="139">
        <f t="shared" si="9"/>
        <v>2.2008685484622093E-2</v>
      </c>
      <c r="H28" s="164">
        <f t="shared" si="6"/>
        <v>1.3538148703422515E-3</v>
      </c>
      <c r="I28" s="140">
        <f t="shared" si="0"/>
        <v>-1241.7078222584198</v>
      </c>
      <c r="K28" s="56">
        <f t="shared" si="1"/>
        <v>2200.8685484622092</v>
      </c>
      <c r="L28" s="56">
        <f t="shared" si="7"/>
        <v>135.3814870342253</v>
      </c>
      <c r="M28" s="78">
        <f t="shared" si="2"/>
        <v>0.27988570726475903</v>
      </c>
      <c r="N28" s="78"/>
      <c r="O28" s="56"/>
      <c r="P28" s="56">
        <f t="shared" si="8"/>
        <v>42.43978153073018</v>
      </c>
      <c r="Q28" s="141">
        <f t="shared" si="10"/>
        <v>1</v>
      </c>
      <c r="R28" s="138">
        <v>0</v>
      </c>
      <c r="AD28" s="154"/>
    </row>
    <row r="29" spans="1:30">
      <c r="A29" s="137">
        <v>35113</v>
      </c>
      <c r="B29" s="138">
        <f t="shared" si="4"/>
        <v>21</v>
      </c>
      <c r="C29" s="138">
        <f t="shared" si="5"/>
        <v>2358</v>
      </c>
      <c r="D29" s="64">
        <v>121</v>
      </c>
      <c r="E29" s="138">
        <v>83.27000000000001</v>
      </c>
      <c r="F29" s="140"/>
      <c r="G29" s="139">
        <f t="shared" si="9"/>
        <v>2.3427813970024358E-2</v>
      </c>
      <c r="H29" s="164">
        <f t="shared" si="6"/>
        <v>1.4191284854022657E-3</v>
      </c>
      <c r="I29" s="140">
        <f t="shared" si="0"/>
        <v>-793.48319295372778</v>
      </c>
      <c r="K29" s="56">
        <f t="shared" si="1"/>
        <v>2342.7813970024358</v>
      </c>
      <c r="L29" s="56">
        <f t="shared" si="7"/>
        <v>141.91284854022661</v>
      </c>
      <c r="M29" s="78">
        <f t="shared" si="2"/>
        <v>0.17283345901013722</v>
      </c>
      <c r="N29" s="78"/>
      <c r="O29" s="56"/>
      <c r="P29" s="56">
        <f t="shared" si="8"/>
        <v>45.209001797413421</v>
      </c>
      <c r="Q29" s="141">
        <f t="shared" si="10"/>
        <v>1.0366273825471202</v>
      </c>
      <c r="R29" s="138">
        <v>20.080000000000002</v>
      </c>
      <c r="AD29" s="154"/>
    </row>
    <row r="30" spans="1:30">
      <c r="A30" s="137">
        <v>35120</v>
      </c>
      <c r="B30" s="138">
        <f t="shared" si="4"/>
        <v>22</v>
      </c>
      <c r="C30" s="138">
        <f t="shared" si="5"/>
        <v>2497</v>
      </c>
      <c r="D30" s="64">
        <v>139</v>
      </c>
      <c r="E30" s="138">
        <v>184.69</v>
      </c>
      <c r="F30" s="140"/>
      <c r="G30" s="139">
        <f t="shared" si="9"/>
        <v>2.4858309734366535E-2</v>
      </c>
      <c r="H30" s="164">
        <f t="shared" si="6"/>
        <v>1.4304957643421767E-3</v>
      </c>
      <c r="I30" s="140">
        <f t="shared" si="0"/>
        <v>-910.41305469539202</v>
      </c>
      <c r="K30" s="56">
        <f t="shared" si="1"/>
        <v>2485.8309734366535</v>
      </c>
      <c r="L30" s="56">
        <f t="shared" si="7"/>
        <v>143.04957643421767</v>
      </c>
      <c r="M30" s="78">
        <f t="shared" si="2"/>
        <v>2.9133643411637912E-2</v>
      </c>
      <c r="N30" s="78"/>
      <c r="O30" s="56"/>
      <c r="P30" s="56">
        <f t="shared" si="8"/>
        <v>48.004479265585537</v>
      </c>
      <c r="Q30" s="141">
        <f t="shared" si="10"/>
        <v>1.0340122071547142</v>
      </c>
      <c r="R30" s="138">
        <v>18.669999999999998</v>
      </c>
      <c r="AD30" s="154"/>
    </row>
    <row r="31" spans="1:30">
      <c r="A31" s="137">
        <v>35127</v>
      </c>
      <c r="B31" s="138">
        <f t="shared" si="4"/>
        <v>23</v>
      </c>
      <c r="C31" s="138">
        <f t="shared" si="5"/>
        <v>2663</v>
      </c>
      <c r="D31" s="64">
        <v>166</v>
      </c>
      <c r="E31" s="138">
        <v>424.75</v>
      </c>
      <c r="F31" s="140"/>
      <c r="G31" s="139">
        <f t="shared" si="9"/>
        <v>2.6480217702084863E-2</v>
      </c>
      <c r="H31" s="164">
        <f t="shared" si="6"/>
        <v>1.6219079677183279E-3</v>
      </c>
      <c r="I31" s="140">
        <f t="shared" si="0"/>
        <v>-1066.4092427733538</v>
      </c>
      <c r="K31" s="56">
        <f t="shared" si="1"/>
        <v>2648.0217702084865</v>
      </c>
      <c r="L31" s="56">
        <f t="shared" si="7"/>
        <v>162.19079677183299</v>
      </c>
      <c r="M31" s="78">
        <f t="shared" si="2"/>
        <v>2.2947007398596429E-2</v>
      </c>
      <c r="N31" s="78"/>
      <c r="O31" s="56"/>
      <c r="P31" s="56">
        <f t="shared" si="8"/>
        <v>51.17897977385023</v>
      </c>
      <c r="Q31" s="141">
        <f t="shared" si="10"/>
        <v>1.1608761007825892</v>
      </c>
      <c r="R31" s="138">
        <v>83.27000000000001</v>
      </c>
      <c r="V31" s="96">
        <f>COUNTA(B34:B35)/COUNTA(B9:B33)</f>
        <v>0.08</v>
      </c>
      <c r="AD31" s="154"/>
    </row>
    <row r="32" spans="1:30">
      <c r="A32" s="137">
        <v>35134</v>
      </c>
      <c r="B32" s="138">
        <f t="shared" si="4"/>
        <v>24</v>
      </c>
      <c r="C32" s="138">
        <f t="shared" si="5"/>
        <v>2833</v>
      </c>
      <c r="D32" s="64">
        <v>170</v>
      </c>
      <c r="E32" s="138">
        <v>518.51</v>
      </c>
      <c r="F32" s="140"/>
      <c r="G32" s="139">
        <f t="shared" si="9"/>
        <v>2.8443021694783521E-2</v>
      </c>
      <c r="H32" s="164">
        <f t="shared" si="6"/>
        <v>1.9628039926986585E-3</v>
      </c>
      <c r="I32" s="140">
        <f t="shared" si="0"/>
        <v>-1059.6748073261217</v>
      </c>
      <c r="K32" s="56">
        <f t="shared" si="1"/>
        <v>2844.302169478352</v>
      </c>
      <c r="L32" s="56">
        <f t="shared" si="7"/>
        <v>196.28039926986548</v>
      </c>
      <c r="M32" s="78">
        <f t="shared" si="2"/>
        <v>0.15459058394038519</v>
      </c>
      <c r="N32" s="78"/>
      <c r="O32" s="56"/>
      <c r="P32" s="56">
        <f t="shared" si="8"/>
        <v>55.027784056957763</v>
      </c>
      <c r="Q32" s="141">
        <f t="shared" si="10"/>
        <v>1.3921718094383688</v>
      </c>
      <c r="R32" s="138">
        <v>184.69</v>
      </c>
      <c r="AD32" s="154"/>
    </row>
    <row r="33" spans="1:30">
      <c r="A33" s="137">
        <v>35141</v>
      </c>
      <c r="B33" s="138">
        <f t="shared" si="4"/>
        <v>25</v>
      </c>
      <c r="C33" s="138">
        <f t="shared" si="5"/>
        <v>3149</v>
      </c>
      <c r="D33" s="64">
        <v>316</v>
      </c>
      <c r="E33" s="138">
        <v>673.75</v>
      </c>
      <c r="F33" s="140"/>
      <c r="G33" s="139">
        <f t="shared" si="9"/>
        <v>3.1484435847126124E-2</v>
      </c>
      <c r="H33" s="164">
        <f t="shared" si="6"/>
        <v>3.041414152342603E-3</v>
      </c>
      <c r="I33" s="140">
        <f t="shared" si="0"/>
        <v>-1831.3567300513196</v>
      </c>
      <c r="K33" s="56">
        <f t="shared" si="1"/>
        <v>3148.4435847126124</v>
      </c>
      <c r="L33" s="56">
        <f t="shared" si="7"/>
        <v>304.14141523426042</v>
      </c>
      <c r="M33" s="78">
        <f t="shared" si="2"/>
        <v>3.7527166980188542E-2</v>
      </c>
      <c r="N33" s="78"/>
      <c r="O33" s="56"/>
      <c r="P33" s="56">
        <f t="shared" si="8"/>
        <v>61.006989021478745</v>
      </c>
      <c r="Q33" s="141">
        <f t="shared" si="10"/>
        <v>2.1402511272929914</v>
      </c>
      <c r="R33" s="138">
        <v>424.75</v>
      </c>
      <c r="AD33" s="154"/>
    </row>
    <row r="34" spans="1:30">
      <c r="A34" s="48">
        <v>35148</v>
      </c>
      <c r="B34" s="49">
        <f t="shared" si="4"/>
        <v>26</v>
      </c>
      <c r="C34" s="49">
        <f t="shared" si="5"/>
        <v>3576</v>
      </c>
      <c r="D34" s="50">
        <v>427</v>
      </c>
      <c r="E34" s="49">
        <v>670.4</v>
      </c>
      <c r="F34" s="52"/>
      <c r="G34" s="51">
        <f t="shared" si="9"/>
        <v>3.5105968695534506E-2</v>
      </c>
      <c r="H34" s="51">
        <f t="shared" si="6"/>
        <v>3.621532848408382E-3</v>
      </c>
      <c r="I34" s="52">
        <f>(B4-SUM(D9:D33))*IFERROR(LN(1-G33),-10000)</f>
        <v>-3098.3337936275834</v>
      </c>
      <c r="J34" s="46"/>
      <c r="K34" s="47">
        <f t="shared" si="1"/>
        <v>3510.5968695534507</v>
      </c>
      <c r="L34" s="47">
        <f t="shared" si="7"/>
        <v>362.1532848408383</v>
      </c>
      <c r="M34" s="71">
        <f t="shared" si="2"/>
        <v>0.15186584346407894</v>
      </c>
      <c r="N34" s="71"/>
      <c r="O34" s="56"/>
      <c r="P34" s="56">
        <f t="shared" si="8"/>
        <v>68.151204732280107</v>
      </c>
      <c r="Q34" s="141">
        <f t="shared" si="10"/>
        <v>2.5316988999673535</v>
      </c>
      <c r="R34" s="138">
        <v>518.51</v>
      </c>
      <c r="AD34" s="154"/>
    </row>
    <row r="35" spans="1:30">
      <c r="A35" s="48">
        <v>35155</v>
      </c>
      <c r="B35" s="49">
        <f t="shared" si="4"/>
        <v>27</v>
      </c>
      <c r="C35" s="49">
        <f t="shared" si="5"/>
        <v>4160</v>
      </c>
      <c r="D35" s="50">
        <v>584</v>
      </c>
      <c r="E35" s="49">
        <v>657.45</v>
      </c>
      <c r="F35" s="52"/>
      <c r="G35" s="51">
        <f t="shared" si="9"/>
        <v>3.9914034104630902E-2</v>
      </c>
      <c r="H35" s="51">
        <f t="shared" si="6"/>
        <v>4.8080654090963959E-3</v>
      </c>
      <c r="I35" s="52"/>
      <c r="J35" s="46"/>
      <c r="K35" s="47">
        <f t="shared" si="1"/>
        <v>3991.40341046309</v>
      </c>
      <c r="L35" s="47">
        <f t="shared" si="7"/>
        <v>480.80654090963935</v>
      </c>
      <c r="M35" s="71">
        <f t="shared" si="2"/>
        <v>0.17670112857938466</v>
      </c>
      <c r="N35" s="71"/>
      <c r="O35" s="56"/>
      <c r="P35" s="56">
        <f t="shared" si="8"/>
        <v>77.677642644898313</v>
      </c>
      <c r="Q35" s="141">
        <f t="shared" si="10"/>
        <v>3.343429330066654</v>
      </c>
      <c r="R35" s="138">
        <v>673.75</v>
      </c>
      <c r="AD35" s="154"/>
    </row>
    <row r="36" spans="1:30">
      <c r="A36" s="155"/>
      <c r="B36" s="155"/>
      <c r="C36" s="155"/>
      <c r="R36" s="138"/>
    </row>
    <row r="37" spans="1:30">
      <c r="A37" s="155"/>
      <c r="B37" s="155"/>
      <c r="C37" s="155"/>
      <c r="R37" s="138"/>
    </row>
    <row r="38" spans="1:30">
      <c r="A38" s="155"/>
      <c r="B38" s="155"/>
      <c r="C38" s="155"/>
    </row>
    <row r="39" spans="1:30">
      <c r="A39" s="155"/>
      <c r="B39" s="155"/>
      <c r="C39" s="155"/>
      <c r="F39" s="55"/>
      <c r="G39" s="55"/>
      <c r="H39" s="55"/>
      <c r="I39" s="55"/>
      <c r="J39" s="55"/>
      <c r="K39" s="55"/>
      <c r="L39" s="55"/>
      <c r="M39" s="55"/>
      <c r="N39" s="55"/>
      <c r="O39" s="55"/>
      <c r="P39" s="55"/>
      <c r="Q39" s="55"/>
      <c r="R39" s="55"/>
    </row>
    <row r="40" spans="1:30">
      <c r="A40" s="155"/>
      <c r="B40" s="156"/>
      <c r="C40" s="156"/>
      <c r="F40" s="55"/>
      <c r="G40" s="55"/>
      <c r="H40" s="55"/>
      <c r="I40" s="55"/>
      <c r="J40" s="55"/>
      <c r="K40" s="55"/>
      <c r="L40" s="55"/>
      <c r="M40" s="55"/>
      <c r="N40" s="55"/>
      <c r="O40" s="55"/>
      <c r="P40" s="55"/>
      <c r="Q40" s="55"/>
      <c r="R40" s="55"/>
    </row>
    <row r="41" spans="1:30">
      <c r="A41" s="155"/>
      <c r="B41" s="155"/>
      <c r="C41" s="155"/>
      <c r="F41" s="55"/>
      <c r="G41" s="55"/>
      <c r="H41" s="55"/>
      <c r="I41" s="55"/>
      <c r="J41" s="55"/>
      <c r="K41" s="55"/>
      <c r="L41" s="55"/>
      <c r="M41" s="55"/>
      <c r="N41" s="55"/>
      <c r="O41" s="55"/>
      <c r="P41" s="55"/>
      <c r="Q41" s="55"/>
      <c r="R41" s="55"/>
    </row>
    <row r="42" spans="1:30">
      <c r="A42" s="155"/>
      <c r="B42" s="155"/>
      <c r="C42" s="155"/>
    </row>
    <row r="43" spans="1:30">
      <c r="A43" s="155"/>
      <c r="C43" s="155"/>
      <c r="F43" s="55"/>
      <c r="G43" s="55"/>
      <c r="H43" s="55"/>
      <c r="I43" s="55"/>
      <c r="J43" s="55"/>
      <c r="K43" s="55"/>
      <c r="L43" s="55"/>
      <c r="M43" s="55"/>
      <c r="N43" s="55"/>
      <c r="O43" s="55"/>
      <c r="P43" s="55"/>
      <c r="Q43" s="55"/>
      <c r="R43" s="55"/>
    </row>
    <row r="44" spans="1:30">
      <c r="A44" s="155"/>
      <c r="B44" s="155"/>
      <c r="C44" s="155"/>
      <c r="F44" s="57"/>
      <c r="G44" s="57"/>
      <c r="H44" s="57"/>
      <c r="I44" s="57"/>
      <c r="J44" s="57"/>
      <c r="K44" s="57"/>
      <c r="L44" s="57"/>
      <c r="M44" s="57"/>
      <c r="N44" s="57"/>
      <c r="O44" s="57"/>
      <c r="P44" s="57"/>
      <c r="Q44" s="57"/>
      <c r="R44" s="57"/>
    </row>
    <row r="45" spans="1:30">
      <c r="A45" s="155"/>
      <c r="B45" s="155"/>
      <c r="C45" s="155"/>
    </row>
    <row r="46" spans="1:30">
      <c r="A46" s="155"/>
      <c r="B46" s="155"/>
      <c r="C46" s="155"/>
    </row>
    <row r="47" spans="1:30">
      <c r="A47" s="155"/>
      <c r="B47" s="155"/>
      <c r="C47" s="155"/>
    </row>
    <row r="48" spans="1:30">
      <c r="A48" s="155"/>
      <c r="B48" s="155"/>
      <c r="C48" s="155"/>
      <c r="D48" s="157"/>
      <c r="E48" s="157"/>
    </row>
    <row r="49" spans="1:18">
      <c r="A49" s="155"/>
      <c r="B49" s="155"/>
      <c r="C49" s="155"/>
    </row>
    <row r="50" spans="1:18">
      <c r="A50" s="155"/>
      <c r="B50" s="155"/>
      <c r="C50" s="155"/>
    </row>
    <row r="51" spans="1:18" ht="14.25">
      <c r="A51" s="155"/>
      <c r="B51" s="155"/>
      <c r="C51" s="155"/>
      <c r="D51" s="157"/>
      <c r="E51" s="157"/>
      <c r="F51" s="58"/>
      <c r="G51" s="58"/>
      <c r="H51" s="58"/>
      <c r="I51" s="58"/>
      <c r="J51" s="58"/>
      <c r="K51" s="58"/>
      <c r="L51" s="58"/>
      <c r="M51" s="58"/>
      <c r="N51" s="58"/>
      <c r="O51" s="58"/>
      <c r="P51" s="58"/>
      <c r="Q51" s="58"/>
      <c r="R51" s="58"/>
    </row>
    <row r="52" spans="1:18">
      <c r="A52" s="155"/>
      <c r="B52" s="155"/>
      <c r="C52" s="155"/>
      <c r="D52" s="64"/>
      <c r="E52" s="64"/>
    </row>
    <row r="53" spans="1:18">
      <c r="A53" s="155"/>
      <c r="B53" s="155"/>
      <c r="C53" s="155"/>
      <c r="F53" s="55"/>
      <c r="G53" s="55"/>
      <c r="H53" s="55"/>
      <c r="I53" s="55"/>
      <c r="J53" s="55"/>
      <c r="K53" s="55"/>
      <c r="L53" s="55"/>
      <c r="M53" s="55"/>
      <c r="N53" s="55"/>
      <c r="O53" s="55"/>
      <c r="P53" s="55"/>
      <c r="Q53" s="55"/>
      <c r="R53" s="55"/>
    </row>
    <row r="54" spans="1:18">
      <c r="A54" s="155"/>
      <c r="B54" s="155"/>
      <c r="C54" s="155"/>
      <c r="F54" s="59"/>
      <c r="G54" s="59"/>
      <c r="H54" s="59"/>
      <c r="I54" s="59"/>
      <c r="J54" s="59"/>
      <c r="K54" s="59"/>
      <c r="L54" s="59"/>
      <c r="M54" s="59"/>
      <c r="N54" s="59"/>
      <c r="O54" s="59"/>
      <c r="P54" s="59"/>
      <c r="Q54" s="59"/>
      <c r="R54" s="59"/>
    </row>
    <row r="56" spans="1:18">
      <c r="F56" s="55"/>
      <c r="G56" s="55"/>
      <c r="H56" s="55"/>
      <c r="I56" s="55"/>
      <c r="J56" s="55"/>
      <c r="K56" s="55"/>
      <c r="L56" s="55"/>
      <c r="M56" s="55"/>
      <c r="N56" s="55"/>
      <c r="O56" s="55"/>
      <c r="P56" s="55"/>
      <c r="Q56" s="55"/>
      <c r="R56" s="55"/>
    </row>
    <row r="59" spans="1:18" ht="15">
      <c r="F59" s="60"/>
      <c r="G59" s="60"/>
      <c r="H59" s="60"/>
      <c r="I59" s="60"/>
      <c r="J59" s="60"/>
      <c r="K59" s="60"/>
      <c r="L59" s="60"/>
      <c r="M59" s="60"/>
      <c r="N59" s="60"/>
      <c r="O59" s="60"/>
      <c r="P59" s="60"/>
      <c r="Q59" s="60"/>
      <c r="R59" s="60"/>
    </row>
  </sheetData>
  <scenarios current="0" show="0">
    <scenario name="pittsfield best fit" locked="1" count="1" user="Author">
      <inputCells r="D37" deleted="1" val=""/>
    </scenario>
  </scenarios>
  <printOptions gridLines="1" gridLinesSet="0"/>
  <pageMargins left="0.75" right="0.75" top="1" bottom="1" header="0.5" footer="0.5"/>
  <pageSetup orientation="portrait" r:id="rId1"/>
  <headerFooter alignWithMargins="0">
    <oddHeader>&amp;A</oddHeader>
    <oddFooter>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Research</vt:lpstr>
      <vt:lpstr>Sparklehorse (SH)</vt:lpstr>
      <vt:lpstr>Dink (D)</vt:lpstr>
      <vt:lpstr>SH Models</vt:lpstr>
      <vt:lpstr>EG (All)</vt:lpstr>
      <vt:lpstr>Exp (All)</vt:lpstr>
      <vt:lpstr>W (All)</vt:lpstr>
      <vt:lpstr>W(Holdout)</vt:lpstr>
      <vt:lpstr>W(All)+Cov (Holdout)</vt:lpstr>
      <vt:lpstr>delta</vt:lpstr>
      <vt:lpstr>2-seg W(All)+Cov</vt:lpstr>
      <vt:lpstr>D Models</vt:lpstr>
      <vt:lpstr>Model Comp</vt:lpstr>
      <vt:lpstr>Raw Data</vt:lpstr>
      <vt:lpstr>EG (2)</vt:lpstr>
      <vt:lpstr>Exp (2)</vt:lpstr>
      <vt:lpstr>W (No HO)</vt:lpstr>
      <vt:lpstr>W (1)</vt:lpstr>
      <vt:lpstr>W+cov (AP)</vt:lpstr>
      <vt:lpstr>W+cov (AP+R+BB)</vt:lpstr>
      <vt:lpstr>W (Jan 1)</vt:lpstr>
      <vt:lpstr>W+cov (Lag6 AP)</vt:lpstr>
      <vt:lpstr>W+cov (Lag6 AP+BB)</vt:lpstr>
      <vt:lpstr>delta1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2018-04-04T18:49:53Z</dcterms:created>
  <dcterms:modified xsi:type="dcterms:W3CDTF">2019-02-02T04:10:15Z</dcterms:modified>
</cp:coreProperties>
</file>