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u\OneDrive\Desktop\Assignment 4 - 202310\"/>
    </mc:Choice>
  </mc:AlternateContent>
  <xr:revisionPtr revIDLastSave="0" documentId="13_ncr:1_{6AF11937-1D97-4FC8-BF16-A0EE43FE7F36}" xr6:coauthVersionLast="47" xr6:coauthVersionMax="47" xr10:uidLastSave="{00000000-0000-0000-0000-000000000000}"/>
  <bookViews>
    <workbookView xWindow="15105" yWindow="0" windowWidth="23400" windowHeight="20985" firstSheet="4" activeTab="11" xr2:uid="{69899605-6C49-48D5-B519-4FC44368CF0F}"/>
  </bookViews>
  <sheets>
    <sheet name="Sheet1" sheetId="9" r:id="rId1"/>
    <sheet name="Sales Data" sheetId="1" r:id="rId2"/>
    <sheet name="Subdivisions" sheetId="2" r:id="rId3"/>
    <sheet name="Data for Forecast Sheet" sheetId="3" r:id="rId4"/>
    <sheet name="Gatewood Forecast" sheetId="7" r:id="rId5"/>
    <sheet name="Forecast" sheetId="4" r:id="rId6"/>
    <sheet name="Inventory" sheetId="8" r:id="rId7"/>
    <sheet name="Nested IF AND" sheetId="5" r:id="rId8"/>
    <sheet name="Friday" sheetId="10" r:id="rId9"/>
    <sheet name="Saturday" sheetId="11" r:id="rId10"/>
    <sheet name="Sunday" sheetId="12" r:id="rId11"/>
    <sheet name="Totals" sheetId="13" r:id="rId12"/>
  </sheets>
  <externalReferences>
    <externalReference r:id="rId13"/>
    <externalReference r:id="rId14"/>
  </externalReferences>
  <definedNames>
    <definedName name="_xlnm._FilterDatabase" localSheetId="7" hidden="1">'Nested IF AND'!$A$10:$G$60</definedName>
    <definedName name="Avg_Cost" localSheetId="7">'[1]Loans - review'!#REF!</definedName>
    <definedName name="Avg_Cost">'[2]Loans - review'!#REF!</definedName>
    <definedName name="_xlnm.Criteria" localSheetId="7">'Nested IF AND'!#REF!</definedName>
    <definedName name="ExternalData_1" localSheetId="6" hidden="1">Inventory!$A$1:$B$30</definedName>
    <definedName name="_xlnm.Extract" localSheetId="7">'Nested IF AND'!#REF!</definedName>
    <definedName name="Highest_House_Cost" localSheetId="7">'[1]Loans - review'!#REF!</definedName>
    <definedName name="Highest_House_Cost">'[2]Loans - review'!#REF!</definedName>
    <definedName name="Lowest_House_Cost" localSheetId="7">'[1]Loans - review'!#REF!</definedName>
    <definedName name="Lowest_House_Cost">'[2]Loans - review'!#REF!</definedName>
    <definedName name="Median_Cost" localSheetId="7">'[1]Loans - review'!#REF!</definedName>
    <definedName name="Median_Cost">'[2]Loans - review'!#REF!</definedName>
    <definedName name="MoviesInventory2022">Inventory[#All]</definedName>
    <definedName name="Title" localSheetId="7">#REF!</definedName>
    <definedName name="Title">#REF!</definedName>
    <definedName name="Total_Cost" localSheetId="7">'[1]Loans - review'!#REF!</definedName>
    <definedName name="Total_Cost">'[2]Loans - review'!#REF!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1" l="1"/>
  <c r="A25" i="12"/>
  <c r="A25" i="13"/>
  <c r="A25" i="10"/>
  <c r="B13" i="13"/>
  <c r="B12" i="13"/>
  <c r="B11" i="13"/>
  <c r="B7" i="13"/>
  <c r="B6" i="13"/>
  <c r="B5" i="13"/>
  <c r="C19" i="12"/>
  <c r="B19" i="12"/>
  <c r="D19" i="12" s="1"/>
  <c r="E19" i="12" s="1"/>
  <c r="J18" i="12"/>
  <c r="G18" i="12"/>
  <c r="J19" i="12" s="1"/>
  <c r="D18" i="12"/>
  <c r="E18" i="12" s="1"/>
  <c r="G17" i="12"/>
  <c r="D17" i="12"/>
  <c r="E17" i="12" s="1"/>
  <c r="G16" i="12"/>
  <c r="J17" i="12" s="1"/>
  <c r="D16" i="12"/>
  <c r="E16" i="12" s="1"/>
  <c r="J15" i="12"/>
  <c r="J14" i="12"/>
  <c r="G14" i="12"/>
  <c r="C14" i="12"/>
  <c r="D14" i="12" s="1"/>
  <c r="E14" i="12" s="1"/>
  <c r="B14" i="12"/>
  <c r="J13" i="12"/>
  <c r="G13" i="12"/>
  <c r="J16" i="12" s="1"/>
  <c r="E13" i="12"/>
  <c r="D13" i="12"/>
  <c r="J12" i="12"/>
  <c r="G12" i="12"/>
  <c r="E12" i="12"/>
  <c r="D12" i="12"/>
  <c r="G11" i="12"/>
  <c r="E11" i="12"/>
  <c r="D11" i="12"/>
  <c r="G9" i="12"/>
  <c r="C9" i="12"/>
  <c r="C20" i="12" s="1"/>
  <c r="B9" i="12"/>
  <c r="B20" i="12" s="1"/>
  <c r="G8" i="12"/>
  <c r="E8" i="12"/>
  <c r="D8" i="12"/>
  <c r="J7" i="12"/>
  <c r="G7" i="12"/>
  <c r="E7" i="12"/>
  <c r="D7" i="12"/>
  <c r="J6" i="12"/>
  <c r="G6" i="12"/>
  <c r="J11" i="12" s="1"/>
  <c r="E6" i="12"/>
  <c r="D6" i="12"/>
  <c r="J5" i="12"/>
  <c r="C20" i="11"/>
  <c r="D20" i="11" s="1"/>
  <c r="B20" i="11"/>
  <c r="C19" i="11"/>
  <c r="B19" i="11"/>
  <c r="D19" i="11" s="1"/>
  <c r="E19" i="11" s="1"/>
  <c r="G18" i="11"/>
  <c r="J19" i="11" s="1"/>
  <c r="D18" i="11"/>
  <c r="E18" i="11" s="1"/>
  <c r="G17" i="11"/>
  <c r="J18" i="11" s="1"/>
  <c r="D17" i="11"/>
  <c r="E17" i="11" s="1"/>
  <c r="J16" i="11"/>
  <c r="G16" i="11"/>
  <c r="G19" i="11" s="1"/>
  <c r="D16" i="11"/>
  <c r="E16" i="11" s="1"/>
  <c r="J14" i="11"/>
  <c r="C14" i="11"/>
  <c r="D14" i="11" s="1"/>
  <c r="E14" i="11" s="1"/>
  <c r="B14" i="11"/>
  <c r="J13" i="11"/>
  <c r="G13" i="11"/>
  <c r="D13" i="11"/>
  <c r="E13" i="11" s="1"/>
  <c r="G12" i="11"/>
  <c r="J15" i="11" s="1"/>
  <c r="E12" i="11"/>
  <c r="D12" i="11"/>
  <c r="G11" i="11"/>
  <c r="G14" i="11" s="1"/>
  <c r="E11" i="11"/>
  <c r="D11" i="11"/>
  <c r="C9" i="11"/>
  <c r="D9" i="11" s="1"/>
  <c r="E9" i="11" s="1"/>
  <c r="B9" i="11"/>
  <c r="G8" i="11"/>
  <c r="D8" i="11"/>
  <c r="E8" i="11" s="1"/>
  <c r="J7" i="11"/>
  <c r="G7" i="11"/>
  <c r="G9" i="11" s="1"/>
  <c r="E7" i="11"/>
  <c r="D7" i="11"/>
  <c r="J6" i="11"/>
  <c r="G6" i="11"/>
  <c r="J11" i="11" s="1"/>
  <c r="E6" i="11"/>
  <c r="D6" i="11"/>
  <c r="J5" i="11"/>
  <c r="J19" i="10"/>
  <c r="G19" i="10"/>
  <c r="C19" i="10"/>
  <c r="C20" i="10" s="1"/>
  <c r="D20" i="10" s="1"/>
  <c r="B19" i="10"/>
  <c r="B20" i="10" s="1"/>
  <c r="G18" i="10"/>
  <c r="D18" i="10"/>
  <c r="E18" i="10" s="1"/>
  <c r="G17" i="10"/>
  <c r="J18" i="10" s="1"/>
  <c r="D17" i="10"/>
  <c r="E17" i="10" s="1"/>
  <c r="J16" i="10"/>
  <c r="G16" i="10"/>
  <c r="J17" i="10" s="1"/>
  <c r="D16" i="10"/>
  <c r="E16" i="10" s="1"/>
  <c r="J15" i="10"/>
  <c r="J14" i="10"/>
  <c r="G14" i="10"/>
  <c r="C14" i="10"/>
  <c r="D14" i="10" s="1"/>
  <c r="E14" i="10" s="1"/>
  <c r="B14" i="10"/>
  <c r="J13" i="10"/>
  <c r="G13" i="10"/>
  <c r="E13" i="10"/>
  <c r="D13" i="10"/>
  <c r="G12" i="10"/>
  <c r="E12" i="10"/>
  <c r="D12" i="10"/>
  <c r="G11" i="10"/>
  <c r="D11" i="10"/>
  <c r="E11" i="10" s="1"/>
  <c r="G9" i="10"/>
  <c r="G20" i="10" s="1"/>
  <c r="C9" i="10"/>
  <c r="B9" i="10"/>
  <c r="D9" i="10" s="1"/>
  <c r="E9" i="10" s="1"/>
  <c r="G8" i="10"/>
  <c r="E8" i="10"/>
  <c r="D8" i="10"/>
  <c r="J7" i="10"/>
  <c r="G7" i="10"/>
  <c r="J12" i="10" s="1"/>
  <c r="E7" i="10"/>
  <c r="D7" i="10"/>
  <c r="J6" i="10"/>
  <c r="G6" i="10"/>
  <c r="J11" i="10" s="1"/>
  <c r="D6" i="10"/>
  <c r="E6" i="10" s="1"/>
  <c r="J5" i="10"/>
  <c r="B14" i="13" l="1"/>
  <c r="B8" i="13"/>
  <c r="D20" i="12"/>
  <c r="G20" i="11"/>
  <c r="D9" i="12"/>
  <c r="E9" i="12" s="1"/>
  <c r="J12" i="11"/>
  <c r="J17" i="11"/>
  <c r="D19" i="10"/>
  <c r="E19" i="10" s="1"/>
  <c r="G19" i="12"/>
  <c r="G20" i="12" s="1"/>
  <c r="F6" i="4" l="1"/>
  <c r="H6" i="4" s="1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11" i="5"/>
  <c r="H3" i="4"/>
  <c r="G3" i="4"/>
  <c r="F3" i="4"/>
  <c r="E3" i="4"/>
  <c r="C45" i="7"/>
  <c r="C53" i="7"/>
  <c r="C46" i="7"/>
  <c r="C47" i="7"/>
  <c r="C48" i="7"/>
  <c r="C54" i="7"/>
  <c r="C49" i="7"/>
  <c r="C52" i="7"/>
  <c r="C50" i="7"/>
  <c r="C51" i="7"/>
  <c r="D51" i="7"/>
  <c r="E53" i="7"/>
  <c r="E54" i="7"/>
  <c r="E51" i="7"/>
  <c r="D53" i="7"/>
  <c r="E45" i="7"/>
  <c r="E52" i="7"/>
  <c r="D47" i="7"/>
  <c r="D50" i="7"/>
  <c r="D45" i="7"/>
  <c r="D52" i="7"/>
  <c r="E47" i="7"/>
  <c r="D46" i="7"/>
  <c r="E50" i="7"/>
  <c r="E48" i="7"/>
  <c r="D54" i="7"/>
  <c r="D49" i="7"/>
  <c r="E49" i="7"/>
  <c r="D48" i="7"/>
  <c r="E46" i="7"/>
  <c r="G6" i="4" l="1"/>
  <c r="J13" i="1"/>
  <c r="J10" i="1"/>
  <c r="J7" i="1"/>
  <c r="J4" i="1"/>
  <c r="H4" i="1" a="1"/>
  <c r="H4" i="1" s="1"/>
  <c r="H11" i="1" l="1"/>
  <c r="H10" i="1"/>
  <c r="H9" i="1"/>
  <c r="H8" i="1"/>
  <c r="H7" i="1"/>
  <c r="H6" i="1"/>
  <c r="H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0C4CA-7E9D-46A0-A036-B95B2516664D}" keepAlive="1" name="Query - Inventory" description="Connection to the 'Inventory' query in the workbook." type="5" refreshedVersion="8" background="1" saveData="1">
    <dbPr connection="Provider=Microsoft.Mashup.OleDb.1;Data Source=$Workbook$;Location=Inventory;Extended Properties=&quot;&quot;" command="SELECT * FROM [Inventory]"/>
  </connection>
</connections>
</file>

<file path=xl/sharedStrings.xml><?xml version="1.0" encoding="utf-8"?>
<sst xmlns="http://schemas.openxmlformats.org/spreadsheetml/2006/main" count="440" uniqueCount="131">
  <si>
    <t xml:space="preserve"> Home Valuation Worksheet</t>
  </si>
  <si>
    <t>Purchase Date</t>
  </si>
  <si>
    <t>Sqft</t>
  </si>
  <si>
    <t>Purchase Price</t>
  </si>
  <si>
    <t>Current Value</t>
  </si>
  <si>
    <t>Sqft Frequency BIN</t>
  </si>
  <si>
    <t>Frequency</t>
  </si>
  <si>
    <t>Standard Deviation</t>
  </si>
  <si>
    <t>Variance</t>
  </si>
  <si>
    <t>Covariance</t>
  </si>
  <si>
    <t>Correlation</t>
  </si>
  <si>
    <t>SQFT</t>
  </si>
  <si>
    <t>Gatewood</t>
  </si>
  <si>
    <t>Cooper Point</t>
  </si>
  <si>
    <t>Eagle Creek</t>
  </si>
  <si>
    <t>Intercept</t>
  </si>
  <si>
    <t>Slope</t>
  </si>
  <si>
    <t>RSQ</t>
  </si>
  <si>
    <t>Standard Error</t>
  </si>
  <si>
    <t>Forecast</t>
  </si>
  <si>
    <t>High</t>
  </si>
  <si>
    <t>Low</t>
  </si>
  <si>
    <t>The Green Team Rentals</t>
  </si>
  <si>
    <t>Maximum Rental Price</t>
  </si>
  <si>
    <t>Available on Next Occupancy Date</t>
  </si>
  <si>
    <t>Yes</t>
  </si>
  <si>
    <t>Desired occupancy Date</t>
  </si>
  <si>
    <t>Hint: If there is nothing available on this date would you look for later dates as well?</t>
  </si>
  <si>
    <t>Pets Allowed</t>
  </si>
  <si>
    <t>Unit #</t>
  </si>
  <si>
    <t>Apartment Complex</t>
  </si>
  <si>
    <t># Bed</t>
  </si>
  <si>
    <t>Rental Price</t>
  </si>
  <si>
    <t>Currently Occupied</t>
  </si>
  <si>
    <t>Next Occupancy Date</t>
  </si>
  <si>
    <t>Rolling Meadows</t>
  </si>
  <si>
    <t>No</t>
  </si>
  <si>
    <t>Lakeview Apartments</t>
  </si>
  <si>
    <t>Mountaintop View</t>
  </si>
  <si>
    <t>Sunset Valley</t>
  </si>
  <si>
    <t>Oak Tree Living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</si>
  <si>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</si>
  <si>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</si>
  <si>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</si>
  <si>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</si>
  <si>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</si>
  <si>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</si>
  <si>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</si>
  <si>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</si>
  <si>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</si>
  <si>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</si>
  <si>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</si>
  <si>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</si>
  <si>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</si>
  <si>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</si>
  <si>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</si>
  <si>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</si>
  <si>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</si>
  <si>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</si>
  <si>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</si>
  <si>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</si>
  <si>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Forecast(Gatewood)</t>
  </si>
  <si>
    <t>Lower Confidence Bound(Gatewood)</t>
  </si>
  <si>
    <t>Upper Confidence Bound(Gatewood)</t>
  </si>
  <si>
    <t>Release Date</t>
  </si>
  <si>
    <t>Movie Title</t>
  </si>
  <si>
    <t>The God Father</t>
  </si>
  <si>
    <t>Good Luck Chuck</t>
  </si>
  <si>
    <t>Good Fellas</t>
  </si>
  <si>
    <t>Star Wars</t>
  </si>
  <si>
    <t>Indiana Jones</t>
  </si>
  <si>
    <t>Bridget Jones</t>
  </si>
  <si>
    <t>Step Brothers</t>
  </si>
  <si>
    <t>Mamma Mia</t>
  </si>
  <si>
    <t>Tron</t>
  </si>
  <si>
    <t>The Last Dragon</t>
  </si>
  <si>
    <t>The Golden Child</t>
  </si>
  <si>
    <t>Shaft</t>
  </si>
  <si>
    <t>Super Fly</t>
  </si>
  <si>
    <t>Big Trouble in Little China</t>
  </si>
  <si>
    <t>Blue Streak</t>
  </si>
  <si>
    <t>Glory Road</t>
  </si>
  <si>
    <t>Remember The Titans</t>
  </si>
  <si>
    <t>Up</t>
  </si>
  <si>
    <t>Aladdin</t>
  </si>
  <si>
    <t>Cinderella</t>
  </si>
  <si>
    <t>House Party</t>
  </si>
  <si>
    <t>Office Space</t>
  </si>
  <si>
    <t>Dirty Harry</t>
  </si>
  <si>
    <t>Monsters Inc</t>
  </si>
  <si>
    <t>Space Cowboys</t>
  </si>
  <si>
    <t>Planet 51</t>
  </si>
  <si>
    <t>Vanilla Sky</t>
  </si>
  <si>
    <t>Batman</t>
  </si>
  <si>
    <t>Superman</t>
  </si>
  <si>
    <t>Released Date and Movie Title</t>
  </si>
  <si>
    <t>Seating Section</t>
  </si>
  <si>
    <t>Seats in Section</t>
  </si>
  <si>
    <t>Seats Sold</t>
  </si>
  <si>
    <t>Percentage Sold</t>
  </si>
  <si>
    <t>Percentage Not Sold</t>
  </si>
  <si>
    <t>Price Per Seat</t>
  </si>
  <si>
    <t>Gross Revenue</t>
  </si>
  <si>
    <t>Side</t>
  </si>
  <si>
    <t>Average Seats Sold</t>
  </si>
  <si>
    <t>Orchestra Front</t>
  </si>
  <si>
    <t>Left</t>
  </si>
  <si>
    <t>Center</t>
  </si>
  <si>
    <t>Right</t>
  </si>
  <si>
    <t>Section Totals</t>
  </si>
  <si>
    <t>Orchestra Back</t>
  </si>
  <si>
    <t>Seating</t>
  </si>
  <si>
    <t>Friday</t>
  </si>
  <si>
    <t>OF Left</t>
  </si>
  <si>
    <t>OF Center</t>
  </si>
  <si>
    <t>OF Right</t>
  </si>
  <si>
    <t>OB Left</t>
  </si>
  <si>
    <t>Balcony</t>
  </si>
  <si>
    <t>OB Center</t>
  </si>
  <si>
    <t>OB Right</t>
  </si>
  <si>
    <t>BAL Left</t>
  </si>
  <si>
    <t>BAL Center</t>
  </si>
  <si>
    <t>BAL Right</t>
  </si>
  <si>
    <t>Grand Totals</t>
  </si>
  <si>
    <t>Saturday</t>
  </si>
  <si>
    <t>Sunday</t>
  </si>
  <si>
    <t>Weekend Evening Performances</t>
  </si>
  <si>
    <t>Evening Performance</t>
  </si>
  <si>
    <t>No. of Seats Sold</t>
  </si>
  <si>
    <t>Richmond Theatre</t>
  </si>
  <si>
    <t>Carl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</si>
</sst>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0"/>
    <numFmt numFmtId="166" formatCode="[$-F800]dddd\,\ mmmm\ dd\,\ yyyy"/>
    <numFmt numFmtId="167" formatCode="_(&quot;$&quot;* #,##0_);_(&quot;$&quot;* \(#,##0\);_(&quot;$&quot;* &quot;-&quot;??_);_(@_)"/>
    <numFmt numFmtId="168" formatCode="_(* #,##0_);_(* \(#,##0\);_(* &quot;-&quot;??_);_(@_)"/>
    <numFmt numFmtId="169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4D2F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B2B2B2"/>
      </bottom>
      <diagonal/>
    </border>
  </borders>
  <cellStyleXfs count="3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1" fillId="6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12">
    <xf numFmtId="0" fontId="0" fillId="0" borderId="0" xfId="0"/>
    <xf numFmtId="0" fontId="6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5" fillId="3" borderId="5" xfId="4" applyFont="1" applyBorder="1" applyAlignment="1">
      <alignment horizontal="center"/>
    </xf>
    <xf numFmtId="0" fontId="5" fillId="3" borderId="6" xfId="4" applyFont="1" applyBorder="1" applyAlignment="1">
      <alignment horizontal="center"/>
    </xf>
    <xf numFmtId="0" fontId="5" fillId="3" borderId="7" xfId="4" applyFont="1" applyBorder="1" applyAlignment="1">
      <alignment horizontal="center"/>
    </xf>
    <xf numFmtId="0" fontId="5" fillId="3" borderId="0" xfId="4" applyFon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2" applyFon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/>
    </xf>
    <xf numFmtId="44" fontId="0" fillId="0" borderId="0" xfId="2" applyFont="1" applyBorder="1"/>
    <xf numFmtId="14" fontId="0" fillId="0" borderId="0" xfId="0" applyNumberFormat="1"/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4" fontId="0" fillId="0" borderId="11" xfId="2" applyFont="1" applyBorder="1" applyAlignment="1">
      <alignment horizontal="center" vertical="center"/>
    </xf>
    <xf numFmtId="44" fontId="0" fillId="0" borderId="12" xfId="0" applyNumberFormat="1" applyBorder="1" applyAlignment="1">
      <alignment horizontal="center" vertical="center"/>
    </xf>
    <xf numFmtId="0" fontId="7" fillId="2" borderId="0" xfId="3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7" fillId="2" borderId="0" xfId="3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8" xfId="0" applyBorder="1" applyAlignment="1">
      <alignment horizontal="center"/>
    </xf>
    <xf numFmtId="44" fontId="0" fillId="0" borderId="9" xfId="2" applyFont="1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12" xfId="2" applyFont="1" applyBorder="1" applyAlignment="1">
      <alignment horizontal="center"/>
    </xf>
    <xf numFmtId="0" fontId="5" fillId="0" borderId="13" xfId="0" applyFont="1" applyBorder="1"/>
    <xf numFmtId="164" fontId="0" fillId="0" borderId="0" xfId="2" applyNumberFormat="1" applyFont="1" applyFill="1" applyAlignment="1">
      <alignment horizontal="center"/>
    </xf>
    <xf numFmtId="0" fontId="5" fillId="5" borderId="14" xfId="0" applyFont="1" applyFill="1" applyBorder="1" applyAlignment="1">
      <alignment horizontal="left" vertical="center"/>
    </xf>
    <xf numFmtId="44" fontId="0" fillId="0" borderId="14" xfId="2" applyFont="1" applyBorder="1" applyAlignment="1">
      <alignment horizontal="center" vertical="center"/>
    </xf>
    <xf numFmtId="0" fontId="5" fillId="5" borderId="14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14" fontId="5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2" applyFont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44" fontId="0" fillId="0" borderId="0" xfId="2" quotePrefix="1" applyFont="1"/>
    <xf numFmtId="0" fontId="0" fillId="0" borderId="0" xfId="0" quotePrefix="1"/>
    <xf numFmtId="9" fontId="0" fillId="0" borderId="0" xfId="0" applyNumberFormat="1"/>
    <xf numFmtId="0" fontId="0" fillId="0" borderId="11" xfId="0" applyBorder="1"/>
    <xf numFmtId="0" fontId="8" fillId="0" borderId="15" xfId="0" applyFont="1" applyBorder="1" applyAlignment="1">
      <alignment horizontal="center"/>
    </xf>
    <xf numFmtId="2" fontId="0" fillId="0" borderId="0" xfId="0" applyNumberFormat="1"/>
    <xf numFmtId="2" fontId="0" fillId="0" borderId="11" xfId="0" applyNumberFormat="1" applyBorder="1"/>
    <xf numFmtId="43" fontId="0" fillId="0" borderId="0" xfId="1" applyFont="1" applyAlignment="1">
      <alignment horizontal="right" vertical="center"/>
    </xf>
    <xf numFmtId="43" fontId="0" fillId="0" borderId="0" xfId="0" applyNumberFormat="1"/>
    <xf numFmtId="165" fontId="0" fillId="0" borderId="0" xfId="0" applyNumberFormat="1"/>
    <xf numFmtId="0" fontId="2" fillId="0" borderId="1" xfId="5" applyAlignment="1">
      <alignment horizontal="center" vertical="center"/>
    </xf>
    <xf numFmtId="0" fontId="0" fillId="0" borderId="0" xfId="0" applyNumberFormat="1"/>
    <xf numFmtId="166" fontId="0" fillId="6" borderId="16" xfId="7" applyNumberFormat="1" applyFont="1" applyAlignment="1">
      <alignment horizontal="center"/>
    </xf>
    <xf numFmtId="167" fontId="0" fillId="0" borderId="0" xfId="0" applyNumberFormat="1"/>
    <xf numFmtId="0" fontId="5" fillId="7" borderId="17" xfId="8" applyFont="1" applyFill="1" applyBorder="1" applyAlignment="1">
      <alignment horizontal="center" wrapText="1"/>
    </xf>
    <xf numFmtId="0" fontId="5" fillId="7" borderId="18" xfId="9" applyFont="1" applyFill="1" applyBorder="1" applyAlignment="1">
      <alignment horizontal="center" wrapText="1"/>
    </xf>
    <xf numFmtId="0" fontId="5" fillId="7" borderId="19" xfId="10" applyFont="1" applyFill="1" applyBorder="1" applyAlignment="1">
      <alignment horizontal="center" wrapText="1"/>
    </xf>
    <xf numFmtId="0" fontId="5" fillId="7" borderId="20" xfId="10" applyFont="1" applyFill="1" applyBorder="1" applyAlignment="1">
      <alignment horizontal="center" wrapText="1"/>
    </xf>
    <xf numFmtId="0" fontId="5" fillId="7" borderId="21" xfId="10" applyFont="1" applyFill="1" applyBorder="1" applyAlignment="1">
      <alignment horizontal="center" wrapText="1"/>
    </xf>
    <xf numFmtId="0" fontId="1" fillId="0" borderId="20" xfId="11" applyBorder="1"/>
    <xf numFmtId="0" fontId="1" fillId="0" borderId="22" xfId="12" applyBorder="1"/>
    <xf numFmtId="0" fontId="1" fillId="0" borderId="21" xfId="13" applyBorder="1"/>
    <xf numFmtId="0" fontId="0" fillId="0" borderId="23" xfId="0" applyBorder="1"/>
    <xf numFmtId="168" fontId="0" fillId="0" borderId="24" xfId="1" applyNumberFormat="1" applyFont="1" applyBorder="1"/>
    <xf numFmtId="0" fontId="1" fillId="0" borderId="23" xfId="14" applyBorder="1" applyAlignment="1">
      <alignment horizontal="left"/>
    </xf>
    <xf numFmtId="3" fontId="0" fillId="0" borderId="0" xfId="0" applyNumberFormat="1" applyAlignment="1">
      <alignment horizontal="right" indent="2"/>
    </xf>
    <xf numFmtId="169" fontId="0" fillId="0" borderId="0" xfId="15" applyNumberFormat="1" applyFont="1" applyAlignment="1">
      <alignment horizontal="right" indent="2"/>
    </xf>
    <xf numFmtId="169" fontId="1" fillId="0" borderId="0" xfId="16" applyNumberFormat="1" applyAlignment="1">
      <alignment horizontal="right" indent="2"/>
    </xf>
    <xf numFmtId="167" fontId="0" fillId="0" borderId="0" xfId="17" applyNumberFormat="1" applyFont="1"/>
    <xf numFmtId="167" fontId="0" fillId="0" borderId="24" xfId="18" applyNumberFormat="1" applyFont="1" applyBorder="1"/>
    <xf numFmtId="0" fontId="0" fillId="0" borderId="25" xfId="0" applyBorder="1"/>
    <xf numFmtId="168" fontId="0" fillId="0" borderId="26" xfId="1" applyNumberFormat="1" applyFont="1" applyBorder="1"/>
    <xf numFmtId="0" fontId="1" fillId="0" borderId="25" xfId="19" applyBorder="1" applyAlignment="1">
      <alignment horizontal="left"/>
    </xf>
    <xf numFmtId="3" fontId="5" fillId="0" borderId="27" xfId="0" applyNumberFormat="1" applyFont="1" applyBorder="1" applyAlignment="1">
      <alignment horizontal="right" indent="2"/>
    </xf>
    <xf numFmtId="169" fontId="5" fillId="0" borderId="0" xfId="20" applyNumberFormat="1" applyFont="1" applyAlignment="1">
      <alignment horizontal="right" indent="2"/>
    </xf>
    <xf numFmtId="169" fontId="5" fillId="0" borderId="0" xfId="21" applyNumberFormat="1" applyFont="1" applyAlignment="1">
      <alignment horizontal="right" indent="2"/>
    </xf>
    <xf numFmtId="167" fontId="0" fillId="0" borderId="27" xfId="22" applyNumberFormat="1" applyFont="1" applyBorder="1"/>
    <xf numFmtId="167" fontId="5" fillId="0" borderId="26" xfId="23" applyNumberFormat="1" applyFont="1" applyBorder="1"/>
    <xf numFmtId="169" fontId="0" fillId="0" borderId="22" xfId="24" applyNumberFormat="1" applyFont="1" applyBorder="1" applyAlignment="1">
      <alignment horizontal="right" indent="2"/>
    </xf>
    <xf numFmtId="169" fontId="1" fillId="0" borderId="22" xfId="25" applyNumberFormat="1" applyBorder="1" applyAlignment="1">
      <alignment horizontal="right" indent="2"/>
    </xf>
    <xf numFmtId="167" fontId="0" fillId="0" borderId="22" xfId="26" applyNumberFormat="1" applyFont="1" applyBorder="1"/>
    <xf numFmtId="167" fontId="0" fillId="0" borderId="21" xfId="27" applyNumberFormat="1" applyFont="1" applyBorder="1"/>
    <xf numFmtId="0" fontId="5" fillId="7" borderId="20" xfId="28" applyFont="1" applyFill="1" applyBorder="1" applyAlignment="1">
      <alignment horizontal="center" wrapText="1"/>
    </xf>
    <xf numFmtId="0" fontId="5" fillId="7" borderId="21" xfId="28" applyFont="1" applyFill="1" applyBorder="1" applyAlignment="1">
      <alignment horizontal="center" wrapText="1"/>
    </xf>
    <xf numFmtId="167" fontId="0" fillId="0" borderId="24" xfId="29" applyNumberFormat="1" applyFont="1" applyBorder="1"/>
    <xf numFmtId="169" fontId="5" fillId="0" borderId="27" xfId="30" applyNumberFormat="1" applyFont="1" applyBorder="1" applyAlignment="1">
      <alignment horizontal="right" indent="2"/>
    </xf>
    <xf numFmtId="169" fontId="5" fillId="0" borderId="27" xfId="31" applyNumberFormat="1" applyFont="1" applyBorder="1" applyAlignment="1">
      <alignment horizontal="right" indent="2"/>
    </xf>
    <xf numFmtId="167" fontId="0" fillId="0" borderId="26" xfId="29" applyNumberFormat="1" applyFont="1" applyBorder="1"/>
    <xf numFmtId="0" fontId="10" fillId="0" borderId="17" xfId="0" applyFont="1" applyBorder="1"/>
    <xf numFmtId="169" fontId="5" fillId="0" borderId="18" xfId="6" applyNumberFormat="1" applyFont="1" applyBorder="1" applyAlignment="1">
      <alignment horizontal="right" indent="2"/>
    </xf>
    <xf numFmtId="169" fontId="0" fillId="0" borderId="18" xfId="0" applyNumberFormat="1" applyBorder="1" applyAlignment="1">
      <alignment horizontal="right" indent="2"/>
    </xf>
    <xf numFmtId="0" fontId="0" fillId="0" borderId="18" xfId="0" applyBorder="1"/>
    <xf numFmtId="167" fontId="5" fillId="0" borderId="19" xfId="2" applyNumberFormat="1" applyFont="1" applyBorder="1"/>
    <xf numFmtId="0" fontId="11" fillId="0" borderId="20" xfId="0" applyFont="1" applyBorder="1"/>
    <xf numFmtId="0" fontId="11" fillId="0" borderId="23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0" fillId="0" borderId="25" xfId="0" applyFont="1" applyBorder="1"/>
    <xf numFmtId="169" fontId="12" fillId="0" borderId="18" xfId="0" applyNumberFormat="1" applyFont="1" applyBorder="1" applyAlignment="1">
      <alignment horizontal="right" indent="2"/>
    </xf>
    <xf numFmtId="0" fontId="5" fillId="7" borderId="20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center" wrapText="1"/>
    </xf>
    <xf numFmtId="0" fontId="11" fillId="0" borderId="23" xfId="0" applyFont="1" applyBorder="1"/>
    <xf numFmtId="0" fontId="10" fillId="0" borderId="25" xfId="0" applyFont="1" applyBorder="1" applyAlignment="1">
      <alignment horizontal="left" indent="2"/>
    </xf>
    <xf numFmtId="168" fontId="5" fillId="0" borderId="26" xfId="1" applyNumberFormat="1" applyFont="1" applyBorder="1"/>
    <xf numFmtId="0" fontId="13" fillId="0" borderId="0" xfId="0" applyFont="1" applyAlignment="1">
      <alignment horizontal="centerContinuous"/>
    </xf>
    <xf numFmtId="0" fontId="13" fillId="0" borderId="28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22" fontId="0" fillId="0" borderId="0" xfId="0" applyNumberFormat="1"/>
  </cellXfs>
  <cellStyles count="32">
    <cellStyle name="+jKWxcgtdtgA5a2/r1zLJQ==-~qkFj41rN4zBPiI8Vr/kqOg==" xfId="17" xr:uid="{A54DAD66-3C41-4D6B-9AE5-FC8F09BAB9F6}"/>
    <cellStyle name="2LNgu9KNwfhu4SxY6BhdgQ==-~dpBydKCf4J7qjOH+vIcVpg==" xfId="12" xr:uid="{A5EF669A-495A-4B16-B5A0-C7B866C46351}"/>
    <cellStyle name="2WxNjcZ20Vvphi0xXp88fA==-~2x0xJlp3xMRqjYupJ6ejYA==" xfId="18" xr:uid="{33E26192-D7F4-4468-9ED0-9F584A4D3ED6}"/>
    <cellStyle name="5AYv8PL7V4WJxOU3S+fWY3o+HkIIrKoiGeo7EkBtlrQ=-~Fqpfky2+A/A25BPBx2daAg==" xfId="29" xr:uid="{EF73D73F-339F-4D4E-A6BF-1239F0B83C1C}"/>
    <cellStyle name="8NYAhyGlwCLzwDIhLUuIaw==-~5y8u9ZNVxUeCfiRX5YAGAg==" xfId="19" xr:uid="{91FB116A-32BB-4536-8171-958A26045032}"/>
    <cellStyle name="9Vac37LIGBgoGNIiM6ZZFg==-~QGuQ7I6z3OKzoRz9Q7aUng==" xfId="8" xr:uid="{9B7B4EFC-C628-4ACB-9F17-352568734044}"/>
    <cellStyle name="CmStNDQ0UMSbQk3KCXaJhg==-~uF0EYqtUacl90WHdfR4uZw==" xfId="13" xr:uid="{0D3AF195-16A7-461B-B782-E84FE58259A5}"/>
    <cellStyle name="Comma" xfId="1" builtinId="3"/>
    <cellStyle name="csL/TrWBT2zBVe6fmhR2MA==-~SvhRAXb1+y1Em5+LH8mjTA==" xfId="16" xr:uid="{D90AC76F-9F7B-49EA-968F-AFBD491D46EF}"/>
    <cellStyle name="Currency" xfId="2" builtinId="4"/>
    <cellStyle name="ECfx4eYLQf+WbKMD/bpC6g==-~mh78UidQMYSktg5BCKu9kQ==" xfId="15" xr:uid="{41090D99-B40D-4041-B0F8-492BFB92063C}"/>
    <cellStyle name="Good" xfId="3" builtinId="26"/>
    <cellStyle name="Heading 1 2" xfId="5" xr:uid="{E9D17659-80DF-45BC-84DD-B4D9BC44A5D2}"/>
    <cellStyle name="Hmb+DSKUtIlGe/AiKmTP0w==-~V+++by1WtdJnl9DXleJBcQ==" xfId="23" xr:uid="{B7072569-787B-4E55-B965-CE22E9C4525D}"/>
    <cellStyle name="IbXux61jZ6fL7Gxj1j4dcg==-~+wRKjz3ruUJpbSQNlOMmLw==" xfId="25" xr:uid="{D08914C7-C053-4B7B-AF2C-273CCC862A95}"/>
    <cellStyle name="mTWLtPYB9IlhWXc4sJ4E7w==-~kXgo8fr7E7gYTnMAqFn3Bg==" xfId="22" xr:uid="{58E08B3B-4495-46F4-82F8-FB7F87CE2516}"/>
    <cellStyle name="n0nP+qSi1wO02n1opSvgnQ==-~aBsnIxhWzviuzNGqfIUZ7g==" xfId="9" xr:uid="{73B335F4-8557-46BC-82ED-84FF3712606B}"/>
    <cellStyle name="Neutral" xfId="4" builtinId="28"/>
    <cellStyle name="Normal" xfId="0" builtinId="0"/>
    <cellStyle name="Note" xfId="7" builtinId="10"/>
    <cellStyle name="oELbuRod457yX2uGBz7mCg==-~PF0obrk63ukGHINUhh9pNw==" xfId="30" xr:uid="{B5BA1588-3FF6-4EE8-A143-9033ECD9E4A7}"/>
    <cellStyle name="OfxZFHB1nF8XTaI/TBMLsQ==-~ZNOvFwlglalzPkqLW7tIYg==" xfId="21" xr:uid="{FDDA7F78-B30A-46EA-8FB0-574588C7972A}"/>
    <cellStyle name="OnOy7R0dK8Xa7ZluDsR/eA==-~Gpt05jZHkyEh1+oz0F9oqw==" xfId="24" xr:uid="{46BDB23C-D80E-4332-AE72-BA7AC55DFB57}"/>
    <cellStyle name="OuXN/fsEQJMDheW6yxOjNA==-~n7AvnbHAXEH6eXxArXYxOQ==" xfId="20" xr:uid="{9D06C7F3-046A-44FA-ACDC-4D924F0C525D}"/>
    <cellStyle name="p8JUGi1TSo325h0pgvqMjcFqE6uQACUyPNKBNmyXFsc=-~DqnhVwIhMaxg9qr4GbWGAw==" xfId="28" xr:uid="{6D1E8797-6955-4CF6-B5BA-5BFDEAD6B420}"/>
    <cellStyle name="Percent" xfId="6" builtinId="5"/>
    <cellStyle name="RjfQskFyVJLp3iV4i1qjoQ==-~SolMV9G7TDLKNLGiv9Jl2Q==" xfId="14" xr:uid="{BF032532-35CC-49E0-8757-BEFB57DC8D2F}"/>
    <cellStyle name="SBClqngcmKF8g9j2IRZfYg==-~zA9n0qWws23ttLeshYG3Cw==" xfId="11" xr:uid="{C54F248C-B4F7-4EA2-9948-9B4EC66ED8CF}"/>
    <cellStyle name="TwwNGDZPYzkqSrfF36+uNQ==-~qxWKqcGtgfeNHsNMkSC0Eg==" xfId="27" xr:uid="{7D122604-7A4C-4F2E-8B9F-105B2C0399D1}"/>
    <cellStyle name="uOM1XvN6JZIY8Pb9zCz9oQ==-~8iKXc+97U3VnHAe4njkhsw==" xfId="31" xr:uid="{1CB77FE4-586F-44E4-9A37-2AA9C3A28EB7}"/>
    <cellStyle name="Z5JBFbAtU5N3HLBcamrP6A==-~eZf6bcjRxDpmCH21lwF/tQ==" xfId="26" xr:uid="{7D4EC5B5-060C-422D-8DAD-2F02AAF128F2}"/>
    <cellStyle name="ZPrPzsCHQaVexaxv7uMGZg==-~/3Jq+l5Q8hqnyIa/zXjnUg==" xfId="10" xr:uid="{1A7868EB-8BBE-4CF9-B5CF-2634CFFEFFED}"/>
  </cellStyles>
  <dxfs count="6">
    <dxf>
      <numFmt numFmtId="0" formatCode="General"/>
    </dxf>
    <dxf>
      <numFmt numFmtId="0" formatCode="General"/>
    </dxf>
    <dxf>
      <fill>
        <patternFill>
          <bgColor theme="4" tint="0.59996337778862885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'Gatewood Forecast'!$B$1</c:f>
              <c:strCache>
                <c:ptCount val="1"/>
                <c:pt idx="0">
                  <c:v>Gatewood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'Gatewood Forecast'!$B$2:$B$54</c:f>
              <c:numCache>
                <c:formatCode>_(* #,##0.00_);_(* \(#,##0.00\);_(* "-"??_);_(@_)</c:formatCode>
                <c:ptCount val="53"/>
                <c:pt idx="0">
                  <c:v>146928</c:v>
                </c:pt>
                <c:pt idx="1">
                  <c:v>122560</c:v>
                </c:pt>
                <c:pt idx="2">
                  <c:v>134547</c:v>
                </c:pt>
                <c:pt idx="3">
                  <c:v>144425</c:v>
                </c:pt>
                <c:pt idx="4">
                  <c:v>145608</c:v>
                </c:pt>
                <c:pt idx="5">
                  <c:v>145240</c:v>
                </c:pt>
                <c:pt idx="6">
                  <c:v>127547</c:v>
                </c:pt>
                <c:pt idx="7">
                  <c:v>149113</c:v>
                </c:pt>
                <c:pt idx="8">
                  <c:v>115547</c:v>
                </c:pt>
                <c:pt idx="9">
                  <c:v>135531</c:v>
                </c:pt>
                <c:pt idx="10">
                  <c:v>102026</c:v>
                </c:pt>
                <c:pt idx="11">
                  <c:v>101832</c:v>
                </c:pt>
                <c:pt idx="12">
                  <c:v>227720</c:v>
                </c:pt>
                <c:pt idx="13">
                  <c:v>265272</c:v>
                </c:pt>
                <c:pt idx="14">
                  <c:v>224611</c:v>
                </c:pt>
                <c:pt idx="15">
                  <c:v>257625</c:v>
                </c:pt>
                <c:pt idx="16">
                  <c:v>231889</c:v>
                </c:pt>
                <c:pt idx="17">
                  <c:v>217072</c:v>
                </c:pt>
                <c:pt idx="18">
                  <c:v>243835</c:v>
                </c:pt>
                <c:pt idx="19">
                  <c:v>259639</c:v>
                </c:pt>
                <c:pt idx="20">
                  <c:v>249958</c:v>
                </c:pt>
                <c:pt idx="21">
                  <c:v>220978</c:v>
                </c:pt>
                <c:pt idx="22">
                  <c:v>450536</c:v>
                </c:pt>
                <c:pt idx="23">
                  <c:v>342649</c:v>
                </c:pt>
                <c:pt idx="24">
                  <c:v>327389</c:v>
                </c:pt>
                <c:pt idx="25">
                  <c:v>473456</c:v>
                </c:pt>
                <c:pt idx="26">
                  <c:v>378260</c:v>
                </c:pt>
                <c:pt idx="27">
                  <c:v>418567</c:v>
                </c:pt>
                <c:pt idx="28">
                  <c:v>339908</c:v>
                </c:pt>
                <c:pt idx="29">
                  <c:v>437626</c:v>
                </c:pt>
                <c:pt idx="30">
                  <c:v>437523</c:v>
                </c:pt>
                <c:pt idx="31">
                  <c:v>438320</c:v>
                </c:pt>
                <c:pt idx="32">
                  <c:v>483215</c:v>
                </c:pt>
                <c:pt idx="33">
                  <c:v>442827</c:v>
                </c:pt>
                <c:pt idx="34">
                  <c:v>288029</c:v>
                </c:pt>
                <c:pt idx="35">
                  <c:v>454657</c:v>
                </c:pt>
                <c:pt idx="36">
                  <c:v>450453</c:v>
                </c:pt>
                <c:pt idx="37">
                  <c:v>371346</c:v>
                </c:pt>
                <c:pt idx="38">
                  <c:v>496580</c:v>
                </c:pt>
                <c:pt idx="39">
                  <c:v>284819</c:v>
                </c:pt>
                <c:pt idx="40">
                  <c:v>304310</c:v>
                </c:pt>
                <c:pt idx="41">
                  <c:v>351039</c:v>
                </c:pt>
                <c:pt idx="42">
                  <c:v>418331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8-4479-A5F3-FEED0524D3A8}"/>
            </c:ext>
          </c:extLst>
        </c:ser>
        <c:ser>
          <c:idx val="1"/>
          <c:order val="1"/>
          <c:tx>
            <c:strRef>
              <c:f>'Gatewood Forecast'!$C$1</c:f>
              <c:strCache>
                <c:ptCount val="1"/>
                <c:pt idx="0">
                  <c:v>Forecast(Gatewood)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'Gatewood Forecast'!$A$2:$A$54</c:f>
              <c:numCache>
                <c:formatCode>General</c:formatCode>
                <c:ptCount val="53"/>
                <c:pt idx="0">
                  <c:v>900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1100</c:v>
                </c:pt>
                <c:pt idx="5">
                  <c:v>1150</c:v>
                </c:pt>
                <c:pt idx="6">
                  <c:v>1200</c:v>
                </c:pt>
                <c:pt idx="7">
                  <c:v>1250</c:v>
                </c:pt>
                <c:pt idx="8">
                  <c:v>1300</c:v>
                </c:pt>
                <c:pt idx="9">
                  <c:v>1350</c:v>
                </c:pt>
                <c:pt idx="10">
                  <c:v>1400</c:v>
                </c:pt>
                <c:pt idx="11">
                  <c:v>1450</c:v>
                </c:pt>
                <c:pt idx="12">
                  <c:v>1500</c:v>
                </c:pt>
                <c:pt idx="13">
                  <c:v>1550</c:v>
                </c:pt>
                <c:pt idx="14">
                  <c:v>1600</c:v>
                </c:pt>
                <c:pt idx="15">
                  <c:v>1650</c:v>
                </c:pt>
                <c:pt idx="16">
                  <c:v>1700</c:v>
                </c:pt>
                <c:pt idx="17">
                  <c:v>1750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1950</c:v>
                </c:pt>
                <c:pt idx="22">
                  <c:v>2000</c:v>
                </c:pt>
                <c:pt idx="23">
                  <c:v>2050</c:v>
                </c:pt>
                <c:pt idx="24">
                  <c:v>2100</c:v>
                </c:pt>
                <c:pt idx="25">
                  <c:v>2150</c:v>
                </c:pt>
                <c:pt idx="26">
                  <c:v>2200</c:v>
                </c:pt>
                <c:pt idx="27">
                  <c:v>2250</c:v>
                </c:pt>
                <c:pt idx="28">
                  <c:v>2300</c:v>
                </c:pt>
                <c:pt idx="29">
                  <c:v>2350</c:v>
                </c:pt>
                <c:pt idx="30">
                  <c:v>2400</c:v>
                </c:pt>
                <c:pt idx="31">
                  <c:v>2450</c:v>
                </c:pt>
                <c:pt idx="32">
                  <c:v>2500</c:v>
                </c:pt>
                <c:pt idx="33">
                  <c:v>2550</c:v>
                </c:pt>
                <c:pt idx="34">
                  <c:v>2600</c:v>
                </c:pt>
                <c:pt idx="35">
                  <c:v>2650</c:v>
                </c:pt>
                <c:pt idx="36">
                  <c:v>2700</c:v>
                </c:pt>
                <c:pt idx="37">
                  <c:v>2750</c:v>
                </c:pt>
                <c:pt idx="38">
                  <c:v>2800</c:v>
                </c:pt>
                <c:pt idx="39">
                  <c:v>2850</c:v>
                </c:pt>
                <c:pt idx="40">
                  <c:v>2900</c:v>
                </c:pt>
                <c:pt idx="41">
                  <c:v>2950</c:v>
                </c:pt>
                <c:pt idx="42">
                  <c:v>3000</c:v>
                </c:pt>
                <c:pt idx="43">
                  <c:v>3050</c:v>
                </c:pt>
                <c:pt idx="44">
                  <c:v>3100</c:v>
                </c:pt>
                <c:pt idx="45">
                  <c:v>3150</c:v>
                </c:pt>
                <c:pt idx="46">
                  <c:v>3200</c:v>
                </c:pt>
                <c:pt idx="47">
                  <c:v>3250</c:v>
                </c:pt>
                <c:pt idx="48">
                  <c:v>3300</c:v>
                </c:pt>
                <c:pt idx="49">
                  <c:v>3350</c:v>
                </c:pt>
                <c:pt idx="50">
                  <c:v>3400</c:v>
                </c:pt>
                <c:pt idx="51">
                  <c:v>3450</c:v>
                </c:pt>
                <c:pt idx="52">
                  <c:v>3500</c:v>
                </c:pt>
              </c:numCache>
            </c:numRef>
          </c:cat>
          <c:val>
            <c:numRef>
              <c:f>'Gatewood Forecast'!$C$2:$C$54</c:f>
              <c:numCache>
                <c:formatCode>General</c:formatCode>
                <c:ptCount val="53"/>
                <c:pt idx="42" formatCode="_(* #,##0.00_);_(* \(#,##0.00\);_(* &quot;-&quot;??_);_(@_)">
                  <c:v>418331</c:v>
                </c:pt>
                <c:pt idx="43" formatCode="_(* #,##0.00_);_(* \(#,##0.00\);_(* &quot;-&quot;??_);_(@_)">
                  <c:v>479126.34124902281</c:v>
                </c:pt>
                <c:pt idx="44" formatCode="_(* #,##0.00_);_(* \(#,##0.00\);_(* &quot;-&quot;??_);_(@_)">
                  <c:v>486518.15586799313</c:v>
                </c:pt>
                <c:pt idx="45" formatCode="_(* #,##0.00_);_(* \(#,##0.00\);_(* &quot;-&quot;??_);_(@_)">
                  <c:v>493909.97048696346</c:v>
                </c:pt>
                <c:pt idx="46" formatCode="_(* #,##0.00_);_(* \(#,##0.00\);_(* &quot;-&quot;??_);_(@_)">
                  <c:v>501301.78510593378</c:v>
                </c:pt>
                <c:pt idx="47" formatCode="_(* #,##0.00_);_(* \(#,##0.00\);_(* &quot;-&quot;??_);_(@_)">
                  <c:v>508693.59972490411</c:v>
                </c:pt>
                <c:pt idx="48" formatCode="_(* #,##0.00_);_(* \(#,##0.00\);_(* &quot;-&quot;??_);_(@_)">
                  <c:v>516085.41434387444</c:v>
                </c:pt>
                <c:pt idx="49" formatCode="_(* #,##0.00_);_(* \(#,##0.00\);_(* &quot;-&quot;??_);_(@_)">
                  <c:v>523477.22896284482</c:v>
                </c:pt>
                <c:pt idx="50" formatCode="_(* #,##0.00_);_(* \(#,##0.00\);_(* &quot;-&quot;??_);_(@_)">
                  <c:v>530869.04358181509</c:v>
                </c:pt>
                <c:pt idx="51" formatCode="_(* #,##0.00_);_(* \(#,##0.00\);_(* &quot;-&quot;??_);_(@_)">
                  <c:v>538260.85820078547</c:v>
                </c:pt>
                <c:pt idx="52" formatCode="_(* #,##0.00_);_(* \(#,##0.00\);_(* &quot;-&quot;??_);_(@_)">
                  <c:v>545652.67281975574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8-4479-A5F3-FEED0524D3A8}"/>
            </c:ext>
          </c:extLst>
        </c:ser>
        <c:ser>
          <c:idx val="2"/>
          <c:order val="2"/>
          <c:tx>
            <c:strRef>
              <c:f>'Gatewood Forecast'!$D$1</c:f>
              <c:strCache>
                <c:ptCount val="1"/>
                <c:pt idx="0">
                  <c:v>Lower Confidence Bound(Gatewood)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'Gatewood Forecast'!$A$2:$A$54</c:f>
              <c:numCache>
                <c:formatCode>General</c:formatCode>
                <c:ptCount val="53"/>
                <c:pt idx="0">
                  <c:v>900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1100</c:v>
                </c:pt>
                <c:pt idx="5">
                  <c:v>1150</c:v>
                </c:pt>
                <c:pt idx="6">
                  <c:v>1200</c:v>
                </c:pt>
                <c:pt idx="7">
                  <c:v>1250</c:v>
                </c:pt>
                <c:pt idx="8">
                  <c:v>1300</c:v>
                </c:pt>
                <c:pt idx="9">
                  <c:v>1350</c:v>
                </c:pt>
                <c:pt idx="10">
                  <c:v>1400</c:v>
                </c:pt>
                <c:pt idx="11">
                  <c:v>1450</c:v>
                </c:pt>
                <c:pt idx="12">
                  <c:v>1500</c:v>
                </c:pt>
                <c:pt idx="13">
                  <c:v>1550</c:v>
                </c:pt>
                <c:pt idx="14">
                  <c:v>1600</c:v>
                </c:pt>
                <c:pt idx="15">
                  <c:v>1650</c:v>
                </c:pt>
                <c:pt idx="16">
                  <c:v>1700</c:v>
                </c:pt>
                <c:pt idx="17">
                  <c:v>1750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1950</c:v>
                </c:pt>
                <c:pt idx="22">
                  <c:v>2000</c:v>
                </c:pt>
                <c:pt idx="23">
                  <c:v>2050</c:v>
                </c:pt>
                <c:pt idx="24">
                  <c:v>2100</c:v>
                </c:pt>
                <c:pt idx="25">
                  <c:v>2150</c:v>
                </c:pt>
                <c:pt idx="26">
                  <c:v>2200</c:v>
                </c:pt>
                <c:pt idx="27">
                  <c:v>2250</c:v>
                </c:pt>
                <c:pt idx="28">
                  <c:v>2300</c:v>
                </c:pt>
                <c:pt idx="29">
                  <c:v>2350</c:v>
                </c:pt>
                <c:pt idx="30">
                  <c:v>2400</c:v>
                </c:pt>
                <c:pt idx="31">
                  <c:v>2450</c:v>
                </c:pt>
                <c:pt idx="32">
                  <c:v>2500</c:v>
                </c:pt>
                <c:pt idx="33">
                  <c:v>2550</c:v>
                </c:pt>
                <c:pt idx="34">
                  <c:v>2600</c:v>
                </c:pt>
                <c:pt idx="35">
                  <c:v>2650</c:v>
                </c:pt>
                <c:pt idx="36">
                  <c:v>2700</c:v>
                </c:pt>
                <c:pt idx="37">
                  <c:v>2750</c:v>
                </c:pt>
                <c:pt idx="38">
                  <c:v>2800</c:v>
                </c:pt>
                <c:pt idx="39">
                  <c:v>2850</c:v>
                </c:pt>
                <c:pt idx="40">
                  <c:v>2900</c:v>
                </c:pt>
                <c:pt idx="41">
                  <c:v>2950</c:v>
                </c:pt>
                <c:pt idx="42">
                  <c:v>3000</c:v>
                </c:pt>
                <c:pt idx="43">
                  <c:v>3050</c:v>
                </c:pt>
                <c:pt idx="44">
                  <c:v>3100</c:v>
                </c:pt>
                <c:pt idx="45">
                  <c:v>3150</c:v>
                </c:pt>
                <c:pt idx="46">
                  <c:v>3200</c:v>
                </c:pt>
                <c:pt idx="47">
                  <c:v>3250</c:v>
                </c:pt>
                <c:pt idx="48">
                  <c:v>3300</c:v>
                </c:pt>
                <c:pt idx="49">
                  <c:v>3350</c:v>
                </c:pt>
                <c:pt idx="50">
                  <c:v>3400</c:v>
                </c:pt>
                <c:pt idx="51">
                  <c:v>3450</c:v>
                </c:pt>
                <c:pt idx="52">
                  <c:v>3500</c:v>
                </c:pt>
              </c:numCache>
            </c:numRef>
          </c:cat>
          <c:val>
            <c:numRef>
              <c:f>'Gatewood Forecast'!$D$2:$D$54</c:f>
              <c:numCache>
                <c:formatCode>General</c:formatCode>
                <c:ptCount val="53"/>
                <c:pt idx="42" formatCode="_(* #,##0.00_);_(* \(#,##0.00\);_(* &quot;-&quot;??_);_(@_)">
                  <c:v>418331</c:v>
                </c:pt>
                <c:pt idx="43" formatCode="_(* #,##0.00_);_(* \(#,##0.00\);_(* &quot;-&quot;??_);_(@_)">
                  <c:v>333577.72633719852</c:v>
                </c:pt>
                <c:pt idx="44" formatCode="_(* #,##0.00_);_(* \(#,##0.00\);_(* &quot;-&quot;??_);_(@_)">
                  <c:v>340968.88598887541</c:v>
                </c:pt>
                <c:pt idx="45" formatCode="_(* #,##0.00_);_(* \(#,##0.00\);_(* &quot;-&quot;??_);_(@_)">
                  <c:v>348359.53622882359</c:v>
                </c:pt>
                <c:pt idx="46" formatCode="_(* #,##0.00_);_(* \(#,##0.00\);_(* &quot;-&quot;??_);_(@_)">
                  <c:v>355749.53152421955</c:v>
                </c:pt>
                <c:pt idx="47" formatCode="_(* #,##0.00_);_(* \(#,##0.00\);_(* &quot;-&quot;??_);_(@_)">
                  <c:v>363138.7263571925</c:v>
                </c:pt>
                <c:pt idx="48" formatCode="_(* #,##0.00_);_(* \(#,##0.00\);_(* &quot;-&quot;??_);_(@_)">
                  <c:v>370526.97523209918</c:v>
                </c:pt>
                <c:pt idx="49" formatCode="_(* #,##0.00_);_(* \(#,##0.00\);_(* &quot;-&quot;??_);_(@_)">
                  <c:v>377914.13268424897</c:v>
                </c:pt>
                <c:pt idx="50" formatCode="_(* #,##0.00_);_(* \(#,##0.00\);_(* &quot;-&quot;??_);_(@_)">
                  <c:v>385300.05329007993</c:v>
                </c:pt>
                <c:pt idx="51" formatCode="_(* #,##0.00_);_(* \(#,##0.00\);_(* &quot;-&quot;??_);_(@_)">
                  <c:v>392684.59167878138</c:v>
                </c:pt>
                <c:pt idx="52" formatCode="_(* #,##0.00_);_(* \(#,##0.00\);_(* &quot;-&quot;??_);_(@_)">
                  <c:v>400067.60254535842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68-4479-A5F3-FEED0524D3A8}"/>
            </c:ext>
          </c:extLst>
        </c:ser>
        <c:ser>
          <c:idx val="3"/>
          <c:order val="3"/>
          <c:tx>
            <c:strRef>
              <c:f>'Gatewood Forecast'!$E$1</c:f>
              <c:strCache>
                <c:ptCount val="1"/>
                <c:pt idx="0">
                  <c:v>Upper Confidence Bound(Gatewood)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'Gatewood Forecast'!$A$2:$A$54</c:f>
              <c:numCache>
                <c:formatCode>General</c:formatCode>
                <c:ptCount val="53"/>
                <c:pt idx="0">
                  <c:v>900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1100</c:v>
                </c:pt>
                <c:pt idx="5">
                  <c:v>1150</c:v>
                </c:pt>
                <c:pt idx="6">
                  <c:v>1200</c:v>
                </c:pt>
                <c:pt idx="7">
                  <c:v>1250</c:v>
                </c:pt>
                <c:pt idx="8">
                  <c:v>1300</c:v>
                </c:pt>
                <c:pt idx="9">
                  <c:v>1350</c:v>
                </c:pt>
                <c:pt idx="10">
                  <c:v>1400</c:v>
                </c:pt>
                <c:pt idx="11">
                  <c:v>1450</c:v>
                </c:pt>
                <c:pt idx="12">
                  <c:v>1500</c:v>
                </c:pt>
                <c:pt idx="13">
                  <c:v>1550</c:v>
                </c:pt>
                <c:pt idx="14">
                  <c:v>1600</c:v>
                </c:pt>
                <c:pt idx="15">
                  <c:v>1650</c:v>
                </c:pt>
                <c:pt idx="16">
                  <c:v>1700</c:v>
                </c:pt>
                <c:pt idx="17">
                  <c:v>1750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1950</c:v>
                </c:pt>
                <c:pt idx="22">
                  <c:v>2000</c:v>
                </c:pt>
                <c:pt idx="23">
                  <c:v>2050</c:v>
                </c:pt>
                <c:pt idx="24">
                  <c:v>2100</c:v>
                </c:pt>
                <c:pt idx="25">
                  <c:v>2150</c:v>
                </c:pt>
                <c:pt idx="26">
                  <c:v>2200</c:v>
                </c:pt>
                <c:pt idx="27">
                  <c:v>2250</c:v>
                </c:pt>
                <c:pt idx="28">
                  <c:v>2300</c:v>
                </c:pt>
                <c:pt idx="29">
                  <c:v>2350</c:v>
                </c:pt>
                <c:pt idx="30">
                  <c:v>2400</c:v>
                </c:pt>
                <c:pt idx="31">
                  <c:v>2450</c:v>
                </c:pt>
                <c:pt idx="32">
                  <c:v>2500</c:v>
                </c:pt>
                <c:pt idx="33">
                  <c:v>2550</c:v>
                </c:pt>
                <c:pt idx="34">
                  <c:v>2600</c:v>
                </c:pt>
                <c:pt idx="35">
                  <c:v>2650</c:v>
                </c:pt>
                <c:pt idx="36">
                  <c:v>2700</c:v>
                </c:pt>
                <c:pt idx="37">
                  <c:v>2750</c:v>
                </c:pt>
                <c:pt idx="38">
                  <c:v>2800</c:v>
                </c:pt>
                <c:pt idx="39">
                  <c:v>2850</c:v>
                </c:pt>
                <c:pt idx="40">
                  <c:v>2900</c:v>
                </c:pt>
                <c:pt idx="41">
                  <c:v>2950</c:v>
                </c:pt>
                <c:pt idx="42">
                  <c:v>3000</c:v>
                </c:pt>
                <c:pt idx="43">
                  <c:v>3050</c:v>
                </c:pt>
                <c:pt idx="44">
                  <c:v>3100</c:v>
                </c:pt>
                <c:pt idx="45">
                  <c:v>3150</c:v>
                </c:pt>
                <c:pt idx="46">
                  <c:v>3200</c:v>
                </c:pt>
                <c:pt idx="47">
                  <c:v>3250</c:v>
                </c:pt>
                <c:pt idx="48">
                  <c:v>3300</c:v>
                </c:pt>
                <c:pt idx="49">
                  <c:v>3350</c:v>
                </c:pt>
                <c:pt idx="50">
                  <c:v>3400</c:v>
                </c:pt>
                <c:pt idx="51">
                  <c:v>3450</c:v>
                </c:pt>
                <c:pt idx="52">
                  <c:v>3500</c:v>
                </c:pt>
              </c:numCache>
            </c:numRef>
          </c:cat>
          <c:val>
            <c:numRef>
              <c:f>'Gatewood Forecast'!$E$2:$E$54</c:f>
              <c:numCache>
                <c:formatCode>General</c:formatCode>
                <c:ptCount val="53"/>
                <c:pt idx="42" formatCode="_(* #,##0.00_);_(* \(#,##0.00\);_(* &quot;-&quot;??_);_(@_)">
                  <c:v>418331</c:v>
                </c:pt>
                <c:pt idx="43" formatCode="_(* #,##0.00_);_(* \(#,##0.00\);_(* &quot;-&quot;??_);_(@_)">
                  <c:v>624674.9561608471</c:v>
                </c:pt>
                <c:pt idx="44" formatCode="_(* #,##0.00_);_(* \(#,##0.00\);_(* &quot;-&quot;??_);_(@_)">
                  <c:v>632067.42574711086</c:v>
                </c:pt>
                <c:pt idx="45" formatCode="_(* #,##0.00_);_(* \(#,##0.00\);_(* &quot;-&quot;??_);_(@_)">
                  <c:v>639460.40474510333</c:v>
                </c:pt>
                <c:pt idx="46" formatCode="_(* #,##0.00_);_(* \(#,##0.00\);_(* &quot;-&quot;??_);_(@_)">
                  <c:v>646854.03868764802</c:v>
                </c:pt>
                <c:pt idx="47" formatCode="_(* #,##0.00_);_(* \(#,##0.00\);_(* &quot;-&quot;??_);_(@_)">
                  <c:v>654248.47309261572</c:v>
                </c:pt>
                <c:pt idx="48" formatCode="_(* #,##0.00_);_(* \(#,##0.00\);_(* &quot;-&quot;??_);_(@_)">
                  <c:v>661643.85345564969</c:v>
                </c:pt>
                <c:pt idx="49" formatCode="_(* #,##0.00_);_(* \(#,##0.00\);_(* &quot;-&quot;??_);_(@_)">
                  <c:v>669040.32524144067</c:v>
                </c:pt>
                <c:pt idx="50" formatCode="_(* #,##0.00_);_(* \(#,##0.00\);_(* &quot;-&quot;??_);_(@_)">
                  <c:v>676438.03387355024</c:v>
                </c:pt>
                <c:pt idx="51" formatCode="_(* #,##0.00_);_(* \(#,##0.00\);_(* &quot;-&quot;??_);_(@_)">
                  <c:v>683837.12472278951</c:v>
                </c:pt>
                <c:pt idx="52" formatCode="_(* #,##0.00_);_(* \(#,##0.00\);_(* &quot;-&quot;??_);_(@_)">
                  <c:v>691237.743094153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68-4479-A5F3-FEED0524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07808"/>
        <c:axId val="16099024"/>
      </c:lineChart>
      <c:catAx>
        <c:axId val="1288078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024"/>
        <c:crosses val="autoZero"/>
        <c:auto val="1"/>
        <c:lblAlgn val="ctr"/>
        <c:lblOffset val="100"/>
        <c:noMultiLvlLbl val="0"/>
      </c:catAx>
      <c:valAx>
        <c:axId val="160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Forecast!$C$2</c:f>
              <c:strCache>
                <c:ptCount val="1"/>
                <c:pt idx="0">
                  <c:v>Purchase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18307086614173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Forecast!$B$3:$B$29</c:f>
              <c:numCache>
                <c:formatCode>General</c:formatCode>
                <c:ptCount val="27"/>
                <c:pt idx="0">
                  <c:v>586</c:v>
                </c:pt>
                <c:pt idx="1">
                  <c:v>623</c:v>
                </c:pt>
                <c:pt idx="2">
                  <c:v>683</c:v>
                </c:pt>
                <c:pt idx="3">
                  <c:v>799</c:v>
                </c:pt>
                <c:pt idx="4">
                  <c:v>800</c:v>
                </c:pt>
                <c:pt idx="5">
                  <c:v>959</c:v>
                </c:pt>
                <c:pt idx="6">
                  <c:v>1008</c:v>
                </c:pt>
                <c:pt idx="7">
                  <c:v>1101</c:v>
                </c:pt>
                <c:pt idx="8">
                  <c:v>1300</c:v>
                </c:pt>
                <c:pt idx="9">
                  <c:v>1735</c:v>
                </c:pt>
                <c:pt idx="10">
                  <c:v>2187</c:v>
                </c:pt>
                <c:pt idx="11">
                  <c:v>2372</c:v>
                </c:pt>
                <c:pt idx="12">
                  <c:v>2400</c:v>
                </c:pt>
                <c:pt idx="13">
                  <c:v>2716</c:v>
                </c:pt>
                <c:pt idx="14">
                  <c:v>2990</c:v>
                </c:pt>
                <c:pt idx="15">
                  <c:v>3026</c:v>
                </c:pt>
                <c:pt idx="16">
                  <c:v>3281</c:v>
                </c:pt>
                <c:pt idx="17">
                  <c:v>3340</c:v>
                </c:pt>
                <c:pt idx="18">
                  <c:v>3370</c:v>
                </c:pt>
                <c:pt idx="19">
                  <c:v>3449</c:v>
                </c:pt>
                <c:pt idx="20">
                  <c:v>3458</c:v>
                </c:pt>
                <c:pt idx="21">
                  <c:v>3596</c:v>
                </c:pt>
                <c:pt idx="22">
                  <c:v>3693</c:v>
                </c:pt>
                <c:pt idx="23">
                  <c:v>3704</c:v>
                </c:pt>
                <c:pt idx="24">
                  <c:v>3729</c:v>
                </c:pt>
                <c:pt idx="25">
                  <c:v>3942</c:v>
                </c:pt>
                <c:pt idx="26">
                  <c:v>3993</c:v>
                </c:pt>
              </c:numCache>
            </c:numRef>
          </c:xVal>
          <c:yVal>
            <c:numRef>
              <c:f>Forecast!$C$3:$C$29</c:f>
              <c:numCache>
                <c:formatCode>_("$"* #,##0.00_);_("$"* \(#,##0.00\);_("$"* "-"??_);_(@_)</c:formatCode>
                <c:ptCount val="27"/>
                <c:pt idx="0">
                  <c:v>68972</c:v>
                </c:pt>
                <c:pt idx="1">
                  <c:v>69258</c:v>
                </c:pt>
                <c:pt idx="2">
                  <c:v>69753</c:v>
                </c:pt>
                <c:pt idx="3">
                  <c:v>71252</c:v>
                </c:pt>
                <c:pt idx="4">
                  <c:v>72304</c:v>
                </c:pt>
                <c:pt idx="5">
                  <c:v>76050</c:v>
                </c:pt>
                <c:pt idx="6">
                  <c:v>80250</c:v>
                </c:pt>
                <c:pt idx="7">
                  <c:v>80885</c:v>
                </c:pt>
                <c:pt idx="8">
                  <c:v>92759</c:v>
                </c:pt>
                <c:pt idx="9">
                  <c:v>150789</c:v>
                </c:pt>
                <c:pt idx="10">
                  <c:v>200741</c:v>
                </c:pt>
                <c:pt idx="11">
                  <c:v>215764</c:v>
                </c:pt>
                <c:pt idx="12">
                  <c:v>221400</c:v>
                </c:pt>
                <c:pt idx="13">
                  <c:v>235741</c:v>
                </c:pt>
                <c:pt idx="14">
                  <c:v>247753</c:v>
                </c:pt>
                <c:pt idx="15">
                  <c:v>275863</c:v>
                </c:pt>
                <c:pt idx="16">
                  <c:v>265741</c:v>
                </c:pt>
                <c:pt idx="17">
                  <c:v>281753</c:v>
                </c:pt>
                <c:pt idx="18">
                  <c:v>281987</c:v>
                </c:pt>
                <c:pt idx="19">
                  <c:v>289987</c:v>
                </c:pt>
                <c:pt idx="20">
                  <c:v>289963</c:v>
                </c:pt>
                <c:pt idx="21">
                  <c:v>295753</c:v>
                </c:pt>
                <c:pt idx="22">
                  <c:v>300015</c:v>
                </c:pt>
                <c:pt idx="23">
                  <c:v>301741</c:v>
                </c:pt>
                <c:pt idx="24">
                  <c:v>303951</c:v>
                </c:pt>
                <c:pt idx="25">
                  <c:v>315452</c:v>
                </c:pt>
                <c:pt idx="26">
                  <c:v>320668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6-4F97-BEF5-070E355D2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35696"/>
        <c:axId val="133824912"/>
      </c:scatterChart>
      <c:valAx>
        <c:axId val="14383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4912"/>
        <c:crosses val="autoZero"/>
        <c:crossBetween val="midCat"/>
      </c:valAx>
      <c:valAx>
        <c:axId val="1338249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Sales Data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ubdivision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Data for Forecast Sheet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Gatewood Forecast'!A1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Forecast!A1"/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ventory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Nested IF AND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3</xdr:col>
      <xdr:colOff>200025</xdr:colOff>
      <xdr:row>9</xdr:row>
      <xdr:rowOff>57150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3FE73597-5579-FB31-EFD1-7CA957F15C81}"/>
            </a:ext>
          </a:extLst>
        </xdr:cNvPr>
        <xdr:cNvSpPr/>
      </xdr:nvSpPr>
      <xdr:spPr>
        <a:xfrm>
          <a:off x="0" y="1714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3</xdr:col>
      <xdr:colOff>504825</xdr:colOff>
      <xdr:row>40</xdr:row>
      <xdr:rowOff>76200</xdr:rowOff>
    </xdr:to>
    <xdr:sp macro="" textlink="">
      <xdr:nvSpPr>
        <xdr:cNvPr id="2" name="Star: 5 Points 1">
          <a:hlinkClick xmlns:r="http://schemas.openxmlformats.org/officeDocument/2006/relationships" r:id="rId1" tooltip="Sales Data"/>
          <a:extLst>
            <a:ext uri="{FF2B5EF4-FFF2-40B4-BE49-F238E27FC236}">
              <a16:creationId xmlns:a16="http://schemas.microsoft.com/office/drawing/2014/main" id="{783906C7-BA66-44EB-815B-41F34781AEDF}"/>
            </a:ext>
          </a:extLst>
        </xdr:cNvPr>
        <xdr:cNvSpPr/>
      </xdr:nvSpPr>
      <xdr:spPr>
        <a:xfrm>
          <a:off x="285750" y="63436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CA" sz="1100">
              <a:solidFill>
                <a:schemeClr val="tx1"/>
              </a:solidFill>
            </a:rPr>
            <a:t>Sales</a:t>
          </a:r>
          <a:r>
            <a:rPr lang="en-CA" sz="1100" baseline="0">
              <a:solidFill>
                <a:schemeClr val="tx1"/>
              </a:solidFill>
            </a:rPr>
            <a:t> Data</a:t>
          </a:r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238125</xdr:colOff>
      <xdr:row>41</xdr:row>
      <xdr:rowOff>9525</xdr:rowOff>
    </xdr:from>
    <xdr:to>
      <xdr:col>3</xdr:col>
      <xdr:colOff>457200</xdr:colOff>
      <xdr:row>49</xdr:row>
      <xdr:rowOff>85725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BF22AC64-01E3-4034-9A8F-B298803E7528}"/>
            </a:ext>
          </a:extLst>
        </xdr:cNvPr>
        <xdr:cNvSpPr/>
      </xdr:nvSpPr>
      <xdr:spPr>
        <a:xfrm>
          <a:off x="238125" y="8067675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19</xdr:row>
      <xdr:rowOff>171450</xdr:rowOff>
    </xdr:from>
    <xdr:to>
      <xdr:col>7</xdr:col>
      <xdr:colOff>790575</xdr:colOff>
      <xdr:row>28</xdr:row>
      <xdr:rowOff>57150</xdr:rowOff>
    </xdr:to>
    <xdr:sp macro="" textlink="">
      <xdr:nvSpPr>
        <xdr:cNvPr id="2" name="Star: 5 Points 1">
          <a:hlinkClick xmlns:r="http://schemas.openxmlformats.org/officeDocument/2006/relationships" r:id="rId1" tooltip="Subdivisions"/>
          <a:extLst>
            <a:ext uri="{FF2B5EF4-FFF2-40B4-BE49-F238E27FC236}">
              <a16:creationId xmlns:a16="http://schemas.microsoft.com/office/drawing/2014/main" id="{4F94B9D0-423D-4F67-9B8E-F9309E289980}"/>
            </a:ext>
          </a:extLst>
        </xdr:cNvPr>
        <xdr:cNvSpPr/>
      </xdr:nvSpPr>
      <xdr:spPr>
        <a:xfrm>
          <a:off x="4486275" y="38290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CA" sz="900">
              <a:solidFill>
                <a:schemeClr val="tx1"/>
              </a:solidFill>
            </a:rPr>
            <a:t>Subdivisions</a:t>
          </a:r>
        </a:p>
      </xdr:txBody>
    </xdr:sp>
    <xdr:clientData/>
  </xdr:twoCellAnchor>
  <xdr:twoCellAnchor>
    <xdr:from>
      <xdr:col>6</xdr:col>
      <xdr:colOff>66675</xdr:colOff>
      <xdr:row>29</xdr:row>
      <xdr:rowOff>0</xdr:rowOff>
    </xdr:from>
    <xdr:to>
      <xdr:col>7</xdr:col>
      <xdr:colOff>819150</xdr:colOff>
      <xdr:row>37</xdr:row>
      <xdr:rowOff>76200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637E78BA-8C61-42A7-AA44-83564DE10F44}"/>
            </a:ext>
          </a:extLst>
        </xdr:cNvPr>
        <xdr:cNvSpPr/>
      </xdr:nvSpPr>
      <xdr:spPr>
        <a:xfrm>
          <a:off x="4514850" y="556260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7</xdr:row>
      <xdr:rowOff>57150</xdr:rowOff>
    </xdr:from>
    <xdr:to>
      <xdr:col>8</xdr:col>
      <xdr:colOff>123825</xdr:colOff>
      <xdr:row>15</xdr:row>
      <xdr:rowOff>133350</xdr:rowOff>
    </xdr:to>
    <xdr:sp macro="" textlink="">
      <xdr:nvSpPr>
        <xdr:cNvPr id="2" name="Star: 5 Points 1">
          <a:hlinkClick xmlns:r="http://schemas.openxmlformats.org/officeDocument/2006/relationships" r:id="rId1" tooltip="Data for Forecast Sheet"/>
          <a:extLst>
            <a:ext uri="{FF2B5EF4-FFF2-40B4-BE49-F238E27FC236}">
              <a16:creationId xmlns:a16="http://schemas.microsoft.com/office/drawing/2014/main" id="{4FB65653-E885-4652-A3DE-45FCF97D1FEE}"/>
            </a:ext>
          </a:extLst>
        </xdr:cNvPr>
        <xdr:cNvSpPr/>
      </xdr:nvSpPr>
      <xdr:spPr>
        <a:xfrm>
          <a:off x="3114675" y="13906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CA" sz="1100">
              <a:solidFill>
                <a:schemeClr val="tx1"/>
              </a:solidFill>
            </a:rPr>
            <a:t>Data for</a:t>
          </a:r>
          <a:br>
            <a:rPr lang="en-CA" sz="1100">
              <a:solidFill>
                <a:schemeClr val="tx1"/>
              </a:solidFill>
            </a:rPr>
          </a:br>
          <a:r>
            <a:rPr lang="en-CA" sz="1100">
              <a:solidFill>
                <a:schemeClr val="tx1"/>
              </a:solidFill>
            </a:rPr>
            <a:t>forecast</a:t>
          </a:r>
          <a:br>
            <a:rPr lang="en-CA" sz="1100">
              <a:solidFill>
                <a:schemeClr val="tx1"/>
              </a:solidFill>
            </a:rPr>
          </a:br>
          <a:r>
            <a:rPr lang="en-CA" sz="1100">
              <a:solidFill>
                <a:schemeClr val="tx1"/>
              </a:solidFill>
            </a:rPr>
            <a:t>sheet</a:t>
          </a:r>
        </a:p>
      </xdr:txBody>
    </xdr:sp>
    <xdr:clientData/>
  </xdr:twoCellAnchor>
  <xdr:twoCellAnchor>
    <xdr:from>
      <xdr:col>4</xdr:col>
      <xdr:colOff>552450</xdr:colOff>
      <xdr:row>16</xdr:row>
      <xdr:rowOff>9525</xdr:rowOff>
    </xdr:from>
    <xdr:to>
      <xdr:col>8</xdr:col>
      <xdr:colOff>142875</xdr:colOff>
      <xdr:row>24</xdr:row>
      <xdr:rowOff>85725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FB736B03-BA0B-4B9B-B7E3-3A4696CF01DC}"/>
            </a:ext>
          </a:extLst>
        </xdr:cNvPr>
        <xdr:cNvSpPr/>
      </xdr:nvSpPr>
      <xdr:spPr>
        <a:xfrm>
          <a:off x="3133725" y="3057525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6163</xdr:colOff>
      <xdr:row>1</xdr:row>
      <xdr:rowOff>1399</xdr:rowOff>
    </xdr:from>
    <xdr:to>
      <xdr:col>16</xdr:col>
      <xdr:colOff>44263</xdr:colOff>
      <xdr:row>22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C0B4D-D47B-E651-3D6C-7BB8715FB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280148</xdr:colOff>
      <xdr:row>23</xdr:row>
      <xdr:rowOff>168088</xdr:rowOff>
    </xdr:from>
    <xdr:to>
      <xdr:col>9</xdr:col>
      <xdr:colOff>493620</xdr:colOff>
      <xdr:row>32</xdr:row>
      <xdr:rowOff>53788</xdr:rowOff>
    </xdr:to>
    <xdr:sp macro="" textlink="">
      <xdr:nvSpPr>
        <xdr:cNvPr id="3" name="Star: 5 Points 2">
          <a:hlinkClick xmlns:r="http://schemas.openxmlformats.org/officeDocument/2006/relationships" r:id="rId2" tooltip="Gatewood Forecast"/>
          <a:extLst>
            <a:ext uri="{FF2B5EF4-FFF2-40B4-BE49-F238E27FC236}">
              <a16:creationId xmlns:a16="http://schemas.microsoft.com/office/drawing/2014/main" id="{09D64EAA-2494-4B1F-B580-D447017A6B6E}"/>
            </a:ext>
          </a:extLst>
        </xdr:cNvPr>
        <xdr:cNvSpPr/>
      </xdr:nvSpPr>
      <xdr:spPr>
        <a:xfrm>
          <a:off x="8561295" y="4549588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CA" sz="1100">
              <a:solidFill>
                <a:schemeClr val="tx1"/>
              </a:solidFill>
            </a:rPr>
            <a:t>Gatewood Forecast</a:t>
          </a:r>
        </a:p>
      </xdr:txBody>
    </xdr:sp>
    <xdr:clientData/>
  </xdr:twoCellAnchor>
  <xdr:twoCellAnchor>
    <xdr:from>
      <xdr:col>6</xdr:col>
      <xdr:colOff>313765</xdr:colOff>
      <xdr:row>33</xdr:row>
      <xdr:rowOff>22412</xdr:rowOff>
    </xdr:from>
    <xdr:to>
      <xdr:col>9</xdr:col>
      <xdr:colOff>527237</xdr:colOff>
      <xdr:row>41</xdr:row>
      <xdr:rowOff>98612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DFBED123-AD96-427E-848E-80CB0CF8376A}"/>
            </a:ext>
          </a:extLst>
        </xdr:cNvPr>
        <xdr:cNvSpPr/>
      </xdr:nvSpPr>
      <xdr:spPr>
        <a:xfrm>
          <a:off x="8594912" y="6308912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14</xdr:row>
      <xdr:rowOff>176212</xdr:rowOff>
    </xdr:from>
    <xdr:to>
      <xdr:col>10</xdr:col>
      <xdr:colOff>571500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96275-12E4-B06E-6280-7CE1EAFCE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5</xdr:row>
      <xdr:rowOff>19050</xdr:rowOff>
    </xdr:from>
    <xdr:to>
      <xdr:col>15</xdr:col>
      <xdr:colOff>390525</xdr:colOff>
      <xdr:row>13</xdr:row>
      <xdr:rowOff>95250</xdr:rowOff>
    </xdr:to>
    <xdr:sp macro="" textlink="">
      <xdr:nvSpPr>
        <xdr:cNvPr id="3" name="Star: 5 Points 2">
          <a:hlinkClick xmlns:r="http://schemas.openxmlformats.org/officeDocument/2006/relationships" r:id="rId2" tooltip="Forecast"/>
          <a:extLst>
            <a:ext uri="{FF2B5EF4-FFF2-40B4-BE49-F238E27FC236}">
              <a16:creationId xmlns:a16="http://schemas.microsoft.com/office/drawing/2014/main" id="{FD631DBA-983C-4BBE-80B1-199E5E7E8CC6}"/>
            </a:ext>
          </a:extLst>
        </xdr:cNvPr>
        <xdr:cNvSpPr/>
      </xdr:nvSpPr>
      <xdr:spPr>
        <a:xfrm>
          <a:off x="8334375" y="10096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CA" sz="1100">
              <a:solidFill>
                <a:schemeClr val="tx1"/>
              </a:solidFill>
            </a:rPr>
            <a:t>Forecast</a:t>
          </a:r>
        </a:p>
      </xdr:txBody>
    </xdr:sp>
    <xdr:clientData/>
  </xdr:twoCellAnchor>
  <xdr:twoCellAnchor>
    <xdr:from>
      <xdr:col>12</xdr:col>
      <xdr:colOff>238125</xdr:colOff>
      <xdr:row>13</xdr:row>
      <xdr:rowOff>171450</xdr:rowOff>
    </xdr:from>
    <xdr:to>
      <xdr:col>15</xdr:col>
      <xdr:colOff>438150</xdr:colOff>
      <xdr:row>22</xdr:row>
      <xdr:rowOff>57150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BC72859C-AF30-48EF-8047-C37BE6DE67FC}"/>
            </a:ext>
          </a:extLst>
        </xdr:cNvPr>
        <xdr:cNvSpPr/>
      </xdr:nvSpPr>
      <xdr:spPr>
        <a:xfrm>
          <a:off x="8382000" y="26860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</xdr:row>
      <xdr:rowOff>133350</xdr:rowOff>
    </xdr:from>
    <xdr:to>
      <xdr:col>8</xdr:col>
      <xdr:colOff>285750</xdr:colOff>
      <xdr:row>11</xdr:row>
      <xdr:rowOff>19050</xdr:rowOff>
    </xdr:to>
    <xdr:sp macro="" textlink="">
      <xdr:nvSpPr>
        <xdr:cNvPr id="2" name="Star: 5 Points 1">
          <a:hlinkClick xmlns:r="http://schemas.openxmlformats.org/officeDocument/2006/relationships" r:id="rId1" tooltip="Inventory"/>
          <a:extLst>
            <a:ext uri="{FF2B5EF4-FFF2-40B4-BE49-F238E27FC236}">
              <a16:creationId xmlns:a16="http://schemas.microsoft.com/office/drawing/2014/main" id="{B5798D43-4B86-4E02-A534-80A7297F8950}"/>
            </a:ext>
          </a:extLst>
        </xdr:cNvPr>
        <xdr:cNvSpPr/>
      </xdr:nvSpPr>
      <xdr:spPr>
        <a:xfrm>
          <a:off x="3419475" y="51435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CA" sz="11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95250</xdr:colOff>
      <xdr:row>11</xdr:row>
      <xdr:rowOff>47625</xdr:rowOff>
    </xdr:from>
    <xdr:to>
      <xdr:col>8</xdr:col>
      <xdr:colOff>295275</xdr:colOff>
      <xdr:row>19</xdr:row>
      <xdr:rowOff>123825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BA630E7B-E777-46E2-91AF-948D76EBA873}"/>
            </a:ext>
          </a:extLst>
        </xdr:cNvPr>
        <xdr:cNvSpPr/>
      </xdr:nvSpPr>
      <xdr:spPr>
        <a:xfrm>
          <a:off x="3429000" y="2143125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22</xdr:row>
      <xdr:rowOff>123825</xdr:rowOff>
    </xdr:from>
    <xdr:to>
      <xdr:col>13</xdr:col>
      <xdr:colOff>76200</xdr:colOff>
      <xdr:row>31</xdr:row>
      <xdr:rowOff>9525</xdr:rowOff>
    </xdr:to>
    <xdr:sp macro="" textlink="">
      <xdr:nvSpPr>
        <xdr:cNvPr id="2" name="Star: 5 Points 1">
          <a:hlinkClick xmlns:r="http://schemas.openxmlformats.org/officeDocument/2006/relationships" r:id="rId1" tooltip="Nested IF AND"/>
          <a:extLst>
            <a:ext uri="{FF2B5EF4-FFF2-40B4-BE49-F238E27FC236}">
              <a16:creationId xmlns:a16="http://schemas.microsoft.com/office/drawing/2014/main" id="{153A3869-04D7-4E7F-9056-9E0DD1E0DB43}"/>
            </a:ext>
          </a:extLst>
        </xdr:cNvPr>
        <xdr:cNvSpPr/>
      </xdr:nvSpPr>
      <xdr:spPr>
        <a:xfrm>
          <a:off x="9696450" y="5095875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CA" sz="1100">
              <a:solidFill>
                <a:schemeClr val="tx1"/>
              </a:solidFill>
            </a:rPr>
            <a:t>Nested IF AND</a:t>
          </a:r>
        </a:p>
      </xdr:txBody>
    </xdr:sp>
    <xdr:clientData/>
  </xdr:twoCellAnchor>
  <xdr:twoCellAnchor>
    <xdr:from>
      <xdr:col>9</xdr:col>
      <xdr:colOff>552450</xdr:colOff>
      <xdr:row>31</xdr:row>
      <xdr:rowOff>19050</xdr:rowOff>
    </xdr:from>
    <xdr:to>
      <xdr:col>13</xdr:col>
      <xdr:colOff>142875</xdr:colOff>
      <xdr:row>39</xdr:row>
      <xdr:rowOff>95250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D7EC5DB3-4EE2-4894-A9B5-6888CDB57425}"/>
            </a:ext>
          </a:extLst>
        </xdr:cNvPr>
        <xdr:cNvSpPr/>
      </xdr:nvSpPr>
      <xdr:spPr>
        <a:xfrm>
          <a:off x="9763125" y="6705600"/>
          <a:ext cx="2028825" cy="1600200"/>
        </a:xfrm>
        <a:prstGeom prst="star5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ducation\Computing%20and%20Academic%20Studies\CASPTS\Joanne%20Atha\Current%20as%20of%20Nov%208-05\202030\COMP%202364%202362\Session%209%20and%203\Salary%20statistical%20functions%20J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ducation\Computing%20and%20Academic%20Studies\CASPTS\Joanne%20Atha\Current%20as%20of%20Nov%208-05\202030\COMP%202364%202362\Session%209%20and%203\Session%203%20-%20Statistical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ns - review"/>
      <sheetName val="Summary"/>
      <sheetName val="Logic-Lookup"/>
      <sheetName val="Rank"/>
      <sheetName val="Database"/>
      <sheetName val="Advanced Filtering"/>
      <sheetName val="Frequency"/>
      <sheetName val="Stats"/>
      <sheetName val="Test Scores (2)"/>
      <sheetName val="High School Samples Complete"/>
      <sheetName val="Test Scores"/>
      <sheetName val="Correl"/>
      <sheetName val="Histogram"/>
      <sheetName val="Anova - one"/>
      <sheetName val="Anova - two"/>
      <sheetName val="Forecast Formula"/>
      <sheetName val="Forecast"/>
      <sheetName val="Sheet8"/>
      <sheetName val="Trend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9">
          <cell r="H9">
            <v>0</v>
          </cell>
        </row>
      </sheetData>
      <sheetData sheetId="13"/>
      <sheetData sheetId="14"/>
      <sheetData sheetId="15"/>
      <sheetData sheetId="16"/>
      <sheetData sheetId="17"/>
      <sheetData sheetId="18">
        <row r="3">
          <cell r="C3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ns - review"/>
      <sheetName val="Summary"/>
      <sheetName val="Database"/>
      <sheetName val="Advanced Filtering"/>
      <sheetName val="Stats"/>
      <sheetName val="Logic-Lookup"/>
      <sheetName val="Rank"/>
      <sheetName val="Test Scores"/>
      <sheetName val="Histogram"/>
      <sheetName val="Correl"/>
      <sheetName val="High School Samples"/>
      <sheetName val="Anova - two"/>
      <sheetName val="Forecast formula"/>
      <sheetName val="Sheet1"/>
      <sheetName val="Foreca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989127-8FA0-401B-B123-0B2CB1E975D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Release Date" tableColumnId="1"/>
      <queryTableField id="2" name="Movie Title" tableColumnId="2"/>
      <queryTableField id="3" dataBound="0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C4E69-AB10-49B9-B10E-154008FE69F2}" name="Table1" displayName="Table1" ref="A1:E54" totalsRowShown="0">
  <autoFilter ref="A1:E54" xr:uid="{640C4E69-AB10-49B9-B10E-154008FE69F2}"/>
  <tableColumns count="5">
    <tableColumn id="1" xr3:uid="{B28CCC24-3C48-4BAE-AD74-CE4121D67B82}" name="SQFT"/>
    <tableColumn id="2" xr3:uid="{0F400B76-75E4-4195-A095-AE6A5C326FF2}" name="Gatewood"/>
    <tableColumn id="3" xr3:uid="{A5B5AFCE-4320-4A8E-8CA5-06260285AE62}" name="Forecast(Gatewood)" dataDxfId="5">
      <calculatedColumnFormula>_xlfn.FORECAST.ETS(A2,$B$2:$B$44,$A$2:$A$44,1,1)</calculatedColumnFormula>
    </tableColumn>
    <tableColumn id="4" xr3:uid="{C2549364-E5B2-48B2-B9A6-5D9B4FFE3F65}" name="Lower Confidence Bound(Gatewood)" dataDxfId="4">
      <calculatedColumnFormula>C2-_xlfn.FORECAST.ETS.CONFINT(A2,$B$2:$B$44,$A$2:$A$44,0.95,1,1)</calculatedColumnFormula>
    </tableColumn>
    <tableColumn id="5" xr3:uid="{65D46B3F-B974-4F39-A15D-6469068C8E98}" name="Upper Confidence Bound(Gatewood)" dataDxfId="3">
      <calculatedColumnFormula>C2+_xlfn.FORECAST.ETS.CONFINT(A2,$B$2:$B$44,$A$2:$A$44,0.95,1,1)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77563-75BC-4196-B2F9-E712C5B4E3F2}" name="Inventory" displayName="Inventory" ref="A1:C30" tableType="queryTable" totalsRowShown="0">
  <autoFilter ref="A1:C30" xr:uid="{7F777563-75BC-4196-B2F9-E712C5B4E3F2}"/>
  <tableColumns count="3">
    <tableColumn id="1" xr3:uid="{3E73291B-2CB6-4D76-8C96-40DD7C0CD2EF}" uniqueName="1" name="Release Date" queryTableFieldId="1"/>
    <tableColumn id="2" xr3:uid="{5B140B3A-D0AC-42FC-A4B6-D9828CCDC2F5}" uniqueName="2" name="Movie Title" queryTableFieldId="2" dataDxfId="1"/>
    <tableColumn id="3" xr3:uid="{65B6A5FA-EC4E-451E-897A-EA8272E1B7BF}" uniqueName="3" name="Released Date and Movie Title" queryTableFieldId="3" dataDxfId="0">
      <calculatedColumnFormula>_xlfn.CONCAT(Inventory[[#This Row],[Release Date]]," ",UPPER(Inventory[[#This Row],[Movie Title]]))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5FB0-3A16-4074-8342-B1158E5ED3E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9AA6-B8D5-41FE-B83F-137C0BC49D35}">
  <dimension ref="B1:J30"/>
  <sheetViews>
    <sheetView workbookViewId="0">
      <selection activeCell="G3" sqref="A1:XFD1048576"/>
    </sheetView>
  </sheetViews>
  <sheetFormatPr defaultRowHeight="15" x14ac:dyDescent="0.25"/>
  <cols>
    <col min="1" max="1" width="4.28515625" customWidth="1"/>
    <col min="2" max="2" width="13.7109375" bestFit="1" customWidth="1"/>
    <col min="4" max="4" width="14" bestFit="1" customWidth="1"/>
    <col min="5" max="5" width="17.7109375" customWidth="1"/>
    <col min="6" max="6" width="5.140625" customWidth="1"/>
    <col min="7" max="7" width="18.140625" bestFit="1" customWidth="1"/>
    <col min="8" max="8" width="17" customWidth="1"/>
    <col min="9" max="9" width="6" customWidth="1"/>
    <col min="10" max="10" width="19" bestFit="1" customWidth="1"/>
    <col min="11" max="11" width="18.140625" bestFit="1" customWidth="1"/>
  </cols>
  <sheetData>
    <row r="1" spans="2:10" ht="15.75" thickBot="1" x14ac:dyDescent="0.3"/>
    <row r="2" spans="2:10" ht="32.25" thickBot="1" x14ac:dyDescent="0.55000000000000004">
      <c r="B2" s="1" t="s">
        <v>0</v>
      </c>
      <c r="C2" s="2"/>
      <c r="D2" s="2"/>
      <c r="E2" s="3"/>
    </row>
    <row r="3" spans="2:10" ht="15.75" thickBot="1" x14ac:dyDescent="0.3">
      <c r="B3" s="4" t="s">
        <v>1</v>
      </c>
      <c r="C3" s="5" t="s">
        <v>2</v>
      </c>
      <c r="D3" s="5" t="s">
        <v>3</v>
      </c>
      <c r="E3" s="6" t="s">
        <v>4</v>
      </c>
      <c r="G3" s="7" t="s">
        <v>5</v>
      </c>
      <c r="H3" s="7" t="s">
        <v>6</v>
      </c>
      <c r="J3" s="7" t="s">
        <v>7</v>
      </c>
    </row>
    <row r="4" spans="2:10" x14ac:dyDescent="0.25">
      <c r="B4" s="8">
        <v>44256</v>
      </c>
      <c r="C4" s="9">
        <v>799</v>
      </c>
      <c r="D4" s="10">
        <v>71252</v>
      </c>
      <c r="E4" s="11">
        <v>90125</v>
      </c>
      <c r="G4" s="9">
        <v>500</v>
      </c>
      <c r="H4" s="9">
        <f t="array" ref="H4:H11">FREQUENCY(C4:C30,G4:G11)</f>
        <v>0</v>
      </c>
      <c r="J4" s="12">
        <f>_xlfn.STDEV.S(E4:E30)</f>
        <v>107262.51310232127</v>
      </c>
    </row>
    <row r="5" spans="2:10" x14ac:dyDescent="0.25">
      <c r="B5" s="8">
        <v>44342</v>
      </c>
      <c r="C5" s="9">
        <v>959</v>
      </c>
      <c r="D5" s="10">
        <v>76050</v>
      </c>
      <c r="E5" s="11">
        <v>95357</v>
      </c>
      <c r="G5" s="9">
        <v>1000</v>
      </c>
      <c r="H5" s="9">
        <v>6</v>
      </c>
    </row>
    <row r="6" spans="2:10" x14ac:dyDescent="0.25">
      <c r="B6" s="8">
        <v>44501</v>
      </c>
      <c r="C6" s="9">
        <v>586</v>
      </c>
      <c r="D6" s="10">
        <v>68972</v>
      </c>
      <c r="E6" s="11">
        <v>80114</v>
      </c>
      <c r="G6" s="9">
        <v>1500</v>
      </c>
      <c r="H6" s="9">
        <v>3</v>
      </c>
      <c r="J6" s="7" t="s">
        <v>8</v>
      </c>
    </row>
    <row r="7" spans="2:10" x14ac:dyDescent="0.25">
      <c r="B7" s="8">
        <v>44685</v>
      </c>
      <c r="C7" s="9">
        <v>1101</v>
      </c>
      <c r="D7" s="10">
        <v>80885</v>
      </c>
      <c r="E7" s="11">
        <v>90789</v>
      </c>
      <c r="G7" s="9">
        <v>2000</v>
      </c>
      <c r="H7" s="9">
        <v>1</v>
      </c>
      <c r="J7" s="41">
        <f>_xlfn.VAR.S(E4:E30)</f>
        <v>11505246717.025644</v>
      </c>
    </row>
    <row r="8" spans="2:10" x14ac:dyDescent="0.25">
      <c r="B8" s="8">
        <v>44706</v>
      </c>
      <c r="C8" s="9">
        <v>3026</v>
      </c>
      <c r="D8" s="10">
        <v>275863</v>
      </c>
      <c r="E8" s="11">
        <v>325789</v>
      </c>
      <c r="G8" s="9">
        <v>2500</v>
      </c>
      <c r="H8" s="9">
        <v>3</v>
      </c>
    </row>
    <row r="9" spans="2:10" x14ac:dyDescent="0.25">
      <c r="B9" s="8">
        <v>44723</v>
      </c>
      <c r="C9" s="9">
        <v>2400</v>
      </c>
      <c r="D9" s="10">
        <v>221400</v>
      </c>
      <c r="E9" s="11">
        <v>351000</v>
      </c>
      <c r="G9" s="9">
        <v>3000</v>
      </c>
      <c r="H9" s="9">
        <v>2</v>
      </c>
      <c r="J9" s="7" t="s">
        <v>9</v>
      </c>
    </row>
    <row r="10" spans="2:10" x14ac:dyDescent="0.25">
      <c r="B10" s="8">
        <v>44806</v>
      </c>
      <c r="C10" s="9">
        <v>3729</v>
      </c>
      <c r="D10" s="10">
        <v>303951</v>
      </c>
      <c r="E10" s="11">
        <v>375956</v>
      </c>
      <c r="G10" s="9">
        <v>3500</v>
      </c>
      <c r="H10" s="9">
        <v>6</v>
      </c>
      <c r="J10">
        <f>_xlfn.COVARIANCE.S(C4:C30,E4:E30)</f>
        <v>123946447.34188035</v>
      </c>
    </row>
    <row r="11" spans="2:10" x14ac:dyDescent="0.25">
      <c r="B11" s="8">
        <v>44820</v>
      </c>
      <c r="C11" s="9">
        <v>3340</v>
      </c>
      <c r="D11" s="10">
        <v>281753</v>
      </c>
      <c r="E11" s="11">
        <v>325444</v>
      </c>
      <c r="G11" s="9">
        <v>4000</v>
      </c>
      <c r="H11" s="9">
        <v>6</v>
      </c>
    </row>
    <row r="12" spans="2:10" x14ac:dyDescent="0.25">
      <c r="B12" s="8">
        <v>44862</v>
      </c>
      <c r="C12" s="9">
        <v>800</v>
      </c>
      <c r="D12" s="10">
        <v>72304</v>
      </c>
      <c r="E12" s="11">
        <v>90005</v>
      </c>
      <c r="J12" s="7" t="s">
        <v>10</v>
      </c>
    </row>
    <row r="13" spans="2:10" x14ac:dyDescent="0.25">
      <c r="B13" s="8">
        <v>44904</v>
      </c>
      <c r="C13" s="9">
        <v>2372</v>
      </c>
      <c r="D13" s="10">
        <v>215764</v>
      </c>
      <c r="E13" s="11">
        <v>285647</v>
      </c>
      <c r="I13" s="13"/>
      <c r="J13">
        <f>CORREL(C4:C30,E4:E30)</f>
        <v>0.94272283994207895</v>
      </c>
    </row>
    <row r="14" spans="2:10" x14ac:dyDescent="0.25">
      <c r="B14" s="8">
        <v>44977</v>
      </c>
      <c r="C14" s="9">
        <v>3281</v>
      </c>
      <c r="D14" s="10">
        <v>265741</v>
      </c>
      <c r="E14" s="11">
        <v>298633</v>
      </c>
    </row>
    <row r="15" spans="2:10" x14ac:dyDescent="0.25">
      <c r="B15" s="8">
        <v>45059</v>
      </c>
      <c r="C15" s="9">
        <v>3370</v>
      </c>
      <c r="D15" s="10">
        <v>281987</v>
      </c>
      <c r="E15" s="11">
        <v>325744</v>
      </c>
    </row>
    <row r="16" spans="2:10" x14ac:dyDescent="0.25">
      <c r="B16" s="8">
        <v>45062</v>
      </c>
      <c r="C16" s="9">
        <v>1735</v>
      </c>
      <c r="D16" s="10">
        <v>150789</v>
      </c>
      <c r="E16" s="11">
        <v>210456</v>
      </c>
    </row>
    <row r="17" spans="2:5" x14ac:dyDescent="0.25">
      <c r="B17" s="8">
        <v>45096</v>
      </c>
      <c r="C17" s="9">
        <v>623</v>
      </c>
      <c r="D17" s="10">
        <v>69258</v>
      </c>
      <c r="E17" s="11">
        <v>85957</v>
      </c>
    </row>
    <row r="18" spans="2:5" x14ac:dyDescent="0.25">
      <c r="B18" s="8">
        <v>45157</v>
      </c>
      <c r="C18" s="9">
        <v>3458</v>
      </c>
      <c r="D18" s="10">
        <v>289963</v>
      </c>
      <c r="E18" s="11">
        <v>325665</v>
      </c>
    </row>
    <row r="19" spans="2:5" x14ac:dyDescent="0.25">
      <c r="B19" s="8">
        <v>45232</v>
      </c>
      <c r="C19" s="9">
        <v>2187</v>
      </c>
      <c r="D19" s="10">
        <v>200741</v>
      </c>
      <c r="E19" s="11">
        <v>235456</v>
      </c>
    </row>
    <row r="20" spans="2:5" x14ac:dyDescent="0.25">
      <c r="B20" s="8">
        <v>45267</v>
      </c>
      <c r="C20" s="9">
        <v>3704</v>
      </c>
      <c r="D20" s="10">
        <v>301741</v>
      </c>
      <c r="E20" s="11">
        <v>315478</v>
      </c>
    </row>
    <row r="21" spans="2:5" x14ac:dyDescent="0.25">
      <c r="B21" s="8">
        <v>45322</v>
      </c>
      <c r="C21" s="9">
        <v>683</v>
      </c>
      <c r="D21" s="10">
        <v>69753</v>
      </c>
      <c r="E21" s="11">
        <v>92357</v>
      </c>
    </row>
    <row r="22" spans="2:5" x14ac:dyDescent="0.25">
      <c r="B22" s="8">
        <v>45422</v>
      </c>
      <c r="C22" s="9">
        <v>2990</v>
      </c>
      <c r="D22" s="10">
        <v>247753</v>
      </c>
      <c r="E22" s="11">
        <v>251756</v>
      </c>
    </row>
    <row r="23" spans="2:5" x14ac:dyDescent="0.25">
      <c r="B23" s="8">
        <v>45584</v>
      </c>
      <c r="C23" s="9">
        <v>3693</v>
      </c>
      <c r="D23" s="10">
        <v>300015</v>
      </c>
      <c r="E23" s="11">
        <v>303124</v>
      </c>
    </row>
    <row r="24" spans="2:5" x14ac:dyDescent="0.25">
      <c r="B24" s="8">
        <v>45635</v>
      </c>
      <c r="C24" s="9">
        <v>1008</v>
      </c>
      <c r="D24" s="10">
        <v>80250</v>
      </c>
      <c r="E24" s="11">
        <v>82459</v>
      </c>
    </row>
    <row r="25" spans="2:5" x14ac:dyDescent="0.25">
      <c r="B25" s="8">
        <v>45775</v>
      </c>
      <c r="C25" s="9">
        <v>1300</v>
      </c>
      <c r="D25" s="10">
        <v>92759</v>
      </c>
      <c r="E25" s="11">
        <v>105478</v>
      </c>
    </row>
    <row r="26" spans="2:5" x14ac:dyDescent="0.25">
      <c r="B26" s="8">
        <v>45791</v>
      </c>
      <c r="C26" s="9">
        <v>2716</v>
      </c>
      <c r="D26" s="10">
        <v>235741</v>
      </c>
      <c r="E26" s="11">
        <v>240145</v>
      </c>
    </row>
    <row r="27" spans="2:5" x14ac:dyDescent="0.25">
      <c r="B27" s="8">
        <v>45921</v>
      </c>
      <c r="C27" s="9">
        <v>3596</v>
      </c>
      <c r="D27" s="10">
        <v>295753</v>
      </c>
      <c r="E27" s="11">
        <v>305741</v>
      </c>
    </row>
    <row r="28" spans="2:5" x14ac:dyDescent="0.25">
      <c r="B28" s="8">
        <v>45992</v>
      </c>
      <c r="C28" s="9">
        <v>3449</v>
      </c>
      <c r="D28" s="10">
        <v>289987</v>
      </c>
      <c r="E28" s="11">
        <v>310459</v>
      </c>
    </row>
    <row r="29" spans="2:5" x14ac:dyDescent="0.25">
      <c r="B29" s="8">
        <v>46007</v>
      </c>
      <c r="C29" s="9">
        <v>3993</v>
      </c>
      <c r="D29" s="10">
        <v>320668</v>
      </c>
      <c r="E29" s="11">
        <v>325687</v>
      </c>
    </row>
    <row r="30" spans="2:5" ht="15.75" thickBot="1" x14ac:dyDescent="0.3">
      <c r="B30" s="14">
        <v>46009</v>
      </c>
      <c r="C30" s="15">
        <v>3942</v>
      </c>
      <c r="D30" s="16">
        <v>315452</v>
      </c>
      <c r="E30" s="17">
        <v>317789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1709-9BA8-4968-B85A-13D120A84925}">
  <dimension ref="B2:M45"/>
  <sheetViews>
    <sheetView workbookViewId="0">
      <selection activeCell="I12" sqref="A1:XFD1048576"/>
    </sheetView>
  </sheetViews>
  <sheetFormatPr defaultRowHeight="15" x14ac:dyDescent="0.25"/>
  <cols>
    <col min="1" max="1" width="4.28515625" customWidth="1"/>
    <col min="2" max="2" width="11.28515625" bestFit="1" customWidth="1"/>
    <col min="3" max="5" width="14" bestFit="1" customWidth="1"/>
    <col min="7" max="7" width="19.140625" bestFit="1" customWidth="1"/>
    <col min="8" max="8" width="16.7109375" bestFit="1" customWidth="1"/>
    <col min="9" max="9" width="9.28515625" bestFit="1" customWidth="1"/>
    <col min="10" max="10" width="15.7109375" bestFit="1" customWidth="1"/>
    <col min="11" max="13" width="9.28515625" bestFit="1" customWidth="1"/>
  </cols>
  <sheetData>
    <row r="2" spans="2:13" x14ac:dyDescent="0.25">
      <c r="B2" s="18" t="s">
        <v>11</v>
      </c>
      <c r="C2" s="18" t="s">
        <v>12</v>
      </c>
      <c r="D2" s="18" t="s">
        <v>13</v>
      </c>
      <c r="E2" s="18" t="s">
        <v>14</v>
      </c>
      <c r="G2" t="s">
        <v>41</v>
      </c>
    </row>
    <row r="3" spans="2:13" x14ac:dyDescent="0.25">
      <c r="B3" s="19">
        <v>900</v>
      </c>
      <c r="C3" s="20">
        <v>146928</v>
      </c>
      <c r="D3" s="20">
        <v>350198</v>
      </c>
      <c r="E3" s="20">
        <v>289710</v>
      </c>
    </row>
    <row r="4" spans="2:13" ht="15.75" thickBot="1" x14ac:dyDescent="0.3">
      <c r="B4" s="19">
        <v>950</v>
      </c>
      <c r="C4" s="20">
        <v>122560</v>
      </c>
      <c r="D4" s="20">
        <v>310928</v>
      </c>
      <c r="E4" s="20">
        <v>375325</v>
      </c>
      <c r="G4" t="s">
        <v>42</v>
      </c>
    </row>
    <row r="5" spans="2:13" x14ac:dyDescent="0.25">
      <c r="B5" s="19">
        <v>1000</v>
      </c>
      <c r="C5" s="20">
        <v>134547</v>
      </c>
      <c r="D5" s="20">
        <v>445709</v>
      </c>
      <c r="E5" s="20">
        <v>346279</v>
      </c>
      <c r="G5" s="48" t="s">
        <v>43</v>
      </c>
      <c r="H5" s="48" t="s">
        <v>44</v>
      </c>
      <c r="I5" s="48" t="s">
        <v>45</v>
      </c>
      <c r="J5" s="48" t="s">
        <v>46</v>
      </c>
      <c r="K5" s="48" t="s">
        <v>8</v>
      </c>
    </row>
    <row r="6" spans="2:13" x14ac:dyDescent="0.25">
      <c r="B6" s="19">
        <v>1050</v>
      </c>
      <c r="C6" s="20">
        <v>144425</v>
      </c>
      <c r="D6" s="20">
        <v>380624</v>
      </c>
      <c r="E6" s="20">
        <v>360791</v>
      </c>
      <c r="G6" t="s">
        <v>47</v>
      </c>
      <c r="H6">
        <v>43</v>
      </c>
      <c r="I6">
        <v>12359343</v>
      </c>
      <c r="J6">
        <v>287426.58139534883</v>
      </c>
      <c r="K6">
        <v>16043336947.630127</v>
      </c>
    </row>
    <row r="7" spans="2:13" x14ac:dyDescent="0.25">
      <c r="B7" s="19">
        <v>1100</v>
      </c>
      <c r="C7" s="20">
        <v>145608</v>
      </c>
      <c r="D7" s="20">
        <v>427847</v>
      </c>
      <c r="E7" s="20">
        <v>317780</v>
      </c>
      <c r="G7" t="s">
        <v>48</v>
      </c>
      <c r="H7">
        <v>43</v>
      </c>
      <c r="I7">
        <v>16646401</v>
      </c>
      <c r="J7">
        <v>387125.60465116281</v>
      </c>
      <c r="K7">
        <v>4149097270.6256976</v>
      </c>
    </row>
    <row r="8" spans="2:13" ht="15.75" thickBot="1" x14ac:dyDescent="0.3">
      <c r="B8" s="19">
        <v>1150</v>
      </c>
      <c r="C8" s="20">
        <v>145240</v>
      </c>
      <c r="D8" s="20">
        <v>455445</v>
      </c>
      <c r="E8" s="20">
        <v>423339</v>
      </c>
      <c r="G8" s="47" t="s">
        <v>49</v>
      </c>
      <c r="H8" s="47">
        <v>43</v>
      </c>
      <c r="I8" s="47">
        <v>16061863</v>
      </c>
      <c r="J8" s="47">
        <v>373531.69767441862</v>
      </c>
      <c r="K8" s="47">
        <v>3779112586.4064126</v>
      </c>
    </row>
    <row r="9" spans="2:13" x14ac:dyDescent="0.25">
      <c r="B9" s="19">
        <v>1200</v>
      </c>
      <c r="C9" s="20">
        <v>127547</v>
      </c>
      <c r="D9" s="20">
        <v>384802</v>
      </c>
      <c r="E9" s="20">
        <v>437737</v>
      </c>
    </row>
    <row r="10" spans="2:13" x14ac:dyDescent="0.25">
      <c r="B10" s="19">
        <v>1250</v>
      </c>
      <c r="C10" s="20">
        <v>149113</v>
      </c>
      <c r="D10" s="20">
        <v>307869</v>
      </c>
      <c r="E10" s="20">
        <v>307040</v>
      </c>
    </row>
    <row r="11" spans="2:13" ht="15.75" thickBot="1" x14ac:dyDescent="0.3">
      <c r="B11" s="19">
        <v>1300</v>
      </c>
      <c r="C11" s="20">
        <v>115547</v>
      </c>
      <c r="D11" s="20">
        <v>298280</v>
      </c>
      <c r="E11" s="20">
        <v>314884</v>
      </c>
      <c r="G11" t="s">
        <v>50</v>
      </c>
    </row>
    <row r="12" spans="2:13" x14ac:dyDescent="0.25">
      <c r="B12" s="19">
        <v>1350</v>
      </c>
      <c r="C12" s="20">
        <v>135531</v>
      </c>
      <c r="D12" s="20">
        <v>417476</v>
      </c>
      <c r="E12" s="20">
        <v>461954</v>
      </c>
      <c r="G12" s="48" t="s">
        <v>51</v>
      </c>
      <c r="H12" s="48" t="s">
        <v>52</v>
      </c>
      <c r="I12" s="48" t="s">
        <v>53</v>
      </c>
      <c r="J12" s="48" t="s">
        <v>54</v>
      </c>
      <c r="K12" s="48" t="s">
        <v>55</v>
      </c>
      <c r="L12" s="48" t="s">
        <v>56</v>
      </c>
      <c r="M12" s="48" t="s">
        <v>57</v>
      </c>
    </row>
    <row r="13" spans="2:13" x14ac:dyDescent="0.25">
      <c r="B13" s="19">
        <v>1400</v>
      </c>
      <c r="C13" s="20">
        <v>102026</v>
      </c>
      <c r="D13" s="20">
        <v>285571</v>
      </c>
      <c r="E13" s="20">
        <v>400801</v>
      </c>
      <c r="G13" t="s">
        <v>58</v>
      </c>
      <c r="H13" s="49">
        <v>251389188520.99243</v>
      </c>
      <c r="I13" s="49">
        <v>2</v>
      </c>
      <c r="J13" s="49">
        <v>125694594260.49622</v>
      </c>
      <c r="K13" s="49">
        <v>15.730473542414433</v>
      </c>
      <c r="L13" s="49">
        <v>7.9699245118878923E-7</v>
      </c>
      <c r="M13" s="49">
        <v>3.0681002689768473</v>
      </c>
    </row>
    <row r="14" spans="2:13" x14ac:dyDescent="0.25">
      <c r="B14" s="19">
        <v>1450</v>
      </c>
      <c r="C14" s="20">
        <v>101832</v>
      </c>
      <c r="D14" s="20">
        <v>401967</v>
      </c>
      <c r="E14" s="20">
        <v>334618</v>
      </c>
      <c r="G14" t="s">
        <v>59</v>
      </c>
      <c r="H14" s="49">
        <v>1006804965795.8142</v>
      </c>
      <c r="I14" s="49">
        <v>126</v>
      </c>
      <c r="J14" s="49">
        <v>7990515601.554081</v>
      </c>
      <c r="K14" s="49"/>
      <c r="L14" s="49"/>
      <c r="M14" s="49"/>
    </row>
    <row r="15" spans="2:13" x14ac:dyDescent="0.25">
      <c r="B15" s="19">
        <v>1500</v>
      </c>
      <c r="C15" s="20">
        <v>227720</v>
      </c>
      <c r="D15" s="20">
        <v>382944</v>
      </c>
      <c r="E15" s="20">
        <v>498130</v>
      </c>
      <c r="H15" s="49"/>
      <c r="I15" s="49"/>
      <c r="J15" s="49"/>
      <c r="K15" s="49"/>
      <c r="L15" s="49"/>
      <c r="M15" s="49"/>
    </row>
    <row r="16" spans="2:13" ht="15.75" thickBot="1" x14ac:dyDescent="0.3">
      <c r="B16" s="19">
        <v>1550</v>
      </c>
      <c r="C16" s="20">
        <v>265272</v>
      </c>
      <c r="D16" s="20">
        <v>379957</v>
      </c>
      <c r="E16" s="20">
        <v>441067</v>
      </c>
      <c r="G16" s="47" t="s">
        <v>60</v>
      </c>
      <c r="H16" s="50">
        <v>1258194154316.8066</v>
      </c>
      <c r="I16" s="50">
        <v>128</v>
      </c>
      <c r="J16" s="50"/>
      <c r="K16" s="50"/>
      <c r="L16" s="50"/>
      <c r="M16" s="50"/>
    </row>
    <row r="17" spans="2:5" x14ac:dyDescent="0.25">
      <c r="B17" s="19">
        <v>1600</v>
      </c>
      <c r="C17" s="20">
        <v>224611</v>
      </c>
      <c r="D17" s="20">
        <v>431285</v>
      </c>
      <c r="E17" s="20">
        <v>486998</v>
      </c>
    </row>
    <row r="18" spans="2:5" x14ac:dyDescent="0.25">
      <c r="B18" s="19">
        <v>1650</v>
      </c>
      <c r="C18" s="20">
        <v>257625</v>
      </c>
      <c r="D18" s="20">
        <v>430821</v>
      </c>
      <c r="E18" s="20">
        <v>285591</v>
      </c>
    </row>
    <row r="19" spans="2:5" x14ac:dyDescent="0.25">
      <c r="B19" s="19">
        <v>1700</v>
      </c>
      <c r="C19" s="20">
        <v>231889</v>
      </c>
      <c r="D19" s="20">
        <v>430554</v>
      </c>
      <c r="E19" s="20">
        <v>464692</v>
      </c>
    </row>
    <row r="20" spans="2:5" x14ac:dyDescent="0.25">
      <c r="B20" s="19">
        <v>1750</v>
      </c>
      <c r="C20" s="20">
        <v>217072</v>
      </c>
      <c r="D20" s="20">
        <v>333644</v>
      </c>
      <c r="E20" s="20">
        <v>354709</v>
      </c>
    </row>
    <row r="21" spans="2:5" x14ac:dyDescent="0.25">
      <c r="B21" s="19">
        <v>1800</v>
      </c>
      <c r="C21" s="20">
        <v>243835</v>
      </c>
      <c r="D21" s="20">
        <v>399806</v>
      </c>
      <c r="E21" s="20">
        <v>418578</v>
      </c>
    </row>
    <row r="22" spans="2:5" x14ac:dyDescent="0.25">
      <c r="B22" s="19">
        <v>1850</v>
      </c>
      <c r="C22" s="20">
        <v>259639</v>
      </c>
      <c r="D22" s="20">
        <v>281825</v>
      </c>
      <c r="E22" s="20">
        <v>298731</v>
      </c>
    </row>
    <row r="23" spans="2:5" x14ac:dyDescent="0.25">
      <c r="B23" s="19">
        <v>1900</v>
      </c>
      <c r="C23" s="20">
        <v>249958</v>
      </c>
      <c r="D23" s="20">
        <v>429591</v>
      </c>
      <c r="E23" s="20">
        <v>319557</v>
      </c>
    </row>
    <row r="24" spans="2:5" x14ac:dyDescent="0.25">
      <c r="B24" s="19">
        <v>1950</v>
      </c>
      <c r="C24" s="20">
        <v>220978</v>
      </c>
      <c r="D24" s="20">
        <v>312855</v>
      </c>
      <c r="E24" s="20">
        <v>349667</v>
      </c>
    </row>
    <row r="25" spans="2:5" x14ac:dyDescent="0.25">
      <c r="B25" s="19">
        <v>2000</v>
      </c>
      <c r="C25" s="20">
        <v>450536</v>
      </c>
      <c r="D25" s="20">
        <v>339722</v>
      </c>
      <c r="E25" s="20">
        <v>303693</v>
      </c>
    </row>
    <row r="26" spans="2:5" x14ac:dyDescent="0.25">
      <c r="B26" s="19">
        <v>2050</v>
      </c>
      <c r="C26" s="20">
        <v>342649</v>
      </c>
      <c r="D26" s="20">
        <v>471916</v>
      </c>
      <c r="E26" s="20">
        <v>339221</v>
      </c>
    </row>
    <row r="27" spans="2:5" x14ac:dyDescent="0.25">
      <c r="B27" s="19">
        <v>2100</v>
      </c>
      <c r="C27" s="20">
        <v>327389</v>
      </c>
      <c r="D27" s="20">
        <v>330069</v>
      </c>
      <c r="E27" s="20">
        <v>288960</v>
      </c>
    </row>
    <row r="28" spans="2:5" x14ac:dyDescent="0.25">
      <c r="B28" s="19">
        <v>2150</v>
      </c>
      <c r="C28" s="20">
        <v>473456</v>
      </c>
      <c r="D28" s="20">
        <v>285655</v>
      </c>
      <c r="E28" s="20">
        <v>393103</v>
      </c>
    </row>
    <row r="29" spans="2:5" x14ac:dyDescent="0.25">
      <c r="B29" s="19">
        <v>2200</v>
      </c>
      <c r="C29" s="20">
        <v>378260</v>
      </c>
      <c r="D29" s="20">
        <v>490318</v>
      </c>
      <c r="E29" s="20">
        <v>419127</v>
      </c>
    </row>
    <row r="30" spans="2:5" x14ac:dyDescent="0.25">
      <c r="B30" s="19">
        <v>2250</v>
      </c>
      <c r="C30" s="20">
        <v>418567</v>
      </c>
      <c r="D30" s="20">
        <v>285836</v>
      </c>
      <c r="E30" s="20">
        <v>452202</v>
      </c>
    </row>
    <row r="31" spans="2:5" x14ac:dyDescent="0.25">
      <c r="B31" s="19">
        <v>2300</v>
      </c>
      <c r="C31" s="20">
        <v>339908</v>
      </c>
      <c r="D31" s="20">
        <v>451369</v>
      </c>
      <c r="E31" s="20">
        <v>380206</v>
      </c>
    </row>
    <row r="32" spans="2:5" x14ac:dyDescent="0.25">
      <c r="B32" s="19">
        <v>2350</v>
      </c>
      <c r="C32" s="20">
        <v>437626</v>
      </c>
      <c r="D32" s="20">
        <v>419323</v>
      </c>
      <c r="E32" s="20">
        <v>318920</v>
      </c>
    </row>
    <row r="33" spans="2:5" x14ac:dyDescent="0.25">
      <c r="B33" s="19">
        <v>2400</v>
      </c>
      <c r="C33" s="20">
        <v>437523</v>
      </c>
      <c r="D33" s="20">
        <v>289054</v>
      </c>
      <c r="E33" s="20">
        <v>438146</v>
      </c>
    </row>
    <row r="34" spans="2:5" x14ac:dyDescent="0.25">
      <c r="B34" s="19">
        <v>2450</v>
      </c>
      <c r="C34" s="20">
        <v>438320</v>
      </c>
      <c r="D34" s="20">
        <v>390346</v>
      </c>
      <c r="E34" s="20">
        <v>293407</v>
      </c>
    </row>
    <row r="35" spans="2:5" x14ac:dyDescent="0.25">
      <c r="B35" s="19">
        <v>2500</v>
      </c>
      <c r="C35" s="20">
        <v>483215</v>
      </c>
      <c r="D35" s="20">
        <v>464488</v>
      </c>
      <c r="E35" s="20">
        <v>414822</v>
      </c>
    </row>
    <row r="36" spans="2:5" x14ac:dyDescent="0.25">
      <c r="B36" s="19">
        <v>2550</v>
      </c>
      <c r="C36" s="20">
        <v>442827</v>
      </c>
      <c r="D36" s="20">
        <v>402768</v>
      </c>
      <c r="E36" s="20">
        <v>364514</v>
      </c>
    </row>
    <row r="37" spans="2:5" x14ac:dyDescent="0.25">
      <c r="B37" s="19">
        <v>2600</v>
      </c>
      <c r="C37" s="20">
        <v>288029</v>
      </c>
      <c r="D37" s="20">
        <v>489213</v>
      </c>
      <c r="E37" s="20">
        <v>388064</v>
      </c>
    </row>
    <row r="38" spans="2:5" x14ac:dyDescent="0.25">
      <c r="B38" s="19">
        <v>2650</v>
      </c>
      <c r="C38" s="20">
        <v>454657</v>
      </c>
      <c r="D38" s="20">
        <v>320586</v>
      </c>
      <c r="E38" s="20">
        <v>407494</v>
      </c>
    </row>
    <row r="39" spans="2:5" x14ac:dyDescent="0.25">
      <c r="B39" s="19">
        <v>2700</v>
      </c>
      <c r="C39" s="20">
        <v>450453</v>
      </c>
      <c r="D39" s="20">
        <v>487869</v>
      </c>
      <c r="E39" s="20">
        <v>436469</v>
      </c>
    </row>
    <row r="40" spans="2:5" x14ac:dyDescent="0.25">
      <c r="B40" s="19">
        <v>2750</v>
      </c>
      <c r="C40" s="20">
        <v>371346</v>
      </c>
      <c r="D40" s="20">
        <v>340490</v>
      </c>
      <c r="E40" s="20">
        <v>331261</v>
      </c>
    </row>
    <row r="41" spans="2:5" x14ac:dyDescent="0.25">
      <c r="B41" s="19">
        <v>2800</v>
      </c>
      <c r="C41" s="20">
        <v>496580</v>
      </c>
      <c r="D41" s="20">
        <v>379786</v>
      </c>
      <c r="E41" s="20">
        <v>442866</v>
      </c>
    </row>
    <row r="42" spans="2:5" x14ac:dyDescent="0.25">
      <c r="B42" s="19">
        <v>2850</v>
      </c>
      <c r="C42" s="20">
        <v>284819</v>
      </c>
      <c r="D42" s="20">
        <v>384121</v>
      </c>
      <c r="E42" s="20">
        <v>300520</v>
      </c>
    </row>
    <row r="43" spans="2:5" x14ac:dyDescent="0.25">
      <c r="B43" s="19">
        <v>2900</v>
      </c>
      <c r="C43" s="20">
        <v>304310</v>
      </c>
      <c r="D43" s="20">
        <v>419650</v>
      </c>
      <c r="E43" s="20">
        <v>389481</v>
      </c>
    </row>
    <row r="44" spans="2:5" x14ac:dyDescent="0.25">
      <c r="B44" s="19">
        <v>2950</v>
      </c>
      <c r="C44" s="20">
        <v>351039</v>
      </c>
      <c r="D44" s="20">
        <v>459137</v>
      </c>
      <c r="E44" s="20">
        <v>385912</v>
      </c>
    </row>
    <row r="45" spans="2:5" x14ac:dyDescent="0.25">
      <c r="B45" s="19">
        <v>3000</v>
      </c>
      <c r="C45" s="20">
        <v>418331</v>
      </c>
      <c r="D45" s="20">
        <v>464687</v>
      </c>
      <c r="E45" s="20">
        <v>285497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3C52-363F-499C-A9B5-044296431D90}">
  <dimension ref="B2:C47"/>
  <sheetViews>
    <sheetView workbookViewId="0">
      <selection activeCell="K39" sqref="K39"/>
    </sheetView>
  </sheetViews>
  <sheetFormatPr defaultRowHeight="15" x14ac:dyDescent="0.25"/>
  <cols>
    <col min="1" max="1" width="4.28515625" customWidth="1"/>
    <col min="2" max="2" width="11.28515625" style="9" bestFit="1" customWidth="1"/>
    <col min="3" max="3" width="14" style="9" bestFit="1" customWidth="1"/>
  </cols>
  <sheetData>
    <row r="2" spans="2:3" x14ac:dyDescent="0.25">
      <c r="B2" s="21" t="s">
        <v>11</v>
      </c>
      <c r="C2" s="21" t="s">
        <v>12</v>
      </c>
    </row>
    <row r="3" spans="2:3" x14ac:dyDescent="0.25">
      <c r="B3" s="9">
        <v>900</v>
      </c>
      <c r="C3" s="22">
        <v>146928</v>
      </c>
    </row>
    <row r="4" spans="2:3" x14ac:dyDescent="0.25">
      <c r="B4" s="9">
        <v>950</v>
      </c>
      <c r="C4" s="22">
        <v>122560</v>
      </c>
    </row>
    <row r="5" spans="2:3" x14ac:dyDescent="0.25">
      <c r="B5" s="9">
        <v>1000</v>
      </c>
      <c r="C5" s="22">
        <v>134547</v>
      </c>
    </row>
    <row r="6" spans="2:3" x14ac:dyDescent="0.25">
      <c r="B6" s="9">
        <v>1050</v>
      </c>
      <c r="C6" s="22">
        <v>144425</v>
      </c>
    </row>
    <row r="7" spans="2:3" x14ac:dyDescent="0.25">
      <c r="B7" s="9">
        <v>1100</v>
      </c>
      <c r="C7" s="22">
        <v>145608</v>
      </c>
    </row>
    <row r="8" spans="2:3" x14ac:dyDescent="0.25">
      <c r="B8" s="9">
        <v>1150</v>
      </c>
      <c r="C8" s="22">
        <v>145240</v>
      </c>
    </row>
    <row r="9" spans="2:3" x14ac:dyDescent="0.25">
      <c r="B9" s="9">
        <v>1200</v>
      </c>
      <c r="C9" s="22">
        <v>127547</v>
      </c>
    </row>
    <row r="10" spans="2:3" x14ac:dyDescent="0.25">
      <c r="B10" s="9">
        <v>1250</v>
      </c>
      <c r="C10" s="22">
        <v>149113</v>
      </c>
    </row>
    <row r="11" spans="2:3" x14ac:dyDescent="0.25">
      <c r="B11" s="9">
        <v>1300</v>
      </c>
      <c r="C11" s="22">
        <v>115547</v>
      </c>
    </row>
    <row r="12" spans="2:3" x14ac:dyDescent="0.25">
      <c r="B12" s="9">
        <v>1350</v>
      </c>
      <c r="C12" s="22">
        <v>135531</v>
      </c>
    </row>
    <row r="13" spans="2:3" x14ac:dyDescent="0.25">
      <c r="B13" s="9">
        <v>1400</v>
      </c>
      <c r="C13" s="22">
        <v>102026</v>
      </c>
    </row>
    <row r="14" spans="2:3" x14ac:dyDescent="0.25">
      <c r="B14" s="9">
        <v>1450</v>
      </c>
      <c r="C14" s="22">
        <v>101832</v>
      </c>
    </row>
    <row r="15" spans="2:3" x14ac:dyDescent="0.25">
      <c r="B15" s="9">
        <v>1500</v>
      </c>
      <c r="C15" s="22">
        <v>227720</v>
      </c>
    </row>
    <row r="16" spans="2:3" x14ac:dyDescent="0.25">
      <c r="B16" s="9">
        <v>1550</v>
      </c>
      <c r="C16" s="22">
        <v>265272</v>
      </c>
    </row>
    <row r="17" spans="2:3" x14ac:dyDescent="0.25">
      <c r="B17" s="9">
        <v>1600</v>
      </c>
      <c r="C17" s="22">
        <v>224611</v>
      </c>
    </row>
    <row r="18" spans="2:3" x14ac:dyDescent="0.25">
      <c r="B18" s="9">
        <v>1650</v>
      </c>
      <c r="C18" s="22">
        <v>257625</v>
      </c>
    </row>
    <row r="19" spans="2:3" x14ac:dyDescent="0.25">
      <c r="B19" s="9">
        <v>1700</v>
      </c>
      <c r="C19" s="22">
        <v>231889</v>
      </c>
    </row>
    <row r="20" spans="2:3" x14ac:dyDescent="0.25">
      <c r="B20" s="9">
        <v>1750</v>
      </c>
      <c r="C20" s="22">
        <v>217072</v>
      </c>
    </row>
    <row r="21" spans="2:3" x14ac:dyDescent="0.25">
      <c r="B21" s="9">
        <v>1800</v>
      </c>
      <c r="C21" s="22">
        <v>243835</v>
      </c>
    </row>
    <row r="22" spans="2:3" x14ac:dyDescent="0.25">
      <c r="B22" s="9">
        <v>1850</v>
      </c>
      <c r="C22" s="22">
        <v>259639</v>
      </c>
    </row>
    <row r="23" spans="2:3" x14ac:dyDescent="0.25">
      <c r="B23" s="9">
        <v>1900</v>
      </c>
      <c r="C23" s="22">
        <v>249958</v>
      </c>
    </row>
    <row r="24" spans="2:3" x14ac:dyDescent="0.25">
      <c r="B24" s="9">
        <v>1950</v>
      </c>
      <c r="C24" s="22">
        <v>220978</v>
      </c>
    </row>
    <row r="25" spans="2:3" x14ac:dyDescent="0.25">
      <c r="B25" s="9">
        <v>2000</v>
      </c>
      <c r="C25" s="22">
        <v>450536</v>
      </c>
    </row>
    <row r="26" spans="2:3" x14ac:dyDescent="0.25">
      <c r="B26" s="9">
        <v>2050</v>
      </c>
      <c r="C26" s="22">
        <v>342649</v>
      </c>
    </row>
    <row r="27" spans="2:3" x14ac:dyDescent="0.25">
      <c r="B27" s="9">
        <v>2100</v>
      </c>
      <c r="C27" s="22">
        <v>327389</v>
      </c>
    </row>
    <row r="28" spans="2:3" x14ac:dyDescent="0.25">
      <c r="B28" s="9">
        <v>2150</v>
      </c>
      <c r="C28" s="22">
        <v>473456</v>
      </c>
    </row>
    <row r="29" spans="2:3" x14ac:dyDescent="0.25">
      <c r="B29" s="9">
        <v>2200</v>
      </c>
      <c r="C29" s="22">
        <v>378260</v>
      </c>
    </row>
    <row r="30" spans="2:3" x14ac:dyDescent="0.25">
      <c r="B30" s="9">
        <v>2250</v>
      </c>
      <c r="C30" s="22">
        <v>418567</v>
      </c>
    </row>
    <row r="31" spans="2:3" x14ac:dyDescent="0.25">
      <c r="B31" s="9">
        <v>2300</v>
      </c>
      <c r="C31" s="22">
        <v>339908</v>
      </c>
    </row>
    <row r="32" spans="2:3" x14ac:dyDescent="0.25">
      <c r="B32" s="9">
        <v>2350</v>
      </c>
      <c r="C32" s="22">
        <v>437626</v>
      </c>
    </row>
    <row r="33" spans="2:3" x14ac:dyDescent="0.25">
      <c r="B33" s="9">
        <v>2400</v>
      </c>
      <c r="C33" s="22">
        <v>437523</v>
      </c>
    </row>
    <row r="34" spans="2:3" x14ac:dyDescent="0.25">
      <c r="B34" s="9">
        <v>2450</v>
      </c>
      <c r="C34" s="22">
        <v>438320</v>
      </c>
    </row>
    <row r="35" spans="2:3" x14ac:dyDescent="0.25">
      <c r="B35" s="9">
        <v>2500</v>
      </c>
      <c r="C35" s="22">
        <v>483215</v>
      </c>
    </row>
    <row r="36" spans="2:3" x14ac:dyDescent="0.25">
      <c r="B36" s="9">
        <v>2550</v>
      </c>
      <c r="C36" s="22">
        <v>442827</v>
      </c>
    </row>
    <row r="37" spans="2:3" x14ac:dyDescent="0.25">
      <c r="B37" s="9">
        <v>2600</v>
      </c>
      <c r="C37" s="22">
        <v>288029</v>
      </c>
    </row>
    <row r="38" spans="2:3" x14ac:dyDescent="0.25">
      <c r="B38" s="9">
        <v>2650</v>
      </c>
      <c r="C38" s="22">
        <v>454657</v>
      </c>
    </row>
    <row r="39" spans="2:3" x14ac:dyDescent="0.25">
      <c r="B39" s="9">
        <v>2700</v>
      </c>
      <c r="C39" s="22">
        <v>450453</v>
      </c>
    </row>
    <row r="40" spans="2:3" x14ac:dyDescent="0.25">
      <c r="B40" s="9">
        <v>2750</v>
      </c>
      <c r="C40" s="22">
        <v>371346</v>
      </c>
    </row>
    <row r="41" spans="2:3" x14ac:dyDescent="0.25">
      <c r="B41" s="9">
        <v>2800</v>
      </c>
      <c r="C41" s="22">
        <v>496580</v>
      </c>
    </row>
    <row r="42" spans="2:3" x14ac:dyDescent="0.25">
      <c r="B42" s="9">
        <v>2850</v>
      </c>
      <c r="C42" s="22">
        <v>284819</v>
      </c>
    </row>
    <row r="43" spans="2:3" x14ac:dyDescent="0.25">
      <c r="B43" s="9">
        <v>2900</v>
      </c>
      <c r="C43" s="22">
        <v>304310</v>
      </c>
    </row>
    <row r="44" spans="2:3" x14ac:dyDescent="0.25">
      <c r="B44" s="9">
        <v>2950</v>
      </c>
      <c r="C44" s="22">
        <v>351039</v>
      </c>
    </row>
    <row r="45" spans="2:3" x14ac:dyDescent="0.25">
      <c r="B45" s="9">
        <v>3000</v>
      </c>
      <c r="C45" s="22">
        <v>418331</v>
      </c>
    </row>
    <row r="46" spans="2:3" x14ac:dyDescent="0.25">
      <c r="B46" s="9">
        <v>3500</v>
      </c>
      <c r="C46" s="51"/>
    </row>
    <row r="47" spans="2:3" x14ac:dyDescent="0.25">
      <c r="C47" s="2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EB3-E3D8-426B-915E-D4C61594701A}">
  <dimension ref="A1:E54"/>
  <sheetViews>
    <sheetView zoomScale="85" zoomScaleNormal="85" workbookViewId="0">
      <selection sqref="A1:E54"/>
    </sheetView>
  </sheetViews>
  <sheetFormatPr defaultRowHeight="15" x14ac:dyDescent="0.25"/>
  <cols>
    <col min="1" max="1" width="9.28515625" bestFit="1" customWidth="1"/>
    <col min="2" max="2" width="12.42578125" customWidth="1"/>
    <col min="3" max="3" width="21.28515625" customWidth="1"/>
    <col min="4" max="4" width="36" customWidth="1"/>
    <col min="5" max="5" width="36.140625" customWidth="1"/>
  </cols>
  <sheetData>
    <row r="1" spans="1:5" x14ac:dyDescent="0.25">
      <c r="A1" t="s">
        <v>11</v>
      </c>
      <c r="B1" t="s">
        <v>12</v>
      </c>
      <c r="C1" t="s">
        <v>61</v>
      </c>
      <c r="D1" t="s">
        <v>62</v>
      </c>
      <c r="E1" t="s">
        <v>63</v>
      </c>
    </row>
    <row r="2" spans="1:5" x14ac:dyDescent="0.25">
      <c r="A2">
        <v>900</v>
      </c>
      <c r="B2" s="52">
        <v>146928</v>
      </c>
    </row>
    <row r="3" spans="1:5" x14ac:dyDescent="0.25">
      <c r="A3">
        <v>950</v>
      </c>
      <c r="B3" s="52">
        <v>122560</v>
      </c>
    </row>
    <row r="4" spans="1:5" x14ac:dyDescent="0.25">
      <c r="A4">
        <v>1000</v>
      </c>
      <c r="B4" s="52">
        <v>134547</v>
      </c>
    </row>
    <row r="5" spans="1:5" x14ac:dyDescent="0.25">
      <c r="A5">
        <v>1050</v>
      </c>
      <c r="B5" s="52">
        <v>144425</v>
      </c>
    </row>
    <row r="6" spans="1:5" x14ac:dyDescent="0.25">
      <c r="A6">
        <v>1100</v>
      </c>
      <c r="B6" s="52">
        <v>145608</v>
      </c>
    </row>
    <row r="7" spans="1:5" x14ac:dyDescent="0.25">
      <c r="A7">
        <v>1150</v>
      </c>
      <c r="B7" s="52">
        <v>145240</v>
      </c>
    </row>
    <row r="8" spans="1:5" x14ac:dyDescent="0.25">
      <c r="A8">
        <v>1200</v>
      </c>
      <c r="B8" s="52">
        <v>127547</v>
      </c>
    </row>
    <row r="9" spans="1:5" x14ac:dyDescent="0.25">
      <c r="A9">
        <v>1250</v>
      </c>
      <c r="B9" s="52">
        <v>149113</v>
      </c>
    </row>
    <row r="10" spans="1:5" x14ac:dyDescent="0.25">
      <c r="A10">
        <v>1300</v>
      </c>
      <c r="B10" s="52">
        <v>115547</v>
      </c>
    </row>
    <row r="11" spans="1:5" x14ac:dyDescent="0.25">
      <c r="A11">
        <v>1350</v>
      </c>
      <c r="B11" s="52">
        <v>135531</v>
      </c>
    </row>
    <row r="12" spans="1:5" x14ac:dyDescent="0.25">
      <c r="A12">
        <v>1400</v>
      </c>
      <c r="B12" s="52">
        <v>102026</v>
      </c>
    </row>
    <row r="13" spans="1:5" x14ac:dyDescent="0.25">
      <c r="A13">
        <v>1450</v>
      </c>
      <c r="B13" s="52">
        <v>101832</v>
      </c>
    </row>
    <row r="14" spans="1:5" x14ac:dyDescent="0.25">
      <c r="A14">
        <v>1500</v>
      </c>
      <c r="B14" s="52">
        <v>227720</v>
      </c>
    </row>
    <row r="15" spans="1:5" x14ac:dyDescent="0.25">
      <c r="A15">
        <v>1550</v>
      </c>
      <c r="B15" s="52">
        <v>265272</v>
      </c>
    </row>
    <row r="16" spans="1:5" x14ac:dyDescent="0.25">
      <c r="A16">
        <v>1600</v>
      </c>
      <c r="B16" s="52">
        <v>224611</v>
      </c>
    </row>
    <row r="17" spans="1:2" x14ac:dyDescent="0.25">
      <c r="A17">
        <v>1650</v>
      </c>
      <c r="B17" s="52">
        <v>257625</v>
      </c>
    </row>
    <row r="18" spans="1:2" x14ac:dyDescent="0.25">
      <c r="A18">
        <v>1700</v>
      </c>
      <c r="B18" s="52">
        <v>231889</v>
      </c>
    </row>
    <row r="19" spans="1:2" x14ac:dyDescent="0.25">
      <c r="A19">
        <v>1750</v>
      </c>
      <c r="B19" s="52">
        <v>217072</v>
      </c>
    </row>
    <row r="20" spans="1:2" x14ac:dyDescent="0.25">
      <c r="A20">
        <v>1800</v>
      </c>
      <c r="B20" s="52">
        <v>243835</v>
      </c>
    </row>
    <row r="21" spans="1:2" x14ac:dyDescent="0.25">
      <c r="A21">
        <v>1850</v>
      </c>
      <c r="B21" s="52">
        <v>259639</v>
      </c>
    </row>
    <row r="22" spans="1:2" x14ac:dyDescent="0.25">
      <c r="A22">
        <v>1900</v>
      </c>
      <c r="B22" s="52">
        <v>249958</v>
      </c>
    </row>
    <row r="23" spans="1:2" x14ac:dyDescent="0.25">
      <c r="A23">
        <v>1950</v>
      </c>
      <c r="B23" s="52">
        <v>220978</v>
      </c>
    </row>
    <row r="24" spans="1:2" x14ac:dyDescent="0.25">
      <c r="A24">
        <v>2000</v>
      </c>
      <c r="B24" s="52">
        <v>450536</v>
      </c>
    </row>
    <row r="25" spans="1:2" x14ac:dyDescent="0.25">
      <c r="A25">
        <v>2050</v>
      </c>
      <c r="B25" s="52">
        <v>342649</v>
      </c>
    </row>
    <row r="26" spans="1:2" x14ac:dyDescent="0.25">
      <c r="A26">
        <v>2100</v>
      </c>
      <c r="B26" s="52">
        <v>327389</v>
      </c>
    </row>
    <row r="27" spans="1:2" x14ac:dyDescent="0.25">
      <c r="A27">
        <v>2150</v>
      </c>
      <c r="B27" s="52">
        <v>473456</v>
      </c>
    </row>
    <row r="28" spans="1:2" x14ac:dyDescent="0.25">
      <c r="A28">
        <v>2200</v>
      </c>
      <c r="B28" s="52">
        <v>378260</v>
      </c>
    </row>
    <row r="29" spans="1:2" x14ac:dyDescent="0.25">
      <c r="A29">
        <v>2250</v>
      </c>
      <c r="B29" s="52">
        <v>418567</v>
      </c>
    </row>
    <row r="30" spans="1:2" x14ac:dyDescent="0.25">
      <c r="A30">
        <v>2300</v>
      </c>
      <c r="B30" s="52">
        <v>339908</v>
      </c>
    </row>
    <row r="31" spans="1:2" x14ac:dyDescent="0.25">
      <c r="A31">
        <v>2350</v>
      </c>
      <c r="B31" s="52">
        <v>437626</v>
      </c>
    </row>
    <row r="32" spans="1:2" x14ac:dyDescent="0.25">
      <c r="A32">
        <v>2400</v>
      </c>
      <c r="B32" s="52">
        <v>437523</v>
      </c>
    </row>
    <row r="33" spans="1:5" x14ac:dyDescent="0.25">
      <c r="A33">
        <v>2450</v>
      </c>
      <c r="B33" s="52">
        <v>438320</v>
      </c>
    </row>
    <row r="34" spans="1:5" x14ac:dyDescent="0.25">
      <c r="A34">
        <v>2500</v>
      </c>
      <c r="B34" s="52">
        <v>483215</v>
      </c>
    </row>
    <row r="35" spans="1:5" x14ac:dyDescent="0.25">
      <c r="A35">
        <v>2550</v>
      </c>
      <c r="B35" s="52">
        <v>442827</v>
      </c>
    </row>
    <row r="36" spans="1:5" x14ac:dyDescent="0.25">
      <c r="A36">
        <v>2600</v>
      </c>
      <c r="B36" s="52">
        <v>288029</v>
      </c>
    </row>
    <row r="37" spans="1:5" x14ac:dyDescent="0.25">
      <c r="A37">
        <v>2650</v>
      </c>
      <c r="B37" s="52">
        <v>454657</v>
      </c>
    </row>
    <row r="38" spans="1:5" x14ac:dyDescent="0.25">
      <c r="A38">
        <v>2700</v>
      </c>
      <c r="B38" s="52">
        <v>450453</v>
      </c>
    </row>
    <row r="39" spans="1:5" x14ac:dyDescent="0.25">
      <c r="A39">
        <v>2750</v>
      </c>
      <c r="B39" s="52">
        <v>371346</v>
      </c>
    </row>
    <row r="40" spans="1:5" x14ac:dyDescent="0.25">
      <c r="A40">
        <v>2800</v>
      </c>
      <c r="B40" s="52">
        <v>496580</v>
      </c>
    </row>
    <row r="41" spans="1:5" x14ac:dyDescent="0.25">
      <c r="A41">
        <v>2850</v>
      </c>
      <c r="B41" s="52">
        <v>284819</v>
      </c>
    </row>
    <row r="42" spans="1:5" x14ac:dyDescent="0.25">
      <c r="A42">
        <v>2900</v>
      </c>
      <c r="B42" s="52">
        <v>304310</v>
      </c>
    </row>
    <row r="43" spans="1:5" x14ac:dyDescent="0.25">
      <c r="A43">
        <v>2950</v>
      </c>
      <c r="B43" s="52">
        <v>351039</v>
      </c>
    </row>
    <row r="44" spans="1:5" x14ac:dyDescent="0.25">
      <c r="A44">
        <v>3000</v>
      </c>
      <c r="B44" s="52">
        <v>418331</v>
      </c>
      <c r="C44" s="52">
        <v>418331</v>
      </c>
      <c r="D44" s="52">
        <v>418331</v>
      </c>
      <c r="E44" s="52">
        <v>418331</v>
      </c>
    </row>
    <row r="45" spans="1:5" x14ac:dyDescent="0.25">
      <c r="A45">
        <v>3050</v>
      </c>
      <c r="C45" s="52">
        <f t="shared" ref="C45:C54" si="0">_xlfn.FORECAST.ETS(A45,$B$2:$B$44,$A$2:$A$44,1,1)</f>
        <v>479126.34124902281</v>
      </c>
      <c r="D45" s="52">
        <f t="shared" ref="D45:D54" si="1">C45-_xlfn.FORECAST.ETS.CONFINT(A45,$B$2:$B$44,$A$2:$A$44,0.95,1,1)</f>
        <v>333577.72633719852</v>
      </c>
      <c r="E45" s="52">
        <f t="shared" ref="E45:E54" si="2">C45+_xlfn.FORECAST.ETS.CONFINT(A45,$B$2:$B$44,$A$2:$A$44,0.95,1,1)</f>
        <v>624674.9561608471</v>
      </c>
    </row>
    <row r="46" spans="1:5" x14ac:dyDescent="0.25">
      <c r="A46">
        <v>3100</v>
      </c>
      <c r="C46" s="52">
        <f t="shared" si="0"/>
        <v>486518.15586799313</v>
      </c>
      <c r="D46" s="52">
        <f t="shared" si="1"/>
        <v>340968.88598887541</v>
      </c>
      <c r="E46" s="52">
        <f t="shared" si="2"/>
        <v>632067.42574711086</v>
      </c>
    </row>
    <row r="47" spans="1:5" x14ac:dyDescent="0.25">
      <c r="A47">
        <v>3150</v>
      </c>
      <c r="C47" s="52">
        <f t="shared" si="0"/>
        <v>493909.97048696346</v>
      </c>
      <c r="D47" s="52">
        <f t="shared" si="1"/>
        <v>348359.53622882359</v>
      </c>
      <c r="E47" s="52">
        <f t="shared" si="2"/>
        <v>639460.40474510333</v>
      </c>
    </row>
    <row r="48" spans="1:5" x14ac:dyDescent="0.25">
      <c r="A48">
        <v>3200</v>
      </c>
      <c r="C48" s="52">
        <f t="shared" si="0"/>
        <v>501301.78510593378</v>
      </c>
      <c r="D48" s="52">
        <f t="shared" si="1"/>
        <v>355749.53152421955</v>
      </c>
      <c r="E48" s="52">
        <f t="shared" si="2"/>
        <v>646854.03868764802</v>
      </c>
    </row>
    <row r="49" spans="1:5" x14ac:dyDescent="0.25">
      <c r="A49">
        <v>3250</v>
      </c>
      <c r="C49" s="52">
        <f t="shared" si="0"/>
        <v>508693.59972490411</v>
      </c>
      <c r="D49" s="52">
        <f t="shared" si="1"/>
        <v>363138.7263571925</v>
      </c>
      <c r="E49" s="52">
        <f t="shared" si="2"/>
        <v>654248.47309261572</v>
      </c>
    </row>
    <row r="50" spans="1:5" x14ac:dyDescent="0.25">
      <c r="A50">
        <v>3300</v>
      </c>
      <c r="C50" s="52">
        <f t="shared" si="0"/>
        <v>516085.41434387444</v>
      </c>
      <c r="D50" s="52">
        <f t="shared" si="1"/>
        <v>370526.97523209918</v>
      </c>
      <c r="E50" s="52">
        <f t="shared" si="2"/>
        <v>661643.85345564969</v>
      </c>
    </row>
    <row r="51" spans="1:5" x14ac:dyDescent="0.25">
      <c r="A51">
        <v>3350</v>
      </c>
      <c r="C51" s="52">
        <f t="shared" si="0"/>
        <v>523477.22896284482</v>
      </c>
      <c r="D51" s="52">
        <f t="shared" si="1"/>
        <v>377914.13268424897</v>
      </c>
      <c r="E51" s="52">
        <f t="shared" si="2"/>
        <v>669040.32524144067</v>
      </c>
    </row>
    <row r="52" spans="1:5" x14ac:dyDescent="0.25">
      <c r="A52">
        <v>3400</v>
      </c>
      <c r="C52" s="52">
        <f t="shared" si="0"/>
        <v>530869.04358181509</v>
      </c>
      <c r="D52" s="52">
        <f t="shared" si="1"/>
        <v>385300.05329007993</v>
      </c>
      <c r="E52" s="52">
        <f t="shared" si="2"/>
        <v>676438.03387355024</v>
      </c>
    </row>
    <row r="53" spans="1:5" x14ac:dyDescent="0.25">
      <c r="A53">
        <v>3450</v>
      </c>
      <c r="C53" s="52">
        <f t="shared" si="0"/>
        <v>538260.85820078547</v>
      </c>
      <c r="D53" s="52">
        <f t="shared" si="1"/>
        <v>392684.59167878138</v>
      </c>
      <c r="E53" s="52">
        <f t="shared" si="2"/>
        <v>683837.12472278951</v>
      </c>
    </row>
    <row r="54" spans="1:5" x14ac:dyDescent="0.25">
      <c r="A54">
        <v>3500</v>
      </c>
      <c r="C54" s="52">
        <f t="shared" si="0"/>
        <v>545652.67281975574</v>
      </c>
      <c r="D54" s="52">
        <f t="shared" si="1"/>
        <v>400067.60254535842</v>
      </c>
      <c r="E54" s="52">
        <f t="shared" si="2"/>
        <v>691237.743094153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98E8-538A-4E1C-B766-BCE5106F7956}">
  <dimension ref="B1:H29"/>
  <sheetViews>
    <sheetView workbookViewId="0">
      <selection activeCell="E5" sqref="A1:XFD1048576"/>
    </sheetView>
  </sheetViews>
  <sheetFormatPr defaultRowHeight="15" x14ac:dyDescent="0.25"/>
  <cols>
    <col min="1" max="1" width="3.7109375" customWidth="1"/>
    <col min="3" max="3" width="15.5703125" customWidth="1"/>
    <col min="6" max="7" width="12.5703125" bestFit="1" customWidth="1"/>
    <col min="8" max="8" width="13.7109375" bestFit="1" customWidth="1"/>
  </cols>
  <sheetData>
    <row r="1" spans="2:8" ht="15.75" thickBot="1" x14ac:dyDescent="0.3"/>
    <row r="2" spans="2:8" ht="15.75" thickBot="1" x14ac:dyDescent="0.3">
      <c r="B2" s="4" t="s">
        <v>2</v>
      </c>
      <c r="C2" s="6" t="s">
        <v>3</v>
      </c>
      <c r="E2" s="4" t="s">
        <v>15</v>
      </c>
      <c r="F2" s="5" t="s">
        <v>16</v>
      </c>
      <c r="G2" s="5" t="s">
        <v>17</v>
      </c>
      <c r="H2" s="6" t="s">
        <v>18</v>
      </c>
    </row>
    <row r="3" spans="2:8" x14ac:dyDescent="0.25">
      <c r="B3" s="23">
        <v>586</v>
      </c>
      <c r="C3" s="24">
        <v>68972</v>
      </c>
      <c r="E3">
        <f>INTERCEPT(C3:C29,B3:B29)</f>
        <v>10426.684685503133</v>
      </c>
      <c r="F3" s="49">
        <f>SLOPE(C3:C29,B3:B29)</f>
        <v>80.120674174759657</v>
      </c>
      <c r="G3" s="53">
        <f>RSQ(C3:C29,B3:B29)</f>
        <v>0.9877972995500609</v>
      </c>
      <c r="H3" s="41">
        <f>STEYX(C3:C29,B3:B29)</f>
        <v>11131.595295725303</v>
      </c>
    </row>
    <row r="4" spans="2:8" ht="15.75" thickBot="1" x14ac:dyDescent="0.3">
      <c r="B4" s="23">
        <v>623</v>
      </c>
      <c r="C4" s="24">
        <v>69258</v>
      </c>
    </row>
    <row r="5" spans="2:8" ht="15.75" thickBot="1" x14ac:dyDescent="0.3">
      <c r="B5" s="23">
        <v>683</v>
      </c>
      <c r="C5" s="24">
        <v>69753</v>
      </c>
      <c r="E5" s="4" t="s">
        <v>2</v>
      </c>
      <c r="F5" s="5" t="s">
        <v>19</v>
      </c>
      <c r="G5" s="5" t="s">
        <v>20</v>
      </c>
      <c r="H5" s="6" t="s">
        <v>21</v>
      </c>
    </row>
    <row r="6" spans="2:8" x14ac:dyDescent="0.25">
      <c r="B6" s="23">
        <v>799</v>
      </c>
      <c r="C6" s="24">
        <v>71252</v>
      </c>
      <c r="E6">
        <v>4500</v>
      </c>
      <c r="F6" s="41">
        <f>_xlfn.FORECAST.LINEAR(E6,C3:C29,B3:B29)</f>
        <v>370969.71847192157</v>
      </c>
      <c r="G6" s="41">
        <f>F6+H3</f>
        <v>382101.31376764691</v>
      </c>
      <c r="H6" s="41">
        <f>F6-H3</f>
        <v>359838.12317619624</v>
      </c>
    </row>
    <row r="7" spans="2:8" x14ac:dyDescent="0.25">
      <c r="B7" s="23">
        <v>800</v>
      </c>
      <c r="C7" s="24">
        <v>72304</v>
      </c>
    </row>
    <row r="8" spans="2:8" x14ac:dyDescent="0.25">
      <c r="B8" s="23">
        <v>959</v>
      </c>
      <c r="C8" s="24">
        <v>76050</v>
      </c>
    </row>
    <row r="9" spans="2:8" x14ac:dyDescent="0.25">
      <c r="B9" s="23">
        <v>1008</v>
      </c>
      <c r="C9" s="24">
        <v>80250</v>
      </c>
    </row>
    <row r="10" spans="2:8" x14ac:dyDescent="0.25">
      <c r="B10" s="23">
        <v>1101</v>
      </c>
      <c r="C10" s="24">
        <v>80885</v>
      </c>
    </row>
    <row r="11" spans="2:8" x14ac:dyDescent="0.25">
      <c r="B11" s="23">
        <v>1300</v>
      </c>
      <c r="C11" s="24">
        <v>92759</v>
      </c>
    </row>
    <row r="12" spans="2:8" x14ac:dyDescent="0.25">
      <c r="B12" s="23">
        <v>1735</v>
      </c>
      <c r="C12" s="24">
        <v>150789</v>
      </c>
    </row>
    <row r="13" spans="2:8" x14ac:dyDescent="0.25">
      <c r="B13" s="23">
        <v>2187</v>
      </c>
      <c r="C13" s="24">
        <v>200741</v>
      </c>
    </row>
    <row r="14" spans="2:8" x14ac:dyDescent="0.25">
      <c r="B14" s="23">
        <v>2372</v>
      </c>
      <c r="C14" s="24">
        <v>215764</v>
      </c>
    </row>
    <row r="15" spans="2:8" x14ac:dyDescent="0.25">
      <c r="B15" s="23">
        <v>2400</v>
      </c>
      <c r="C15" s="24">
        <v>221400</v>
      </c>
    </row>
    <row r="16" spans="2:8" x14ac:dyDescent="0.25">
      <c r="B16" s="23">
        <v>2716</v>
      </c>
      <c r="C16" s="24">
        <v>235741</v>
      </c>
    </row>
    <row r="17" spans="2:3" x14ac:dyDescent="0.25">
      <c r="B17" s="23">
        <v>2990</v>
      </c>
      <c r="C17" s="24">
        <v>247753</v>
      </c>
    </row>
    <row r="18" spans="2:3" x14ac:dyDescent="0.25">
      <c r="B18" s="23">
        <v>3026</v>
      </c>
      <c r="C18" s="24">
        <v>275863</v>
      </c>
    </row>
    <row r="19" spans="2:3" x14ac:dyDescent="0.25">
      <c r="B19" s="23">
        <v>3281</v>
      </c>
      <c r="C19" s="24">
        <v>265741</v>
      </c>
    </row>
    <row r="20" spans="2:3" x14ac:dyDescent="0.25">
      <c r="B20" s="23">
        <v>3340</v>
      </c>
      <c r="C20" s="24">
        <v>281753</v>
      </c>
    </row>
    <row r="21" spans="2:3" x14ac:dyDescent="0.25">
      <c r="B21" s="23">
        <v>3370</v>
      </c>
      <c r="C21" s="24">
        <v>281987</v>
      </c>
    </row>
    <row r="22" spans="2:3" x14ac:dyDescent="0.25">
      <c r="B22" s="23">
        <v>3449</v>
      </c>
      <c r="C22" s="24">
        <v>289987</v>
      </c>
    </row>
    <row r="23" spans="2:3" x14ac:dyDescent="0.25">
      <c r="B23" s="23">
        <v>3458</v>
      </c>
      <c r="C23" s="24">
        <v>289963</v>
      </c>
    </row>
    <row r="24" spans="2:3" x14ac:dyDescent="0.25">
      <c r="B24" s="23">
        <v>3596</v>
      </c>
      <c r="C24" s="24">
        <v>295753</v>
      </c>
    </row>
    <row r="25" spans="2:3" x14ac:dyDescent="0.25">
      <c r="B25" s="23">
        <v>3693</v>
      </c>
      <c r="C25" s="24">
        <v>300015</v>
      </c>
    </row>
    <row r="26" spans="2:3" x14ac:dyDescent="0.25">
      <c r="B26" s="23">
        <v>3704</v>
      </c>
      <c r="C26" s="24">
        <v>301741</v>
      </c>
    </row>
    <row r="27" spans="2:3" x14ac:dyDescent="0.25">
      <c r="B27" s="23">
        <v>3729</v>
      </c>
      <c r="C27" s="24">
        <v>303951</v>
      </c>
    </row>
    <row r="28" spans="2:3" x14ac:dyDescent="0.25">
      <c r="B28" s="23">
        <v>3942</v>
      </c>
      <c r="C28" s="24">
        <v>315452</v>
      </c>
    </row>
    <row r="29" spans="2:3" ht="15.75" thickBot="1" x14ac:dyDescent="0.3">
      <c r="B29" s="25">
        <v>3993</v>
      </c>
      <c r="C29" s="26">
        <v>320668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37B-9E7F-46D7-B0A9-B58BA36D0E43}">
  <dimension ref="A1:C30"/>
  <sheetViews>
    <sheetView topLeftCell="C1" workbookViewId="0">
      <selection sqref="A1:C30"/>
    </sheetView>
  </sheetViews>
  <sheetFormatPr defaultRowHeight="15" x14ac:dyDescent="0.25"/>
  <cols>
    <col min="1" max="1" width="14.85546875" hidden="1" customWidth="1"/>
    <col min="2" max="2" width="24" hidden="1" customWidth="1"/>
    <col min="3" max="3" width="31.7109375" bestFit="1" customWidth="1"/>
  </cols>
  <sheetData>
    <row r="1" spans="1:3" x14ac:dyDescent="0.25">
      <c r="A1" t="s">
        <v>64</v>
      </c>
      <c r="B1" t="s">
        <v>65</v>
      </c>
      <c r="C1" t="s">
        <v>95</v>
      </c>
    </row>
    <row r="2" spans="1:3" x14ac:dyDescent="0.25">
      <c r="A2">
        <v>2020</v>
      </c>
      <c r="B2" s="55" t="s">
        <v>66</v>
      </c>
      <c r="C2" t="str">
        <f>_xlfn.CONCAT(Inventory[[#This Row],[Release Date]]," ",UPPER(Inventory[[#This Row],[Movie Title]]))</f>
        <v>2020 THE GOD FATHER</v>
      </c>
    </row>
    <row r="3" spans="1:3" x14ac:dyDescent="0.25">
      <c r="A3">
        <v>2017</v>
      </c>
      <c r="B3" s="55" t="s">
        <v>67</v>
      </c>
      <c r="C3" t="str">
        <f>_xlfn.CONCAT(Inventory[[#This Row],[Release Date]]," ",UPPER(Inventory[[#This Row],[Movie Title]]))</f>
        <v>2017 GOOD LUCK CHUCK</v>
      </c>
    </row>
    <row r="4" spans="1:3" x14ac:dyDescent="0.25">
      <c r="A4">
        <v>2019</v>
      </c>
      <c r="B4" s="55" t="s">
        <v>68</v>
      </c>
      <c r="C4" t="str">
        <f>_xlfn.CONCAT(Inventory[[#This Row],[Release Date]]," ",UPPER(Inventory[[#This Row],[Movie Title]]))</f>
        <v>2019 GOOD FELLAS</v>
      </c>
    </row>
    <row r="5" spans="1:3" x14ac:dyDescent="0.25">
      <c r="A5">
        <v>2017</v>
      </c>
      <c r="B5" s="55" t="s">
        <v>69</v>
      </c>
      <c r="C5" t="str">
        <f>_xlfn.CONCAT(Inventory[[#This Row],[Release Date]]," ",UPPER(Inventory[[#This Row],[Movie Title]]))</f>
        <v>2017 STAR WARS</v>
      </c>
    </row>
    <row r="6" spans="1:3" x14ac:dyDescent="0.25">
      <c r="A6">
        <v>2016</v>
      </c>
      <c r="B6" s="55" t="s">
        <v>70</v>
      </c>
      <c r="C6" t="str">
        <f>_xlfn.CONCAT(Inventory[[#This Row],[Release Date]]," ",UPPER(Inventory[[#This Row],[Movie Title]]))</f>
        <v>2016 INDIANA JONES</v>
      </c>
    </row>
    <row r="7" spans="1:3" x14ac:dyDescent="0.25">
      <c r="A7">
        <v>2016</v>
      </c>
      <c r="B7" s="55" t="s">
        <v>71</v>
      </c>
      <c r="C7" t="str">
        <f>_xlfn.CONCAT(Inventory[[#This Row],[Release Date]]," ",UPPER(Inventory[[#This Row],[Movie Title]]))</f>
        <v>2016 BRIDGET JONES</v>
      </c>
    </row>
    <row r="8" spans="1:3" x14ac:dyDescent="0.25">
      <c r="A8">
        <v>2019</v>
      </c>
      <c r="B8" s="55" t="s">
        <v>72</v>
      </c>
      <c r="C8" t="str">
        <f>_xlfn.CONCAT(Inventory[[#This Row],[Release Date]]," ",UPPER(Inventory[[#This Row],[Movie Title]]))</f>
        <v>2019 STEP BROTHERS</v>
      </c>
    </row>
    <row r="9" spans="1:3" x14ac:dyDescent="0.25">
      <c r="A9">
        <v>2020</v>
      </c>
      <c r="B9" s="55" t="s">
        <v>73</v>
      </c>
      <c r="C9" t="str">
        <f>_xlfn.CONCAT(Inventory[[#This Row],[Release Date]]," ",UPPER(Inventory[[#This Row],[Movie Title]]))</f>
        <v>2020 MAMMA MIA</v>
      </c>
    </row>
    <row r="10" spans="1:3" x14ac:dyDescent="0.25">
      <c r="A10">
        <v>2019</v>
      </c>
      <c r="B10" s="55" t="s">
        <v>74</v>
      </c>
      <c r="C10" t="str">
        <f>_xlfn.CONCAT(Inventory[[#This Row],[Release Date]]," ",UPPER(Inventory[[#This Row],[Movie Title]]))</f>
        <v>2019 TRON</v>
      </c>
    </row>
    <row r="11" spans="1:3" x14ac:dyDescent="0.25">
      <c r="A11">
        <v>2020</v>
      </c>
      <c r="B11" s="55" t="s">
        <v>75</v>
      </c>
      <c r="C11" t="str">
        <f>_xlfn.CONCAT(Inventory[[#This Row],[Release Date]]," ",UPPER(Inventory[[#This Row],[Movie Title]]))</f>
        <v>2020 THE LAST DRAGON</v>
      </c>
    </row>
    <row r="12" spans="1:3" x14ac:dyDescent="0.25">
      <c r="A12">
        <v>2017</v>
      </c>
      <c r="B12" s="55" t="s">
        <v>76</v>
      </c>
      <c r="C12" t="str">
        <f>_xlfn.CONCAT(Inventory[[#This Row],[Release Date]]," ",UPPER(Inventory[[#This Row],[Movie Title]]))</f>
        <v>2017 THE GOLDEN CHILD</v>
      </c>
    </row>
    <row r="13" spans="1:3" x14ac:dyDescent="0.25">
      <c r="A13">
        <v>2017</v>
      </c>
      <c r="B13" s="55" t="s">
        <v>77</v>
      </c>
      <c r="C13" t="str">
        <f>_xlfn.CONCAT(Inventory[[#This Row],[Release Date]]," ",UPPER(Inventory[[#This Row],[Movie Title]]))</f>
        <v>2017 SHAFT</v>
      </c>
    </row>
    <row r="14" spans="1:3" x14ac:dyDescent="0.25">
      <c r="A14">
        <v>2020</v>
      </c>
      <c r="B14" s="55" t="s">
        <v>78</v>
      </c>
      <c r="C14" t="str">
        <f>_xlfn.CONCAT(Inventory[[#This Row],[Release Date]]," ",UPPER(Inventory[[#This Row],[Movie Title]]))</f>
        <v>2020 SUPER FLY</v>
      </c>
    </row>
    <row r="15" spans="1:3" x14ac:dyDescent="0.25">
      <c r="A15">
        <v>2016</v>
      </c>
      <c r="B15" s="55" t="s">
        <v>79</v>
      </c>
      <c r="C15" t="str">
        <f>_xlfn.CONCAT(Inventory[[#This Row],[Release Date]]," ",UPPER(Inventory[[#This Row],[Movie Title]]))</f>
        <v>2016 BIG TROUBLE IN LITTLE CHINA</v>
      </c>
    </row>
    <row r="16" spans="1:3" x14ac:dyDescent="0.25">
      <c r="A16">
        <v>2016</v>
      </c>
      <c r="B16" s="55" t="s">
        <v>80</v>
      </c>
      <c r="C16" t="str">
        <f>_xlfn.CONCAT(Inventory[[#This Row],[Release Date]]," ",UPPER(Inventory[[#This Row],[Movie Title]]))</f>
        <v>2016 BLUE STREAK</v>
      </c>
    </row>
    <row r="17" spans="1:3" x14ac:dyDescent="0.25">
      <c r="A17">
        <v>2017</v>
      </c>
      <c r="B17" s="55" t="s">
        <v>81</v>
      </c>
      <c r="C17" t="str">
        <f>_xlfn.CONCAT(Inventory[[#This Row],[Release Date]]," ",UPPER(Inventory[[#This Row],[Movie Title]]))</f>
        <v>2017 GLORY ROAD</v>
      </c>
    </row>
    <row r="18" spans="1:3" x14ac:dyDescent="0.25">
      <c r="A18">
        <v>2015</v>
      </c>
      <c r="B18" s="55" t="s">
        <v>82</v>
      </c>
      <c r="C18" t="str">
        <f>_xlfn.CONCAT(Inventory[[#This Row],[Release Date]]," ",UPPER(Inventory[[#This Row],[Movie Title]]))</f>
        <v>2015 REMEMBER THE TITANS</v>
      </c>
    </row>
    <row r="19" spans="1:3" x14ac:dyDescent="0.25">
      <c r="A19">
        <v>2019</v>
      </c>
      <c r="B19" s="55" t="s">
        <v>83</v>
      </c>
      <c r="C19" t="str">
        <f>_xlfn.CONCAT(Inventory[[#This Row],[Release Date]]," ",UPPER(Inventory[[#This Row],[Movie Title]]))</f>
        <v>2019 UP</v>
      </c>
    </row>
    <row r="20" spans="1:3" x14ac:dyDescent="0.25">
      <c r="A20">
        <v>2017</v>
      </c>
      <c r="B20" s="55" t="s">
        <v>84</v>
      </c>
      <c r="C20" t="str">
        <f>_xlfn.CONCAT(Inventory[[#This Row],[Release Date]]," ",UPPER(Inventory[[#This Row],[Movie Title]]))</f>
        <v>2017 ALADDIN</v>
      </c>
    </row>
    <row r="21" spans="1:3" x14ac:dyDescent="0.25">
      <c r="A21">
        <v>2019</v>
      </c>
      <c r="B21" s="55" t="s">
        <v>85</v>
      </c>
      <c r="C21" t="str">
        <f>_xlfn.CONCAT(Inventory[[#This Row],[Release Date]]," ",UPPER(Inventory[[#This Row],[Movie Title]]))</f>
        <v>2019 CINDERELLA</v>
      </c>
    </row>
    <row r="22" spans="1:3" x14ac:dyDescent="0.25">
      <c r="A22">
        <v>2016</v>
      </c>
      <c r="B22" s="55" t="s">
        <v>86</v>
      </c>
      <c r="C22" t="str">
        <f>_xlfn.CONCAT(Inventory[[#This Row],[Release Date]]," ",UPPER(Inventory[[#This Row],[Movie Title]]))</f>
        <v>2016 HOUSE PARTY</v>
      </c>
    </row>
    <row r="23" spans="1:3" x14ac:dyDescent="0.25">
      <c r="A23">
        <v>2015</v>
      </c>
      <c r="B23" s="55" t="s">
        <v>87</v>
      </c>
      <c r="C23" t="str">
        <f>_xlfn.CONCAT(Inventory[[#This Row],[Release Date]]," ",UPPER(Inventory[[#This Row],[Movie Title]]))</f>
        <v>2015 OFFICE SPACE</v>
      </c>
    </row>
    <row r="24" spans="1:3" x14ac:dyDescent="0.25">
      <c r="A24">
        <v>2020</v>
      </c>
      <c r="B24" s="55" t="s">
        <v>88</v>
      </c>
      <c r="C24" t="str">
        <f>_xlfn.CONCAT(Inventory[[#This Row],[Release Date]]," ",UPPER(Inventory[[#This Row],[Movie Title]]))</f>
        <v>2020 DIRTY HARRY</v>
      </c>
    </row>
    <row r="25" spans="1:3" x14ac:dyDescent="0.25">
      <c r="A25">
        <v>2017</v>
      </c>
      <c r="B25" s="55" t="s">
        <v>89</v>
      </c>
      <c r="C25" t="str">
        <f>_xlfn.CONCAT(Inventory[[#This Row],[Release Date]]," ",UPPER(Inventory[[#This Row],[Movie Title]]))</f>
        <v>2017 MONSTERS INC</v>
      </c>
    </row>
    <row r="26" spans="1:3" x14ac:dyDescent="0.25">
      <c r="A26">
        <v>2016</v>
      </c>
      <c r="B26" s="55" t="s">
        <v>90</v>
      </c>
      <c r="C26" t="str">
        <f>_xlfn.CONCAT(Inventory[[#This Row],[Release Date]]," ",UPPER(Inventory[[#This Row],[Movie Title]]))</f>
        <v>2016 SPACE COWBOYS</v>
      </c>
    </row>
    <row r="27" spans="1:3" x14ac:dyDescent="0.25">
      <c r="A27">
        <v>2019</v>
      </c>
      <c r="B27" s="55" t="s">
        <v>91</v>
      </c>
      <c r="C27" t="str">
        <f>_xlfn.CONCAT(Inventory[[#This Row],[Release Date]]," ",UPPER(Inventory[[#This Row],[Movie Title]]))</f>
        <v>2019 PLANET 51</v>
      </c>
    </row>
    <row r="28" spans="1:3" x14ac:dyDescent="0.25">
      <c r="A28">
        <v>2017</v>
      </c>
      <c r="B28" s="55" t="s">
        <v>92</v>
      </c>
      <c r="C28" t="str">
        <f>_xlfn.CONCAT(Inventory[[#This Row],[Release Date]]," ",UPPER(Inventory[[#This Row],[Movie Title]]))</f>
        <v>2017 VANILLA SKY</v>
      </c>
    </row>
    <row r="29" spans="1:3" x14ac:dyDescent="0.25">
      <c r="A29">
        <v>2018</v>
      </c>
      <c r="B29" s="55" t="s">
        <v>93</v>
      </c>
      <c r="C29" t="str">
        <f>_xlfn.CONCAT(Inventory[[#This Row],[Release Date]]," ",UPPER(Inventory[[#This Row],[Movie Title]]))</f>
        <v>2018 BATMAN</v>
      </c>
    </row>
    <row r="30" spans="1:3" x14ac:dyDescent="0.25">
      <c r="A30">
        <v>2017</v>
      </c>
      <c r="B30" s="55" t="s">
        <v>94</v>
      </c>
      <c r="C30" t="str">
        <f>_xlfn.CONCAT(Inventory[[#This Row],[Release Date]]," ",UPPER(Inventory[[#This Row],[Movie Title]]))</f>
        <v>2017 SUPERMAN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1C26-A998-4290-A770-EBE08434445E}">
  <sheetPr>
    <pageSetUpPr fitToPage="1"/>
  </sheetPr>
  <dimension ref="A1:I70"/>
  <sheetViews>
    <sheetView topLeftCell="A9" zoomScaleNormal="100" workbookViewId="0">
      <selection activeCell="G71" sqref="A1:XFD1048576"/>
    </sheetView>
  </sheetViews>
  <sheetFormatPr defaultRowHeight="15" x14ac:dyDescent="0.25"/>
  <cols>
    <col min="1" max="1" width="22.42578125" bestFit="1" customWidth="1"/>
    <col min="2" max="2" width="20.42578125" bestFit="1" customWidth="1"/>
    <col min="4" max="4" width="12.140625" customWidth="1"/>
    <col min="5" max="5" width="11.140625" customWidth="1"/>
    <col min="6" max="6" width="18.28515625" customWidth="1"/>
    <col min="7" max="7" width="15.140625" bestFit="1" customWidth="1"/>
    <col min="8" max="8" width="15.140625" customWidth="1"/>
    <col min="9" max="9" width="14.28515625" bestFit="1" customWidth="1"/>
  </cols>
  <sheetData>
    <row r="1" spans="1:9" ht="15.75" thickBot="1" x14ac:dyDescent="0.3">
      <c r="A1" s="54" t="s">
        <v>22</v>
      </c>
      <c r="B1" s="54"/>
      <c r="C1" s="54"/>
      <c r="D1" s="54"/>
      <c r="E1" s="54"/>
      <c r="F1" s="54"/>
      <c r="G1" s="54"/>
      <c r="H1" s="54"/>
      <c r="I1" s="54"/>
    </row>
    <row r="2" spans="1:9" ht="16.5" thickTop="1" thickBot="1" x14ac:dyDescent="0.3">
      <c r="A2" s="54"/>
      <c r="B2" s="54"/>
      <c r="C2" s="54"/>
      <c r="D2" s="54"/>
      <c r="E2" s="54"/>
      <c r="F2" s="54"/>
      <c r="G2" s="54"/>
      <c r="H2" s="54"/>
      <c r="I2" s="54"/>
    </row>
    <row r="3" spans="1:9" ht="15.75" thickTop="1" x14ac:dyDescent="0.25"/>
    <row r="4" spans="1:9" x14ac:dyDescent="0.25">
      <c r="A4" s="27"/>
      <c r="B4" s="28"/>
    </row>
    <row r="5" spans="1:9" ht="27" customHeight="1" x14ac:dyDescent="0.25">
      <c r="A5" s="29" t="s">
        <v>23</v>
      </c>
      <c r="B5" s="30">
        <v>1350</v>
      </c>
    </row>
    <row r="6" spans="1:9" ht="30" x14ac:dyDescent="0.25">
      <c r="A6" s="31" t="s">
        <v>24</v>
      </c>
      <c r="B6" s="32" t="s">
        <v>25</v>
      </c>
    </row>
    <row r="7" spans="1:9" ht="21.75" customHeight="1" x14ac:dyDescent="0.25">
      <c r="A7" s="29" t="s">
        <v>26</v>
      </c>
      <c r="B7" s="33">
        <v>44927</v>
      </c>
      <c r="C7" s="34" t="s">
        <v>27</v>
      </c>
    </row>
    <row r="8" spans="1:9" ht="24" customHeight="1" x14ac:dyDescent="0.25">
      <c r="A8" s="29" t="s">
        <v>28</v>
      </c>
      <c r="B8" s="33" t="s">
        <v>25</v>
      </c>
    </row>
    <row r="9" spans="1:9" ht="15.75" thickBot="1" x14ac:dyDescent="0.3"/>
    <row r="10" spans="1:9" s="40" customFormat="1" ht="30.75" thickBot="1" x14ac:dyDescent="0.3">
      <c r="A10" s="35" t="s">
        <v>29</v>
      </c>
      <c r="B10" s="36" t="s">
        <v>30</v>
      </c>
      <c r="C10" s="37" t="s">
        <v>31</v>
      </c>
      <c r="D10" s="37" t="s">
        <v>32</v>
      </c>
      <c r="E10" s="38" t="s">
        <v>33</v>
      </c>
      <c r="F10" s="38" t="s">
        <v>24</v>
      </c>
      <c r="G10" s="38" t="s">
        <v>34</v>
      </c>
      <c r="H10" s="38" t="s">
        <v>28</v>
      </c>
      <c r="I10" s="39" t="s">
        <v>32</v>
      </c>
    </row>
    <row r="11" spans="1:9" x14ac:dyDescent="0.25">
      <c r="A11" s="19">
        <v>101</v>
      </c>
      <c r="B11" t="s">
        <v>35</v>
      </c>
      <c r="C11" s="19">
        <v>1</v>
      </c>
      <c r="D11" s="41">
        <v>1150</v>
      </c>
      <c r="E11" s="19" t="s">
        <v>25</v>
      </c>
      <c r="F11" s="19" t="s">
        <v>25</v>
      </c>
      <c r="G11" s="42">
        <v>45748</v>
      </c>
      <c r="H11" s="43" t="s">
        <v>36</v>
      </c>
      <c r="I11" s="44" t="str">
        <f>IF(AND(D11&lt;=$B$5,F11=$B$6,G11&gt;=$B$7,H11=$B$8),D11,"Not Available")</f>
        <v>Not Available</v>
      </c>
    </row>
    <row r="12" spans="1:9" x14ac:dyDescent="0.25">
      <c r="A12" s="19">
        <v>102</v>
      </c>
      <c r="B12" t="s">
        <v>35</v>
      </c>
      <c r="C12" s="19">
        <v>1</v>
      </c>
      <c r="D12" s="41">
        <v>1150</v>
      </c>
      <c r="E12" s="19" t="s">
        <v>25</v>
      </c>
      <c r="F12" s="19" t="s">
        <v>25</v>
      </c>
      <c r="G12" s="42">
        <v>45352</v>
      </c>
      <c r="H12" s="43" t="s">
        <v>36</v>
      </c>
      <c r="I12" s="44" t="str">
        <f t="shared" ref="I12:I60" si="0">IF(AND(D12&lt;=$B$5,F12=$B$6,G12&gt;=$B$7,H12=$B$8),D12,"Not Available")</f>
        <v>Not Available</v>
      </c>
    </row>
    <row r="13" spans="1:9" ht="14.25" customHeight="1" x14ac:dyDescent="0.25">
      <c r="A13" s="19">
        <v>103</v>
      </c>
      <c r="B13" t="s">
        <v>35</v>
      </c>
      <c r="C13" s="19">
        <v>2</v>
      </c>
      <c r="D13" s="41">
        <v>1200</v>
      </c>
      <c r="E13" s="19" t="s">
        <v>36</v>
      </c>
      <c r="F13" s="19" t="s">
        <v>36</v>
      </c>
      <c r="G13" s="42">
        <v>45245</v>
      </c>
      <c r="H13" s="43" t="s">
        <v>36</v>
      </c>
      <c r="I13" s="44" t="str">
        <f t="shared" si="0"/>
        <v>Not Available</v>
      </c>
    </row>
    <row r="14" spans="1:9" x14ac:dyDescent="0.25">
      <c r="A14" s="19">
        <v>104</v>
      </c>
      <c r="B14" t="s">
        <v>35</v>
      </c>
      <c r="C14" s="19">
        <v>2</v>
      </c>
      <c r="D14" s="41">
        <v>1200</v>
      </c>
      <c r="E14" s="19" t="s">
        <v>25</v>
      </c>
      <c r="F14" s="19" t="s">
        <v>25</v>
      </c>
      <c r="G14" s="42">
        <v>45200</v>
      </c>
      <c r="H14" s="43" t="s">
        <v>36</v>
      </c>
      <c r="I14" s="44" t="str">
        <f t="shared" si="0"/>
        <v>Not Available</v>
      </c>
    </row>
    <row r="15" spans="1:9" x14ac:dyDescent="0.25">
      <c r="A15" s="19">
        <v>105</v>
      </c>
      <c r="B15" t="s">
        <v>35</v>
      </c>
      <c r="C15" s="19">
        <v>3</v>
      </c>
      <c r="D15" s="41">
        <v>2000</v>
      </c>
      <c r="E15" s="19" t="s">
        <v>36</v>
      </c>
      <c r="F15" s="19" t="s">
        <v>36</v>
      </c>
      <c r="G15" s="42">
        <v>45200</v>
      </c>
      <c r="H15" s="43" t="s">
        <v>36</v>
      </c>
      <c r="I15" s="44" t="str">
        <f t="shared" si="0"/>
        <v>Not Available</v>
      </c>
    </row>
    <row r="16" spans="1:9" x14ac:dyDescent="0.25">
      <c r="A16" s="19">
        <v>106</v>
      </c>
      <c r="B16" t="s">
        <v>35</v>
      </c>
      <c r="C16" s="19">
        <v>3</v>
      </c>
      <c r="D16" s="41">
        <v>2000</v>
      </c>
      <c r="E16" s="19" t="s">
        <v>25</v>
      </c>
      <c r="F16" s="19" t="s">
        <v>25</v>
      </c>
      <c r="G16" s="42">
        <v>45823</v>
      </c>
      <c r="H16" s="43" t="s">
        <v>36</v>
      </c>
      <c r="I16" s="44" t="str">
        <f t="shared" si="0"/>
        <v>Not Available</v>
      </c>
    </row>
    <row r="17" spans="1:9" x14ac:dyDescent="0.25">
      <c r="A17" s="19">
        <v>107</v>
      </c>
      <c r="B17" t="s">
        <v>35</v>
      </c>
      <c r="C17" s="19">
        <v>2</v>
      </c>
      <c r="D17" s="41">
        <v>1200</v>
      </c>
      <c r="E17" s="19" t="s">
        <v>36</v>
      </c>
      <c r="F17" s="19" t="s">
        <v>36</v>
      </c>
      <c r="G17" s="42">
        <v>45231</v>
      </c>
      <c r="H17" s="43" t="s">
        <v>36</v>
      </c>
      <c r="I17" s="44" t="str">
        <f t="shared" si="0"/>
        <v>Not Available</v>
      </c>
    </row>
    <row r="18" spans="1:9" x14ac:dyDescent="0.25">
      <c r="A18" s="19">
        <v>108</v>
      </c>
      <c r="B18" t="s">
        <v>35</v>
      </c>
      <c r="C18" s="19">
        <v>2</v>
      </c>
      <c r="D18" s="41">
        <v>1200</v>
      </c>
      <c r="E18" s="19" t="s">
        <v>25</v>
      </c>
      <c r="F18" s="19" t="s">
        <v>25</v>
      </c>
      <c r="G18" s="42">
        <v>45884</v>
      </c>
      <c r="H18" s="43" t="s">
        <v>36</v>
      </c>
      <c r="I18" s="44" t="str">
        <f t="shared" si="0"/>
        <v>Not Available</v>
      </c>
    </row>
    <row r="19" spans="1:9" x14ac:dyDescent="0.25">
      <c r="A19" s="19">
        <v>109</v>
      </c>
      <c r="B19" t="s">
        <v>35</v>
      </c>
      <c r="C19" s="19">
        <v>3</v>
      </c>
      <c r="D19" s="41">
        <v>2000</v>
      </c>
      <c r="E19" s="19" t="s">
        <v>36</v>
      </c>
      <c r="F19" s="19" t="s">
        <v>36</v>
      </c>
      <c r="G19" s="42">
        <v>45884</v>
      </c>
      <c r="H19" s="43" t="s">
        <v>36</v>
      </c>
      <c r="I19" s="44" t="str">
        <f t="shared" si="0"/>
        <v>Not Available</v>
      </c>
    </row>
    <row r="20" spans="1:9" x14ac:dyDescent="0.25">
      <c r="A20" s="19">
        <v>110</v>
      </c>
      <c r="B20" t="s">
        <v>35</v>
      </c>
      <c r="C20" s="19">
        <v>3</v>
      </c>
      <c r="D20" s="41">
        <v>2000</v>
      </c>
      <c r="E20" s="19" t="s">
        <v>25</v>
      </c>
      <c r="F20" s="19" t="s">
        <v>25</v>
      </c>
      <c r="G20" s="42">
        <v>45569</v>
      </c>
      <c r="H20" s="43" t="s">
        <v>36</v>
      </c>
      <c r="I20" s="44" t="str">
        <f t="shared" si="0"/>
        <v>Not Available</v>
      </c>
    </row>
    <row r="21" spans="1:9" x14ac:dyDescent="0.25">
      <c r="A21" s="19">
        <v>201</v>
      </c>
      <c r="B21" t="s">
        <v>35</v>
      </c>
      <c r="C21" s="19">
        <v>1</v>
      </c>
      <c r="D21" s="41">
        <v>1050</v>
      </c>
      <c r="E21" s="19" t="s">
        <v>25</v>
      </c>
      <c r="F21" s="19" t="s">
        <v>25</v>
      </c>
      <c r="G21" s="42">
        <v>45760</v>
      </c>
      <c r="H21" s="43" t="s">
        <v>36</v>
      </c>
      <c r="I21" s="44" t="str">
        <f t="shared" si="0"/>
        <v>Not Available</v>
      </c>
    </row>
    <row r="22" spans="1:9" x14ac:dyDescent="0.25">
      <c r="A22" s="19">
        <v>202</v>
      </c>
      <c r="B22" t="s">
        <v>35</v>
      </c>
      <c r="C22" s="19">
        <v>1</v>
      </c>
      <c r="D22" s="41">
        <v>1050</v>
      </c>
      <c r="E22" s="19" t="s">
        <v>25</v>
      </c>
      <c r="F22" s="19" t="s">
        <v>25</v>
      </c>
      <c r="G22" s="42">
        <v>45352</v>
      </c>
      <c r="H22" s="43" t="s">
        <v>36</v>
      </c>
      <c r="I22" s="44" t="str">
        <f t="shared" si="0"/>
        <v>Not Available</v>
      </c>
    </row>
    <row r="23" spans="1:9" x14ac:dyDescent="0.25">
      <c r="A23" s="19">
        <v>203</v>
      </c>
      <c r="B23" t="s">
        <v>35</v>
      </c>
      <c r="C23" s="19">
        <v>2</v>
      </c>
      <c r="D23" s="41">
        <v>1025</v>
      </c>
      <c r="E23" s="19" t="s">
        <v>25</v>
      </c>
      <c r="F23" s="19" t="s">
        <v>25</v>
      </c>
      <c r="G23" s="42">
        <v>45748</v>
      </c>
      <c r="H23" s="43" t="s">
        <v>36</v>
      </c>
      <c r="I23" s="44" t="str">
        <f t="shared" si="0"/>
        <v>Not Available</v>
      </c>
    </row>
    <row r="24" spans="1:9" x14ac:dyDescent="0.25">
      <c r="A24" s="19">
        <v>204</v>
      </c>
      <c r="B24" t="s">
        <v>35</v>
      </c>
      <c r="C24" s="19">
        <v>2</v>
      </c>
      <c r="D24" s="41">
        <v>1025</v>
      </c>
      <c r="E24" s="19" t="s">
        <v>36</v>
      </c>
      <c r="F24" s="19" t="s">
        <v>36</v>
      </c>
      <c r="G24" s="42">
        <v>45383</v>
      </c>
      <c r="H24" s="43" t="s">
        <v>36</v>
      </c>
      <c r="I24" s="44" t="str">
        <f t="shared" si="0"/>
        <v>Not Available</v>
      </c>
    </row>
    <row r="25" spans="1:9" x14ac:dyDescent="0.25">
      <c r="A25" s="19">
        <v>205</v>
      </c>
      <c r="B25" t="s">
        <v>35</v>
      </c>
      <c r="C25" s="19">
        <v>3</v>
      </c>
      <c r="D25" s="41">
        <v>1050</v>
      </c>
      <c r="E25" s="19" t="s">
        <v>25</v>
      </c>
      <c r="F25" s="19" t="s">
        <v>25</v>
      </c>
      <c r="G25" s="42">
        <v>45884</v>
      </c>
      <c r="H25" s="43" t="s">
        <v>36</v>
      </c>
      <c r="I25" s="44" t="str">
        <f t="shared" si="0"/>
        <v>Not Available</v>
      </c>
    </row>
    <row r="26" spans="1:9" x14ac:dyDescent="0.25">
      <c r="A26" s="19">
        <v>206</v>
      </c>
      <c r="B26" t="s">
        <v>35</v>
      </c>
      <c r="C26" s="19">
        <v>3</v>
      </c>
      <c r="D26" s="41">
        <v>1050</v>
      </c>
      <c r="E26" s="19" t="s">
        <v>36</v>
      </c>
      <c r="F26" s="19" t="s">
        <v>36</v>
      </c>
      <c r="G26" s="42">
        <v>45108</v>
      </c>
      <c r="H26" s="43" t="s">
        <v>36</v>
      </c>
      <c r="I26" s="44" t="str">
        <f t="shared" si="0"/>
        <v>Not Available</v>
      </c>
    </row>
    <row r="27" spans="1:9" x14ac:dyDescent="0.25">
      <c r="A27" s="19">
        <v>207</v>
      </c>
      <c r="B27" t="s">
        <v>35</v>
      </c>
      <c r="C27" s="19">
        <v>2</v>
      </c>
      <c r="D27" s="41">
        <v>1025</v>
      </c>
      <c r="E27" s="19" t="s">
        <v>25</v>
      </c>
      <c r="F27" s="19" t="s">
        <v>25</v>
      </c>
      <c r="G27" s="42">
        <v>45139</v>
      </c>
      <c r="H27" s="43" t="s">
        <v>36</v>
      </c>
      <c r="I27" s="44" t="str">
        <f t="shared" si="0"/>
        <v>Not Available</v>
      </c>
    </row>
    <row r="28" spans="1:9" x14ac:dyDescent="0.25">
      <c r="A28" s="19">
        <v>208</v>
      </c>
      <c r="B28" t="s">
        <v>35</v>
      </c>
      <c r="C28" s="19">
        <v>2</v>
      </c>
      <c r="D28" s="41">
        <v>1025</v>
      </c>
      <c r="E28" s="19" t="s">
        <v>25</v>
      </c>
      <c r="F28" s="19" t="s">
        <v>25</v>
      </c>
      <c r="G28" s="42">
        <v>45139</v>
      </c>
      <c r="H28" s="43" t="s">
        <v>36</v>
      </c>
      <c r="I28" s="44" t="str">
        <f t="shared" si="0"/>
        <v>Not Available</v>
      </c>
    </row>
    <row r="29" spans="1:9" x14ac:dyDescent="0.25">
      <c r="A29" s="19">
        <v>209</v>
      </c>
      <c r="B29" t="s">
        <v>35</v>
      </c>
      <c r="C29" s="19">
        <v>3</v>
      </c>
      <c r="D29" s="41">
        <v>1050</v>
      </c>
      <c r="E29" s="19" t="s">
        <v>36</v>
      </c>
      <c r="F29" s="19" t="s">
        <v>36</v>
      </c>
      <c r="G29" s="42">
        <v>45139</v>
      </c>
      <c r="H29" s="43" t="s">
        <v>36</v>
      </c>
      <c r="I29" s="44" t="str">
        <f t="shared" si="0"/>
        <v>Not Available</v>
      </c>
    </row>
    <row r="30" spans="1:9" x14ac:dyDescent="0.25">
      <c r="A30" s="19">
        <v>210</v>
      </c>
      <c r="B30" t="s">
        <v>35</v>
      </c>
      <c r="C30" s="19">
        <v>3</v>
      </c>
      <c r="D30" s="41">
        <v>1050</v>
      </c>
      <c r="E30" s="19" t="s">
        <v>25</v>
      </c>
      <c r="F30" s="19" t="s">
        <v>25</v>
      </c>
      <c r="G30" s="42">
        <v>45600</v>
      </c>
      <c r="H30" s="43" t="s">
        <v>36</v>
      </c>
      <c r="I30" s="44" t="str">
        <f t="shared" si="0"/>
        <v>Not Available</v>
      </c>
    </row>
    <row r="31" spans="1:9" x14ac:dyDescent="0.25">
      <c r="A31" s="19">
        <v>301</v>
      </c>
      <c r="B31" t="s">
        <v>37</v>
      </c>
      <c r="C31" s="19">
        <v>1</v>
      </c>
      <c r="D31" s="41">
        <v>1050</v>
      </c>
      <c r="E31" s="19" t="s">
        <v>36</v>
      </c>
      <c r="F31" s="19" t="s">
        <v>36</v>
      </c>
      <c r="G31" s="42">
        <v>45762</v>
      </c>
      <c r="H31" s="43" t="s">
        <v>25</v>
      </c>
      <c r="I31" s="44" t="str">
        <f t="shared" si="0"/>
        <v>Not Available</v>
      </c>
    </row>
    <row r="32" spans="1:9" x14ac:dyDescent="0.25">
      <c r="A32" s="19">
        <v>302</v>
      </c>
      <c r="B32" t="s">
        <v>37</v>
      </c>
      <c r="C32" s="19">
        <v>1</v>
      </c>
      <c r="D32" s="41">
        <v>1050</v>
      </c>
      <c r="E32" s="19" t="s">
        <v>36</v>
      </c>
      <c r="F32" s="19" t="s">
        <v>36</v>
      </c>
      <c r="G32" s="42">
        <v>45047</v>
      </c>
      <c r="H32" s="43" t="s">
        <v>25</v>
      </c>
      <c r="I32" s="44" t="str">
        <f t="shared" si="0"/>
        <v>Not Available</v>
      </c>
    </row>
    <row r="33" spans="1:9" x14ac:dyDescent="0.25">
      <c r="A33" s="19">
        <v>303</v>
      </c>
      <c r="B33" t="s">
        <v>37</v>
      </c>
      <c r="C33" s="19">
        <v>1</v>
      </c>
      <c r="D33" s="41">
        <v>1000</v>
      </c>
      <c r="E33" s="19" t="s">
        <v>36</v>
      </c>
      <c r="F33" s="19" t="s">
        <v>36</v>
      </c>
      <c r="G33" s="42">
        <v>45417</v>
      </c>
      <c r="H33" s="43" t="s">
        <v>25</v>
      </c>
      <c r="I33" s="44" t="str">
        <f t="shared" si="0"/>
        <v>Not Available</v>
      </c>
    </row>
    <row r="34" spans="1:9" x14ac:dyDescent="0.25">
      <c r="A34" s="19">
        <v>304</v>
      </c>
      <c r="B34" t="s">
        <v>37</v>
      </c>
      <c r="C34" s="19">
        <v>1</v>
      </c>
      <c r="D34" s="41">
        <v>1000</v>
      </c>
      <c r="E34" s="19" t="s">
        <v>25</v>
      </c>
      <c r="F34" s="19" t="s">
        <v>25</v>
      </c>
      <c r="G34" s="42">
        <v>45417</v>
      </c>
      <c r="H34" s="43" t="s">
        <v>25</v>
      </c>
      <c r="I34" s="44">
        <f t="shared" si="0"/>
        <v>1000</v>
      </c>
    </row>
    <row r="35" spans="1:9" x14ac:dyDescent="0.25">
      <c r="A35" s="19">
        <v>305</v>
      </c>
      <c r="B35" t="s">
        <v>37</v>
      </c>
      <c r="C35" s="19">
        <v>2</v>
      </c>
      <c r="D35" s="41">
        <v>1350</v>
      </c>
      <c r="E35" s="19" t="s">
        <v>36</v>
      </c>
      <c r="F35" s="19" t="s">
        <v>36</v>
      </c>
      <c r="G35" s="42">
        <v>45569</v>
      </c>
      <c r="H35" s="43" t="s">
        <v>25</v>
      </c>
      <c r="I35" s="44" t="str">
        <f t="shared" si="0"/>
        <v>Not Available</v>
      </c>
    </row>
    <row r="36" spans="1:9" x14ac:dyDescent="0.25">
      <c r="A36" s="19">
        <v>306</v>
      </c>
      <c r="B36" t="s">
        <v>37</v>
      </c>
      <c r="C36" s="19">
        <v>2</v>
      </c>
      <c r="D36" s="41">
        <v>1350</v>
      </c>
      <c r="E36" s="19" t="s">
        <v>25</v>
      </c>
      <c r="F36" s="19" t="s">
        <v>25</v>
      </c>
      <c r="G36" s="42">
        <v>45092</v>
      </c>
      <c r="H36" s="43" t="s">
        <v>25</v>
      </c>
      <c r="I36" s="44">
        <f t="shared" si="0"/>
        <v>1350</v>
      </c>
    </row>
    <row r="37" spans="1:9" x14ac:dyDescent="0.25">
      <c r="A37" s="19">
        <v>307</v>
      </c>
      <c r="B37" t="s">
        <v>37</v>
      </c>
      <c r="C37" s="19">
        <v>2</v>
      </c>
      <c r="D37" s="41">
        <v>1350</v>
      </c>
      <c r="E37" s="19" t="s">
        <v>25</v>
      </c>
      <c r="F37" s="19" t="s">
        <v>25</v>
      </c>
      <c r="G37" s="42">
        <v>45838</v>
      </c>
      <c r="H37" s="43" t="s">
        <v>25</v>
      </c>
      <c r="I37" s="44">
        <f t="shared" si="0"/>
        <v>1350</v>
      </c>
    </row>
    <row r="38" spans="1:9" x14ac:dyDescent="0.25">
      <c r="A38" s="19">
        <v>308</v>
      </c>
      <c r="B38" t="s">
        <v>37</v>
      </c>
      <c r="C38" s="19">
        <v>2</v>
      </c>
      <c r="D38" s="41">
        <v>1350</v>
      </c>
      <c r="E38" s="19" t="s">
        <v>36</v>
      </c>
      <c r="F38" s="19" t="s">
        <v>36</v>
      </c>
      <c r="G38" s="42">
        <v>45930</v>
      </c>
      <c r="H38" s="43" t="s">
        <v>25</v>
      </c>
      <c r="I38" s="44" t="str">
        <f t="shared" si="0"/>
        <v>Not Available</v>
      </c>
    </row>
    <row r="39" spans="1:9" x14ac:dyDescent="0.25">
      <c r="A39" s="19">
        <v>401</v>
      </c>
      <c r="B39" t="s">
        <v>38</v>
      </c>
      <c r="C39" s="19">
        <v>1</v>
      </c>
      <c r="D39" s="41">
        <v>1050</v>
      </c>
      <c r="E39" s="19" t="s">
        <v>36</v>
      </c>
      <c r="F39" s="19" t="s">
        <v>36</v>
      </c>
      <c r="G39" s="42">
        <v>45108</v>
      </c>
      <c r="H39" s="43" t="s">
        <v>25</v>
      </c>
      <c r="I39" s="44" t="str">
        <f t="shared" si="0"/>
        <v>Not Available</v>
      </c>
    </row>
    <row r="40" spans="1:9" x14ac:dyDescent="0.25">
      <c r="A40" s="19">
        <v>402</v>
      </c>
      <c r="B40" t="s">
        <v>38</v>
      </c>
      <c r="C40" s="19">
        <v>2</v>
      </c>
      <c r="D40" s="41">
        <v>1150</v>
      </c>
      <c r="E40" s="19" t="s">
        <v>36</v>
      </c>
      <c r="F40" s="19" t="s">
        <v>36</v>
      </c>
      <c r="G40" s="42">
        <v>45139</v>
      </c>
      <c r="H40" s="43" t="s">
        <v>25</v>
      </c>
      <c r="I40" s="44" t="str">
        <f t="shared" si="0"/>
        <v>Not Available</v>
      </c>
    </row>
    <row r="41" spans="1:9" x14ac:dyDescent="0.25">
      <c r="A41" s="19">
        <v>403</v>
      </c>
      <c r="B41" t="s">
        <v>38</v>
      </c>
      <c r="C41" s="19">
        <v>3</v>
      </c>
      <c r="D41" s="41">
        <v>1350</v>
      </c>
      <c r="E41" s="19" t="s">
        <v>25</v>
      </c>
      <c r="F41" s="19" t="s">
        <v>25</v>
      </c>
      <c r="G41" s="42">
        <v>45417</v>
      </c>
      <c r="H41" s="43" t="s">
        <v>25</v>
      </c>
      <c r="I41" s="44">
        <f t="shared" si="0"/>
        <v>1350</v>
      </c>
    </row>
    <row r="42" spans="1:9" x14ac:dyDescent="0.25">
      <c r="A42" s="19">
        <v>404</v>
      </c>
      <c r="B42" t="s">
        <v>38</v>
      </c>
      <c r="C42" s="19">
        <v>1</v>
      </c>
      <c r="D42" s="41">
        <v>1050</v>
      </c>
      <c r="E42" s="19" t="s">
        <v>36</v>
      </c>
      <c r="F42" s="19" t="s">
        <v>36</v>
      </c>
      <c r="G42" s="42">
        <v>45569</v>
      </c>
      <c r="H42" s="43" t="s">
        <v>25</v>
      </c>
      <c r="I42" s="44" t="str">
        <f t="shared" si="0"/>
        <v>Not Available</v>
      </c>
    </row>
    <row r="43" spans="1:9" x14ac:dyDescent="0.25">
      <c r="A43" s="19">
        <v>405</v>
      </c>
      <c r="B43" t="s">
        <v>38</v>
      </c>
      <c r="C43" s="19">
        <v>2</v>
      </c>
      <c r="D43" s="41">
        <v>1150</v>
      </c>
      <c r="E43" s="19" t="s">
        <v>25</v>
      </c>
      <c r="F43" s="19" t="s">
        <v>25</v>
      </c>
      <c r="G43" s="42">
        <v>45092</v>
      </c>
      <c r="H43" s="43" t="s">
        <v>25</v>
      </c>
      <c r="I43" s="44">
        <f t="shared" si="0"/>
        <v>1150</v>
      </c>
    </row>
    <row r="44" spans="1:9" x14ac:dyDescent="0.25">
      <c r="A44" s="19">
        <v>406</v>
      </c>
      <c r="B44" t="s">
        <v>38</v>
      </c>
      <c r="C44" s="19">
        <v>3</v>
      </c>
      <c r="D44" s="41">
        <v>1350</v>
      </c>
      <c r="E44" s="19" t="s">
        <v>36</v>
      </c>
      <c r="F44" s="19" t="s">
        <v>36</v>
      </c>
      <c r="G44" s="42">
        <v>45748</v>
      </c>
      <c r="H44" s="43" t="s">
        <v>25</v>
      </c>
      <c r="I44" s="44" t="str">
        <f t="shared" si="0"/>
        <v>Not Available</v>
      </c>
    </row>
    <row r="45" spans="1:9" x14ac:dyDescent="0.25">
      <c r="A45" s="19">
        <v>407</v>
      </c>
      <c r="B45" t="s">
        <v>38</v>
      </c>
      <c r="C45" s="19">
        <v>2</v>
      </c>
      <c r="D45" s="41">
        <v>1075</v>
      </c>
      <c r="E45" s="19" t="s">
        <v>25</v>
      </c>
      <c r="F45" s="19" t="s">
        <v>25</v>
      </c>
      <c r="G45" s="42">
        <v>45352</v>
      </c>
      <c r="H45" s="43" t="s">
        <v>25</v>
      </c>
      <c r="I45" s="44">
        <f t="shared" si="0"/>
        <v>1075</v>
      </c>
    </row>
    <row r="46" spans="1:9" x14ac:dyDescent="0.25">
      <c r="A46" s="19">
        <v>408</v>
      </c>
      <c r="B46" t="s">
        <v>38</v>
      </c>
      <c r="C46" s="19">
        <v>2</v>
      </c>
      <c r="D46" s="41">
        <v>1075</v>
      </c>
      <c r="E46" s="19" t="s">
        <v>25</v>
      </c>
      <c r="F46" s="19" t="s">
        <v>25</v>
      </c>
      <c r="G46" s="42">
        <v>45245</v>
      </c>
      <c r="H46" s="43" t="s">
        <v>25</v>
      </c>
      <c r="I46" s="44">
        <f t="shared" si="0"/>
        <v>1075</v>
      </c>
    </row>
    <row r="47" spans="1:9" x14ac:dyDescent="0.25">
      <c r="A47" s="19">
        <v>501</v>
      </c>
      <c r="B47" t="s">
        <v>39</v>
      </c>
      <c r="C47" s="19">
        <v>1</v>
      </c>
      <c r="D47" s="41">
        <v>1050</v>
      </c>
      <c r="E47" s="19" t="s">
        <v>25</v>
      </c>
      <c r="F47" s="19" t="s">
        <v>25</v>
      </c>
      <c r="G47" s="42">
        <v>45200</v>
      </c>
      <c r="H47" s="43" t="s">
        <v>25</v>
      </c>
      <c r="I47" s="44">
        <f t="shared" si="0"/>
        <v>1050</v>
      </c>
    </row>
    <row r="48" spans="1:9" x14ac:dyDescent="0.25">
      <c r="A48" s="19">
        <v>502</v>
      </c>
      <c r="B48" t="s">
        <v>39</v>
      </c>
      <c r="C48" s="19">
        <v>1</v>
      </c>
      <c r="D48" s="41">
        <v>1050</v>
      </c>
      <c r="E48" s="19" t="s">
        <v>36</v>
      </c>
      <c r="F48" s="19" t="s">
        <v>36</v>
      </c>
      <c r="G48" s="42">
        <v>45139</v>
      </c>
      <c r="H48" s="43" t="s">
        <v>25</v>
      </c>
      <c r="I48" s="44" t="str">
        <f t="shared" si="0"/>
        <v>Not Available</v>
      </c>
    </row>
    <row r="49" spans="1:9" x14ac:dyDescent="0.25">
      <c r="A49" s="19">
        <v>503</v>
      </c>
      <c r="B49" t="s">
        <v>39</v>
      </c>
      <c r="C49" s="19">
        <v>1</v>
      </c>
      <c r="D49" s="41">
        <v>1050</v>
      </c>
      <c r="E49" s="19" t="s">
        <v>36</v>
      </c>
      <c r="F49" s="19" t="s">
        <v>36</v>
      </c>
      <c r="G49" s="42">
        <v>45139</v>
      </c>
      <c r="H49" s="43" t="s">
        <v>25</v>
      </c>
      <c r="I49" s="44" t="str">
        <f t="shared" si="0"/>
        <v>Not Available</v>
      </c>
    </row>
    <row r="50" spans="1:9" x14ac:dyDescent="0.25">
      <c r="A50" s="19">
        <v>504</v>
      </c>
      <c r="B50" t="s">
        <v>39</v>
      </c>
      <c r="C50" s="19">
        <v>1</v>
      </c>
      <c r="D50" s="41">
        <v>1050</v>
      </c>
      <c r="E50" s="19" t="s">
        <v>25</v>
      </c>
      <c r="F50" s="19" t="s">
        <v>25</v>
      </c>
      <c r="G50" s="42">
        <v>45109</v>
      </c>
      <c r="H50" s="43" t="s">
        <v>25</v>
      </c>
      <c r="I50" s="44">
        <f t="shared" si="0"/>
        <v>1050</v>
      </c>
    </row>
    <row r="51" spans="1:9" x14ac:dyDescent="0.25">
      <c r="A51" s="19">
        <v>505</v>
      </c>
      <c r="B51" t="s">
        <v>39</v>
      </c>
      <c r="C51" s="19">
        <v>2</v>
      </c>
      <c r="D51" s="41">
        <v>1200</v>
      </c>
      <c r="E51" s="19" t="s">
        <v>36</v>
      </c>
      <c r="F51" s="19" t="s">
        <v>36</v>
      </c>
      <c r="G51" s="42">
        <v>45109</v>
      </c>
      <c r="H51" s="43" t="s">
        <v>25</v>
      </c>
      <c r="I51" s="44" t="str">
        <f t="shared" si="0"/>
        <v>Not Available</v>
      </c>
    </row>
    <row r="52" spans="1:9" x14ac:dyDescent="0.25">
      <c r="A52" s="19">
        <v>506</v>
      </c>
      <c r="B52" t="s">
        <v>39</v>
      </c>
      <c r="C52" s="19">
        <v>2</v>
      </c>
      <c r="D52" s="41">
        <v>1200</v>
      </c>
      <c r="E52" s="19" t="s">
        <v>25</v>
      </c>
      <c r="F52" s="19" t="s">
        <v>25</v>
      </c>
      <c r="G52" s="42">
        <v>45575</v>
      </c>
      <c r="H52" s="43" t="s">
        <v>25</v>
      </c>
      <c r="I52" s="44">
        <f t="shared" si="0"/>
        <v>1200</v>
      </c>
    </row>
    <row r="53" spans="1:9" x14ac:dyDescent="0.25">
      <c r="A53" s="19">
        <v>507</v>
      </c>
      <c r="B53" t="s">
        <v>39</v>
      </c>
      <c r="C53" s="19">
        <v>2</v>
      </c>
      <c r="D53" s="41">
        <v>1200</v>
      </c>
      <c r="E53" s="19" t="s">
        <v>36</v>
      </c>
      <c r="F53" s="19" t="s">
        <v>36</v>
      </c>
      <c r="G53" s="42">
        <v>45575</v>
      </c>
      <c r="H53" s="43" t="s">
        <v>25</v>
      </c>
      <c r="I53" s="44" t="str">
        <f t="shared" si="0"/>
        <v>Not Available</v>
      </c>
    </row>
    <row r="54" spans="1:9" x14ac:dyDescent="0.25">
      <c r="A54" s="19">
        <v>601</v>
      </c>
      <c r="B54" t="s">
        <v>40</v>
      </c>
      <c r="C54" s="19">
        <v>1</v>
      </c>
      <c r="D54" s="41">
        <v>2000</v>
      </c>
      <c r="E54" s="19" t="s">
        <v>25</v>
      </c>
      <c r="F54" s="19" t="s">
        <v>25</v>
      </c>
      <c r="G54" s="42">
        <v>45884</v>
      </c>
      <c r="H54" s="43" t="s">
        <v>36</v>
      </c>
      <c r="I54" s="44" t="str">
        <f t="shared" si="0"/>
        <v>Not Available</v>
      </c>
    </row>
    <row r="55" spans="1:9" x14ac:dyDescent="0.25">
      <c r="A55" s="19">
        <v>602</v>
      </c>
      <c r="B55" t="s">
        <v>40</v>
      </c>
      <c r="C55" s="19">
        <v>1</v>
      </c>
      <c r="D55" s="41">
        <v>2000</v>
      </c>
      <c r="E55" s="19" t="s">
        <v>25</v>
      </c>
      <c r="F55" s="19" t="s">
        <v>25</v>
      </c>
      <c r="G55" s="42">
        <v>45231</v>
      </c>
      <c r="H55" s="43" t="s">
        <v>36</v>
      </c>
      <c r="I55" s="44" t="str">
        <f t="shared" si="0"/>
        <v>Not Available</v>
      </c>
    </row>
    <row r="56" spans="1:9" x14ac:dyDescent="0.25">
      <c r="A56" s="19">
        <v>603</v>
      </c>
      <c r="B56" t="s">
        <v>40</v>
      </c>
      <c r="C56" s="19">
        <v>2</v>
      </c>
      <c r="D56" s="41">
        <v>1350</v>
      </c>
      <c r="E56" s="19" t="s">
        <v>36</v>
      </c>
      <c r="F56" s="19" t="s">
        <v>36</v>
      </c>
      <c r="G56" s="42">
        <v>45884</v>
      </c>
      <c r="H56" s="43" t="s">
        <v>36</v>
      </c>
      <c r="I56" s="44" t="str">
        <f t="shared" si="0"/>
        <v>Not Available</v>
      </c>
    </row>
    <row r="57" spans="1:9" x14ac:dyDescent="0.25">
      <c r="A57" s="19">
        <v>604</v>
      </c>
      <c r="B57" t="s">
        <v>40</v>
      </c>
      <c r="C57" s="19">
        <v>2</v>
      </c>
      <c r="D57" s="41">
        <v>1350</v>
      </c>
      <c r="E57" s="19" t="s">
        <v>25</v>
      </c>
      <c r="F57" s="19" t="s">
        <v>25</v>
      </c>
      <c r="G57" s="42">
        <v>45261</v>
      </c>
      <c r="H57" s="43" t="s">
        <v>36</v>
      </c>
      <c r="I57" s="44" t="str">
        <f t="shared" si="0"/>
        <v>Not Available</v>
      </c>
    </row>
    <row r="58" spans="1:9" x14ac:dyDescent="0.25">
      <c r="A58" s="19">
        <v>605</v>
      </c>
      <c r="B58" t="s">
        <v>40</v>
      </c>
      <c r="C58" s="19">
        <v>3</v>
      </c>
      <c r="D58" s="41">
        <v>2500</v>
      </c>
      <c r="E58" s="19" t="s">
        <v>36</v>
      </c>
      <c r="F58" s="19" t="s">
        <v>36</v>
      </c>
      <c r="G58" s="42">
        <v>45260</v>
      </c>
      <c r="H58" s="43" t="s">
        <v>36</v>
      </c>
      <c r="I58" s="44" t="str">
        <f t="shared" si="0"/>
        <v>Not Available</v>
      </c>
    </row>
    <row r="59" spans="1:9" x14ac:dyDescent="0.25">
      <c r="A59" s="19">
        <v>606</v>
      </c>
      <c r="B59" t="s">
        <v>40</v>
      </c>
      <c r="C59" s="19">
        <v>3</v>
      </c>
      <c r="D59" s="41">
        <v>2500</v>
      </c>
      <c r="E59" s="19" t="s">
        <v>25</v>
      </c>
      <c r="F59" s="19" t="s">
        <v>25</v>
      </c>
      <c r="G59" s="42">
        <v>45746</v>
      </c>
      <c r="H59" s="43" t="s">
        <v>36</v>
      </c>
      <c r="I59" s="44" t="str">
        <f t="shared" si="0"/>
        <v>Not Available</v>
      </c>
    </row>
    <row r="60" spans="1:9" x14ac:dyDescent="0.25">
      <c r="A60" s="19">
        <v>607</v>
      </c>
      <c r="B60" t="s">
        <v>40</v>
      </c>
      <c r="C60" s="19">
        <v>3</v>
      </c>
      <c r="D60" s="41">
        <v>2500</v>
      </c>
      <c r="E60" s="19" t="s">
        <v>36</v>
      </c>
      <c r="F60" s="19" t="s">
        <v>36</v>
      </c>
      <c r="G60" s="42">
        <v>45746</v>
      </c>
      <c r="H60" s="43" t="s">
        <v>36</v>
      </c>
      <c r="I60" s="44" t="str">
        <f t="shared" si="0"/>
        <v>Not Available</v>
      </c>
    </row>
    <row r="69" spans="2:8" x14ac:dyDescent="0.25">
      <c r="G69" s="45"/>
      <c r="H69" s="45"/>
    </row>
    <row r="70" spans="2:8" x14ac:dyDescent="0.25">
      <c r="B70" s="46"/>
    </row>
  </sheetData>
  <autoFilter ref="A10:G60" xr:uid="{82E5E303-ECD2-4D69-8AAD-046CB3C13CB4}"/>
  <mergeCells count="1">
    <mergeCell ref="A1:I2"/>
  </mergeCells>
  <conditionalFormatting sqref="I11:I60">
    <cfRule type="expression" dxfId="2" priority="1">
      <formula>AND(D11&lt;=$B$5,F11=$B$6,G11&gt;=$B$7,H11=$B$8)</formula>
    </cfRule>
  </conditionalFormatting>
  <pageMargins left="0.5" right="0.5" top="0.75" bottom="0.75" header="0.3" footer="0.3"/>
  <pageSetup scale="95" fitToHeight="2" orientation="landscape" horizontalDpi="4294967293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A7A2-5EEC-4A08-92AB-57C8E74FB58D}">
  <sheetPr>
    <tabColor theme="5"/>
  </sheetPr>
  <dimension ref="A1:J25"/>
  <sheetViews>
    <sheetView tabSelected="1" zoomScaleNormal="100" workbookViewId="0">
      <selection activeCell="B23" sqref="B23"/>
    </sheetView>
  </sheetViews>
  <sheetFormatPr defaultRowHeight="15" x14ac:dyDescent="0.25"/>
  <cols>
    <col min="1" max="1" width="18.7109375" customWidth="1"/>
    <col min="2" max="2" width="9.85546875" customWidth="1"/>
    <col min="3" max="3" width="9.42578125" customWidth="1"/>
    <col min="4" max="5" width="11.7109375" customWidth="1"/>
    <col min="7" max="7" width="11.5703125" bestFit="1" customWidth="1"/>
    <col min="9" max="9" width="10.7109375" customWidth="1"/>
    <col min="10" max="10" width="12.42578125" customWidth="1"/>
  </cols>
  <sheetData>
    <row r="1" spans="1:10" ht="26.25" x14ac:dyDescent="0.4">
      <c r="A1" s="109" t="s">
        <v>129</v>
      </c>
      <c r="B1" s="109"/>
      <c r="C1" s="109"/>
      <c r="D1" s="109"/>
      <c r="E1" s="109"/>
      <c r="F1" s="109"/>
      <c r="G1" s="109"/>
    </row>
    <row r="2" spans="1:10" x14ac:dyDescent="0.25">
      <c r="A2" s="56">
        <v>45401</v>
      </c>
      <c r="B2" s="56"/>
      <c r="C2" s="56"/>
      <c r="D2" s="56"/>
      <c r="E2" s="56"/>
      <c r="F2" s="56"/>
      <c r="G2" s="56"/>
    </row>
    <row r="3" spans="1:10" x14ac:dyDescent="0.25">
      <c r="G3" s="57"/>
    </row>
    <row r="4" spans="1:10" ht="30" customHeight="1" x14ac:dyDescent="0.25">
      <c r="A4" s="58" t="s">
        <v>96</v>
      </c>
      <c r="B4" s="59" t="s">
        <v>97</v>
      </c>
      <c r="C4" s="59" t="s">
        <v>98</v>
      </c>
      <c r="D4" s="59" t="s">
        <v>99</v>
      </c>
      <c r="E4" s="59" t="s">
        <v>100</v>
      </c>
      <c r="F4" s="59" t="s">
        <v>101</v>
      </c>
      <c r="G4" s="60" t="s">
        <v>102</v>
      </c>
      <c r="I4" s="61" t="s">
        <v>103</v>
      </c>
      <c r="J4" s="62" t="s">
        <v>104</v>
      </c>
    </row>
    <row r="5" spans="1:10" x14ac:dyDescent="0.25">
      <c r="A5" s="63" t="s">
        <v>105</v>
      </c>
      <c r="B5" s="64"/>
      <c r="C5" s="64"/>
      <c r="D5" s="64"/>
      <c r="E5" s="64"/>
      <c r="F5" s="64"/>
      <c r="G5" s="65"/>
      <c r="I5" s="66" t="s">
        <v>106</v>
      </c>
      <c r="J5" s="67">
        <f>AVERAGEIF(A$6:A$18,I5,C$6:C$18)</f>
        <v>166.33333333333334</v>
      </c>
    </row>
    <row r="6" spans="1:10" x14ac:dyDescent="0.25">
      <c r="A6" s="68" t="s">
        <v>106</v>
      </c>
      <c r="B6" s="69">
        <v>192</v>
      </c>
      <c r="C6" s="69">
        <v>189</v>
      </c>
      <c r="D6" s="70">
        <f>C6/B6</f>
        <v>0.984375</v>
      </c>
      <c r="E6" s="71">
        <f>1-D6</f>
        <v>1.5625E-2</v>
      </c>
      <c r="F6" s="72">
        <v>130</v>
      </c>
      <c r="G6" s="73">
        <f>C6*F6</f>
        <v>24570</v>
      </c>
      <c r="I6" s="66" t="s">
        <v>107</v>
      </c>
      <c r="J6" s="67">
        <f>AVERAGEIF(A$6:A$18,I6,C$6:C$18)</f>
        <v>255.66666666666666</v>
      </c>
    </row>
    <row r="7" spans="1:10" x14ac:dyDescent="0.25">
      <c r="A7" s="68" t="s">
        <v>107</v>
      </c>
      <c r="B7" s="69">
        <v>350</v>
      </c>
      <c r="C7" s="69">
        <v>350</v>
      </c>
      <c r="D7" s="70">
        <f t="shared" ref="D7:D20" si="0">C7/B7</f>
        <v>1</v>
      </c>
      <c r="E7" s="71">
        <f t="shared" ref="E7:E19" si="1">1-D7</f>
        <v>0</v>
      </c>
      <c r="F7" s="72">
        <v>155</v>
      </c>
      <c r="G7" s="73">
        <f t="shared" ref="G7:G18" si="2">C7*F7</f>
        <v>54250</v>
      </c>
      <c r="I7" s="74" t="s">
        <v>108</v>
      </c>
      <c r="J7" s="75">
        <f>AVERAGEIF(A$6:A$18,I7,C$6:C$18)</f>
        <v>156</v>
      </c>
    </row>
    <row r="8" spans="1:10" x14ac:dyDescent="0.25">
      <c r="A8" s="68" t="s">
        <v>108</v>
      </c>
      <c r="B8" s="69">
        <v>192</v>
      </c>
      <c r="C8" s="69">
        <v>190</v>
      </c>
      <c r="D8" s="70">
        <f t="shared" si="0"/>
        <v>0.98958333333333337</v>
      </c>
      <c r="E8" s="71">
        <f t="shared" si="1"/>
        <v>1.041666666666663E-2</v>
      </c>
      <c r="F8" s="72">
        <v>130</v>
      </c>
      <c r="G8" s="73">
        <f t="shared" si="2"/>
        <v>24700</v>
      </c>
    </row>
    <row r="9" spans="1:10" x14ac:dyDescent="0.25">
      <c r="A9" s="76" t="s">
        <v>109</v>
      </c>
      <c r="B9" s="77">
        <f>SUM(B6:B8)</f>
        <v>734</v>
      </c>
      <c r="C9" s="77">
        <f>SUM(C6:C8)</f>
        <v>729</v>
      </c>
      <c r="D9" s="78">
        <f t="shared" si="0"/>
        <v>0.99318801089918252</v>
      </c>
      <c r="E9" s="79">
        <f t="shared" si="1"/>
        <v>6.8119891008174838E-3</v>
      </c>
      <c r="F9" s="80"/>
      <c r="G9" s="81">
        <f>SUM(G6:G8)</f>
        <v>103520</v>
      </c>
    </row>
    <row r="10" spans="1:10" x14ac:dyDescent="0.25">
      <c r="A10" s="63" t="s">
        <v>110</v>
      </c>
      <c r="B10" s="69"/>
      <c r="C10" s="69"/>
      <c r="D10" s="82"/>
      <c r="E10" s="83"/>
      <c r="F10" s="84"/>
      <c r="G10" s="85"/>
      <c r="I10" s="86" t="s">
        <v>111</v>
      </c>
      <c r="J10" s="87" t="s">
        <v>112</v>
      </c>
    </row>
    <row r="11" spans="1:10" x14ac:dyDescent="0.25">
      <c r="A11" s="68" t="s">
        <v>106</v>
      </c>
      <c r="B11" s="69">
        <v>130</v>
      </c>
      <c r="C11" s="69">
        <v>126</v>
      </c>
      <c r="D11" s="70">
        <f t="shared" si="0"/>
        <v>0.96923076923076923</v>
      </c>
      <c r="E11" s="71">
        <f t="shared" si="1"/>
        <v>3.0769230769230771E-2</v>
      </c>
      <c r="F11" s="72">
        <v>110</v>
      </c>
      <c r="G11" s="73">
        <f t="shared" si="2"/>
        <v>13860</v>
      </c>
      <c r="I11" s="66" t="s">
        <v>113</v>
      </c>
      <c r="J11" s="88">
        <f>G6</f>
        <v>24570</v>
      </c>
    </row>
    <row r="12" spans="1:10" x14ac:dyDescent="0.25">
      <c r="A12" s="68" t="s">
        <v>107</v>
      </c>
      <c r="B12" s="69">
        <v>200</v>
      </c>
      <c r="C12" s="69">
        <v>197</v>
      </c>
      <c r="D12" s="70">
        <f t="shared" si="0"/>
        <v>0.98499999999999999</v>
      </c>
      <c r="E12" s="71">
        <f t="shared" si="1"/>
        <v>1.5000000000000013E-2</v>
      </c>
      <c r="F12" s="72">
        <v>125</v>
      </c>
      <c r="G12" s="73">
        <f t="shared" si="2"/>
        <v>24625</v>
      </c>
      <c r="I12" s="66" t="s">
        <v>114</v>
      </c>
      <c r="J12" s="88">
        <f>G7</f>
        <v>54250</v>
      </c>
    </row>
    <row r="13" spans="1:10" x14ac:dyDescent="0.25">
      <c r="A13" s="68" t="s">
        <v>108</v>
      </c>
      <c r="B13" s="69">
        <v>130</v>
      </c>
      <c r="C13" s="69">
        <v>128</v>
      </c>
      <c r="D13" s="70">
        <f t="shared" si="0"/>
        <v>0.98461538461538467</v>
      </c>
      <c r="E13" s="71">
        <f t="shared" si="1"/>
        <v>1.538461538461533E-2</v>
      </c>
      <c r="F13" s="72">
        <v>110</v>
      </c>
      <c r="G13" s="73">
        <f t="shared" si="2"/>
        <v>14080</v>
      </c>
      <c r="I13" s="66" t="s">
        <v>115</v>
      </c>
      <c r="J13" s="88">
        <f>G8</f>
        <v>24700</v>
      </c>
    </row>
    <row r="14" spans="1:10" x14ac:dyDescent="0.25">
      <c r="A14" s="76" t="s">
        <v>109</v>
      </c>
      <c r="B14" s="77">
        <f>SUM(B11:B13)</f>
        <v>460</v>
      </c>
      <c r="C14" s="77">
        <f>SUM(C11:C13)</f>
        <v>451</v>
      </c>
      <c r="D14" s="78">
        <f t="shared" si="0"/>
        <v>0.98043478260869565</v>
      </c>
      <c r="E14" s="79">
        <f t="shared" si="1"/>
        <v>1.9565217391304346E-2</v>
      </c>
      <c r="F14" s="80"/>
      <c r="G14" s="81">
        <f>SUM(G11:G13)</f>
        <v>52565</v>
      </c>
      <c r="I14" s="66" t="s">
        <v>116</v>
      </c>
      <c r="J14" s="88">
        <f>G11</f>
        <v>13860</v>
      </c>
    </row>
    <row r="15" spans="1:10" x14ac:dyDescent="0.25">
      <c r="A15" t="s">
        <v>117</v>
      </c>
      <c r="B15" s="69"/>
      <c r="C15" s="69"/>
      <c r="D15" s="82"/>
      <c r="E15" s="83"/>
      <c r="F15" s="84"/>
      <c r="G15" s="85"/>
      <c r="I15" s="66" t="s">
        <v>118</v>
      </c>
      <c r="J15" s="88">
        <f>G12</f>
        <v>24625</v>
      </c>
    </row>
    <row r="16" spans="1:10" x14ac:dyDescent="0.25">
      <c r="A16" s="68" t="s">
        <v>106</v>
      </c>
      <c r="B16" s="69">
        <v>184</v>
      </c>
      <c r="C16" s="69">
        <v>184</v>
      </c>
      <c r="D16" s="70">
        <f t="shared" si="0"/>
        <v>1</v>
      </c>
      <c r="E16" s="71">
        <f t="shared" si="1"/>
        <v>0</v>
      </c>
      <c r="F16" s="72">
        <v>100</v>
      </c>
      <c r="G16" s="73">
        <f t="shared" si="2"/>
        <v>18400</v>
      </c>
      <c r="I16" s="66" t="s">
        <v>119</v>
      </c>
      <c r="J16" s="88">
        <f>G13</f>
        <v>14080</v>
      </c>
    </row>
    <row r="17" spans="1:10" x14ac:dyDescent="0.25">
      <c r="A17" s="68" t="s">
        <v>107</v>
      </c>
      <c r="B17" s="69">
        <v>224</v>
      </c>
      <c r="C17" s="69">
        <v>220</v>
      </c>
      <c r="D17" s="70">
        <f t="shared" si="0"/>
        <v>0.9821428571428571</v>
      </c>
      <c r="E17" s="71">
        <f t="shared" si="1"/>
        <v>1.7857142857142905E-2</v>
      </c>
      <c r="F17" s="72">
        <v>90</v>
      </c>
      <c r="G17" s="73">
        <f t="shared" si="2"/>
        <v>19800</v>
      </c>
      <c r="I17" s="66" t="s">
        <v>120</v>
      </c>
      <c r="J17" s="88">
        <f>G16</f>
        <v>18400</v>
      </c>
    </row>
    <row r="18" spans="1:10" x14ac:dyDescent="0.25">
      <c r="A18" s="68" t="s">
        <v>108</v>
      </c>
      <c r="B18" s="69">
        <v>182</v>
      </c>
      <c r="C18" s="69">
        <v>150</v>
      </c>
      <c r="D18" s="70">
        <f t="shared" si="0"/>
        <v>0.82417582417582413</v>
      </c>
      <c r="E18" s="71">
        <f t="shared" si="1"/>
        <v>0.17582417582417587</v>
      </c>
      <c r="F18" s="72">
        <v>80</v>
      </c>
      <c r="G18" s="73">
        <f t="shared" si="2"/>
        <v>12000</v>
      </c>
      <c r="I18" s="66" t="s">
        <v>121</v>
      </c>
      <c r="J18" s="88">
        <f>G17</f>
        <v>19800</v>
      </c>
    </row>
    <row r="19" spans="1:10" x14ac:dyDescent="0.25">
      <c r="A19" s="76" t="s">
        <v>109</v>
      </c>
      <c r="B19" s="77">
        <f>SUM(B16:B18)</f>
        <v>590</v>
      </c>
      <c r="C19" s="77">
        <f>SUM(C16:C18)</f>
        <v>554</v>
      </c>
      <c r="D19" s="89">
        <f t="shared" si="0"/>
        <v>0.93898305084745759</v>
      </c>
      <c r="E19" s="90">
        <f t="shared" si="1"/>
        <v>6.101694915254241E-2</v>
      </c>
      <c r="F19" s="80"/>
      <c r="G19" s="81">
        <f>SUM(G16:G18)</f>
        <v>50200</v>
      </c>
      <c r="I19" s="74" t="s">
        <v>122</v>
      </c>
      <c r="J19" s="91">
        <f>G18</f>
        <v>12000</v>
      </c>
    </row>
    <row r="20" spans="1:10" x14ac:dyDescent="0.25">
      <c r="A20" s="92" t="s">
        <v>123</v>
      </c>
      <c r="B20" s="77">
        <f>B9+B14+B19</f>
        <v>1784</v>
      </c>
      <c r="C20" s="77">
        <f>C9+C14+C19</f>
        <v>1734</v>
      </c>
      <c r="D20" s="93">
        <f t="shared" si="0"/>
        <v>0.97197309417040356</v>
      </c>
      <c r="E20" s="94"/>
      <c r="F20" s="95"/>
      <c r="G20" s="96">
        <f>G9+G14+G19</f>
        <v>206285</v>
      </c>
    </row>
    <row r="24" spans="1:10" x14ac:dyDescent="0.25">
      <c r="A24" t="s">
        <v>130</v>
      </c>
    </row>
    <row r="25" spans="1:10" x14ac:dyDescent="0.25">
      <c r="A25" s="111">
        <f ca="1">NOW()</f>
        <v>45005.69941400463</v>
      </c>
    </row>
  </sheetData>
  <mergeCells count="1">
    <mergeCell ref="A2:G2"/>
  </mergeCells>
  <printOptions horizontalCentered="1"/>
  <pageMargins left="0.70866141732283472" right="0.70866141732283472" top="0.98425196850393704" bottom="0.74803149606299213" header="0.31496062992125984" footer="0.31496062992125984"/>
  <pageSetup orientation="portrait" r:id="rId1"/>
  <headerFooter>
    <oddFooter>&amp;L&amp;F&amp;RCarl Uy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4EBF-5C5F-44E9-900F-664AABD5E7F2}">
  <sheetPr>
    <tabColor theme="5"/>
  </sheetPr>
  <dimension ref="A1:J25"/>
  <sheetViews>
    <sheetView tabSelected="1" zoomScaleNormal="100" workbookViewId="0">
      <selection activeCell="B23" sqref="B23"/>
    </sheetView>
  </sheetViews>
  <sheetFormatPr defaultRowHeight="15" x14ac:dyDescent="0.25"/>
  <cols>
    <col min="1" max="1" width="18.7109375" customWidth="1"/>
    <col min="2" max="2" width="9.85546875" customWidth="1"/>
    <col min="3" max="3" width="9.42578125" customWidth="1"/>
    <col min="4" max="5" width="11.7109375" customWidth="1"/>
    <col min="7" max="7" width="11.5703125" bestFit="1" customWidth="1"/>
    <col min="9" max="9" width="10.7109375" customWidth="1"/>
    <col min="10" max="10" width="12.42578125" customWidth="1"/>
  </cols>
  <sheetData>
    <row r="1" spans="1:10" ht="26.25" x14ac:dyDescent="0.4">
      <c r="A1" s="109" t="s">
        <v>129</v>
      </c>
      <c r="B1" s="109"/>
      <c r="C1" s="109"/>
      <c r="D1" s="109"/>
      <c r="E1" s="109"/>
      <c r="F1" s="109"/>
      <c r="G1" s="109"/>
    </row>
    <row r="2" spans="1:10" x14ac:dyDescent="0.25">
      <c r="A2" s="56">
        <v>45402</v>
      </c>
      <c r="B2" s="56"/>
      <c r="C2" s="56"/>
      <c r="D2" s="56"/>
      <c r="E2" s="56"/>
      <c r="F2" s="56"/>
      <c r="G2" s="56"/>
    </row>
    <row r="4" spans="1:10" ht="30" customHeight="1" x14ac:dyDescent="0.25">
      <c r="A4" s="58" t="s">
        <v>96</v>
      </c>
      <c r="B4" s="59" t="s">
        <v>97</v>
      </c>
      <c r="C4" s="59" t="s">
        <v>98</v>
      </c>
      <c r="D4" s="59" t="s">
        <v>99</v>
      </c>
      <c r="E4" s="59" t="s">
        <v>100</v>
      </c>
      <c r="F4" s="59" t="s">
        <v>101</v>
      </c>
      <c r="G4" s="60" t="s">
        <v>102</v>
      </c>
      <c r="I4" s="61" t="s">
        <v>103</v>
      </c>
      <c r="J4" s="62" t="s">
        <v>104</v>
      </c>
    </row>
    <row r="5" spans="1:10" x14ac:dyDescent="0.25">
      <c r="A5" s="97" t="s">
        <v>105</v>
      </c>
      <c r="B5" s="64"/>
      <c r="C5" s="64"/>
      <c r="D5" s="64"/>
      <c r="E5" s="64"/>
      <c r="F5" s="64"/>
      <c r="G5" s="65"/>
      <c r="I5" s="66" t="s">
        <v>106</v>
      </c>
      <c r="J5" s="67">
        <f>AVERAGEIF(A$6:A$18,I5,C$6:C$18)</f>
        <v>168</v>
      </c>
    </row>
    <row r="6" spans="1:10" x14ac:dyDescent="0.25">
      <c r="A6" s="98" t="s">
        <v>106</v>
      </c>
      <c r="B6" s="69">
        <v>192</v>
      </c>
      <c r="C6" s="69">
        <v>192</v>
      </c>
      <c r="D6" s="70">
        <f>C6/B6</f>
        <v>1</v>
      </c>
      <c r="E6" s="71">
        <f>1-D6</f>
        <v>0</v>
      </c>
      <c r="F6" s="72">
        <v>120</v>
      </c>
      <c r="G6" s="73">
        <f>C6*F6</f>
        <v>23040</v>
      </c>
      <c r="I6" s="66" t="s">
        <v>107</v>
      </c>
      <c r="J6" s="67">
        <f>AVERAGEIF(A$6:A$18,I6,C$6:C$18)</f>
        <v>257.33333333333331</v>
      </c>
    </row>
    <row r="7" spans="1:10" x14ac:dyDescent="0.25">
      <c r="A7" s="98" t="s">
        <v>107</v>
      </c>
      <c r="B7" s="69">
        <v>350</v>
      </c>
      <c r="C7" s="69">
        <v>350</v>
      </c>
      <c r="D7" s="70">
        <f t="shared" ref="D7:D20" si="0">C7/B7</f>
        <v>1</v>
      </c>
      <c r="E7" s="71">
        <f t="shared" ref="E7:E19" si="1">1-D7</f>
        <v>0</v>
      </c>
      <c r="F7" s="72">
        <v>155</v>
      </c>
      <c r="G7" s="73">
        <f t="shared" ref="G7:G18" si="2">C7*F7</f>
        <v>54250</v>
      </c>
      <c r="I7" s="74" t="s">
        <v>108</v>
      </c>
      <c r="J7" s="75">
        <f>AVERAGEIF(A$6:A$18,I7,C$6:C$18)</f>
        <v>157.33333333333334</v>
      </c>
    </row>
    <row r="8" spans="1:10" x14ac:dyDescent="0.25">
      <c r="A8" s="98" t="s">
        <v>108</v>
      </c>
      <c r="B8" s="69">
        <v>192</v>
      </c>
      <c r="C8" s="69">
        <v>192</v>
      </c>
      <c r="D8" s="70">
        <f t="shared" si="0"/>
        <v>1</v>
      </c>
      <c r="E8" s="71">
        <f t="shared" si="1"/>
        <v>0</v>
      </c>
      <c r="F8" s="72">
        <v>120</v>
      </c>
      <c r="G8" s="73">
        <f t="shared" si="2"/>
        <v>23040</v>
      </c>
    </row>
    <row r="9" spans="1:10" x14ac:dyDescent="0.25">
      <c r="A9" s="99" t="s">
        <v>109</v>
      </c>
      <c r="B9" s="77">
        <f>SUM(B6:B8)</f>
        <v>734</v>
      </c>
      <c r="C9" s="77">
        <f>SUM(C6:C8)</f>
        <v>734</v>
      </c>
      <c r="D9" s="78">
        <f t="shared" si="0"/>
        <v>1</v>
      </c>
      <c r="E9" s="79">
        <f t="shared" si="1"/>
        <v>0</v>
      </c>
      <c r="F9" s="80"/>
      <c r="G9" s="81">
        <f>SUM(G6:G8)</f>
        <v>100330</v>
      </c>
    </row>
    <row r="10" spans="1:10" x14ac:dyDescent="0.25">
      <c r="A10" s="97" t="s">
        <v>110</v>
      </c>
      <c r="B10" s="69"/>
      <c r="C10" s="69"/>
      <c r="D10" s="82"/>
      <c r="E10" s="83"/>
      <c r="F10" s="84"/>
      <c r="G10" s="85"/>
      <c r="I10" s="86" t="s">
        <v>111</v>
      </c>
      <c r="J10" s="87" t="s">
        <v>124</v>
      </c>
    </row>
    <row r="11" spans="1:10" x14ac:dyDescent="0.25">
      <c r="A11" s="98" t="s">
        <v>106</v>
      </c>
      <c r="B11" s="69">
        <v>130</v>
      </c>
      <c r="C11" s="69">
        <v>128</v>
      </c>
      <c r="D11" s="70">
        <f t="shared" si="0"/>
        <v>0.98461538461538467</v>
      </c>
      <c r="E11" s="71">
        <f t="shared" si="1"/>
        <v>1.538461538461533E-2</v>
      </c>
      <c r="F11" s="72">
        <v>110</v>
      </c>
      <c r="G11" s="73">
        <f t="shared" si="2"/>
        <v>14080</v>
      </c>
      <c r="I11" s="66" t="s">
        <v>113</v>
      </c>
      <c r="J11" s="88">
        <f>G6</f>
        <v>23040</v>
      </c>
    </row>
    <row r="12" spans="1:10" x14ac:dyDescent="0.25">
      <c r="A12" s="98" t="s">
        <v>107</v>
      </c>
      <c r="B12" s="69">
        <v>200</v>
      </c>
      <c r="C12" s="69">
        <v>200</v>
      </c>
      <c r="D12" s="70">
        <f t="shared" si="0"/>
        <v>1</v>
      </c>
      <c r="E12" s="71">
        <f t="shared" si="1"/>
        <v>0</v>
      </c>
      <c r="F12" s="72">
        <v>120</v>
      </c>
      <c r="G12" s="73">
        <f t="shared" si="2"/>
        <v>24000</v>
      </c>
      <c r="I12" s="66" t="s">
        <v>114</v>
      </c>
      <c r="J12" s="88">
        <f>G7</f>
        <v>54250</v>
      </c>
    </row>
    <row r="13" spans="1:10" x14ac:dyDescent="0.25">
      <c r="A13" s="98" t="s">
        <v>108</v>
      </c>
      <c r="B13" s="69">
        <v>130</v>
      </c>
      <c r="C13" s="69">
        <v>130</v>
      </c>
      <c r="D13" s="70">
        <f t="shared" si="0"/>
        <v>1</v>
      </c>
      <c r="E13" s="71">
        <f t="shared" si="1"/>
        <v>0</v>
      </c>
      <c r="F13" s="72">
        <v>110</v>
      </c>
      <c r="G13" s="73">
        <f t="shared" si="2"/>
        <v>14300</v>
      </c>
      <c r="I13" s="66" t="s">
        <v>115</v>
      </c>
      <c r="J13" s="88">
        <f>G8</f>
        <v>23040</v>
      </c>
    </row>
    <row r="14" spans="1:10" x14ac:dyDescent="0.25">
      <c r="A14" s="99" t="s">
        <v>109</v>
      </c>
      <c r="B14" s="77">
        <f>SUM(B11:B13)</f>
        <v>460</v>
      </c>
      <c r="C14" s="77">
        <f>SUM(C11:C13)</f>
        <v>458</v>
      </c>
      <c r="D14" s="78">
        <f t="shared" si="0"/>
        <v>0.9956521739130435</v>
      </c>
      <c r="E14" s="79">
        <f t="shared" si="1"/>
        <v>4.3478260869564966E-3</v>
      </c>
      <c r="F14" s="80"/>
      <c r="G14" s="81">
        <f>SUM(G11:G13)</f>
        <v>52380</v>
      </c>
      <c r="I14" s="66" t="s">
        <v>116</v>
      </c>
      <c r="J14" s="88">
        <f>G11</f>
        <v>14080</v>
      </c>
    </row>
    <row r="15" spans="1:10" x14ac:dyDescent="0.25">
      <c r="A15" t="s">
        <v>117</v>
      </c>
      <c r="B15" s="69"/>
      <c r="C15" s="69"/>
      <c r="D15" s="82"/>
      <c r="E15" s="83"/>
      <c r="F15" s="84"/>
      <c r="G15" s="85"/>
      <c r="I15" s="66" t="s">
        <v>118</v>
      </c>
      <c r="J15" s="88">
        <f>G12</f>
        <v>24000</v>
      </c>
    </row>
    <row r="16" spans="1:10" x14ac:dyDescent="0.25">
      <c r="A16" s="68" t="s">
        <v>106</v>
      </c>
      <c r="B16" s="69">
        <v>184</v>
      </c>
      <c r="C16" s="69">
        <v>184</v>
      </c>
      <c r="D16" s="70">
        <f t="shared" si="0"/>
        <v>1</v>
      </c>
      <c r="E16" s="71">
        <f t="shared" si="1"/>
        <v>0</v>
      </c>
      <c r="F16" s="72">
        <v>100</v>
      </c>
      <c r="G16" s="73">
        <f t="shared" si="2"/>
        <v>18400</v>
      </c>
      <c r="I16" s="66" t="s">
        <v>119</v>
      </c>
      <c r="J16" s="88">
        <f>G13</f>
        <v>14300</v>
      </c>
    </row>
    <row r="17" spans="1:10" x14ac:dyDescent="0.25">
      <c r="A17" s="68" t="s">
        <v>107</v>
      </c>
      <c r="B17" s="69">
        <v>224</v>
      </c>
      <c r="C17" s="69">
        <v>222</v>
      </c>
      <c r="D17" s="70">
        <f t="shared" si="0"/>
        <v>0.9910714285714286</v>
      </c>
      <c r="E17" s="71">
        <f t="shared" si="1"/>
        <v>8.9285714285713969E-3</v>
      </c>
      <c r="F17" s="72">
        <v>90</v>
      </c>
      <c r="G17" s="73">
        <f t="shared" si="2"/>
        <v>19980</v>
      </c>
      <c r="I17" s="66" t="s">
        <v>120</v>
      </c>
      <c r="J17" s="88">
        <f>G16</f>
        <v>18400</v>
      </c>
    </row>
    <row r="18" spans="1:10" x14ac:dyDescent="0.25">
      <c r="A18" s="68" t="s">
        <v>108</v>
      </c>
      <c r="B18" s="69">
        <v>182</v>
      </c>
      <c r="C18" s="69">
        <v>150</v>
      </c>
      <c r="D18" s="70">
        <f t="shared" si="0"/>
        <v>0.82417582417582413</v>
      </c>
      <c r="E18" s="71">
        <f t="shared" si="1"/>
        <v>0.17582417582417587</v>
      </c>
      <c r="F18" s="72">
        <v>80</v>
      </c>
      <c r="G18" s="73">
        <f t="shared" si="2"/>
        <v>12000</v>
      </c>
      <c r="I18" s="66" t="s">
        <v>121</v>
      </c>
      <c r="J18" s="88">
        <f>G17</f>
        <v>19980</v>
      </c>
    </row>
    <row r="19" spans="1:10" x14ac:dyDescent="0.25">
      <c r="A19" s="76" t="s">
        <v>109</v>
      </c>
      <c r="B19" s="77">
        <f>SUM(B16:B18)</f>
        <v>590</v>
      </c>
      <c r="C19" s="77">
        <f>SUM(C16:C18)</f>
        <v>556</v>
      </c>
      <c r="D19" s="89">
        <f t="shared" si="0"/>
        <v>0.94237288135593222</v>
      </c>
      <c r="E19" s="90">
        <f t="shared" si="1"/>
        <v>5.7627118644067776E-2</v>
      </c>
      <c r="F19" s="80"/>
      <c r="G19" s="81">
        <f>SUM(G16:G18)</f>
        <v>50380</v>
      </c>
      <c r="I19" s="74" t="s">
        <v>122</v>
      </c>
      <c r="J19" s="91">
        <f>G18</f>
        <v>12000</v>
      </c>
    </row>
    <row r="20" spans="1:10" x14ac:dyDescent="0.25">
      <c r="A20" s="100" t="s">
        <v>123</v>
      </c>
      <c r="B20" s="77">
        <f>B9+B14+B19</f>
        <v>1784</v>
      </c>
      <c r="C20" s="77">
        <f>C9+C14+C19</f>
        <v>1748</v>
      </c>
      <c r="D20" s="93">
        <f t="shared" si="0"/>
        <v>0.97982062780269064</v>
      </c>
      <c r="E20" s="101"/>
      <c r="F20" s="95"/>
      <c r="G20" s="96">
        <f>G9+G14+G19</f>
        <v>203090</v>
      </c>
    </row>
    <row r="24" spans="1:10" x14ac:dyDescent="0.25">
      <c r="A24" t="s">
        <v>130</v>
      </c>
    </row>
    <row r="25" spans="1:10" x14ac:dyDescent="0.25">
      <c r="A25" s="111">
        <f ca="1">NOW()</f>
        <v>45005.69941400463</v>
      </c>
    </row>
  </sheetData>
  <mergeCells count="1">
    <mergeCell ref="A2:G2"/>
  </mergeCells>
  <printOptions horizontalCentered="1"/>
  <pageMargins left="0.70866141732283472" right="0.70866141732283472" top="0.98425196850393704" bottom="0.74803149606299213" header="0.31496062992125984" footer="0.31496062992125984"/>
  <pageSetup orientation="portrait" r:id="rId1"/>
  <headerFooter>
    <oddFooter>&amp;L&amp;F&amp;RCarl Uy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46DD-A7DA-4E95-81ED-D6AF44187C7A}">
  <sheetPr>
    <tabColor theme="5"/>
  </sheetPr>
  <dimension ref="A1:J25"/>
  <sheetViews>
    <sheetView tabSelected="1" zoomScaleNormal="100" workbookViewId="0">
      <selection activeCell="B23" sqref="B23"/>
    </sheetView>
  </sheetViews>
  <sheetFormatPr defaultRowHeight="15" x14ac:dyDescent="0.25"/>
  <cols>
    <col min="1" max="1" width="18.7109375" customWidth="1"/>
    <col min="2" max="2" width="9.85546875" customWidth="1"/>
    <col min="3" max="3" width="9.42578125" customWidth="1"/>
    <col min="4" max="5" width="11.7109375" customWidth="1"/>
    <col min="7" max="7" width="11.5703125" bestFit="1" customWidth="1"/>
    <col min="9" max="9" width="10.7109375" customWidth="1"/>
    <col min="10" max="10" width="12.42578125" customWidth="1"/>
  </cols>
  <sheetData>
    <row r="1" spans="1:10" ht="26.25" x14ac:dyDescent="0.4">
      <c r="A1" s="109" t="s">
        <v>129</v>
      </c>
      <c r="B1" s="109"/>
      <c r="C1" s="109"/>
      <c r="D1" s="109"/>
      <c r="E1" s="109"/>
      <c r="F1" s="109"/>
      <c r="G1" s="109"/>
    </row>
    <row r="2" spans="1:10" x14ac:dyDescent="0.25">
      <c r="A2" s="56">
        <v>45403</v>
      </c>
      <c r="B2" s="56"/>
      <c r="C2" s="56"/>
      <c r="D2" s="56"/>
      <c r="E2" s="56"/>
      <c r="F2" s="56"/>
      <c r="G2" s="56"/>
    </row>
    <row r="4" spans="1:10" ht="30" customHeight="1" x14ac:dyDescent="0.25">
      <c r="A4" s="58" t="s">
        <v>96</v>
      </c>
      <c r="B4" s="59" t="s">
        <v>97</v>
      </c>
      <c r="C4" s="59" t="s">
        <v>98</v>
      </c>
      <c r="D4" s="59" t="s">
        <v>99</v>
      </c>
      <c r="E4" s="59" t="s">
        <v>100</v>
      </c>
      <c r="F4" s="59" t="s">
        <v>101</v>
      </c>
      <c r="G4" s="60" t="s">
        <v>102</v>
      </c>
      <c r="I4" s="61" t="s">
        <v>103</v>
      </c>
      <c r="J4" s="62" t="s">
        <v>104</v>
      </c>
    </row>
    <row r="5" spans="1:10" x14ac:dyDescent="0.25">
      <c r="A5" s="97" t="s">
        <v>105</v>
      </c>
      <c r="B5" s="64"/>
      <c r="C5" s="64"/>
      <c r="D5" s="64"/>
      <c r="E5" s="64"/>
      <c r="F5" s="64"/>
      <c r="G5" s="65"/>
      <c r="I5" s="66" t="s">
        <v>106</v>
      </c>
      <c r="J5" s="67">
        <f>AVERAGEIF(A$6:A$18,I5,C$6:C$18)</f>
        <v>161.66666666666666</v>
      </c>
    </row>
    <row r="6" spans="1:10" x14ac:dyDescent="0.25">
      <c r="A6" s="98" t="s">
        <v>106</v>
      </c>
      <c r="B6" s="69">
        <v>192</v>
      </c>
      <c r="C6" s="69">
        <v>188</v>
      </c>
      <c r="D6" s="70">
        <f>C6/B6</f>
        <v>0.97916666666666663</v>
      </c>
      <c r="E6" s="71">
        <f>1-D6</f>
        <v>2.083333333333337E-2</v>
      </c>
      <c r="F6" s="72">
        <v>120</v>
      </c>
      <c r="G6" s="73">
        <f>C6*F6</f>
        <v>22560</v>
      </c>
      <c r="I6" s="66" t="s">
        <v>107</v>
      </c>
      <c r="J6" s="67">
        <f>AVERAGEIF(A$6:A$18,I6,C$6:C$18)</f>
        <v>248</v>
      </c>
    </row>
    <row r="7" spans="1:10" x14ac:dyDescent="0.25">
      <c r="A7" s="98" t="s">
        <v>107</v>
      </c>
      <c r="B7" s="69">
        <v>350</v>
      </c>
      <c r="C7" s="69">
        <v>340</v>
      </c>
      <c r="D7" s="70">
        <f t="shared" ref="D7:D20" si="0">C7/B7</f>
        <v>0.97142857142857142</v>
      </c>
      <c r="E7" s="71">
        <f t="shared" ref="E7:E19" si="1">1-D7</f>
        <v>2.8571428571428581E-2</v>
      </c>
      <c r="F7" s="72">
        <v>155</v>
      </c>
      <c r="G7" s="73">
        <f t="shared" ref="G7:G18" si="2">C7*F7</f>
        <v>52700</v>
      </c>
      <c r="I7" s="74" t="s">
        <v>108</v>
      </c>
      <c r="J7" s="75">
        <f>AVERAGEIF(A$6:A$18,I7,C$6:C$18)</f>
        <v>152.33333333333334</v>
      </c>
    </row>
    <row r="8" spans="1:10" x14ac:dyDescent="0.25">
      <c r="A8" s="98" t="s">
        <v>108</v>
      </c>
      <c r="B8" s="69">
        <v>192</v>
      </c>
      <c r="C8" s="69">
        <v>182</v>
      </c>
      <c r="D8" s="70">
        <f t="shared" si="0"/>
        <v>0.94791666666666663</v>
      </c>
      <c r="E8" s="71">
        <f t="shared" si="1"/>
        <v>5.208333333333337E-2</v>
      </c>
      <c r="F8" s="72">
        <v>120</v>
      </c>
      <c r="G8" s="73">
        <f t="shared" si="2"/>
        <v>21840</v>
      </c>
    </row>
    <row r="9" spans="1:10" x14ac:dyDescent="0.25">
      <c r="A9" s="99" t="s">
        <v>109</v>
      </c>
      <c r="B9" s="77">
        <f>SUM(B6:B8)</f>
        <v>734</v>
      </c>
      <c r="C9" s="77">
        <f>SUM(C6:C8)</f>
        <v>710</v>
      </c>
      <c r="D9" s="78">
        <f t="shared" si="0"/>
        <v>0.96730245231607626</v>
      </c>
      <c r="E9" s="79">
        <f t="shared" si="1"/>
        <v>3.2697547683923744E-2</v>
      </c>
      <c r="F9" s="80"/>
      <c r="G9" s="81">
        <f>SUM(G6:G8)</f>
        <v>97100</v>
      </c>
    </row>
    <row r="10" spans="1:10" x14ac:dyDescent="0.25">
      <c r="A10" s="97" t="s">
        <v>110</v>
      </c>
      <c r="B10" s="69"/>
      <c r="C10" s="69"/>
      <c r="D10" s="82"/>
      <c r="E10" s="83"/>
      <c r="F10" s="84"/>
      <c r="G10" s="85"/>
      <c r="I10" s="86" t="s">
        <v>111</v>
      </c>
      <c r="J10" s="87" t="s">
        <v>125</v>
      </c>
    </row>
    <row r="11" spans="1:10" x14ac:dyDescent="0.25">
      <c r="A11" s="98" t="s">
        <v>106</v>
      </c>
      <c r="B11" s="69">
        <v>130</v>
      </c>
      <c r="C11" s="69">
        <v>115</v>
      </c>
      <c r="D11" s="70">
        <f t="shared" si="0"/>
        <v>0.88461538461538458</v>
      </c>
      <c r="E11" s="71">
        <f t="shared" si="1"/>
        <v>0.11538461538461542</v>
      </c>
      <c r="F11" s="72">
        <v>110</v>
      </c>
      <c r="G11" s="73">
        <f t="shared" si="2"/>
        <v>12650</v>
      </c>
      <c r="I11" s="66" t="s">
        <v>113</v>
      </c>
      <c r="J11" s="88">
        <f>G6</f>
        <v>22560</v>
      </c>
    </row>
    <row r="12" spans="1:10" x14ac:dyDescent="0.25">
      <c r="A12" s="98" t="s">
        <v>107</v>
      </c>
      <c r="B12" s="69">
        <v>200</v>
      </c>
      <c r="C12" s="69">
        <v>190</v>
      </c>
      <c r="D12" s="70">
        <f t="shared" si="0"/>
        <v>0.95</v>
      </c>
      <c r="E12" s="71">
        <f t="shared" si="1"/>
        <v>5.0000000000000044E-2</v>
      </c>
      <c r="F12" s="72">
        <v>120</v>
      </c>
      <c r="G12" s="73">
        <f t="shared" si="2"/>
        <v>22800</v>
      </c>
      <c r="I12" s="66" t="s">
        <v>114</v>
      </c>
      <c r="J12" s="88">
        <f>G7</f>
        <v>52700</v>
      </c>
    </row>
    <row r="13" spans="1:10" x14ac:dyDescent="0.25">
      <c r="A13" s="98" t="s">
        <v>108</v>
      </c>
      <c r="B13" s="69">
        <v>130</v>
      </c>
      <c r="C13" s="69">
        <v>120</v>
      </c>
      <c r="D13" s="70">
        <f t="shared" si="0"/>
        <v>0.92307692307692313</v>
      </c>
      <c r="E13" s="71">
        <f t="shared" si="1"/>
        <v>7.6923076923076872E-2</v>
      </c>
      <c r="F13" s="72">
        <v>110</v>
      </c>
      <c r="G13" s="73">
        <f t="shared" si="2"/>
        <v>13200</v>
      </c>
      <c r="I13" s="66" t="s">
        <v>115</v>
      </c>
      <c r="J13" s="88">
        <f>G8</f>
        <v>21840</v>
      </c>
    </row>
    <row r="14" spans="1:10" x14ac:dyDescent="0.25">
      <c r="A14" s="99" t="s">
        <v>109</v>
      </c>
      <c r="B14" s="77">
        <f>SUM(B11:B13)</f>
        <v>460</v>
      </c>
      <c r="C14" s="77">
        <f>SUM(C11:C13)</f>
        <v>425</v>
      </c>
      <c r="D14" s="78">
        <f t="shared" si="0"/>
        <v>0.92391304347826086</v>
      </c>
      <c r="E14" s="79">
        <f t="shared" si="1"/>
        <v>7.6086956521739135E-2</v>
      </c>
      <c r="F14" s="80"/>
      <c r="G14" s="81">
        <f>SUM(G11:G13)</f>
        <v>48650</v>
      </c>
      <c r="I14" s="66" t="s">
        <v>116</v>
      </c>
      <c r="J14" s="88">
        <f>G11</f>
        <v>12650</v>
      </c>
    </row>
    <row r="15" spans="1:10" x14ac:dyDescent="0.25">
      <c r="A15" t="s">
        <v>117</v>
      </c>
      <c r="B15" s="69"/>
      <c r="C15" s="69"/>
      <c r="D15" s="82"/>
      <c r="E15" s="83"/>
      <c r="F15" s="84"/>
      <c r="G15" s="85"/>
      <c r="I15" s="66" t="s">
        <v>118</v>
      </c>
      <c r="J15" s="88">
        <f>G12</f>
        <v>22800</v>
      </c>
    </row>
    <row r="16" spans="1:10" x14ac:dyDescent="0.25">
      <c r="A16" s="68" t="s">
        <v>106</v>
      </c>
      <c r="B16" s="69">
        <v>184</v>
      </c>
      <c r="C16" s="69">
        <v>182</v>
      </c>
      <c r="D16" s="70">
        <f t="shared" si="0"/>
        <v>0.98913043478260865</v>
      </c>
      <c r="E16" s="71">
        <f t="shared" si="1"/>
        <v>1.0869565217391353E-2</v>
      </c>
      <c r="F16" s="72">
        <v>100</v>
      </c>
      <c r="G16" s="73">
        <f t="shared" si="2"/>
        <v>18200</v>
      </c>
      <c r="I16" s="66" t="s">
        <v>119</v>
      </c>
      <c r="J16" s="88">
        <f>G13</f>
        <v>13200</v>
      </c>
    </row>
    <row r="17" spans="1:10" x14ac:dyDescent="0.25">
      <c r="A17" s="68" t="s">
        <v>107</v>
      </c>
      <c r="B17" s="69">
        <v>224</v>
      </c>
      <c r="C17" s="69">
        <v>214</v>
      </c>
      <c r="D17" s="70">
        <f t="shared" si="0"/>
        <v>0.9553571428571429</v>
      </c>
      <c r="E17" s="71">
        <f t="shared" si="1"/>
        <v>4.4642857142857095E-2</v>
      </c>
      <c r="F17" s="72">
        <v>90</v>
      </c>
      <c r="G17" s="73">
        <f t="shared" si="2"/>
        <v>19260</v>
      </c>
      <c r="I17" s="66" t="s">
        <v>120</v>
      </c>
      <c r="J17" s="88">
        <f>G16</f>
        <v>18200</v>
      </c>
    </row>
    <row r="18" spans="1:10" x14ac:dyDescent="0.25">
      <c r="A18" s="68" t="s">
        <v>108</v>
      </c>
      <c r="B18" s="69">
        <v>182</v>
      </c>
      <c r="C18" s="69">
        <v>155</v>
      </c>
      <c r="D18" s="70">
        <f t="shared" si="0"/>
        <v>0.85164835164835162</v>
      </c>
      <c r="E18" s="71">
        <f t="shared" si="1"/>
        <v>0.14835164835164838</v>
      </c>
      <c r="F18" s="72">
        <v>80</v>
      </c>
      <c r="G18" s="73">
        <f t="shared" si="2"/>
        <v>12400</v>
      </c>
      <c r="I18" s="66" t="s">
        <v>121</v>
      </c>
      <c r="J18" s="88">
        <f>G17</f>
        <v>19260</v>
      </c>
    </row>
    <row r="19" spans="1:10" x14ac:dyDescent="0.25">
      <c r="A19" s="76" t="s">
        <v>109</v>
      </c>
      <c r="B19" s="77">
        <f>SUM(B16:B18)</f>
        <v>590</v>
      </c>
      <c r="C19" s="77">
        <f>SUM(C16:C18)</f>
        <v>551</v>
      </c>
      <c r="D19" s="89">
        <f t="shared" si="0"/>
        <v>0.93389830508474581</v>
      </c>
      <c r="E19" s="90">
        <f t="shared" si="1"/>
        <v>6.6101694915254194E-2</v>
      </c>
      <c r="F19" s="80"/>
      <c r="G19" s="81">
        <f>SUM(G16:G18)</f>
        <v>49860</v>
      </c>
      <c r="I19" s="74" t="s">
        <v>122</v>
      </c>
      <c r="J19" s="91">
        <f>G18</f>
        <v>12400</v>
      </c>
    </row>
    <row r="20" spans="1:10" x14ac:dyDescent="0.25">
      <c r="A20" s="92" t="s">
        <v>123</v>
      </c>
      <c r="B20" s="77">
        <f>B9+B14+B19</f>
        <v>1784</v>
      </c>
      <c r="C20" s="77">
        <f>C9+C14+C19</f>
        <v>1686</v>
      </c>
      <c r="D20" s="93">
        <f t="shared" si="0"/>
        <v>0.94506726457399104</v>
      </c>
      <c r="E20" s="101"/>
      <c r="F20" s="95"/>
      <c r="G20" s="96">
        <f>G9+G14+G19</f>
        <v>195610</v>
      </c>
    </row>
    <row r="24" spans="1:10" x14ac:dyDescent="0.25">
      <c r="A24" t="s">
        <v>130</v>
      </c>
    </row>
    <row r="25" spans="1:10" x14ac:dyDescent="0.25">
      <c r="A25" s="111">
        <f ca="1">NOW()</f>
        <v>45005.69941400463</v>
      </c>
    </row>
  </sheetData>
  <mergeCells count="1">
    <mergeCell ref="A2:G2"/>
  </mergeCells>
  <printOptions horizontalCentered="1"/>
  <pageMargins left="0.70866141732283472" right="0.70866141732283472" top="0.98425196850393704" bottom="0.74803149606299213" header="0.31496062992125984" footer="0.31496062992125984"/>
  <pageSetup orientation="portrait" r:id="rId1"/>
  <headerFooter>
    <oddFooter>&amp;L&amp;F&amp;RCarl Uy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73EF-C0F0-48F5-BBBD-328DC50B1CEC}">
  <sheetPr>
    <tabColor theme="5"/>
  </sheetPr>
  <dimension ref="A1:G25"/>
  <sheetViews>
    <sheetView tabSelected="1" zoomScaleNormal="100" workbookViewId="0">
      <selection activeCell="B23" sqref="B23"/>
    </sheetView>
  </sheetViews>
  <sheetFormatPr defaultRowHeight="15" x14ac:dyDescent="0.25"/>
  <cols>
    <col min="1" max="1" width="26.7109375" customWidth="1"/>
    <col min="2" max="2" width="13.7109375" customWidth="1"/>
  </cols>
  <sheetData>
    <row r="1" spans="1:7" ht="18.75" x14ac:dyDescent="0.3">
      <c r="A1" s="107" t="s">
        <v>129</v>
      </c>
      <c r="B1" s="108"/>
      <c r="C1" s="110"/>
      <c r="D1" s="110"/>
      <c r="E1" s="110"/>
      <c r="F1" s="110"/>
      <c r="G1" s="110"/>
    </row>
    <row r="2" spans="1:7" x14ac:dyDescent="0.25">
      <c r="A2" s="56" t="s">
        <v>126</v>
      </c>
      <c r="B2" s="56"/>
    </row>
    <row r="4" spans="1:7" ht="30" x14ac:dyDescent="0.25">
      <c r="A4" s="102" t="s">
        <v>127</v>
      </c>
      <c r="B4" s="103" t="s">
        <v>128</v>
      </c>
    </row>
    <row r="5" spans="1:7" x14ac:dyDescent="0.25">
      <c r="A5" s="104" t="s">
        <v>112</v>
      </c>
      <c r="B5" s="67">
        <f>SUM(Friday!C9,Friday!C14,Friday!C19)</f>
        <v>1734</v>
      </c>
    </row>
    <row r="6" spans="1:7" x14ac:dyDescent="0.25">
      <c r="A6" s="104" t="s">
        <v>124</v>
      </c>
      <c r="B6" s="67">
        <f>SUM(Saturday!C9,Saturday!C14,Saturday!C19)</f>
        <v>1748</v>
      </c>
    </row>
    <row r="7" spans="1:7" x14ac:dyDescent="0.25">
      <c r="A7" s="104" t="s">
        <v>125</v>
      </c>
      <c r="B7" s="67">
        <f>SUM(Sunday!C9,Sunday!C14,Sunday!C19)</f>
        <v>1686</v>
      </c>
    </row>
    <row r="8" spans="1:7" x14ac:dyDescent="0.25">
      <c r="A8" s="105" t="s">
        <v>104</v>
      </c>
      <c r="B8" s="106">
        <f>IFERROR(AVERAGE(B5:B7),"Check")</f>
        <v>1722.6666666666667</v>
      </c>
    </row>
    <row r="10" spans="1:7" ht="30" x14ac:dyDescent="0.25">
      <c r="A10" s="102" t="s">
        <v>96</v>
      </c>
      <c r="B10" s="103" t="s">
        <v>102</v>
      </c>
    </row>
    <row r="11" spans="1:7" x14ac:dyDescent="0.25">
      <c r="A11" s="104" t="s">
        <v>105</v>
      </c>
      <c r="B11" s="73">
        <f>SUM(Friday:Sunday!G9)</f>
        <v>300950</v>
      </c>
    </row>
    <row r="12" spans="1:7" x14ac:dyDescent="0.25">
      <c r="A12" s="104" t="s">
        <v>110</v>
      </c>
      <c r="B12" s="67">
        <f>SUM(Friday:Sunday!G14)</f>
        <v>153595</v>
      </c>
    </row>
    <row r="13" spans="1:7" x14ac:dyDescent="0.25">
      <c r="A13" s="104" t="s">
        <v>117</v>
      </c>
      <c r="B13" s="67">
        <f>SUM(Friday:Sunday!G19)</f>
        <v>150440</v>
      </c>
    </row>
    <row r="14" spans="1:7" x14ac:dyDescent="0.25">
      <c r="A14" s="105" t="s">
        <v>123</v>
      </c>
      <c r="B14" s="81">
        <f>SUM(B11:B13)</f>
        <v>604985</v>
      </c>
    </row>
    <row r="24" spans="1:1" x14ac:dyDescent="0.25">
      <c r="A24" t="s">
        <v>130</v>
      </c>
    </row>
    <row r="25" spans="1:1" x14ac:dyDescent="0.25">
      <c r="A25" s="111">
        <f ca="1">NOW()</f>
        <v>45005.69941400463</v>
      </c>
    </row>
  </sheetData>
  <mergeCells count="1">
    <mergeCell ref="A2:B2"/>
  </mergeCells>
  <printOptions horizontalCentered="1"/>
  <pageMargins left="0.70866141732283472" right="0.70866141732283472" top="0.98425196850393704" bottom="0.74803149606299213" header="0.31496062992125984" footer="0.31496062992125984"/>
  <pageSetup orientation="portrait" r:id="rId1"/>
  <headerFooter>
    <oddFooter>&amp;L&amp;F&amp;RCarl Uy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11F54-1316-4114-A08D-114FFF94BF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Sheet1</vt:lpstr>
      <vt:lpstr>Sales Data</vt:lpstr>
      <vt:lpstr>Subdivisions</vt:lpstr>
      <vt:lpstr>Data for Forecast Sheet</vt:lpstr>
      <vt:lpstr>Gatewood Forecast</vt:lpstr>
      <vt:lpstr>Forecast</vt:lpstr>
      <vt:lpstr>Inventory</vt:lpstr>
      <vt:lpstr>Nested IF AND</vt:lpstr>
      <vt:lpstr>Friday</vt:lpstr>
      <vt:lpstr>Saturday</vt:lpstr>
      <vt:lpstr>Sunday</vt:lpstr>
      <vt:lpstr>Totals</vt:lpstr>
      <vt:lpstr>MoviesInventory2022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Carl Uy</cp:lastModifiedBy>
  <cp:lastPrinted>2023-03-20T23:44:43Z</cp:lastPrinted>
  <dcterms:created xsi:type="dcterms:W3CDTF">2023-01-03T19:49:42Z</dcterms:created>
  <dcterms:modified xsi:type="dcterms:W3CDTF">2023-03-20T23:47:29Z</dcterms:modified>
</cp:coreProperties>
</file>