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4162_ox_ac_uk/Documents/Trehalose IP/GMP Cryopreservation/Revision 2/"/>
    </mc:Choice>
  </mc:AlternateContent>
  <xr:revisionPtr revIDLastSave="1264" documentId="13_ncr:1_{B08FFE71-1F4C-4ABD-B87F-97C26B68C127}" xr6:coauthVersionLast="47" xr6:coauthVersionMax="47" xr10:uidLastSave="{C86DD22F-DA65-498A-888D-D9E907DE426B}"/>
  <bookViews>
    <workbookView xWindow="-108" yWindow="-108" windowWidth="23256" windowHeight="13896" activeTab="6" xr2:uid="{48BDB3EE-032D-4A54-B374-55D7EE0D2758}"/>
  </bookViews>
  <sheets>
    <sheet name="Fig1" sheetId="15" r:id="rId1"/>
    <sheet name="Fig2" sheetId="3" r:id="rId2"/>
    <sheet name="Fig3" sheetId="10" r:id="rId3"/>
    <sheet name="Fig4a" sheetId="11" r:id="rId4"/>
    <sheet name="Fig4b" sheetId="12" r:id="rId5"/>
    <sheet name="Fig5" sheetId="9" r:id="rId6"/>
    <sheet name="Fig6" sheetId="8" r:id="rId7"/>
  </sheets>
  <definedNames>
    <definedName name="_xlnm._FilterDatabase" localSheetId="2" hidden="1">'Fig3'!$Q$4:$R$4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8" l="1"/>
  <c r="J5" i="8"/>
  <c r="K5" i="8"/>
  <c r="L5" i="8"/>
  <c r="M5" i="8"/>
  <c r="J6" i="8"/>
  <c r="K6" i="8"/>
  <c r="L6" i="8"/>
  <c r="M6" i="8"/>
  <c r="J7" i="8"/>
  <c r="K7" i="8"/>
  <c r="L7" i="8"/>
  <c r="M7" i="8"/>
  <c r="I7" i="8"/>
  <c r="I6" i="8"/>
  <c r="W11" i="12"/>
  <c r="W10" i="12"/>
  <c r="W9" i="12"/>
  <c r="W8" i="12"/>
  <c r="V10" i="12"/>
  <c r="V8" i="12"/>
  <c r="W7" i="12"/>
  <c r="W6" i="12"/>
  <c r="W5" i="12"/>
  <c r="W4" i="12"/>
  <c r="R9" i="12"/>
  <c r="V6" i="12"/>
  <c r="V4" i="12"/>
  <c r="R8" i="12"/>
  <c r="V4" i="11"/>
  <c r="V5" i="11"/>
  <c r="V6" i="11"/>
  <c r="V7" i="11"/>
  <c r="V8" i="11"/>
  <c r="V9" i="11"/>
  <c r="V10" i="11"/>
  <c r="V3" i="11"/>
  <c r="Q3" i="11"/>
  <c r="Q7" i="11"/>
  <c r="R7" i="11"/>
  <c r="S3" i="11"/>
  <c r="F5" i="15"/>
  <c r="J5" i="15"/>
  <c r="K5" i="15"/>
  <c r="F6" i="15"/>
  <c r="J6" i="15"/>
  <c r="K6" i="15"/>
  <c r="F7" i="15"/>
  <c r="J7" i="15"/>
  <c r="K7" i="15"/>
  <c r="F8" i="15"/>
  <c r="J8" i="15"/>
  <c r="K8" i="15"/>
  <c r="F9" i="15"/>
  <c r="J9" i="15"/>
  <c r="K9" i="15"/>
  <c r="F10" i="15"/>
  <c r="J10" i="15"/>
  <c r="K10" i="15"/>
  <c r="F11" i="15"/>
  <c r="J11" i="15"/>
  <c r="K11" i="15" s="1"/>
  <c r="F12" i="15"/>
  <c r="J12" i="15"/>
  <c r="K12" i="15"/>
  <c r="F13" i="15"/>
  <c r="J13" i="15"/>
  <c r="K13" i="15"/>
  <c r="U26" i="15"/>
  <c r="Z30" i="15" s="1"/>
  <c r="U27" i="15"/>
  <c r="AA22" i="15" s="1"/>
  <c r="U28" i="15"/>
  <c r="AA26" i="15" s="1"/>
  <c r="U29" i="15"/>
  <c r="AA30" i="15" s="1"/>
  <c r="T23" i="15"/>
  <c r="T24" i="15"/>
  <c r="T25" i="15"/>
  <c r="T26" i="15"/>
  <c r="T27" i="15"/>
  <c r="T28" i="15"/>
  <c r="T29" i="15"/>
  <c r="T22" i="15"/>
  <c r="J31" i="15"/>
  <c r="J30" i="15"/>
  <c r="G30" i="15"/>
  <c r="J29" i="15"/>
  <c r="F29" i="15"/>
  <c r="J27" i="15"/>
  <c r="U25" i="15" s="1"/>
  <c r="Z26" i="15" s="1"/>
  <c r="G27" i="15"/>
  <c r="J26" i="15"/>
  <c r="K26" i="15" s="1"/>
  <c r="Q25" i="15" s="1"/>
  <c r="F26" i="15"/>
  <c r="J25" i="15"/>
  <c r="U23" i="15" s="1"/>
  <c r="Y26" i="15" s="1"/>
  <c r="F25" i="15"/>
  <c r="J24" i="15"/>
  <c r="K24" i="15" s="1"/>
  <c r="Q24" i="15" s="1"/>
  <c r="F24" i="15"/>
  <c r="O8" i="12"/>
  <c r="L8" i="12"/>
  <c r="N8" i="12"/>
  <c r="L9" i="12"/>
  <c r="N9" i="12"/>
  <c r="O9" i="12" s="1"/>
  <c r="L10" i="12"/>
  <c r="N10" i="12"/>
  <c r="O10" i="12"/>
  <c r="L13" i="12"/>
  <c r="N13" i="12"/>
  <c r="O13" i="12" s="1"/>
  <c r="S8" i="12" s="1"/>
  <c r="L14" i="12"/>
  <c r="N14" i="12" s="1"/>
  <c r="O14" i="12" s="1"/>
  <c r="L15" i="12"/>
  <c r="N15" i="12"/>
  <c r="O15" i="12" s="1"/>
  <c r="L18" i="12"/>
  <c r="N18" i="12" s="1"/>
  <c r="O18" i="12" s="1"/>
  <c r="S18" i="12" s="1"/>
  <c r="L19" i="12"/>
  <c r="N19" i="12" s="1"/>
  <c r="O19" i="12" s="1"/>
  <c r="L20" i="12"/>
  <c r="N20" i="12"/>
  <c r="O20" i="12" s="1"/>
  <c r="L23" i="12"/>
  <c r="N23" i="12"/>
  <c r="O23" i="12"/>
  <c r="L24" i="12"/>
  <c r="N24" i="12"/>
  <c r="O24" i="12" s="1"/>
  <c r="L25" i="12"/>
  <c r="N25" i="12"/>
  <c r="O25" i="12"/>
  <c r="D32" i="12"/>
  <c r="L3" i="11"/>
  <c r="M3" i="11" s="1"/>
  <c r="L4" i="11"/>
  <c r="M4" i="11"/>
  <c r="P4" i="11" s="1"/>
  <c r="L5" i="11"/>
  <c r="M5" i="11"/>
  <c r="P5" i="11" s="1"/>
  <c r="L6" i="11"/>
  <c r="M6" i="11"/>
  <c r="P6" i="11" s="1"/>
  <c r="L7" i="11"/>
  <c r="M7" i="11"/>
  <c r="P7" i="11"/>
  <c r="L8" i="11"/>
  <c r="M8" i="11" s="1"/>
  <c r="L9" i="11"/>
  <c r="M9" i="11" s="1"/>
  <c r="P9" i="11" s="1"/>
  <c r="L10" i="11"/>
  <c r="M10" i="11"/>
  <c r="P10" i="11" s="1"/>
  <c r="O11" i="10"/>
  <c r="K9" i="10"/>
  <c r="K10" i="10"/>
  <c r="K12" i="10"/>
  <c r="K18" i="10"/>
  <c r="K24" i="10"/>
  <c r="K30" i="10"/>
  <c r="J45" i="10"/>
  <c r="K45" i="10" s="1"/>
  <c r="F45" i="10"/>
  <c r="E45" i="10"/>
  <c r="J44" i="10"/>
  <c r="K44" i="10" s="1"/>
  <c r="F44" i="10"/>
  <c r="E44" i="10"/>
  <c r="J43" i="10"/>
  <c r="K43" i="10" s="1"/>
  <c r="F43" i="10"/>
  <c r="E43" i="10"/>
  <c r="J42" i="10"/>
  <c r="K42" i="10" s="1"/>
  <c r="F42" i="10"/>
  <c r="E42" i="10"/>
  <c r="J41" i="10"/>
  <c r="K41" i="10" s="1"/>
  <c r="F41" i="10"/>
  <c r="E41" i="10"/>
  <c r="J40" i="10"/>
  <c r="K40" i="10" s="1"/>
  <c r="F40" i="10"/>
  <c r="E40" i="10"/>
  <c r="J39" i="10"/>
  <c r="K39" i="10" s="1"/>
  <c r="F39" i="10"/>
  <c r="E39" i="10"/>
  <c r="J38" i="10"/>
  <c r="K38" i="10" s="1"/>
  <c r="F38" i="10"/>
  <c r="E38" i="10"/>
  <c r="J37" i="10"/>
  <c r="K37" i="10" s="1"/>
  <c r="F37" i="10"/>
  <c r="E37" i="10"/>
  <c r="J36" i="10"/>
  <c r="K36" i="10" s="1"/>
  <c r="F36" i="10"/>
  <c r="E36" i="10"/>
  <c r="J35" i="10"/>
  <c r="K35" i="10" s="1"/>
  <c r="F35" i="10"/>
  <c r="E35" i="10"/>
  <c r="J34" i="10"/>
  <c r="K34" i="10" s="1"/>
  <c r="F34" i="10"/>
  <c r="E34" i="10"/>
  <c r="J33" i="10"/>
  <c r="K33" i="10" s="1"/>
  <c r="F33" i="10"/>
  <c r="E33" i="10"/>
  <c r="J32" i="10"/>
  <c r="K32" i="10" s="1"/>
  <c r="F32" i="10"/>
  <c r="E32" i="10"/>
  <c r="J31" i="10"/>
  <c r="K31" i="10" s="1"/>
  <c r="F31" i="10"/>
  <c r="E31" i="10"/>
  <c r="J30" i="10"/>
  <c r="F30" i="10"/>
  <c r="E30" i="10"/>
  <c r="J29" i="10"/>
  <c r="K29" i="10" s="1"/>
  <c r="F29" i="10"/>
  <c r="E29" i="10"/>
  <c r="J28" i="10"/>
  <c r="K28" i="10" s="1"/>
  <c r="F28" i="10"/>
  <c r="E28" i="10"/>
  <c r="J27" i="10"/>
  <c r="K27" i="10" s="1"/>
  <c r="F27" i="10"/>
  <c r="E27" i="10"/>
  <c r="J26" i="10"/>
  <c r="K26" i="10" s="1"/>
  <c r="F26" i="10"/>
  <c r="E26" i="10"/>
  <c r="J25" i="10"/>
  <c r="K25" i="10" s="1"/>
  <c r="F25" i="10"/>
  <c r="E25" i="10"/>
  <c r="J24" i="10"/>
  <c r="F24" i="10"/>
  <c r="E24" i="10"/>
  <c r="J23" i="10"/>
  <c r="K23" i="10" s="1"/>
  <c r="F23" i="10"/>
  <c r="E23" i="10"/>
  <c r="J22" i="10"/>
  <c r="K22" i="10" s="1"/>
  <c r="F22" i="10"/>
  <c r="E22" i="10"/>
  <c r="J21" i="10"/>
  <c r="K21" i="10" s="1"/>
  <c r="F21" i="10"/>
  <c r="E21" i="10"/>
  <c r="J20" i="10"/>
  <c r="K20" i="10" s="1"/>
  <c r="F20" i="10"/>
  <c r="E20" i="10"/>
  <c r="J19" i="10"/>
  <c r="K19" i="10" s="1"/>
  <c r="F19" i="10"/>
  <c r="E19" i="10"/>
  <c r="J18" i="10"/>
  <c r="F18" i="10"/>
  <c r="E18" i="10"/>
  <c r="J17" i="10"/>
  <c r="K17" i="10" s="1"/>
  <c r="F17" i="10"/>
  <c r="E17" i="10"/>
  <c r="J16" i="10"/>
  <c r="K16" i="10" s="1"/>
  <c r="F16" i="10"/>
  <c r="E16" i="10"/>
  <c r="J15" i="10"/>
  <c r="K15" i="10" s="1"/>
  <c r="F15" i="10"/>
  <c r="E15" i="10"/>
  <c r="J14" i="10"/>
  <c r="K14" i="10" s="1"/>
  <c r="F14" i="10"/>
  <c r="E14" i="10"/>
  <c r="J13" i="10"/>
  <c r="K13" i="10" s="1"/>
  <c r="F13" i="10"/>
  <c r="E13" i="10"/>
  <c r="J12" i="10"/>
  <c r="F12" i="10"/>
  <c r="E12" i="10"/>
  <c r="J11" i="10"/>
  <c r="K11" i="10" s="1"/>
  <c r="F11" i="10"/>
  <c r="E11" i="10"/>
  <c r="J10" i="10"/>
  <c r="F10" i="10"/>
  <c r="E10" i="10"/>
  <c r="J9" i="10"/>
  <c r="F9" i="10"/>
  <c r="E9" i="10"/>
  <c r="J8" i="10"/>
  <c r="K8" i="10" s="1"/>
  <c r="F8" i="10"/>
  <c r="E8" i="10"/>
  <c r="J7" i="10"/>
  <c r="K7" i="10" s="1"/>
  <c r="F7" i="10"/>
  <c r="E7" i="10"/>
  <c r="J6" i="10"/>
  <c r="K6" i="10" s="1"/>
  <c r="F6" i="10"/>
  <c r="E6" i="10"/>
  <c r="J5" i="10"/>
  <c r="K5" i="10" s="1"/>
  <c r="F5" i="10"/>
  <c r="E5" i="10"/>
  <c r="C4" i="9"/>
  <c r="C5" i="9"/>
  <c r="C6" i="9"/>
  <c r="C7" i="9"/>
  <c r="C8" i="9"/>
  <c r="C3" i="9"/>
  <c r="R18" i="12" l="1"/>
  <c r="O6" i="10"/>
  <c r="O7" i="10"/>
  <c r="O8" i="10"/>
  <c r="O5" i="10"/>
  <c r="E46" i="10"/>
  <c r="U22" i="15"/>
  <c r="Y22" i="15" s="1"/>
  <c r="U24" i="15"/>
  <c r="Z22" i="15" s="1"/>
  <c r="K29" i="15"/>
  <c r="Q26" i="15" s="1"/>
  <c r="S9" i="12"/>
  <c r="S19" i="12"/>
  <c r="R19" i="12"/>
  <c r="P8" i="11"/>
  <c r="N7" i="11"/>
  <c r="O7" i="11"/>
  <c r="N3" i="11"/>
  <c r="P3" i="11"/>
  <c r="O3" i="11"/>
  <c r="R3" i="11" l="1"/>
  <c r="A19" i="3" l="1"/>
  <c r="A17" i="3"/>
  <c r="A16" i="3"/>
  <c r="A13" i="3"/>
  <c r="A12" i="3"/>
  <c r="A10" i="3"/>
  <c r="A20" i="3"/>
  <c r="A18" i="3"/>
  <c r="A15" i="3"/>
  <c r="A14" i="3"/>
  <c r="A11" i="3"/>
  <c r="A9" i="3"/>
  <c r="A8" i="3"/>
  <c r="A7" i="3"/>
  <c r="A6" i="3"/>
</calcChain>
</file>

<file path=xl/sharedStrings.xml><?xml version="1.0" encoding="utf-8"?>
<sst xmlns="http://schemas.openxmlformats.org/spreadsheetml/2006/main" count="451" uniqueCount="177">
  <si>
    <t>EOPCB: Production cell growth</t>
  </si>
  <si>
    <t>BioReliance</t>
  </si>
  <si>
    <t>Vial number</t>
  </si>
  <si>
    <t>Date</t>
  </si>
  <si>
    <t>Total cells</t>
  </si>
  <si>
    <t>% viability</t>
  </si>
  <si>
    <t>Cells/T175</t>
  </si>
  <si>
    <t>Number of T175</t>
  </si>
  <si>
    <t>Final passage</t>
  </si>
  <si>
    <t>Vial 161</t>
  </si>
  <si>
    <t xml:space="preserve">Initiation </t>
  </si>
  <si>
    <t>2 x T 75</t>
  </si>
  <si>
    <t>p#5</t>
  </si>
  <si>
    <t>Expansion</t>
  </si>
  <si>
    <t>5 x T 75</t>
  </si>
  <si>
    <t>p#6</t>
  </si>
  <si>
    <t>p#7</t>
  </si>
  <si>
    <t>p#8</t>
  </si>
  <si>
    <t>p#9</t>
  </si>
  <si>
    <t>p#10</t>
  </si>
  <si>
    <t>p#11</t>
  </si>
  <si>
    <t>30 x T 75</t>
  </si>
  <si>
    <t>p#12</t>
  </si>
  <si>
    <t>Medium exchange</t>
  </si>
  <si>
    <t>70 vials p#12 containing 1.0 × 107 viable cells/mL, 1.1 mL/vial) constitute the EOPCB</t>
  </si>
  <si>
    <t xml:space="preserve">EOPCB recovery </t>
  </si>
  <si>
    <t>Vial 4</t>
  </si>
  <si>
    <t>Vial 37</t>
  </si>
  <si>
    <t>Vial 67</t>
  </si>
  <si>
    <t>1 x T 75</t>
  </si>
  <si>
    <t>p#13</t>
  </si>
  <si>
    <t>p#14</t>
  </si>
  <si>
    <t>Harvest and count</t>
  </si>
  <si>
    <t>Day</t>
  </si>
  <si>
    <t>Lot n°</t>
  </si>
  <si>
    <t>Storage (years)</t>
  </si>
  <si>
    <t>Storage (months)</t>
  </si>
  <si>
    <t>Lot 150522</t>
  </si>
  <si>
    <t>Lot 160122</t>
  </si>
  <si>
    <t>Lot 161216</t>
  </si>
  <si>
    <t>Lot 180921</t>
  </si>
  <si>
    <t>Mean</t>
  </si>
  <si>
    <t>Std. Dev</t>
  </si>
  <si>
    <t>Conformité selon % recouvrement</t>
  </si>
  <si>
    <t>Conformité selon nbre cells / PBB</t>
  </si>
  <si>
    <t>Recouvrement (%)</t>
  </si>
  <si>
    <t xml:space="preserve"> 10/11</t>
  </si>
  <si>
    <t>Y</t>
  </si>
  <si>
    <t>N</t>
  </si>
  <si>
    <t>21PBF06SL1</t>
  </si>
  <si>
    <t>21PBF07FR1</t>
  </si>
  <si>
    <t>21PBF06SL2</t>
  </si>
  <si>
    <t>21PBF07FR2</t>
  </si>
  <si>
    <t>21PBF08CB1</t>
  </si>
  <si>
    <t>21PBF08CB2</t>
  </si>
  <si>
    <t>21PBF09SM1</t>
  </si>
  <si>
    <t>21PBF10CL1</t>
  </si>
  <si>
    <t>21PBF09SM2</t>
  </si>
  <si>
    <t>Prod Val. CL11a</t>
  </si>
  <si>
    <t>21PBF10CL2</t>
  </si>
  <si>
    <t>Prod Val CL11 cptage</t>
  </si>
  <si>
    <t>Prod Val. CL11b</t>
  </si>
  <si>
    <t>Prod Val. CL11c</t>
  </si>
  <si>
    <t>Prod Val CL11 za à zd cptage</t>
  </si>
  <si>
    <t>Prod Val. CL11j</t>
  </si>
  <si>
    <t>Prod Val. CL11g</t>
  </si>
  <si>
    <t>Prod Val. CL11i</t>
  </si>
  <si>
    <t>Prod Val. CL11d</t>
  </si>
  <si>
    <t>Prod Val. CL11e</t>
  </si>
  <si>
    <t>Prod Val. CL11h</t>
  </si>
  <si>
    <t>Prod Val. CL11f</t>
  </si>
  <si>
    <t>1-20</t>
  </si>
  <si>
    <t>21-40</t>
  </si>
  <si>
    <t>41-60</t>
  </si>
  <si>
    <t>61-80</t>
  </si>
  <si>
    <t>21FFC01WCBII01, Boîte 31, 17 ampoules</t>
  </si>
  <si>
    <t>21FFC01WCBII01, Boîte 32, 13 ampoules</t>
  </si>
  <si>
    <t>21FFC01WCBII01, Boîte 31, 1 ampoule</t>
  </si>
  <si>
    <t>Date of thawing</t>
  </si>
  <si>
    <t>storage time (days)</t>
  </si>
  <si>
    <t>Storage Duration (days)</t>
  </si>
  <si>
    <t>Prod Val. CL11k-l</t>
  </si>
  <si>
    <t>Prod Val. CL11w-y</t>
  </si>
  <si>
    <t>Prod Val. CL11m-o</t>
  </si>
  <si>
    <t>Prod Val. CL11s-t</t>
  </si>
  <si>
    <t>Cell Viability &gt;=80%</t>
  </si>
  <si>
    <t>Prod Val. CL11p-q</t>
  </si>
  <si>
    <t>Prod Val. CL11z</t>
  </si>
  <si>
    <t>Mean (n=41)</t>
  </si>
  <si>
    <t>nbr cells total</t>
  </si>
  <si>
    <t>DMSO_p6.1_7</t>
  </si>
  <si>
    <t>DMSO_p6.1_8</t>
  </si>
  <si>
    <t>CryoSoFree_p6.1_5</t>
  </si>
  <si>
    <t>CryoSoFree_p6.1_6</t>
  </si>
  <si>
    <t>Vial</t>
  </si>
  <si>
    <t>Operator 1</t>
  </si>
  <si>
    <t>Operator 2</t>
  </si>
  <si>
    <t>Mean total cells</t>
  </si>
  <si>
    <t>ecart-type total cells</t>
  </si>
  <si>
    <t>Viability %, Ref 2E+06 cells</t>
  </si>
  <si>
    <t>Mean viability, %</t>
  </si>
  <si>
    <t>ecart-type viability</t>
  </si>
  <si>
    <t>DMSO_p6.1_A</t>
  </si>
  <si>
    <t>DMSO_p6.1_B</t>
  </si>
  <si>
    <t>CryoSoFree_p6.1_A</t>
  </si>
  <si>
    <t>CryoSoFree_p6.1_B</t>
  </si>
  <si>
    <t>Time of thawing</t>
  </si>
  <si>
    <t>10% DMSO</t>
  </si>
  <si>
    <t xml:space="preserve">Cell count </t>
  </si>
  <si>
    <t>CSA</t>
  </si>
  <si>
    <t>LALA</t>
  </si>
  <si>
    <t>volume dil</t>
  </si>
  <si>
    <t>% of increase cell growth</t>
  </si>
  <si>
    <t>sd</t>
  </si>
  <si>
    <t>DMSO_p7.1</t>
  </si>
  <si>
    <t>Day 0</t>
  </si>
  <si>
    <t>Cryo_p7.1</t>
  </si>
  <si>
    <t>DMSO_p7.1_A</t>
  </si>
  <si>
    <t>Day 11</t>
  </si>
  <si>
    <t>day 11</t>
  </si>
  <si>
    <t>Day 18</t>
  </si>
  <si>
    <t>day 18</t>
  </si>
  <si>
    <t>DMSO_p7.1_B</t>
  </si>
  <si>
    <t>CRYO_p7.1_A 1.5k</t>
  </si>
  <si>
    <t>CRYO_p7.1_B</t>
  </si>
  <si>
    <t>Viability (%)</t>
  </si>
  <si>
    <t>Fold Expansion vs. Control</t>
  </si>
  <si>
    <t>Control</t>
  </si>
  <si>
    <t>CryoOx</t>
  </si>
  <si>
    <t>TWA</t>
  </si>
  <si>
    <t>UTR</t>
  </si>
  <si>
    <t>Average</t>
  </si>
  <si>
    <t>Passage 12</t>
  </si>
  <si>
    <t>Initiation Phase</t>
  </si>
  <si>
    <t>Phase</t>
  </si>
  <si>
    <t>ID</t>
  </si>
  <si>
    <t>Initial Passage</t>
  </si>
  <si>
    <t>Total Cell Count (per ml)</t>
  </si>
  <si>
    <t>Vol for cell suspension (ml)</t>
  </si>
  <si>
    <t>Viable cell counting (per ml)</t>
  </si>
  <si>
    <t>Viable Cells</t>
  </si>
  <si>
    <t>Total Cells</t>
  </si>
  <si>
    <t>Cell Passaging</t>
  </si>
  <si>
    <t>Fig 1b</t>
  </si>
  <si>
    <t>Fig 1c</t>
  </si>
  <si>
    <t>Fig 2</t>
  </si>
  <si>
    <t>Fig 1a</t>
  </si>
  <si>
    <t>Vial Number</t>
  </si>
  <si>
    <t>Storage Time (days), as range</t>
  </si>
  <si>
    <t>Count</t>
  </si>
  <si>
    <t>Sorted by Storage Time Range</t>
  </si>
  <si>
    <t>cells totales                    (2 ± 0.2 cells)</t>
  </si>
  <si>
    <r>
      <t>cells/PBB                  (limit 0.4 x 10</t>
    </r>
    <r>
      <rPr>
        <b/>
        <vertAlign val="superscript"/>
        <sz val="11"/>
        <color theme="1"/>
        <rFont val="Aptos"/>
        <family val="2"/>
      </rPr>
      <t>5</t>
    </r>
    <r>
      <rPr>
        <b/>
        <sz val="11"/>
        <color theme="1"/>
        <rFont val="Aptos"/>
        <family val="2"/>
      </rPr>
      <t>)</t>
    </r>
  </si>
  <si>
    <t>Fig 4a</t>
  </si>
  <si>
    <t>Fig 3</t>
  </si>
  <si>
    <t>t-test</t>
  </si>
  <si>
    <t>CryoSoFree</t>
  </si>
  <si>
    <t>Type</t>
  </si>
  <si>
    <t>CryoSoFree™</t>
  </si>
  <si>
    <t>Fig 1b &amp; 1c</t>
  </si>
  <si>
    <t>Fig 4b</t>
  </si>
  <si>
    <t>Day (n)</t>
  </si>
  <si>
    <t>% Increase Cell Growth</t>
  </si>
  <si>
    <t>Test Item 1</t>
  </si>
  <si>
    <t>Test Item 2</t>
  </si>
  <si>
    <t>Test Item 3</t>
  </si>
  <si>
    <t>Test Item 4</t>
  </si>
  <si>
    <t>Test Item 5</t>
  </si>
  <si>
    <t>Fig 5</t>
  </si>
  <si>
    <t>Fig 6</t>
  </si>
  <si>
    <t>DMSO-based CPA</t>
  </si>
  <si>
    <t>DMSO-free CPA</t>
  </si>
  <si>
    <t>CPA</t>
  </si>
  <si>
    <t>GMP Platform</t>
  </si>
  <si>
    <t>Std. Dev. (sample)</t>
  </si>
  <si>
    <t>Cell Viability (%)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</si>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</sst>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(* #,##0_);_(* \(#,##0\);_(* &quot;-&quot;??_);_(@_)"/>
    <numFmt numFmtId="168" formatCode="0.000"/>
    <numFmt numFmtId="169" formatCode="0.0000"/>
    <numFmt numFmtId="172" formatCode="0.0000%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1"/>
      <name val="Aptos"/>
      <family val="2"/>
    </font>
    <font>
      <sz val="11"/>
      <color rgb="FFFF0000"/>
      <name val="Aptos"/>
      <family val="2"/>
    </font>
    <font>
      <b/>
      <sz val="14"/>
      <name val="Aptos"/>
      <family val="2"/>
    </font>
    <font>
      <b/>
      <sz val="11"/>
      <name val="Aptos"/>
      <family val="2"/>
    </font>
    <font>
      <sz val="14"/>
      <color theme="1"/>
      <name val="Aptos"/>
      <family val="2"/>
    </font>
    <font>
      <sz val="11"/>
      <color rgb="FF00B050"/>
      <name val="Aptos"/>
      <family val="2"/>
    </font>
    <font>
      <b/>
      <vertAlign val="superscript"/>
      <sz val="11"/>
      <color theme="1"/>
      <name val="Aptos"/>
      <family val="2"/>
    </font>
    <font>
      <sz val="11"/>
      <color theme="5"/>
      <name val="Aptos"/>
      <family val="2"/>
    </font>
    <font>
      <b/>
      <sz val="11"/>
      <color theme="4"/>
      <name val="Aptos"/>
      <family val="2"/>
    </font>
    <font>
      <sz val="11"/>
      <color rgb="FFC00000"/>
      <name val="Aptos"/>
      <family val="2"/>
    </font>
    <font>
      <sz val="11"/>
      <color theme="5" tint="-0.499984740745262"/>
      <name val="Aptos"/>
      <family val="2"/>
    </font>
    <font>
      <b/>
      <sz val="11"/>
      <color rgb="FF00B050"/>
      <name val="Aptos"/>
      <family val="2"/>
    </font>
    <font>
      <b/>
      <sz val="11"/>
      <color theme="5" tint="-0.249977111117893"/>
      <name val="Aptos"/>
      <family val="2"/>
    </font>
    <font>
      <b/>
      <sz val="12"/>
      <color theme="4"/>
      <name val="Aptos"/>
      <family val="2"/>
    </font>
    <font>
      <b/>
      <sz val="12"/>
      <color rgb="FF00B050"/>
      <name val="Aptos"/>
      <family val="2"/>
    </font>
    <font>
      <b/>
      <sz val="12"/>
      <color theme="5" tint="-0.249977111117893"/>
      <name val="Aptos"/>
      <family val="2"/>
    </font>
    <font>
      <b/>
      <sz val="11"/>
      <color theme="5"/>
      <name val="Aptos"/>
      <family val="2"/>
    </font>
    <font>
      <i/>
      <sz val="11"/>
      <color rgb="FFFF0000"/>
      <name val="Aptos"/>
      <family val="2"/>
    </font>
    <font>
      <b/>
      <i/>
      <sz val="11"/>
      <color rgb="FFFF0000"/>
      <name val="Aptos"/>
      <family val="2"/>
    </font>
    <font>
      <b/>
      <i/>
      <sz val="11"/>
      <color theme="5"/>
      <name val="Aptos"/>
      <family val="2"/>
    </font>
    <font>
      <b/>
      <sz val="11"/>
      <color rgb="FFFF000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15">
    <xf numFmtId="0" fontId="0" fillId="0" borderId="0" xfId="0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right"/>
    </xf>
    <xf numFmtId="11" fontId="4" fillId="0" borderId="1" xfId="0" applyNumberFormat="1" applyFont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" fontId="4" fillId="0" borderId="0" xfId="0" applyNumberFormat="1" applyFont="1"/>
    <xf numFmtId="0" fontId="4" fillId="9" borderId="1" xfId="0" applyFont="1" applyFill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1" fontId="4" fillId="0" borderId="1" xfId="0" applyNumberFormat="1" applyFont="1" applyBorder="1"/>
    <xf numFmtId="11" fontId="4" fillId="0" borderId="1" xfId="0" applyNumberFormat="1" applyFont="1" applyBorder="1"/>
    <xf numFmtId="11" fontId="4" fillId="2" borderId="1" xfId="0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11" fontId="5" fillId="0" borderId="1" xfId="0" applyNumberFormat="1" applyFont="1" applyBorder="1" applyAlignment="1">
      <alignment horizontal="right"/>
    </xf>
    <xf numFmtId="0" fontId="5" fillId="9" borderId="1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1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1" fontId="6" fillId="0" borderId="0" xfId="0" applyNumberFormat="1" applyFont="1"/>
    <xf numFmtId="11" fontId="6" fillId="0" borderId="0" xfId="0" applyNumberFormat="1" applyFont="1"/>
    <xf numFmtId="0" fontId="6" fillId="0" borderId="0" xfId="0" applyFont="1"/>
    <xf numFmtId="164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6" fillId="0" borderId="13" xfId="0" applyFont="1" applyBorder="1" applyAlignment="1">
      <alignment horizontal="right"/>
    </xf>
    <xf numFmtId="0" fontId="8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4" fontId="5" fillId="9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right" vertical="center" wrapText="1"/>
    </xf>
    <xf numFmtId="11" fontId="9" fillId="0" borderId="1" xfId="0" applyNumberFormat="1" applyFont="1" applyBorder="1" applyAlignment="1">
      <alignment horizontal="center" vertical="center" wrapText="1"/>
    </xf>
    <xf numFmtId="11" fontId="9" fillId="0" borderId="1" xfId="0" applyNumberFormat="1" applyFont="1" applyBorder="1" applyAlignment="1">
      <alignment horizontal="center" vertical="center" wrapText="1"/>
    </xf>
    <xf numFmtId="164" fontId="9" fillId="9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1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6" fillId="9" borderId="1" xfId="0" applyFont="1" applyFill="1" applyBorder="1" applyAlignment="1">
      <alignment horizontal="right"/>
    </xf>
    <xf numFmtId="11" fontId="6" fillId="0" borderId="1" xfId="0" applyNumberFormat="1" applyFont="1" applyBorder="1"/>
    <xf numFmtId="0" fontId="9" fillId="0" borderId="1" xfId="0" applyFont="1" applyFill="1" applyBorder="1" applyAlignment="1">
      <alignment horizontal="right" vertical="center" wrapText="1"/>
    </xf>
    <xf numFmtId="11" fontId="9" fillId="0" borderId="1" xfId="0" applyNumberFormat="1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/>
    </xf>
    <xf numFmtId="14" fontId="6" fillId="0" borderId="5" xfId="0" applyNumberFormat="1" applyFont="1" applyFill="1" applyBorder="1" applyAlignment="1">
      <alignment horizontal="right"/>
    </xf>
    <xf numFmtId="11" fontId="6" fillId="0" borderId="5" xfId="0" applyNumberFormat="1" applyFont="1" applyFill="1" applyBorder="1" applyAlignment="1">
      <alignment horizontal="right"/>
    </xf>
    <xf numFmtId="1" fontId="6" fillId="0" borderId="5" xfId="0" applyNumberFormat="1" applyFont="1" applyFill="1" applyBorder="1"/>
    <xf numFmtId="11" fontId="6" fillId="0" borderId="5" xfId="0" applyNumberFormat="1" applyFont="1" applyFill="1" applyBorder="1"/>
    <xf numFmtId="169" fontId="6" fillId="0" borderId="5" xfId="0" applyNumberFormat="1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14" fontId="6" fillId="0" borderId="6" xfId="0" applyNumberFormat="1" applyFont="1" applyFill="1" applyBorder="1" applyAlignment="1">
      <alignment horizontal="right"/>
    </xf>
    <xf numFmtId="11" fontId="6" fillId="0" borderId="6" xfId="0" applyNumberFormat="1" applyFont="1" applyFill="1" applyBorder="1" applyAlignment="1">
      <alignment horizontal="right"/>
    </xf>
    <xf numFmtId="1" fontId="6" fillId="0" borderId="6" xfId="0" applyNumberFormat="1" applyFont="1" applyFill="1" applyBorder="1"/>
    <xf numFmtId="11" fontId="6" fillId="0" borderId="6" xfId="0" applyNumberFormat="1" applyFont="1" applyFill="1" applyBorder="1"/>
    <xf numFmtId="169" fontId="6" fillId="0" borderId="6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4" fontId="6" fillId="0" borderId="0" xfId="0" applyNumberFormat="1" applyFont="1" applyFill="1" applyBorder="1" applyAlignment="1">
      <alignment horizontal="right"/>
    </xf>
    <xf numFmtId="11" fontId="6" fillId="0" borderId="0" xfId="0" applyNumberFormat="1" applyFont="1" applyFill="1" applyBorder="1" applyAlignment="1">
      <alignment horizontal="right"/>
    </xf>
    <xf numFmtId="1" fontId="6" fillId="0" borderId="0" xfId="0" applyNumberFormat="1" applyFont="1" applyFill="1" applyBorder="1"/>
    <xf numFmtId="11" fontId="6" fillId="0" borderId="0" xfId="0" applyNumberFormat="1" applyFont="1" applyFill="1" applyBorder="1"/>
    <xf numFmtId="169" fontId="6" fillId="0" borderId="0" xfId="0" applyNumberFormat="1" applyFont="1" applyFill="1" applyBorder="1" applyAlignment="1">
      <alignment horizontal="right"/>
    </xf>
    <xf numFmtId="0" fontId="6" fillId="0" borderId="6" xfId="0" applyFont="1" applyFill="1" applyBorder="1"/>
    <xf numFmtId="0" fontId="9" fillId="9" borderId="1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11" fontId="9" fillId="0" borderId="9" xfId="0" applyNumberFormat="1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65" fontId="6" fillId="9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2" fontId="4" fillId="0" borderId="0" xfId="0" applyNumberFormat="1" applyFont="1"/>
    <xf numFmtId="0" fontId="8" fillId="9" borderId="0" xfId="0" applyFont="1" applyFill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9" borderId="1" xfId="0" applyFont="1" applyFill="1" applyBorder="1"/>
    <xf numFmtId="2" fontId="4" fillId="9" borderId="1" xfId="0" applyNumberFormat="1" applyFont="1" applyFill="1" applyBorder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68" fontId="5" fillId="0" borderId="1" xfId="0" applyNumberFormat="1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8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68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172" fontId="4" fillId="0" borderId="1" xfId="1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8" fontId="6" fillId="3" borderId="1" xfId="0" applyNumberFormat="1" applyFont="1" applyFill="1" applyBorder="1" applyAlignment="1">
      <alignment horizontal="center" vertical="center"/>
    </xf>
    <xf numFmtId="168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3" fillId="0" borderId="0" xfId="0" applyFont="1"/>
    <xf numFmtId="0" fontId="22" fillId="0" borderId="1" xfId="0" applyFont="1" applyBorder="1" applyAlignment="1">
      <alignment horizontal="right"/>
    </xf>
    <xf numFmtId="14" fontId="4" fillId="0" borderId="1" xfId="0" applyNumberFormat="1" applyFont="1" applyBorder="1"/>
    <xf numFmtId="1" fontId="5" fillId="0" borderId="1" xfId="0" applyNumberFormat="1" applyFont="1" applyBorder="1" applyAlignment="1">
      <alignment horizontal="right"/>
    </xf>
    <xf numFmtId="11" fontId="22" fillId="0" borderId="1" xfId="0" applyNumberFormat="1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3" fillId="0" borderId="1" xfId="0" applyFont="1" applyBorder="1"/>
    <xf numFmtId="1" fontId="13" fillId="0" borderId="1" xfId="0" applyNumberFormat="1" applyFont="1" applyBorder="1"/>
    <xf numFmtId="0" fontId="23" fillId="0" borderId="1" xfId="0" applyFont="1" applyBorder="1"/>
    <xf numFmtId="0" fontId="7" fillId="0" borderId="1" xfId="0" applyFont="1" applyBorder="1"/>
    <xf numFmtId="14" fontId="23" fillId="0" borderId="1" xfId="0" applyNumberFormat="1" applyFont="1" applyBorder="1"/>
    <xf numFmtId="11" fontId="24" fillId="0" borderId="1" xfId="0" applyNumberFormat="1" applyFont="1" applyBorder="1" applyAlignment="1">
      <alignment horizontal="right"/>
    </xf>
    <xf numFmtId="11" fontId="25" fillId="0" borderId="1" xfId="0" applyNumberFormat="1" applyFont="1" applyBorder="1" applyAlignment="1">
      <alignment horizontal="right"/>
    </xf>
    <xf numFmtId="0" fontId="6" fillId="0" borderId="1" xfId="0" applyFont="1" applyBorder="1"/>
    <xf numFmtId="14" fontId="6" fillId="0" borderId="1" xfId="0" applyNumberFormat="1" applyFont="1" applyBorder="1"/>
    <xf numFmtId="11" fontId="9" fillId="0" borderId="1" xfId="0" applyNumberFormat="1" applyFont="1" applyBorder="1" applyAlignment="1">
      <alignment horizontal="right"/>
    </xf>
    <xf numFmtId="11" fontId="26" fillId="0" borderId="1" xfId="0" applyNumberFormat="1" applyFont="1" applyBorder="1" applyAlignment="1">
      <alignment horizontal="right"/>
    </xf>
    <xf numFmtId="2" fontId="5" fillId="0" borderId="1" xfId="0" applyNumberFormat="1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11" fontId="5" fillId="7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68" fontId="5" fillId="6" borderId="1" xfId="0" applyNumberFormat="1" applyFont="1" applyFill="1" applyBorder="1" applyAlignment="1">
      <alignment horizontal="center" vertical="center" wrapText="1"/>
    </xf>
    <xf numFmtId="1" fontId="5" fillId="9" borderId="1" xfId="0" applyNumberFormat="1" applyFont="1" applyFill="1" applyBorder="1" applyAlignment="1">
      <alignment horizontal="center" vertical="center" wrapText="1"/>
    </xf>
    <xf numFmtId="11" fontId="5" fillId="7" borderId="2" xfId="0" applyNumberFormat="1" applyFont="1" applyFill="1" applyBorder="1"/>
    <xf numFmtId="11" fontId="5" fillId="7" borderId="1" xfId="0" applyNumberFormat="1" applyFont="1" applyFill="1" applyBorder="1"/>
    <xf numFmtId="168" fontId="4" fillId="4" borderId="1" xfId="0" applyNumberFormat="1" applyFont="1" applyFill="1" applyBorder="1"/>
    <xf numFmtId="1" fontId="4" fillId="6" borderId="7" xfId="0" applyNumberFormat="1" applyFont="1" applyFill="1" applyBorder="1" applyAlignment="1">
      <alignment horizontal="center" vertical="center"/>
    </xf>
    <xf numFmtId="168" fontId="5" fillId="6" borderId="7" xfId="0" applyNumberFormat="1" applyFont="1" applyFill="1" applyBorder="1" applyAlignment="1">
      <alignment horizontal="center" vertical="center"/>
    </xf>
    <xf numFmtId="168" fontId="4" fillId="6" borderId="7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168" fontId="4" fillId="9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/>
    <xf numFmtId="1" fontId="4" fillId="6" borderId="8" xfId="0" applyNumberFormat="1" applyFont="1" applyFill="1" applyBorder="1" applyAlignment="1">
      <alignment horizontal="center" vertical="center"/>
    </xf>
    <xf numFmtId="168" fontId="5" fillId="6" borderId="8" xfId="0" applyNumberFormat="1" applyFont="1" applyFill="1" applyBorder="1" applyAlignment="1">
      <alignment horizontal="center" vertical="center"/>
    </xf>
    <xf numFmtId="168" fontId="4" fillId="6" borderId="8" xfId="0" applyNumberFormat="1" applyFont="1" applyFill="1" applyBorder="1" applyAlignment="1">
      <alignment horizontal="center"/>
    </xf>
    <xf numFmtId="1" fontId="4" fillId="6" borderId="9" xfId="0" applyNumberFormat="1" applyFont="1" applyFill="1" applyBorder="1" applyAlignment="1">
      <alignment horizontal="center" vertical="center"/>
    </xf>
    <xf numFmtId="168" fontId="5" fillId="6" borderId="9" xfId="0" applyNumberFormat="1" applyFont="1" applyFill="1" applyBorder="1" applyAlignment="1">
      <alignment horizontal="center" vertical="center"/>
    </xf>
    <xf numFmtId="168" fontId="4" fillId="6" borderId="9" xfId="0" applyNumberFormat="1" applyFont="1" applyFill="1" applyBorder="1" applyAlignment="1">
      <alignment horizontal="center"/>
    </xf>
    <xf numFmtId="0" fontId="4" fillId="0" borderId="0" xfId="0" applyFont="1" applyBorder="1"/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1" fontId="5" fillId="0" borderId="9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2" fontId="3" fillId="9" borderId="1" xfId="0" applyNumberFormat="1" applyFont="1" applyFill="1" applyBorder="1" applyAlignment="1">
      <alignment horizontal="center"/>
    </xf>
    <xf numFmtId="2" fontId="10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1" fontId="5" fillId="9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/>
    <xf numFmtId="164" fontId="4" fillId="0" borderId="0" xfId="0" applyNumberFormat="1" applyFont="1"/>
    <xf numFmtId="2" fontId="5" fillId="0" borderId="1" xfId="0" applyNumberFormat="1" applyFont="1" applyBorder="1" applyAlignment="1">
      <alignment horizontal="right"/>
    </xf>
    <xf numFmtId="2" fontId="4" fillId="5" borderId="1" xfId="0" applyNumberFormat="1" applyFont="1" applyFill="1" applyBorder="1"/>
    <xf numFmtId="2" fontId="4" fillId="8" borderId="1" xfId="0" applyNumberFormat="1" applyFont="1" applyFill="1" applyBorder="1"/>
    <xf numFmtId="2" fontId="24" fillId="0" borderId="1" xfId="0" applyNumberFormat="1" applyFont="1" applyBorder="1" applyAlignment="1">
      <alignment horizontal="right"/>
    </xf>
    <xf numFmtId="168" fontId="4" fillId="9" borderId="7" xfId="0" applyNumberFormat="1" applyFont="1" applyFill="1" applyBorder="1" applyAlignment="1">
      <alignment horizontal="center" vertical="center" wrapText="1"/>
    </xf>
    <xf numFmtId="168" fontId="4" fillId="9" borderId="9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/>
    <xf numFmtId="0" fontId="5" fillId="0" borderId="1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3" xfId="0" applyFont="1" applyBorder="1"/>
    <xf numFmtId="0" fontId="4" fillId="0" borderId="6" xfId="0" applyFont="1" applyBorder="1"/>
    <xf numFmtId="0" fontId="4" fillId="0" borderId="12" xfId="0" applyFont="1" applyBorder="1"/>
    <xf numFmtId="164" fontId="4" fillId="9" borderId="0" xfId="0" applyNumberFormat="1" applyFont="1" applyFill="1" applyBorder="1" applyAlignment="1">
      <alignment horizontal="right"/>
    </xf>
    <xf numFmtId="164" fontId="4" fillId="9" borderId="7" xfId="0" applyNumberFormat="1" applyFont="1" applyFill="1" applyBorder="1" applyAlignment="1">
      <alignment horizontal="right"/>
    </xf>
    <xf numFmtId="0" fontId="4" fillId="9" borderId="13" xfId="0" applyFont="1" applyFill="1" applyBorder="1"/>
    <xf numFmtId="164" fontId="4" fillId="9" borderId="8" xfId="0" applyNumberFormat="1" applyFont="1" applyFill="1" applyBorder="1" applyAlignment="1">
      <alignment horizontal="right"/>
    </xf>
    <xf numFmtId="1" fontId="4" fillId="9" borderId="0" xfId="0" applyNumberFormat="1" applyFont="1" applyFill="1" applyBorder="1"/>
    <xf numFmtId="1" fontId="4" fillId="9" borderId="8" xfId="0" applyNumberFormat="1" applyFont="1" applyFill="1" applyBorder="1"/>
    <xf numFmtId="0" fontId="4" fillId="9" borderId="8" xfId="0" applyFont="1" applyFill="1" applyBorder="1"/>
    <xf numFmtId="0" fontId="4" fillId="9" borderId="9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6690-B6D0-4B6B-95A1-9C5C6AB90150}">
  <sheetPr>
    <tabColor rgb="FF92D050"/>
  </sheetPr>
  <dimension ref="A1:AA38"/>
  <sheetViews>
    <sheetView zoomScale="66" workbookViewId="0">
      <selection sqref="A1:N1"/>
    </sheetView>
  </sheetViews>
  <sheetFormatPr defaultColWidth="11.44140625" defaultRowHeight="14.4" x14ac:dyDescent="0.3"/>
  <cols>
    <col min="1" max="1" width="18.33203125" style="21" customWidth="1"/>
    <col min="2" max="2" width="8.5546875" style="21" customWidth="1"/>
    <col min="3" max="3" width="20.6640625" style="21" customWidth="1"/>
    <col min="4" max="4" width="11.44140625" style="21"/>
    <col min="5" max="5" width="11.5546875" style="22" customWidth="1"/>
    <col min="6" max="6" width="11.44140625" style="23"/>
    <col min="7" max="7" width="14.88671875" style="22" customWidth="1"/>
    <col min="8" max="8" width="11.44140625" style="24"/>
    <col min="9" max="10" width="11.44140625" style="25"/>
    <col min="11" max="11" width="12.44140625" style="26" customWidth="1"/>
    <col min="12" max="12" width="13.44140625" style="22" customWidth="1"/>
    <col min="13" max="14" width="10.88671875" style="25" customWidth="1"/>
    <col min="15" max="18" width="11.44140625" style="21"/>
    <col min="19" max="19" width="12.21875" style="21" bestFit="1" customWidth="1"/>
    <col min="20" max="21" width="11.44140625" style="21"/>
    <col min="22" max="22" width="3.5546875" style="21" customWidth="1"/>
    <col min="23" max="24" width="11.44140625" style="21"/>
    <col min="25" max="27" width="12.109375" style="21" bestFit="1" customWidth="1"/>
    <col min="28" max="16384" width="11.44140625" style="21"/>
  </cols>
  <sheetData>
    <row r="1" spans="1:14" ht="18" x14ac:dyDescent="0.35">
      <c r="A1" s="97" t="s">
        <v>146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s="1" customFormat="1" ht="18" x14ac:dyDescent="0.35">
      <c r="A2" s="183" t="s">
        <v>0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</row>
    <row r="3" spans="1:14" s="1" customFormat="1" x14ac:dyDescent="0.3">
      <c r="A3" s="37"/>
      <c r="B3" s="37"/>
      <c r="C3" s="37"/>
      <c r="D3" s="37"/>
      <c r="E3" s="177" t="s">
        <v>141</v>
      </c>
      <c r="F3" s="178"/>
      <c r="G3" s="179"/>
      <c r="H3" s="177" t="s">
        <v>140</v>
      </c>
      <c r="I3" s="178"/>
      <c r="J3" s="179"/>
      <c r="K3" s="180"/>
      <c r="L3" s="181" t="s">
        <v>142</v>
      </c>
      <c r="M3" s="181"/>
      <c r="N3" s="181"/>
    </row>
    <row r="4" spans="1:14" s="1" customFormat="1" ht="43.2" x14ac:dyDescent="0.3">
      <c r="A4" s="38" t="s">
        <v>135</v>
      </c>
      <c r="B4" s="17" t="s">
        <v>136</v>
      </c>
      <c r="C4" s="38" t="s">
        <v>134</v>
      </c>
      <c r="D4" s="38" t="s">
        <v>3</v>
      </c>
      <c r="E4" s="19" t="s">
        <v>137</v>
      </c>
      <c r="F4" s="18" t="s">
        <v>138</v>
      </c>
      <c r="G4" s="19" t="s">
        <v>4</v>
      </c>
      <c r="H4" s="19" t="s">
        <v>139</v>
      </c>
      <c r="I4" s="18" t="s">
        <v>138</v>
      </c>
      <c r="J4" s="19" t="s">
        <v>4</v>
      </c>
      <c r="K4" s="35" t="s">
        <v>125</v>
      </c>
      <c r="L4" s="19" t="s">
        <v>6</v>
      </c>
      <c r="M4" s="19" t="s">
        <v>7</v>
      </c>
      <c r="N4" s="19" t="s">
        <v>8</v>
      </c>
    </row>
    <row r="5" spans="1:14" s="1" customFormat="1" x14ac:dyDescent="0.3">
      <c r="A5" s="6" t="s">
        <v>9</v>
      </c>
      <c r="B5" s="10">
        <v>4</v>
      </c>
      <c r="C5" s="6" t="s">
        <v>10</v>
      </c>
      <c r="D5" s="11">
        <v>40794</v>
      </c>
      <c r="E5" s="7">
        <v>1090000</v>
      </c>
      <c r="F5" s="12">
        <f>G5/E5</f>
        <v>9</v>
      </c>
      <c r="G5" s="7">
        <v>9810000</v>
      </c>
      <c r="H5" s="13">
        <v>1070000</v>
      </c>
      <c r="I5" s="12">
        <v>9</v>
      </c>
      <c r="J5" s="13">
        <f>H5*I5</f>
        <v>9630000</v>
      </c>
      <c r="K5" s="8">
        <f>((J5/G5)*100)</f>
        <v>98.165137614678898</v>
      </c>
      <c r="L5" s="7">
        <v>3530000</v>
      </c>
      <c r="M5" s="6" t="s">
        <v>11</v>
      </c>
      <c r="N5" s="6" t="s">
        <v>12</v>
      </c>
    </row>
    <row r="6" spans="1:14" s="1" customFormat="1" x14ac:dyDescent="0.3">
      <c r="A6" s="6" t="s">
        <v>11</v>
      </c>
      <c r="B6" s="10">
        <v>5</v>
      </c>
      <c r="C6" s="6" t="s">
        <v>13</v>
      </c>
      <c r="D6" s="11">
        <v>40798</v>
      </c>
      <c r="E6" s="7">
        <v>2310000</v>
      </c>
      <c r="F6" s="12">
        <f>G6/E6</f>
        <v>19.004329004329005</v>
      </c>
      <c r="G6" s="7">
        <v>43900000</v>
      </c>
      <c r="H6" s="13">
        <v>2300000</v>
      </c>
      <c r="I6" s="12">
        <v>19.004329004329005</v>
      </c>
      <c r="J6" s="13">
        <f>H6*I6</f>
        <v>43709956.709956713</v>
      </c>
      <c r="K6" s="8">
        <f>((J6/G6)*100)</f>
        <v>99.567099567099575</v>
      </c>
      <c r="L6" s="7">
        <v>3450000</v>
      </c>
      <c r="M6" s="6" t="s">
        <v>14</v>
      </c>
      <c r="N6" s="6" t="s">
        <v>15</v>
      </c>
    </row>
    <row r="7" spans="1:14" s="1" customFormat="1" x14ac:dyDescent="0.3">
      <c r="A7" s="6" t="s">
        <v>14</v>
      </c>
      <c r="B7" s="10">
        <v>6</v>
      </c>
      <c r="C7" s="6" t="s">
        <v>13</v>
      </c>
      <c r="D7" s="11">
        <v>40802</v>
      </c>
      <c r="E7" s="7">
        <v>1360000</v>
      </c>
      <c r="F7" s="12">
        <f>G7/E7</f>
        <v>48.970588235294116</v>
      </c>
      <c r="G7" s="7">
        <v>66600000</v>
      </c>
      <c r="H7" s="13">
        <v>1360000</v>
      </c>
      <c r="I7" s="12">
        <v>48.970588235294116</v>
      </c>
      <c r="J7" s="13">
        <f>H7*I7</f>
        <v>66600000</v>
      </c>
      <c r="K7" s="8">
        <f>((J7/G7)*100)</f>
        <v>100</v>
      </c>
      <c r="L7" s="7">
        <v>3540000</v>
      </c>
      <c r="M7" s="6" t="s">
        <v>14</v>
      </c>
      <c r="N7" s="6" t="s">
        <v>16</v>
      </c>
    </row>
    <row r="8" spans="1:14" s="1" customFormat="1" x14ac:dyDescent="0.3">
      <c r="A8" s="6" t="s">
        <v>14</v>
      </c>
      <c r="B8" s="10">
        <v>7</v>
      </c>
      <c r="C8" s="6" t="s">
        <v>13</v>
      </c>
      <c r="D8" s="11">
        <v>40806</v>
      </c>
      <c r="E8" s="7">
        <v>1310000</v>
      </c>
      <c r="F8" s="12">
        <f>G8/E8</f>
        <v>49.007633587786259</v>
      </c>
      <c r="G8" s="7">
        <v>64200000</v>
      </c>
      <c r="H8" s="13">
        <v>1310000</v>
      </c>
      <c r="I8" s="12">
        <v>49.007633587786259</v>
      </c>
      <c r="J8" s="13">
        <f>H8*I8</f>
        <v>64200000</v>
      </c>
      <c r="K8" s="8">
        <f>((J8/G8)*100)</f>
        <v>100</v>
      </c>
      <c r="L8" s="7">
        <v>3540000</v>
      </c>
      <c r="M8" s="6" t="s">
        <v>14</v>
      </c>
      <c r="N8" s="6" t="s">
        <v>17</v>
      </c>
    </row>
    <row r="9" spans="1:14" s="1" customFormat="1" x14ac:dyDescent="0.3">
      <c r="A9" s="6" t="s">
        <v>14</v>
      </c>
      <c r="B9" s="10">
        <v>8</v>
      </c>
      <c r="C9" s="6" t="s">
        <v>13</v>
      </c>
      <c r="D9" s="11">
        <v>40810</v>
      </c>
      <c r="E9" s="7">
        <v>1460000</v>
      </c>
      <c r="F9" s="12">
        <f>G9/E9</f>
        <v>48.972602739726028</v>
      </c>
      <c r="G9" s="7">
        <v>71500000</v>
      </c>
      <c r="H9" s="13">
        <v>1450000</v>
      </c>
      <c r="I9" s="12">
        <v>48.972602739726028</v>
      </c>
      <c r="J9" s="13">
        <f>H9*I9</f>
        <v>71010273.97260274</v>
      </c>
      <c r="K9" s="8">
        <f>((J9/G9)*100)</f>
        <v>99.315068493150676</v>
      </c>
      <c r="L9" s="7">
        <v>3480000</v>
      </c>
      <c r="M9" s="6" t="s">
        <v>14</v>
      </c>
      <c r="N9" s="6" t="s">
        <v>18</v>
      </c>
    </row>
    <row r="10" spans="1:14" s="1" customFormat="1" x14ac:dyDescent="0.3">
      <c r="A10" s="6" t="s">
        <v>14</v>
      </c>
      <c r="B10" s="10">
        <v>9</v>
      </c>
      <c r="C10" s="6" t="s">
        <v>13</v>
      </c>
      <c r="D10" s="11">
        <v>40814</v>
      </c>
      <c r="E10" s="7">
        <v>1300000</v>
      </c>
      <c r="F10" s="12">
        <f>G10/E10</f>
        <v>49</v>
      </c>
      <c r="G10" s="7">
        <v>63700000</v>
      </c>
      <c r="H10" s="13">
        <v>1300000</v>
      </c>
      <c r="I10" s="12">
        <v>49</v>
      </c>
      <c r="J10" s="13">
        <f>H10*I10</f>
        <v>63700000</v>
      </c>
      <c r="K10" s="8">
        <f>((J10/G10)*100)</f>
        <v>100</v>
      </c>
      <c r="L10" s="7">
        <v>3510000</v>
      </c>
      <c r="M10" s="6" t="s">
        <v>14</v>
      </c>
      <c r="N10" s="6" t="s">
        <v>19</v>
      </c>
    </row>
    <row r="11" spans="1:14" s="1" customFormat="1" x14ac:dyDescent="0.3">
      <c r="A11" s="6" t="s">
        <v>14</v>
      </c>
      <c r="B11" s="10">
        <v>10</v>
      </c>
      <c r="C11" s="6" t="s">
        <v>13</v>
      </c>
      <c r="D11" s="11">
        <v>40818</v>
      </c>
      <c r="E11" s="7">
        <v>908000</v>
      </c>
      <c r="F11" s="12">
        <f>G11/E11</f>
        <v>49.008810572687224</v>
      </c>
      <c r="G11" s="7">
        <v>44500000</v>
      </c>
      <c r="H11" s="13">
        <v>902000</v>
      </c>
      <c r="I11" s="12">
        <v>49.008810572687224</v>
      </c>
      <c r="J11" s="13">
        <f>H11*I11</f>
        <v>44205947.136563875</v>
      </c>
      <c r="K11" s="8">
        <f>((J11/G11)*100)</f>
        <v>99.33920704845815</v>
      </c>
      <c r="L11" s="7">
        <v>3520000</v>
      </c>
      <c r="M11" s="6" t="s">
        <v>14</v>
      </c>
      <c r="N11" s="6" t="s">
        <v>20</v>
      </c>
    </row>
    <row r="12" spans="1:14" s="1" customFormat="1" x14ac:dyDescent="0.3">
      <c r="A12" s="6" t="s">
        <v>14</v>
      </c>
      <c r="B12" s="10">
        <v>11</v>
      </c>
      <c r="C12" s="6" t="s">
        <v>13</v>
      </c>
      <c r="D12" s="11">
        <v>40822</v>
      </c>
      <c r="E12" s="7">
        <v>1010000</v>
      </c>
      <c r="F12" s="12">
        <f>G12/E12</f>
        <v>49.009900990099013</v>
      </c>
      <c r="G12" s="7">
        <v>49500000</v>
      </c>
      <c r="H12" s="13">
        <v>1000000</v>
      </c>
      <c r="I12" s="12">
        <v>49.009900990099013</v>
      </c>
      <c r="J12" s="13">
        <f>H12*I12</f>
        <v>49009900.990099013</v>
      </c>
      <c r="K12" s="8">
        <f>((J12/G12)*100)</f>
        <v>99.009900990099027</v>
      </c>
      <c r="L12" s="7">
        <v>300000</v>
      </c>
      <c r="M12" s="6" t="s">
        <v>21</v>
      </c>
      <c r="N12" s="6" t="s">
        <v>22</v>
      </c>
    </row>
    <row r="13" spans="1:14" s="1" customFormat="1" x14ac:dyDescent="0.3">
      <c r="A13" s="6" t="s">
        <v>21</v>
      </c>
      <c r="B13" s="10">
        <v>12</v>
      </c>
      <c r="C13" s="6" t="s">
        <v>23</v>
      </c>
      <c r="D13" s="11">
        <v>40824</v>
      </c>
      <c r="E13" s="7">
        <v>5550000</v>
      </c>
      <c r="F13" s="12">
        <f>G13/E13</f>
        <v>149.00900900900902</v>
      </c>
      <c r="G13" s="7">
        <v>827000000</v>
      </c>
      <c r="H13" s="13">
        <v>5520000</v>
      </c>
      <c r="I13" s="12">
        <v>149.00900900900902</v>
      </c>
      <c r="J13" s="13">
        <f>H13*I13</f>
        <v>822529729.72972977</v>
      </c>
      <c r="K13" s="8">
        <f>((J13/G13)*100)</f>
        <v>99.459459459459467</v>
      </c>
      <c r="L13" s="14"/>
      <c r="M13" s="14"/>
      <c r="N13" s="6" t="s">
        <v>22</v>
      </c>
    </row>
    <row r="18" spans="1:27" x14ac:dyDescent="0.3">
      <c r="A18" s="20" t="s">
        <v>0</v>
      </c>
    </row>
    <row r="19" spans="1:27" x14ac:dyDescent="0.3">
      <c r="A19" s="25" t="s">
        <v>24</v>
      </c>
    </row>
    <row r="20" spans="1:27" ht="18" x14ac:dyDescent="0.35">
      <c r="A20" s="97" t="s">
        <v>159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P20" s="96" t="s">
        <v>143</v>
      </c>
      <c r="Q20" s="96"/>
      <c r="S20" s="97" t="s">
        <v>144</v>
      </c>
      <c r="T20" s="97"/>
      <c r="U20" s="97"/>
      <c r="V20" s="97"/>
      <c r="W20" s="97"/>
      <c r="X20" s="97"/>
      <c r="Y20" s="97"/>
      <c r="Z20" s="97"/>
      <c r="AA20" s="97"/>
    </row>
    <row r="21" spans="1:27" ht="18" x14ac:dyDescent="0.35">
      <c r="A21" s="97" t="s">
        <v>25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P21" s="49" t="s">
        <v>133</v>
      </c>
      <c r="Q21" s="50"/>
      <c r="S21" s="81" t="s">
        <v>2</v>
      </c>
      <c r="T21" s="81" t="s">
        <v>3</v>
      </c>
      <c r="U21" s="82" t="s">
        <v>4</v>
      </c>
      <c r="W21" s="83" t="s">
        <v>33</v>
      </c>
      <c r="X21" s="48" t="s">
        <v>3</v>
      </c>
      <c r="Y21" s="83" t="s">
        <v>26</v>
      </c>
      <c r="Z21" s="83" t="s">
        <v>27</v>
      </c>
      <c r="AA21" s="83" t="s">
        <v>28</v>
      </c>
    </row>
    <row r="22" spans="1:27" ht="18" x14ac:dyDescent="0.3">
      <c r="A22" s="31"/>
      <c r="B22" s="31"/>
      <c r="C22" s="31"/>
      <c r="D22" s="31"/>
      <c r="E22" s="39" t="s">
        <v>141</v>
      </c>
      <c r="F22" s="40"/>
      <c r="G22" s="41"/>
      <c r="H22" s="39" t="s">
        <v>140</v>
      </c>
      <c r="I22" s="40"/>
      <c r="J22" s="41"/>
      <c r="K22" s="42"/>
      <c r="L22" s="43" t="s">
        <v>142</v>
      </c>
      <c r="M22" s="43"/>
      <c r="N22" s="43"/>
      <c r="P22" s="51" t="s">
        <v>132</v>
      </c>
      <c r="Q22" s="52"/>
      <c r="S22" s="54" t="s">
        <v>26</v>
      </c>
      <c r="T22" s="53">
        <f>D24</f>
        <v>40836</v>
      </c>
      <c r="U22" s="56">
        <f>J24</f>
        <v>11070000</v>
      </c>
      <c r="W22" s="84">
        <v>0</v>
      </c>
      <c r="X22" s="85">
        <v>40836</v>
      </c>
      <c r="Y22" s="86">
        <f>U22</f>
        <v>11070000</v>
      </c>
      <c r="Z22" s="86">
        <f>U24</f>
        <v>9180000</v>
      </c>
      <c r="AA22" s="86">
        <f>U27</f>
        <v>8298000</v>
      </c>
    </row>
    <row r="23" spans="1:27" ht="43.2" x14ac:dyDescent="0.3">
      <c r="A23" s="57" t="s">
        <v>2</v>
      </c>
      <c r="B23" s="57" t="s">
        <v>136</v>
      </c>
      <c r="C23" s="57" t="s">
        <v>134</v>
      </c>
      <c r="D23" s="57" t="s">
        <v>3</v>
      </c>
      <c r="E23" s="58" t="s">
        <v>137</v>
      </c>
      <c r="F23" s="59" t="s">
        <v>138</v>
      </c>
      <c r="G23" s="58" t="s">
        <v>4</v>
      </c>
      <c r="H23" s="58" t="s">
        <v>139</v>
      </c>
      <c r="I23" s="59" t="s">
        <v>138</v>
      </c>
      <c r="J23" s="58" t="s">
        <v>4</v>
      </c>
      <c r="K23" s="47" t="s">
        <v>125</v>
      </c>
      <c r="L23" s="58" t="s">
        <v>6</v>
      </c>
      <c r="M23" s="58" t="s">
        <v>7</v>
      </c>
      <c r="N23" s="44" t="s">
        <v>8</v>
      </c>
      <c r="P23" s="80" t="s">
        <v>2</v>
      </c>
      <c r="Q23" s="45" t="s">
        <v>5</v>
      </c>
      <c r="S23" s="54"/>
      <c r="T23" s="53">
        <f t="shared" ref="T23:T29" si="0">D25</f>
        <v>40840</v>
      </c>
      <c r="U23" s="56">
        <f t="shared" ref="U23:U29" si="1">J25</f>
        <v>9405000</v>
      </c>
      <c r="W23" s="87">
        <v>1</v>
      </c>
      <c r="X23" s="85">
        <v>40837</v>
      </c>
      <c r="Y23" s="88"/>
      <c r="Z23" s="88"/>
      <c r="AA23" s="88"/>
    </row>
    <row r="24" spans="1:27" x14ac:dyDescent="0.3">
      <c r="A24" s="60" t="s">
        <v>26</v>
      </c>
      <c r="B24" s="61">
        <v>12</v>
      </c>
      <c r="C24" s="61" t="s">
        <v>10</v>
      </c>
      <c r="D24" s="62">
        <v>40836</v>
      </c>
      <c r="E24" s="63">
        <v>1250000</v>
      </c>
      <c r="F24" s="64">
        <f>G24/E24</f>
        <v>9.0399999999999991</v>
      </c>
      <c r="G24" s="63">
        <v>11300000</v>
      </c>
      <c r="H24" s="65">
        <v>1230000</v>
      </c>
      <c r="I24" s="64">
        <v>9</v>
      </c>
      <c r="J24" s="65">
        <f>H24*I24</f>
        <v>11070000</v>
      </c>
      <c r="K24" s="66">
        <f>((J24/G24)*100)</f>
        <v>97.964601769911511</v>
      </c>
      <c r="L24" s="63">
        <v>3440000</v>
      </c>
      <c r="M24" s="61" t="s">
        <v>29</v>
      </c>
      <c r="N24" s="28" t="s">
        <v>30</v>
      </c>
      <c r="P24" s="55" t="s">
        <v>26</v>
      </c>
      <c r="Q24" s="55">
        <f>VLOOKUP(P24,A23:K31,11,FALSE)</f>
        <v>97.964601769911511</v>
      </c>
      <c r="S24" s="54" t="s">
        <v>27</v>
      </c>
      <c r="T24" s="53">
        <f t="shared" si="0"/>
        <v>40836</v>
      </c>
      <c r="U24" s="56">
        <f t="shared" si="1"/>
        <v>9180000</v>
      </c>
      <c r="W24" s="87">
        <v>2</v>
      </c>
      <c r="X24" s="85">
        <v>40838</v>
      </c>
      <c r="Y24" s="88"/>
      <c r="Z24" s="88"/>
      <c r="AA24" s="88"/>
    </row>
    <row r="25" spans="1:27" x14ac:dyDescent="0.3">
      <c r="A25" s="60"/>
      <c r="B25" s="67">
        <v>13</v>
      </c>
      <c r="C25" s="67" t="s">
        <v>13</v>
      </c>
      <c r="D25" s="68">
        <v>40840</v>
      </c>
      <c r="E25" s="69">
        <v>497000</v>
      </c>
      <c r="F25" s="70">
        <f>G25/E25</f>
        <v>18.993963782696177</v>
      </c>
      <c r="G25" s="69">
        <v>9440000</v>
      </c>
      <c r="H25" s="71">
        <v>495000</v>
      </c>
      <c r="I25" s="70">
        <v>19</v>
      </c>
      <c r="J25" s="71">
        <f>H25*I25</f>
        <v>9405000</v>
      </c>
      <c r="K25" s="72">
        <v>100</v>
      </c>
      <c r="L25" s="69">
        <v>3510000</v>
      </c>
      <c r="M25" s="67" t="s">
        <v>11</v>
      </c>
      <c r="N25" s="29" t="s">
        <v>31</v>
      </c>
      <c r="O25" s="20"/>
      <c r="P25" s="55" t="s">
        <v>27</v>
      </c>
      <c r="Q25" s="55">
        <f>VLOOKUP(P25,A23:K31,11,FALSE)</f>
        <v>98.076923076923066</v>
      </c>
      <c r="S25" s="54"/>
      <c r="T25" s="53">
        <f t="shared" si="0"/>
        <v>40840</v>
      </c>
      <c r="U25" s="56">
        <f t="shared" si="1"/>
        <v>10070000</v>
      </c>
      <c r="W25" s="87">
        <v>3</v>
      </c>
      <c r="X25" s="85">
        <v>40839</v>
      </c>
      <c r="Y25" s="88"/>
      <c r="Z25" s="88"/>
      <c r="AA25" s="88"/>
    </row>
    <row r="26" spans="1:27" x14ac:dyDescent="0.3">
      <c r="A26" s="60" t="s">
        <v>27</v>
      </c>
      <c r="B26" s="61">
        <v>12</v>
      </c>
      <c r="C26" s="61" t="s">
        <v>10</v>
      </c>
      <c r="D26" s="62">
        <v>40836</v>
      </c>
      <c r="E26" s="63">
        <v>1040000</v>
      </c>
      <c r="F26" s="64">
        <f t="shared" ref="F26" si="2">G26/E26</f>
        <v>9</v>
      </c>
      <c r="G26" s="63">
        <v>9360000</v>
      </c>
      <c r="H26" s="65">
        <v>1020000</v>
      </c>
      <c r="I26" s="64">
        <v>9</v>
      </c>
      <c r="J26" s="65">
        <f t="shared" ref="J26" si="3">H26*I26</f>
        <v>9180000</v>
      </c>
      <c r="K26" s="66">
        <f>((J26/G26)*100)</f>
        <v>98.076923076923066</v>
      </c>
      <c r="L26" s="63">
        <v>3470000</v>
      </c>
      <c r="M26" s="61" t="s">
        <v>29</v>
      </c>
      <c r="N26" s="28" t="s">
        <v>30</v>
      </c>
      <c r="P26" s="55" t="s">
        <v>28</v>
      </c>
      <c r="Q26" s="55">
        <f>VLOOKUP(P26,A23:K31,11,FALSE)</f>
        <v>98.085106382978722</v>
      </c>
      <c r="S26" s="54"/>
      <c r="T26" s="53">
        <f t="shared" si="0"/>
        <v>40844</v>
      </c>
      <c r="U26" s="56">
        <f t="shared" si="1"/>
        <v>22000000</v>
      </c>
      <c r="W26" s="84">
        <v>4</v>
      </c>
      <c r="X26" s="85">
        <v>40840</v>
      </c>
      <c r="Y26" s="86">
        <f>U23</f>
        <v>9405000</v>
      </c>
      <c r="Z26" s="86">
        <f>U25</f>
        <v>10070000</v>
      </c>
      <c r="AA26" s="86">
        <f>U28</f>
        <v>8664000</v>
      </c>
    </row>
    <row r="27" spans="1:27" x14ac:dyDescent="0.3">
      <c r="A27" s="60"/>
      <c r="B27" s="73">
        <v>13</v>
      </c>
      <c r="C27" s="73" t="s">
        <v>13</v>
      </c>
      <c r="D27" s="74">
        <v>40840</v>
      </c>
      <c r="E27" s="75">
        <v>533000</v>
      </c>
      <c r="F27" s="76">
        <v>19</v>
      </c>
      <c r="G27" s="75">
        <f>E27*19</f>
        <v>10127000</v>
      </c>
      <c r="H27" s="77">
        <v>530000</v>
      </c>
      <c r="I27" s="76">
        <v>19</v>
      </c>
      <c r="J27" s="77">
        <f>H27*19</f>
        <v>10070000</v>
      </c>
      <c r="K27" s="78">
        <v>99</v>
      </c>
      <c r="L27" s="75">
        <v>3500000</v>
      </c>
      <c r="M27" s="73" t="s">
        <v>11</v>
      </c>
      <c r="N27" s="30" t="s">
        <v>31</v>
      </c>
      <c r="S27" s="54" t="s">
        <v>28</v>
      </c>
      <c r="T27" s="53">
        <f t="shared" si="0"/>
        <v>40836</v>
      </c>
      <c r="U27" s="56">
        <f t="shared" si="1"/>
        <v>8298000</v>
      </c>
      <c r="W27" s="87">
        <v>5</v>
      </c>
      <c r="X27" s="85">
        <v>40841</v>
      </c>
      <c r="Y27" s="88"/>
      <c r="Z27" s="88"/>
      <c r="AA27" s="88"/>
    </row>
    <row r="28" spans="1:27" x14ac:dyDescent="0.3">
      <c r="A28" s="60"/>
      <c r="B28" s="67">
        <v>14</v>
      </c>
      <c r="C28" s="67" t="s">
        <v>13</v>
      </c>
      <c r="D28" s="68">
        <v>40844</v>
      </c>
      <c r="E28" s="69">
        <v>1180000</v>
      </c>
      <c r="F28" s="70"/>
      <c r="G28" s="69">
        <v>22700000</v>
      </c>
      <c r="H28" s="71">
        <v>1160000</v>
      </c>
      <c r="I28" s="70"/>
      <c r="J28" s="71">
        <v>22000000</v>
      </c>
      <c r="K28" s="72">
        <v>99</v>
      </c>
      <c r="L28" s="69"/>
      <c r="M28" s="67"/>
      <c r="N28" s="29" t="s">
        <v>32</v>
      </c>
      <c r="S28" s="54"/>
      <c r="T28" s="53">
        <f t="shared" si="0"/>
        <v>40840</v>
      </c>
      <c r="U28" s="56">
        <f t="shared" si="1"/>
        <v>8664000</v>
      </c>
      <c r="W28" s="87">
        <v>6</v>
      </c>
      <c r="X28" s="85">
        <v>40842</v>
      </c>
      <c r="Y28" s="88"/>
      <c r="Z28" s="88"/>
      <c r="AA28" s="88"/>
    </row>
    <row r="29" spans="1:27" x14ac:dyDescent="0.3">
      <c r="A29" s="60" t="s">
        <v>28</v>
      </c>
      <c r="B29" s="61">
        <v>12</v>
      </c>
      <c r="C29" s="61" t="s">
        <v>10</v>
      </c>
      <c r="D29" s="62">
        <v>40836</v>
      </c>
      <c r="E29" s="63">
        <v>940000</v>
      </c>
      <c r="F29" s="64">
        <f t="shared" ref="F29" si="4">G29/E29</f>
        <v>9</v>
      </c>
      <c r="G29" s="63">
        <v>8460000</v>
      </c>
      <c r="H29" s="65">
        <v>922000</v>
      </c>
      <c r="I29" s="64">
        <v>9</v>
      </c>
      <c r="J29" s="65">
        <f t="shared" ref="J29" si="5">H29*I29</f>
        <v>8298000</v>
      </c>
      <c r="K29" s="66">
        <f>((J29/G29)*100)</f>
        <v>98.085106382978722</v>
      </c>
      <c r="L29" s="63">
        <v>3500000</v>
      </c>
      <c r="M29" s="61" t="s">
        <v>29</v>
      </c>
      <c r="N29" s="28" t="s">
        <v>30</v>
      </c>
      <c r="S29" s="54"/>
      <c r="T29" s="53">
        <f t="shared" si="0"/>
        <v>40844</v>
      </c>
      <c r="U29" s="56">
        <f t="shared" si="1"/>
        <v>19570000</v>
      </c>
      <c r="W29" s="87">
        <v>7</v>
      </c>
      <c r="X29" s="85">
        <v>40843</v>
      </c>
      <c r="Y29" s="88"/>
      <c r="Z29" s="88"/>
      <c r="AA29" s="88"/>
    </row>
    <row r="30" spans="1:27" x14ac:dyDescent="0.3">
      <c r="A30" s="60"/>
      <c r="B30" s="73">
        <v>13</v>
      </c>
      <c r="C30" s="73" t="s">
        <v>13</v>
      </c>
      <c r="D30" s="74">
        <v>40840</v>
      </c>
      <c r="E30" s="75">
        <v>457000</v>
      </c>
      <c r="F30" s="76">
        <v>19</v>
      </c>
      <c r="G30" s="75">
        <f>E30*19</f>
        <v>8683000</v>
      </c>
      <c r="H30" s="77">
        <v>456000</v>
      </c>
      <c r="I30" s="76">
        <v>19</v>
      </c>
      <c r="J30" s="77">
        <f>H30*19</f>
        <v>8664000</v>
      </c>
      <c r="K30" s="78">
        <v>100</v>
      </c>
      <c r="L30" s="75">
        <v>3510000</v>
      </c>
      <c r="M30" s="73" t="s">
        <v>11</v>
      </c>
      <c r="N30" s="30" t="s">
        <v>31</v>
      </c>
      <c r="W30" s="84">
        <v>8</v>
      </c>
      <c r="X30" s="85">
        <v>40844</v>
      </c>
      <c r="Y30" s="88"/>
      <c r="Z30" s="86">
        <f>U26</f>
        <v>22000000</v>
      </c>
      <c r="AA30" s="86">
        <f>U29</f>
        <v>19570000</v>
      </c>
    </row>
    <row r="31" spans="1:27" x14ac:dyDescent="0.3">
      <c r="A31" s="60"/>
      <c r="B31" s="67">
        <v>14</v>
      </c>
      <c r="C31" s="67" t="s">
        <v>13</v>
      </c>
      <c r="D31" s="68">
        <v>40844</v>
      </c>
      <c r="E31" s="69">
        <v>1050000</v>
      </c>
      <c r="F31" s="70"/>
      <c r="G31" s="69">
        <v>20000000</v>
      </c>
      <c r="H31" s="71">
        <v>1030000</v>
      </c>
      <c r="I31" s="79"/>
      <c r="J31" s="71">
        <f>H31*19</f>
        <v>19570000</v>
      </c>
      <c r="K31" s="72">
        <v>98</v>
      </c>
      <c r="L31" s="69"/>
      <c r="M31" s="67"/>
      <c r="N31" s="29" t="s">
        <v>32</v>
      </c>
    </row>
    <row r="37" spans="6:15" x14ac:dyDescent="0.3">
      <c r="F37" s="21"/>
      <c r="G37" s="21"/>
      <c r="H37" s="21"/>
      <c r="I37" s="21"/>
      <c r="J37" s="21"/>
      <c r="K37" s="21"/>
      <c r="L37" s="21"/>
      <c r="M37" s="21"/>
      <c r="N37" s="21"/>
    </row>
    <row r="38" spans="6:15" x14ac:dyDescent="0.3">
      <c r="O38" s="27"/>
    </row>
  </sheetData>
  <mergeCells count="20">
    <mergeCell ref="A2:N2"/>
    <mergeCell ref="L3:N3"/>
    <mergeCell ref="H3:J3"/>
    <mergeCell ref="E3:G3"/>
    <mergeCell ref="A1:N1"/>
    <mergeCell ref="S20:AA20"/>
    <mergeCell ref="S22:S23"/>
    <mergeCell ref="S24:S26"/>
    <mergeCell ref="S27:S29"/>
    <mergeCell ref="A24:A25"/>
    <mergeCell ref="A26:A28"/>
    <mergeCell ref="A29:A31"/>
    <mergeCell ref="A20:N20"/>
    <mergeCell ref="P22:Q22"/>
    <mergeCell ref="P21:Q21"/>
    <mergeCell ref="A21:N21"/>
    <mergeCell ref="E22:G22"/>
    <mergeCell ref="H22:J22"/>
    <mergeCell ref="L22:N22"/>
    <mergeCell ref="P20:Q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DB05-EAB9-4CD4-838A-A8839F0C3F09}">
  <sheetPr>
    <tabColor rgb="FF92D050"/>
  </sheetPr>
  <dimension ref="A1:J22"/>
  <sheetViews>
    <sheetView zoomScale="64" workbookViewId="0">
      <selection sqref="A1:J1"/>
    </sheetView>
  </sheetViews>
  <sheetFormatPr defaultColWidth="11.44140625" defaultRowHeight="14.4" x14ac:dyDescent="0.3"/>
  <cols>
    <col min="1" max="1" width="11.44140625" style="95"/>
    <col min="2" max="16384" width="11.44140625" style="5"/>
  </cols>
  <sheetData>
    <row r="1" spans="1:10" ht="18" x14ac:dyDescent="0.35">
      <c r="A1" s="184" t="s">
        <v>145</v>
      </c>
      <c r="B1" s="185"/>
      <c r="C1" s="185"/>
      <c r="D1" s="185"/>
      <c r="E1" s="185"/>
      <c r="F1" s="185"/>
      <c r="G1" s="185"/>
      <c r="H1" s="185"/>
      <c r="I1" s="185"/>
      <c r="J1" s="185"/>
    </row>
    <row r="2" spans="1:10" x14ac:dyDescent="0.3">
      <c r="A2" s="89"/>
      <c r="B2" s="90"/>
      <c r="C2" s="91" t="s">
        <v>34</v>
      </c>
      <c r="D2" s="91"/>
      <c r="E2" s="91"/>
      <c r="F2" s="91"/>
      <c r="G2" s="91"/>
      <c r="H2" s="91"/>
      <c r="I2" s="91"/>
      <c r="J2" s="91"/>
    </row>
    <row r="3" spans="1:10" ht="28.8" x14ac:dyDescent="0.3">
      <c r="A3" s="92" t="s">
        <v>35</v>
      </c>
      <c r="B3" s="93" t="s">
        <v>36</v>
      </c>
      <c r="C3" s="94" t="s">
        <v>37</v>
      </c>
      <c r="D3" s="94"/>
      <c r="E3" s="91" t="s">
        <v>38</v>
      </c>
      <c r="F3" s="91"/>
      <c r="G3" s="91" t="s">
        <v>39</v>
      </c>
      <c r="H3" s="91"/>
      <c r="I3" s="91" t="s">
        <v>40</v>
      </c>
      <c r="J3" s="91"/>
    </row>
    <row r="4" spans="1:10" x14ac:dyDescent="0.3">
      <c r="A4" s="92"/>
      <c r="B4" s="93"/>
      <c r="C4" s="98" t="s">
        <v>41</v>
      </c>
      <c r="D4" s="98" t="s">
        <v>42</v>
      </c>
      <c r="E4" s="98" t="s">
        <v>41</v>
      </c>
      <c r="F4" s="98" t="s">
        <v>42</v>
      </c>
      <c r="G4" s="98" t="s">
        <v>41</v>
      </c>
      <c r="H4" s="98" t="s">
        <v>42</v>
      </c>
      <c r="I4" s="98" t="s">
        <v>41</v>
      </c>
      <c r="J4" s="98" t="s">
        <v>42</v>
      </c>
    </row>
    <row r="5" spans="1:10" x14ac:dyDescent="0.3">
      <c r="A5" s="89">
        <v>0</v>
      </c>
      <c r="B5" s="100">
        <v>0</v>
      </c>
      <c r="C5" s="101">
        <v>85.7</v>
      </c>
      <c r="D5" s="100">
        <v>2</v>
      </c>
      <c r="E5" s="100">
        <v>91.2</v>
      </c>
      <c r="F5" s="100">
        <v>1.5</v>
      </c>
      <c r="G5" s="100">
        <v>93</v>
      </c>
      <c r="H5" s="100">
        <v>0.9</v>
      </c>
      <c r="I5" s="100">
        <v>90.3</v>
      </c>
      <c r="J5" s="100">
        <v>0.9</v>
      </c>
    </row>
    <row r="6" spans="1:10" x14ac:dyDescent="0.3">
      <c r="A6" s="89">
        <f t="shared" ref="A6:A20" si="0">B6/12</f>
        <v>8.3333333333333329E-2</v>
      </c>
      <c r="B6" s="100">
        <v>1</v>
      </c>
      <c r="C6" s="101">
        <v>86</v>
      </c>
      <c r="D6" s="100">
        <v>3.1</v>
      </c>
      <c r="E6" s="90"/>
      <c r="F6" s="90"/>
      <c r="G6" s="90"/>
      <c r="H6" s="90"/>
      <c r="I6" s="90"/>
      <c r="J6" s="90"/>
    </row>
    <row r="7" spans="1:10" x14ac:dyDescent="0.3">
      <c r="A7" s="89">
        <f t="shared" si="0"/>
        <v>0.16666666666666666</v>
      </c>
      <c r="B7" s="100">
        <v>2</v>
      </c>
      <c r="C7" s="101">
        <v>83.2</v>
      </c>
      <c r="D7" s="100">
        <v>1.5</v>
      </c>
      <c r="E7" s="90"/>
      <c r="F7" s="90"/>
      <c r="G7" s="90"/>
      <c r="H7" s="90"/>
      <c r="I7" s="90"/>
      <c r="J7" s="90"/>
    </row>
    <row r="8" spans="1:10" x14ac:dyDescent="0.3">
      <c r="A8" s="89">
        <f t="shared" si="0"/>
        <v>0.25</v>
      </c>
      <c r="B8" s="100">
        <v>3</v>
      </c>
      <c r="C8" s="101">
        <v>84.9</v>
      </c>
      <c r="D8" s="100">
        <v>2.2000000000000002</v>
      </c>
      <c r="E8" s="90"/>
      <c r="F8" s="90"/>
      <c r="G8" s="90"/>
      <c r="H8" s="90"/>
      <c r="I8" s="90"/>
      <c r="J8" s="90"/>
    </row>
    <row r="9" spans="1:10" x14ac:dyDescent="0.3">
      <c r="A9" s="89">
        <f t="shared" si="0"/>
        <v>0.5</v>
      </c>
      <c r="B9" s="100">
        <v>6</v>
      </c>
      <c r="C9" s="101">
        <v>81</v>
      </c>
      <c r="D9" s="100">
        <v>2.4</v>
      </c>
      <c r="E9" s="100">
        <v>90.5</v>
      </c>
      <c r="F9" s="100">
        <v>1.4</v>
      </c>
      <c r="G9" s="100">
        <v>90.8</v>
      </c>
      <c r="H9" s="100">
        <v>0.9</v>
      </c>
      <c r="I9" s="100">
        <v>88</v>
      </c>
      <c r="J9" s="100">
        <v>2.5</v>
      </c>
    </row>
    <row r="10" spans="1:10" x14ac:dyDescent="0.3">
      <c r="A10" s="89">
        <f t="shared" si="0"/>
        <v>0.75</v>
      </c>
      <c r="B10" s="100">
        <v>9</v>
      </c>
      <c r="C10" s="89"/>
      <c r="D10" s="90"/>
      <c r="E10" s="100">
        <v>91</v>
      </c>
      <c r="F10" s="100">
        <v>1.4</v>
      </c>
      <c r="G10" s="90"/>
      <c r="H10" s="90"/>
      <c r="I10" s="90"/>
      <c r="J10" s="90"/>
    </row>
    <row r="11" spans="1:10" x14ac:dyDescent="0.3">
      <c r="A11" s="89">
        <f t="shared" si="0"/>
        <v>1</v>
      </c>
      <c r="B11" s="100">
        <v>12</v>
      </c>
      <c r="C11" s="101">
        <v>87.3</v>
      </c>
      <c r="D11" s="100">
        <v>1.2</v>
      </c>
      <c r="E11" s="90"/>
      <c r="F11" s="90"/>
      <c r="G11" s="100">
        <v>91.3</v>
      </c>
      <c r="H11" s="100">
        <v>2.1</v>
      </c>
      <c r="I11" s="90"/>
      <c r="J11" s="90"/>
    </row>
    <row r="12" spans="1:10" x14ac:dyDescent="0.3">
      <c r="A12" s="89">
        <f t="shared" si="0"/>
        <v>1.0833333333333333</v>
      </c>
      <c r="B12" s="100">
        <v>13</v>
      </c>
      <c r="C12" s="89"/>
      <c r="D12" s="90"/>
      <c r="E12" s="100">
        <v>89</v>
      </c>
      <c r="F12" s="100">
        <v>1</v>
      </c>
      <c r="G12" s="99"/>
      <c r="H12" s="99"/>
      <c r="I12" s="100">
        <v>90.2</v>
      </c>
      <c r="J12" s="100">
        <v>0.6</v>
      </c>
    </row>
    <row r="13" spans="1:10" x14ac:dyDescent="0.3">
      <c r="A13" s="89">
        <f t="shared" si="0"/>
        <v>1.4166666666666667</v>
      </c>
      <c r="B13" s="100">
        <v>17</v>
      </c>
      <c r="C13" s="89"/>
      <c r="D13" s="90"/>
      <c r="E13" s="100">
        <v>89.9</v>
      </c>
      <c r="F13" s="100">
        <v>2.4</v>
      </c>
      <c r="G13" s="90"/>
      <c r="H13" s="90"/>
      <c r="I13" s="90"/>
      <c r="J13" s="90"/>
    </row>
    <row r="14" spans="1:10" x14ac:dyDescent="0.3">
      <c r="A14" s="89">
        <f t="shared" si="0"/>
        <v>1.5</v>
      </c>
      <c r="B14" s="100">
        <v>18</v>
      </c>
      <c r="C14" s="101">
        <v>88.2</v>
      </c>
      <c r="D14" s="100">
        <v>1</v>
      </c>
      <c r="E14" s="99"/>
      <c r="F14" s="99"/>
      <c r="G14" s="100">
        <v>94</v>
      </c>
      <c r="H14" s="100">
        <v>0.8</v>
      </c>
      <c r="I14" s="100">
        <v>86.6</v>
      </c>
      <c r="J14" s="100">
        <v>1.3</v>
      </c>
    </row>
    <row r="15" spans="1:10" x14ac:dyDescent="0.3">
      <c r="A15" s="89">
        <f t="shared" si="0"/>
        <v>2</v>
      </c>
      <c r="B15" s="100">
        <v>24</v>
      </c>
      <c r="C15" s="101">
        <v>83</v>
      </c>
      <c r="D15" s="100">
        <v>1.6</v>
      </c>
      <c r="E15" s="100">
        <v>91</v>
      </c>
      <c r="F15" s="100">
        <v>0.3</v>
      </c>
      <c r="G15" s="100">
        <v>93.1</v>
      </c>
      <c r="H15" s="100">
        <v>1.8</v>
      </c>
      <c r="I15" s="100">
        <v>92.1</v>
      </c>
      <c r="J15" s="100">
        <v>0.9</v>
      </c>
    </row>
    <row r="16" spans="1:10" x14ac:dyDescent="0.3">
      <c r="A16" s="89">
        <f t="shared" si="0"/>
        <v>3</v>
      </c>
      <c r="B16" s="100">
        <v>36</v>
      </c>
      <c r="C16" s="89"/>
      <c r="D16" s="90"/>
      <c r="E16" s="100">
        <v>85.5</v>
      </c>
      <c r="F16" s="100">
        <v>3</v>
      </c>
      <c r="G16" s="90"/>
      <c r="H16" s="90"/>
      <c r="I16" s="90"/>
      <c r="J16" s="90"/>
    </row>
    <row r="17" spans="1:10" x14ac:dyDescent="0.3">
      <c r="A17" s="89">
        <f t="shared" si="0"/>
        <v>3.0833333333333335</v>
      </c>
      <c r="B17" s="100">
        <v>37</v>
      </c>
      <c r="C17" s="89"/>
      <c r="D17" s="90"/>
      <c r="E17" s="90"/>
      <c r="F17" s="90"/>
      <c r="G17" s="100">
        <v>93.4</v>
      </c>
      <c r="H17" s="100">
        <v>1.2</v>
      </c>
      <c r="I17" s="90"/>
      <c r="J17" s="90"/>
    </row>
    <row r="18" spans="1:10" x14ac:dyDescent="0.3">
      <c r="A18" s="89">
        <f t="shared" si="0"/>
        <v>3.6666666666666665</v>
      </c>
      <c r="B18" s="100">
        <v>44</v>
      </c>
      <c r="C18" s="101">
        <v>85.3</v>
      </c>
      <c r="D18" s="100">
        <v>2.8</v>
      </c>
      <c r="E18" s="90"/>
      <c r="F18" s="90"/>
      <c r="G18" s="90"/>
      <c r="H18" s="90"/>
      <c r="I18" s="90"/>
      <c r="J18" s="90"/>
    </row>
    <row r="19" spans="1:10" x14ac:dyDescent="0.3">
      <c r="A19" s="89">
        <f t="shared" si="0"/>
        <v>4.166666666666667</v>
      </c>
      <c r="B19" s="100">
        <v>50</v>
      </c>
      <c r="C19" s="89"/>
      <c r="D19" s="90"/>
      <c r="E19" s="90"/>
      <c r="F19" s="90"/>
      <c r="G19" s="100">
        <v>90.2</v>
      </c>
      <c r="H19" s="100">
        <v>2.2000000000000002</v>
      </c>
      <c r="I19" s="90"/>
      <c r="J19" s="90"/>
    </row>
    <row r="20" spans="1:10" x14ac:dyDescent="0.3">
      <c r="A20" s="89">
        <f t="shared" si="0"/>
        <v>4.666666666666667</v>
      </c>
      <c r="B20" s="100">
        <v>56</v>
      </c>
      <c r="C20" s="101">
        <v>87.3</v>
      </c>
      <c r="D20" s="100">
        <v>1.3</v>
      </c>
      <c r="E20" s="90"/>
      <c r="F20" s="90"/>
      <c r="G20" s="90"/>
      <c r="H20" s="90"/>
      <c r="I20" s="90"/>
      <c r="J20" s="90"/>
    </row>
    <row r="22" spans="1:10" ht="129.75" customHeight="1" x14ac:dyDescent="0.3"/>
  </sheetData>
  <mergeCells count="6">
    <mergeCell ref="A1:J1"/>
    <mergeCell ref="C2:J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5776-0C4C-4480-9FF6-EF4664FAE429}">
  <sheetPr>
    <tabColor rgb="FF92D050"/>
  </sheetPr>
  <dimension ref="A2:T52"/>
  <sheetViews>
    <sheetView zoomScale="44" zoomScaleNormal="70" workbookViewId="0">
      <selection activeCell="Q2" sqref="Q2:R2"/>
    </sheetView>
  </sheetViews>
  <sheetFormatPr defaultColWidth="20.6640625" defaultRowHeight="14.4" x14ac:dyDescent="0.3"/>
  <cols>
    <col min="1" max="1" width="13" style="36" customWidth="1"/>
    <col min="2" max="2" width="30" style="102" customWidth="1"/>
    <col min="3" max="3" width="15" style="36" customWidth="1"/>
    <col min="4" max="4" width="20.6640625" style="36"/>
    <col min="5" max="5" width="20.6640625" style="103"/>
    <col min="6" max="6" width="20.6640625" style="104"/>
    <col min="7" max="10" width="20.6640625" style="36"/>
    <col min="11" max="11" width="23.88671875" style="36" bestFit="1" customWidth="1"/>
    <col min="12" max="16384" width="20.6640625" style="36"/>
  </cols>
  <sheetData>
    <row r="2" spans="1:20" ht="18" x14ac:dyDescent="0.3">
      <c r="G2" s="105"/>
      <c r="Q2" s="186" t="s">
        <v>154</v>
      </c>
      <c r="R2" s="186"/>
    </row>
    <row r="3" spans="1:20" ht="18" x14ac:dyDescent="0.3">
      <c r="A3" s="186" t="s">
        <v>154</v>
      </c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Q3" s="106" t="s">
        <v>150</v>
      </c>
      <c r="R3" s="106"/>
    </row>
    <row r="4" spans="1:20" s="111" customFormat="1" ht="30.6" x14ac:dyDescent="0.3">
      <c r="A4" s="38" t="s">
        <v>147</v>
      </c>
      <c r="B4" s="107" t="s">
        <v>135</v>
      </c>
      <c r="C4" s="107" t="s">
        <v>3</v>
      </c>
      <c r="D4" s="107" t="s">
        <v>151</v>
      </c>
      <c r="E4" s="107" t="s">
        <v>45</v>
      </c>
      <c r="F4" s="108" t="s">
        <v>152</v>
      </c>
      <c r="G4" s="38" t="s">
        <v>43</v>
      </c>
      <c r="H4" s="38" t="s">
        <v>44</v>
      </c>
      <c r="I4" s="48" t="s">
        <v>78</v>
      </c>
      <c r="J4" s="48" t="s">
        <v>79</v>
      </c>
      <c r="K4" s="109" t="s">
        <v>80</v>
      </c>
      <c r="L4" s="107" t="s">
        <v>45</v>
      </c>
      <c r="M4" s="110"/>
      <c r="N4" s="38" t="s">
        <v>148</v>
      </c>
      <c r="O4" s="38" t="s">
        <v>149</v>
      </c>
      <c r="P4" s="110"/>
      <c r="Q4" s="46" t="s">
        <v>80</v>
      </c>
      <c r="R4" s="46" t="s">
        <v>45</v>
      </c>
      <c r="S4" s="110"/>
    </row>
    <row r="5" spans="1:20" s="120" customFormat="1" ht="18" customHeight="1" x14ac:dyDescent="0.3">
      <c r="A5" s="112">
        <v>12</v>
      </c>
      <c r="B5" s="87" t="s">
        <v>58</v>
      </c>
      <c r="C5" s="85">
        <v>44383</v>
      </c>
      <c r="D5" s="87">
        <v>1.1299999999999999</v>
      </c>
      <c r="E5" s="113">
        <f t="shared" ref="E5:E42" si="0">(D5/2)*100</f>
        <v>56.499999999999993</v>
      </c>
      <c r="F5" s="114">
        <f t="shared" ref="F5:F42" si="1">D5/4</f>
        <v>0.28249999999999997</v>
      </c>
      <c r="G5" s="115" t="s">
        <v>48</v>
      </c>
      <c r="H5" s="115" t="s">
        <v>48</v>
      </c>
      <c r="I5" s="85">
        <v>44355</v>
      </c>
      <c r="J5" s="87">
        <f>C5-I5</f>
        <v>28</v>
      </c>
      <c r="K5" s="116" t="str">
        <f>IF(J5&gt;=61,"61-80",IF(J5&gt;=41,"41-60",IF(J5&gt;=21,"21-40",IF(J5&lt;=20,"1-20",""))))</f>
        <v>21-40</v>
      </c>
      <c r="L5" s="113">
        <v>56.499999999999993</v>
      </c>
      <c r="M5" s="117"/>
      <c r="N5" s="118" t="s">
        <v>71</v>
      </c>
      <c r="O5" s="119">
        <f>COUNTIF(K5:K45,N5)</f>
        <v>7</v>
      </c>
      <c r="P5" s="117"/>
      <c r="Q5" s="84" t="s">
        <v>71</v>
      </c>
      <c r="R5" s="84">
        <v>71.599999999999994</v>
      </c>
      <c r="S5" s="117"/>
      <c r="T5" s="111"/>
    </row>
    <row r="6" spans="1:20" s="123" customFormat="1" x14ac:dyDescent="0.3">
      <c r="A6" s="112">
        <v>18</v>
      </c>
      <c r="B6" s="87" t="s">
        <v>60</v>
      </c>
      <c r="C6" s="85">
        <v>44398</v>
      </c>
      <c r="D6" s="87">
        <v>1.6060000000000001</v>
      </c>
      <c r="E6" s="116">
        <f t="shared" si="0"/>
        <v>80.300000000000011</v>
      </c>
      <c r="F6" s="121">
        <f t="shared" si="1"/>
        <v>0.40150000000000002</v>
      </c>
      <c r="G6" s="122" t="s">
        <v>47</v>
      </c>
      <c r="H6" s="122" t="s">
        <v>47</v>
      </c>
      <c r="I6" s="85">
        <v>44355</v>
      </c>
      <c r="J6" s="87">
        <f t="shared" ref="J6:J45" si="2">C6-I6</f>
        <v>43</v>
      </c>
      <c r="K6" s="116" t="str">
        <f t="shared" ref="K6:K45" si="3">IF(J6&gt;=61,"61-80",IF(J6&gt;=41,"41-60",IF(J6&gt;=21,"21-40",IF(J6&lt;=20,"1-20",""))))</f>
        <v>41-60</v>
      </c>
      <c r="L6" s="116">
        <v>80.300000000000011</v>
      </c>
      <c r="M6" s="36"/>
      <c r="N6" s="119" t="s">
        <v>72</v>
      </c>
      <c r="O6" s="119">
        <f>COUNTIF(K5:K45,N6)</f>
        <v>19</v>
      </c>
      <c r="P6" s="36"/>
      <c r="Q6" s="84" t="s">
        <v>71</v>
      </c>
      <c r="R6" s="84">
        <v>73.099999999999994</v>
      </c>
      <c r="S6" s="36"/>
    </row>
    <row r="7" spans="1:20" s="123" customFormat="1" ht="18" customHeight="1" x14ac:dyDescent="0.3">
      <c r="A7" s="112">
        <v>24</v>
      </c>
      <c r="B7" s="87" t="s">
        <v>61</v>
      </c>
      <c r="C7" s="85">
        <v>44383</v>
      </c>
      <c r="D7" s="87">
        <v>0.97499999999999998</v>
      </c>
      <c r="E7" s="113">
        <f t="shared" si="0"/>
        <v>48.75</v>
      </c>
      <c r="F7" s="114">
        <f t="shared" si="1"/>
        <v>0.24374999999999999</v>
      </c>
      <c r="G7" s="115" t="s">
        <v>48</v>
      </c>
      <c r="H7" s="115" t="s">
        <v>48</v>
      </c>
      <c r="I7" s="85">
        <v>44355</v>
      </c>
      <c r="J7" s="87">
        <f t="shared" si="2"/>
        <v>28</v>
      </c>
      <c r="K7" s="116" t="str">
        <f t="shared" si="3"/>
        <v>21-40</v>
      </c>
      <c r="L7" s="113">
        <v>48.75</v>
      </c>
      <c r="M7" s="36"/>
      <c r="N7" s="119" t="s">
        <v>73</v>
      </c>
      <c r="O7" s="119">
        <f>COUNTIF(K5:K45,N7)</f>
        <v>10</v>
      </c>
      <c r="P7" s="36"/>
      <c r="Q7" s="84" t="s">
        <v>71</v>
      </c>
      <c r="R7" s="84">
        <v>75.599999999999994</v>
      </c>
      <c r="S7" s="36"/>
    </row>
    <row r="8" spans="1:20" s="123" customFormat="1" ht="18" customHeight="1" x14ac:dyDescent="0.3">
      <c r="A8" s="112">
        <v>27</v>
      </c>
      <c r="B8" s="87" t="s">
        <v>62</v>
      </c>
      <c r="C8" s="85">
        <v>44383</v>
      </c>
      <c r="D8" s="87">
        <v>0.98099999999999998</v>
      </c>
      <c r="E8" s="113">
        <f t="shared" si="0"/>
        <v>49.05</v>
      </c>
      <c r="F8" s="114">
        <f t="shared" si="1"/>
        <v>0.24525</v>
      </c>
      <c r="G8" s="115" t="s">
        <v>48</v>
      </c>
      <c r="H8" s="115" t="s">
        <v>48</v>
      </c>
      <c r="I8" s="85">
        <v>44355</v>
      </c>
      <c r="J8" s="87">
        <f t="shared" si="2"/>
        <v>28</v>
      </c>
      <c r="K8" s="116" t="str">
        <f t="shared" si="3"/>
        <v>21-40</v>
      </c>
      <c r="L8" s="113">
        <v>49.05</v>
      </c>
      <c r="M8" s="36"/>
      <c r="N8" s="119" t="s">
        <v>74</v>
      </c>
      <c r="O8" s="119">
        <f>COUNTIF(K6:K46,N8)</f>
        <v>5</v>
      </c>
      <c r="P8" s="36"/>
      <c r="Q8" s="84" t="s">
        <v>71</v>
      </c>
      <c r="R8" s="84">
        <v>94</v>
      </c>
      <c r="S8" s="36"/>
    </row>
    <row r="9" spans="1:20" s="125" customFormat="1" ht="18" customHeight="1" x14ac:dyDescent="0.3">
      <c r="A9" s="112">
        <v>36</v>
      </c>
      <c r="B9" s="87" t="s">
        <v>63</v>
      </c>
      <c r="C9" s="85">
        <v>44425</v>
      </c>
      <c r="D9" s="87">
        <v>1.8560000000000001</v>
      </c>
      <c r="E9" s="116">
        <f t="shared" si="0"/>
        <v>92.800000000000011</v>
      </c>
      <c r="F9" s="121">
        <f t="shared" si="1"/>
        <v>0.46400000000000002</v>
      </c>
      <c r="G9" s="122" t="s">
        <v>47</v>
      </c>
      <c r="H9" s="122" t="s">
        <v>47</v>
      </c>
      <c r="I9" s="85">
        <v>44355</v>
      </c>
      <c r="J9" s="87">
        <f t="shared" si="2"/>
        <v>70</v>
      </c>
      <c r="K9" s="116" t="str">
        <f t="shared" si="3"/>
        <v>61-80</v>
      </c>
      <c r="L9" s="116">
        <v>92.800000000000011</v>
      </c>
      <c r="M9" s="124"/>
      <c r="N9" s="124"/>
      <c r="O9" s="124"/>
      <c r="P9" s="124"/>
      <c r="Q9" s="84" t="s">
        <v>71</v>
      </c>
      <c r="R9" s="84">
        <v>76.55</v>
      </c>
      <c r="S9" s="124"/>
    </row>
    <row r="10" spans="1:20" s="120" customFormat="1" ht="18" customHeight="1" x14ac:dyDescent="0.3">
      <c r="A10" s="112">
        <v>43</v>
      </c>
      <c r="B10" s="87" t="s">
        <v>60</v>
      </c>
      <c r="C10" s="85">
        <v>44398</v>
      </c>
      <c r="D10" s="87">
        <v>1.63</v>
      </c>
      <c r="E10" s="116">
        <f t="shared" si="0"/>
        <v>81.5</v>
      </c>
      <c r="F10" s="121">
        <f t="shared" si="1"/>
        <v>0.40749999999999997</v>
      </c>
      <c r="G10" s="122" t="s">
        <v>47</v>
      </c>
      <c r="H10" s="122" t="s">
        <v>47</v>
      </c>
      <c r="I10" s="85">
        <v>44355</v>
      </c>
      <c r="J10" s="87">
        <f t="shared" si="2"/>
        <v>43</v>
      </c>
      <c r="K10" s="116" t="str">
        <f t="shared" si="3"/>
        <v>41-60</v>
      </c>
      <c r="L10" s="116">
        <v>81.5</v>
      </c>
      <c r="M10" s="117"/>
      <c r="N10" s="36"/>
      <c r="O10" s="126">
        <v>0.8</v>
      </c>
      <c r="P10" s="117"/>
      <c r="Q10" s="84" t="s">
        <v>71</v>
      </c>
      <c r="R10" s="84">
        <v>97</v>
      </c>
      <c r="S10" s="117"/>
    </row>
    <row r="11" spans="1:20" s="111" customFormat="1" ht="18" customHeight="1" x14ac:dyDescent="0.3">
      <c r="A11" s="112">
        <v>47</v>
      </c>
      <c r="B11" s="87" t="s">
        <v>64</v>
      </c>
      <c r="C11" s="85">
        <v>44384</v>
      </c>
      <c r="D11" s="87">
        <v>0.97499999999999998</v>
      </c>
      <c r="E11" s="113">
        <f t="shared" si="0"/>
        <v>48.75</v>
      </c>
      <c r="F11" s="114">
        <f t="shared" si="1"/>
        <v>0.24374999999999999</v>
      </c>
      <c r="G11" s="115" t="s">
        <v>48</v>
      </c>
      <c r="H11" s="115" t="s">
        <v>48</v>
      </c>
      <c r="I11" s="85">
        <v>44355</v>
      </c>
      <c r="J11" s="87">
        <f t="shared" si="2"/>
        <v>29</v>
      </c>
      <c r="K11" s="116" t="str">
        <f t="shared" si="3"/>
        <v>21-40</v>
      </c>
      <c r="L11" s="113">
        <v>48.75</v>
      </c>
      <c r="M11" s="110"/>
      <c r="N11" s="119" t="s">
        <v>85</v>
      </c>
      <c r="O11" s="127">
        <f>21/41</f>
        <v>0.51219512195121952</v>
      </c>
      <c r="P11" s="110"/>
      <c r="Q11" s="84" t="s">
        <v>71</v>
      </c>
      <c r="R11" s="84">
        <v>86.850000000000009</v>
      </c>
      <c r="S11" s="110"/>
    </row>
    <row r="12" spans="1:20" s="111" customFormat="1" ht="18" customHeight="1" x14ac:dyDescent="0.3">
      <c r="A12" s="112">
        <v>48</v>
      </c>
      <c r="B12" s="87" t="s">
        <v>65</v>
      </c>
      <c r="C12" s="85">
        <v>44384</v>
      </c>
      <c r="D12" s="87">
        <v>0.97499999999999998</v>
      </c>
      <c r="E12" s="113">
        <f t="shared" si="0"/>
        <v>48.75</v>
      </c>
      <c r="F12" s="114">
        <f t="shared" si="1"/>
        <v>0.24374999999999999</v>
      </c>
      <c r="G12" s="115" t="s">
        <v>48</v>
      </c>
      <c r="H12" s="115" t="s">
        <v>48</v>
      </c>
      <c r="I12" s="85">
        <v>44355</v>
      </c>
      <c r="J12" s="87">
        <f t="shared" si="2"/>
        <v>29</v>
      </c>
      <c r="K12" s="116" t="str">
        <f t="shared" si="3"/>
        <v>21-40</v>
      </c>
      <c r="L12" s="113">
        <v>48.75</v>
      </c>
      <c r="M12" s="110"/>
      <c r="N12" s="110"/>
      <c r="O12" s="110"/>
      <c r="P12" s="110"/>
      <c r="Q12" s="84" t="s">
        <v>72</v>
      </c>
      <c r="R12" s="84">
        <v>56.499999999999993</v>
      </c>
      <c r="S12" s="110"/>
    </row>
    <row r="13" spans="1:20" s="111" customFormat="1" x14ac:dyDescent="0.3">
      <c r="A13" s="112">
        <v>58</v>
      </c>
      <c r="B13" s="87" t="s">
        <v>66</v>
      </c>
      <c r="C13" s="85">
        <v>44384</v>
      </c>
      <c r="D13" s="87">
        <v>0.66500000000000004</v>
      </c>
      <c r="E13" s="113">
        <f t="shared" si="0"/>
        <v>33.25</v>
      </c>
      <c r="F13" s="114">
        <f t="shared" si="1"/>
        <v>0.16625000000000001</v>
      </c>
      <c r="G13" s="115" t="s">
        <v>48</v>
      </c>
      <c r="H13" s="115" t="s">
        <v>48</v>
      </c>
      <c r="I13" s="85">
        <v>44355</v>
      </c>
      <c r="J13" s="87">
        <f t="shared" si="2"/>
        <v>29</v>
      </c>
      <c r="K13" s="116" t="str">
        <f t="shared" si="3"/>
        <v>21-40</v>
      </c>
      <c r="L13" s="113">
        <v>33.25</v>
      </c>
      <c r="M13" s="110"/>
      <c r="N13" s="110"/>
      <c r="O13" s="110"/>
      <c r="P13" s="110"/>
      <c r="Q13" s="84" t="s">
        <v>72</v>
      </c>
      <c r="R13" s="84">
        <v>48.75</v>
      </c>
      <c r="S13" s="110"/>
    </row>
    <row r="14" spans="1:20" s="111" customFormat="1" ht="18" customHeight="1" x14ac:dyDescent="0.3">
      <c r="A14" s="112">
        <v>59</v>
      </c>
      <c r="B14" s="87" t="s">
        <v>63</v>
      </c>
      <c r="C14" s="85">
        <v>44425</v>
      </c>
      <c r="D14" s="87">
        <v>1.875</v>
      </c>
      <c r="E14" s="116">
        <f t="shared" si="0"/>
        <v>93.75</v>
      </c>
      <c r="F14" s="121">
        <f t="shared" si="1"/>
        <v>0.46875</v>
      </c>
      <c r="G14" s="122" t="s">
        <v>47</v>
      </c>
      <c r="H14" s="122" t="s">
        <v>47</v>
      </c>
      <c r="I14" s="85">
        <v>44355</v>
      </c>
      <c r="J14" s="87">
        <f t="shared" si="2"/>
        <v>70</v>
      </c>
      <c r="K14" s="116" t="str">
        <f t="shared" si="3"/>
        <v>61-80</v>
      </c>
      <c r="L14" s="116">
        <v>93.75</v>
      </c>
      <c r="M14" s="110"/>
      <c r="N14" s="110"/>
      <c r="O14" s="110"/>
      <c r="P14" s="110"/>
      <c r="Q14" s="84" t="s">
        <v>72</v>
      </c>
      <c r="R14" s="84">
        <v>49.05</v>
      </c>
      <c r="S14" s="110"/>
    </row>
    <row r="15" spans="1:20" s="111" customFormat="1" x14ac:dyDescent="0.3">
      <c r="A15" s="112">
        <v>65</v>
      </c>
      <c r="B15" s="87" t="s">
        <v>63</v>
      </c>
      <c r="C15" s="85">
        <v>44425</v>
      </c>
      <c r="D15" s="87">
        <v>1.7250000000000001</v>
      </c>
      <c r="E15" s="116">
        <f t="shared" si="0"/>
        <v>86.25</v>
      </c>
      <c r="F15" s="121">
        <f t="shared" si="1"/>
        <v>0.43125000000000002</v>
      </c>
      <c r="G15" s="122" t="s">
        <v>47</v>
      </c>
      <c r="H15" s="122" t="s">
        <v>47</v>
      </c>
      <c r="I15" s="85">
        <v>44355</v>
      </c>
      <c r="J15" s="87">
        <f t="shared" si="2"/>
        <v>70</v>
      </c>
      <c r="K15" s="116" t="str">
        <f t="shared" si="3"/>
        <v>61-80</v>
      </c>
      <c r="L15" s="116">
        <v>86.25</v>
      </c>
      <c r="M15" s="110"/>
      <c r="N15" s="110"/>
      <c r="O15" s="110"/>
      <c r="P15" s="110"/>
      <c r="Q15" s="84" t="s">
        <v>72</v>
      </c>
      <c r="R15" s="84">
        <v>48.75</v>
      </c>
      <c r="S15" s="110"/>
    </row>
    <row r="16" spans="1:20" s="111" customFormat="1" x14ac:dyDescent="0.3">
      <c r="A16" s="112">
        <v>69</v>
      </c>
      <c r="B16" s="87" t="s">
        <v>67</v>
      </c>
      <c r="C16" s="85">
        <v>44383</v>
      </c>
      <c r="D16" s="87">
        <v>1.113</v>
      </c>
      <c r="E16" s="113">
        <f t="shared" si="0"/>
        <v>55.65</v>
      </c>
      <c r="F16" s="114">
        <f t="shared" si="1"/>
        <v>0.27825</v>
      </c>
      <c r="G16" s="115" t="s">
        <v>48</v>
      </c>
      <c r="H16" s="115" t="s">
        <v>48</v>
      </c>
      <c r="I16" s="85">
        <v>44355</v>
      </c>
      <c r="J16" s="87">
        <f t="shared" si="2"/>
        <v>28</v>
      </c>
      <c r="K16" s="116" t="str">
        <f t="shared" si="3"/>
        <v>21-40</v>
      </c>
      <c r="L16" s="113">
        <v>55.65</v>
      </c>
      <c r="M16" s="110"/>
      <c r="N16" s="110"/>
      <c r="O16" s="110"/>
      <c r="P16" s="110"/>
      <c r="Q16" s="84" t="s">
        <v>72</v>
      </c>
      <c r="R16" s="84">
        <v>48.75</v>
      </c>
      <c r="S16" s="110"/>
    </row>
    <row r="17" spans="1:19" s="111" customFormat="1" ht="18" customHeight="1" x14ac:dyDescent="0.3">
      <c r="A17" s="112">
        <v>77</v>
      </c>
      <c r="B17" s="87" t="s">
        <v>68</v>
      </c>
      <c r="C17" s="85">
        <v>44383</v>
      </c>
      <c r="D17" s="87">
        <v>0.88800000000000001</v>
      </c>
      <c r="E17" s="113">
        <f t="shared" si="0"/>
        <v>44.4</v>
      </c>
      <c r="F17" s="114">
        <f t="shared" si="1"/>
        <v>0.222</v>
      </c>
      <c r="G17" s="115" t="s">
        <v>48</v>
      </c>
      <c r="H17" s="115" t="s">
        <v>48</v>
      </c>
      <c r="I17" s="85">
        <v>44355</v>
      </c>
      <c r="J17" s="87">
        <f t="shared" si="2"/>
        <v>28</v>
      </c>
      <c r="K17" s="116" t="str">
        <f t="shared" si="3"/>
        <v>21-40</v>
      </c>
      <c r="L17" s="113">
        <v>44.4</v>
      </c>
      <c r="M17" s="110"/>
      <c r="N17" s="110"/>
      <c r="O17" s="110"/>
      <c r="P17" s="110"/>
      <c r="Q17" s="84" t="s">
        <v>72</v>
      </c>
      <c r="R17" s="84">
        <v>33.25</v>
      </c>
      <c r="S17" s="110"/>
    </row>
    <row r="18" spans="1:19" s="111" customFormat="1" ht="19.5" customHeight="1" x14ac:dyDescent="0.3">
      <c r="A18" s="112">
        <v>83</v>
      </c>
      <c r="B18" s="87" t="s">
        <v>69</v>
      </c>
      <c r="C18" s="85">
        <v>44384</v>
      </c>
      <c r="D18" s="87">
        <v>0.91</v>
      </c>
      <c r="E18" s="113">
        <f t="shared" si="0"/>
        <v>45.5</v>
      </c>
      <c r="F18" s="114">
        <f t="shared" si="1"/>
        <v>0.22750000000000001</v>
      </c>
      <c r="G18" s="115" t="s">
        <v>48</v>
      </c>
      <c r="H18" s="115" t="s">
        <v>48</v>
      </c>
      <c r="I18" s="85">
        <v>44355</v>
      </c>
      <c r="J18" s="87">
        <f t="shared" si="2"/>
        <v>29</v>
      </c>
      <c r="K18" s="116" t="str">
        <f t="shared" si="3"/>
        <v>21-40</v>
      </c>
      <c r="L18" s="113">
        <v>45.5</v>
      </c>
      <c r="M18" s="110"/>
      <c r="N18" s="110"/>
      <c r="O18" s="110"/>
      <c r="P18" s="110"/>
      <c r="Q18" s="84" t="s">
        <v>72</v>
      </c>
      <c r="R18" s="84">
        <v>55.65</v>
      </c>
      <c r="S18" s="110"/>
    </row>
    <row r="19" spans="1:19" s="111" customFormat="1" x14ac:dyDescent="0.3">
      <c r="A19" s="112">
        <v>96</v>
      </c>
      <c r="B19" s="87" t="s">
        <v>70</v>
      </c>
      <c r="C19" s="85">
        <v>44383</v>
      </c>
      <c r="D19" s="87">
        <v>1.175</v>
      </c>
      <c r="E19" s="113">
        <f t="shared" si="0"/>
        <v>58.75</v>
      </c>
      <c r="F19" s="114">
        <f t="shared" si="1"/>
        <v>0.29375000000000001</v>
      </c>
      <c r="G19" s="115" t="s">
        <v>48</v>
      </c>
      <c r="H19" s="115" t="s">
        <v>48</v>
      </c>
      <c r="I19" s="85">
        <v>44355</v>
      </c>
      <c r="J19" s="87">
        <f t="shared" si="2"/>
        <v>28</v>
      </c>
      <c r="K19" s="116" t="str">
        <f t="shared" si="3"/>
        <v>21-40</v>
      </c>
      <c r="L19" s="113">
        <v>58.75</v>
      </c>
      <c r="M19" s="110"/>
      <c r="N19" s="110"/>
      <c r="O19" s="110"/>
      <c r="P19" s="110"/>
      <c r="Q19" s="84" t="s">
        <v>72</v>
      </c>
      <c r="R19" s="84">
        <v>44.4</v>
      </c>
      <c r="S19" s="110"/>
    </row>
    <row r="20" spans="1:19" s="111" customFormat="1" x14ac:dyDescent="0.3">
      <c r="A20" s="112">
        <v>99</v>
      </c>
      <c r="B20" s="87" t="s">
        <v>63</v>
      </c>
      <c r="C20" s="85">
        <v>44425</v>
      </c>
      <c r="D20" s="87">
        <v>1.7430000000000001</v>
      </c>
      <c r="E20" s="116">
        <f t="shared" si="0"/>
        <v>87.15</v>
      </c>
      <c r="F20" s="121">
        <f t="shared" si="1"/>
        <v>0.43575000000000003</v>
      </c>
      <c r="G20" s="122" t="s">
        <v>47</v>
      </c>
      <c r="H20" s="122" t="s">
        <v>47</v>
      </c>
      <c r="I20" s="85">
        <v>44355</v>
      </c>
      <c r="J20" s="87">
        <f t="shared" si="2"/>
        <v>70</v>
      </c>
      <c r="K20" s="116" t="str">
        <f t="shared" si="3"/>
        <v>61-80</v>
      </c>
      <c r="L20" s="116">
        <v>87.15</v>
      </c>
      <c r="M20" s="110"/>
      <c r="N20" s="110"/>
      <c r="O20" s="110"/>
      <c r="P20" s="110"/>
      <c r="Q20" s="84" t="s">
        <v>72</v>
      </c>
      <c r="R20" s="84">
        <v>45.5</v>
      </c>
      <c r="S20" s="110"/>
    </row>
    <row r="21" spans="1:19" s="123" customFormat="1" x14ac:dyDescent="0.3">
      <c r="A21" s="128">
        <v>101</v>
      </c>
      <c r="B21" s="87" t="s">
        <v>81</v>
      </c>
      <c r="C21" s="85">
        <v>44385</v>
      </c>
      <c r="D21" s="87">
        <v>1.635</v>
      </c>
      <c r="E21" s="116">
        <f t="shared" si="0"/>
        <v>81.75</v>
      </c>
      <c r="F21" s="121">
        <f t="shared" si="1"/>
        <v>0.40875</v>
      </c>
      <c r="G21" s="122" t="s">
        <v>47</v>
      </c>
      <c r="H21" s="122" t="s">
        <v>47</v>
      </c>
      <c r="I21" s="85">
        <v>44355</v>
      </c>
      <c r="J21" s="87">
        <f t="shared" si="2"/>
        <v>30</v>
      </c>
      <c r="K21" s="116" t="str">
        <f t="shared" si="3"/>
        <v>21-40</v>
      </c>
      <c r="L21" s="116">
        <v>81.75</v>
      </c>
      <c r="M21" s="36"/>
      <c r="N21" s="36"/>
      <c r="O21" s="36"/>
      <c r="P21" s="36"/>
      <c r="Q21" s="84" t="s">
        <v>72</v>
      </c>
      <c r="R21" s="84">
        <v>58.75</v>
      </c>
      <c r="S21" s="36"/>
    </row>
    <row r="22" spans="1:19" s="123" customFormat="1" x14ac:dyDescent="0.3">
      <c r="A22" s="128">
        <v>105</v>
      </c>
      <c r="B22" s="87" t="s">
        <v>82</v>
      </c>
      <c r="C22" s="85">
        <v>44405</v>
      </c>
      <c r="D22" s="87">
        <v>1.5049999999999999</v>
      </c>
      <c r="E22" s="113">
        <f t="shared" si="0"/>
        <v>75.25</v>
      </c>
      <c r="F22" s="114">
        <f t="shared" si="1"/>
        <v>0.37624999999999997</v>
      </c>
      <c r="G22" s="115" t="s">
        <v>48</v>
      </c>
      <c r="H22" s="115" t="s">
        <v>48</v>
      </c>
      <c r="I22" s="85">
        <v>44355</v>
      </c>
      <c r="J22" s="87">
        <f t="shared" si="2"/>
        <v>50</v>
      </c>
      <c r="K22" s="116" t="str">
        <f t="shared" si="3"/>
        <v>41-60</v>
      </c>
      <c r="L22" s="113">
        <v>75.25</v>
      </c>
      <c r="M22" s="36"/>
      <c r="N22" s="36"/>
      <c r="O22" s="36"/>
      <c r="P22" s="36"/>
      <c r="Q22" s="84" t="s">
        <v>72</v>
      </c>
      <c r="R22" s="84">
        <v>81.75</v>
      </c>
      <c r="S22" s="36"/>
    </row>
    <row r="23" spans="1:19" x14ac:dyDescent="0.3">
      <c r="A23" s="128">
        <v>120</v>
      </c>
      <c r="B23" s="87" t="s">
        <v>83</v>
      </c>
      <c r="C23" s="85">
        <v>44389</v>
      </c>
      <c r="D23" s="87">
        <v>1.53</v>
      </c>
      <c r="E23" s="113">
        <f t="shared" si="0"/>
        <v>76.5</v>
      </c>
      <c r="F23" s="114">
        <f t="shared" si="1"/>
        <v>0.38250000000000001</v>
      </c>
      <c r="G23" s="115" t="s">
        <v>48</v>
      </c>
      <c r="H23" s="115" t="s">
        <v>48</v>
      </c>
      <c r="I23" s="85">
        <v>44355</v>
      </c>
      <c r="J23" s="87">
        <f t="shared" si="2"/>
        <v>34</v>
      </c>
      <c r="K23" s="116" t="str">
        <f t="shared" si="3"/>
        <v>21-40</v>
      </c>
      <c r="L23" s="113">
        <v>76.5</v>
      </c>
      <c r="Q23" s="84" t="s">
        <v>72</v>
      </c>
      <c r="R23" s="84">
        <v>76.5</v>
      </c>
    </row>
    <row r="24" spans="1:19" x14ac:dyDescent="0.3">
      <c r="A24" s="128">
        <v>124</v>
      </c>
      <c r="B24" s="87" t="s">
        <v>82</v>
      </c>
      <c r="C24" s="85">
        <v>44405</v>
      </c>
      <c r="D24" s="87">
        <v>1.665</v>
      </c>
      <c r="E24" s="116">
        <f t="shared" si="0"/>
        <v>83.25</v>
      </c>
      <c r="F24" s="121">
        <f t="shared" si="1"/>
        <v>0.41625000000000001</v>
      </c>
      <c r="G24" s="122" t="s">
        <v>47</v>
      </c>
      <c r="H24" s="122" t="s">
        <v>47</v>
      </c>
      <c r="I24" s="85">
        <v>44355</v>
      </c>
      <c r="J24" s="87">
        <f t="shared" si="2"/>
        <v>50</v>
      </c>
      <c r="K24" s="116" t="str">
        <f t="shared" si="3"/>
        <v>41-60</v>
      </c>
      <c r="L24" s="116">
        <v>83.25</v>
      </c>
      <c r="Q24" s="84" t="s">
        <v>72</v>
      </c>
      <c r="R24" s="84">
        <v>82.5</v>
      </c>
    </row>
    <row r="25" spans="1:19" x14ac:dyDescent="0.3">
      <c r="A25" s="128">
        <v>135</v>
      </c>
      <c r="B25" s="87" t="s">
        <v>84</v>
      </c>
      <c r="C25" s="85">
        <v>44397</v>
      </c>
      <c r="D25" s="87">
        <v>2.0099999999999998</v>
      </c>
      <c r="E25" s="116">
        <f t="shared" si="0"/>
        <v>100.49999999999999</v>
      </c>
      <c r="F25" s="121">
        <f t="shared" si="1"/>
        <v>0.50249999999999995</v>
      </c>
      <c r="G25" s="122" t="s">
        <v>47</v>
      </c>
      <c r="H25" s="122" t="s">
        <v>47</v>
      </c>
      <c r="I25" s="85">
        <v>44355</v>
      </c>
      <c r="J25" s="87">
        <f t="shared" si="2"/>
        <v>42</v>
      </c>
      <c r="K25" s="116" t="str">
        <f t="shared" si="3"/>
        <v>41-60</v>
      </c>
      <c r="L25" s="116">
        <v>100.49999999999999</v>
      </c>
      <c r="Q25" s="84" t="s">
        <v>72</v>
      </c>
      <c r="R25" s="84">
        <v>90.25</v>
      </c>
    </row>
    <row r="26" spans="1:19" x14ac:dyDescent="0.3">
      <c r="A26" s="128">
        <v>138</v>
      </c>
      <c r="B26" s="87" t="s">
        <v>83</v>
      </c>
      <c r="C26" s="85">
        <v>44389</v>
      </c>
      <c r="D26" s="87">
        <v>1.65</v>
      </c>
      <c r="E26" s="116">
        <f t="shared" si="0"/>
        <v>82.5</v>
      </c>
      <c r="F26" s="121">
        <f t="shared" si="1"/>
        <v>0.41249999999999998</v>
      </c>
      <c r="G26" s="122" t="s">
        <v>47</v>
      </c>
      <c r="H26" s="122" t="s">
        <v>47</v>
      </c>
      <c r="I26" s="85">
        <v>44355</v>
      </c>
      <c r="J26" s="87">
        <f t="shared" si="2"/>
        <v>34</v>
      </c>
      <c r="K26" s="116" t="str">
        <f t="shared" si="3"/>
        <v>21-40</v>
      </c>
      <c r="L26" s="116">
        <v>82.5</v>
      </c>
      <c r="Q26" s="84" t="s">
        <v>72</v>
      </c>
      <c r="R26" s="84">
        <v>80.650000000000006</v>
      </c>
    </row>
    <row r="27" spans="1:19" x14ac:dyDescent="0.3">
      <c r="A27" s="128">
        <v>146</v>
      </c>
      <c r="B27" s="87" t="s">
        <v>82</v>
      </c>
      <c r="C27" s="85">
        <v>44405</v>
      </c>
      <c r="D27" s="87">
        <v>1.1499999999999999</v>
      </c>
      <c r="E27" s="113">
        <f t="shared" si="0"/>
        <v>57.499999999999993</v>
      </c>
      <c r="F27" s="114">
        <f t="shared" si="1"/>
        <v>0.28749999999999998</v>
      </c>
      <c r="G27" s="115" t="s">
        <v>48</v>
      </c>
      <c r="H27" s="115" t="s">
        <v>48</v>
      </c>
      <c r="I27" s="85">
        <v>44355</v>
      </c>
      <c r="J27" s="87">
        <f t="shared" si="2"/>
        <v>50</v>
      </c>
      <c r="K27" s="116" t="str">
        <f t="shared" si="3"/>
        <v>41-60</v>
      </c>
      <c r="L27" s="113">
        <v>57.499999999999993</v>
      </c>
      <c r="Q27" s="84" t="s">
        <v>72</v>
      </c>
      <c r="R27" s="84">
        <v>86.25</v>
      </c>
    </row>
    <row r="28" spans="1:19" x14ac:dyDescent="0.3">
      <c r="A28" s="128">
        <v>153</v>
      </c>
      <c r="B28" s="87" t="s">
        <v>81</v>
      </c>
      <c r="C28" s="85">
        <v>44385</v>
      </c>
      <c r="D28" s="87">
        <v>1.8049999999999999</v>
      </c>
      <c r="E28" s="116">
        <f t="shared" si="0"/>
        <v>90.25</v>
      </c>
      <c r="F28" s="121">
        <f t="shared" si="1"/>
        <v>0.45124999999999998</v>
      </c>
      <c r="G28" s="122" t="s">
        <v>47</v>
      </c>
      <c r="H28" s="122" t="s">
        <v>47</v>
      </c>
      <c r="I28" s="85">
        <v>44355</v>
      </c>
      <c r="J28" s="87">
        <f t="shared" si="2"/>
        <v>30</v>
      </c>
      <c r="K28" s="116" t="str">
        <f t="shared" si="3"/>
        <v>21-40</v>
      </c>
      <c r="L28" s="116">
        <v>90.25</v>
      </c>
      <c r="Q28" s="84" t="s">
        <v>72</v>
      </c>
      <c r="R28" s="84">
        <v>83.25</v>
      </c>
    </row>
    <row r="29" spans="1:19" x14ac:dyDescent="0.3">
      <c r="A29" s="128">
        <v>157</v>
      </c>
      <c r="B29" s="87" t="s">
        <v>84</v>
      </c>
      <c r="C29" s="85">
        <v>44397</v>
      </c>
      <c r="D29" s="87">
        <v>1.61</v>
      </c>
      <c r="E29" s="116">
        <f t="shared" si="0"/>
        <v>80.5</v>
      </c>
      <c r="F29" s="121">
        <f t="shared" si="1"/>
        <v>0.40250000000000002</v>
      </c>
      <c r="G29" s="122" t="s">
        <v>47</v>
      </c>
      <c r="H29" s="122" t="s">
        <v>47</v>
      </c>
      <c r="I29" s="85">
        <v>44355</v>
      </c>
      <c r="J29" s="87">
        <f t="shared" si="2"/>
        <v>42</v>
      </c>
      <c r="K29" s="116" t="str">
        <f t="shared" si="3"/>
        <v>41-60</v>
      </c>
      <c r="L29" s="116">
        <v>80.5</v>
      </c>
      <c r="Q29" s="84" t="s">
        <v>72</v>
      </c>
      <c r="R29" s="84">
        <v>100.29999999999998</v>
      </c>
    </row>
    <row r="30" spans="1:19" x14ac:dyDescent="0.3">
      <c r="A30" s="128">
        <v>166</v>
      </c>
      <c r="B30" s="87" t="s">
        <v>86</v>
      </c>
      <c r="C30" s="85">
        <v>44396</v>
      </c>
      <c r="D30" s="87">
        <v>1.93</v>
      </c>
      <c r="E30" s="116">
        <f t="shared" si="0"/>
        <v>96.5</v>
      </c>
      <c r="F30" s="121">
        <f t="shared" si="1"/>
        <v>0.48249999999999998</v>
      </c>
      <c r="G30" s="122" t="s">
        <v>47</v>
      </c>
      <c r="H30" s="122" t="s">
        <v>47</v>
      </c>
      <c r="I30" s="85">
        <v>44355</v>
      </c>
      <c r="J30" s="87">
        <f t="shared" si="2"/>
        <v>41</v>
      </c>
      <c r="K30" s="116" t="str">
        <f t="shared" si="3"/>
        <v>41-60</v>
      </c>
      <c r="L30" s="116">
        <v>96.5</v>
      </c>
      <c r="Q30" s="84" t="s">
        <v>72</v>
      </c>
      <c r="R30" s="84">
        <v>78.5</v>
      </c>
    </row>
    <row r="31" spans="1:19" x14ac:dyDescent="0.3">
      <c r="A31" s="128">
        <v>174</v>
      </c>
      <c r="B31" s="87" t="s">
        <v>84</v>
      </c>
      <c r="C31" s="85">
        <v>44397</v>
      </c>
      <c r="D31" s="87">
        <v>1.59</v>
      </c>
      <c r="E31" s="113">
        <f t="shared" si="0"/>
        <v>79.5</v>
      </c>
      <c r="F31" s="114">
        <f t="shared" si="1"/>
        <v>0.39750000000000002</v>
      </c>
      <c r="G31" s="115" t="s">
        <v>48</v>
      </c>
      <c r="H31" s="115" t="s">
        <v>48</v>
      </c>
      <c r="I31" s="85">
        <v>44355</v>
      </c>
      <c r="J31" s="87">
        <f t="shared" si="2"/>
        <v>42</v>
      </c>
      <c r="K31" s="116" t="str">
        <f t="shared" si="3"/>
        <v>41-60</v>
      </c>
      <c r="L31" s="113">
        <v>79.5</v>
      </c>
      <c r="Q31" s="84" t="s">
        <v>73</v>
      </c>
      <c r="R31" s="84">
        <v>80.300000000000011</v>
      </c>
    </row>
    <row r="32" spans="1:19" x14ac:dyDescent="0.3">
      <c r="A32" s="128">
        <v>178</v>
      </c>
      <c r="B32" s="87" t="s">
        <v>83</v>
      </c>
      <c r="C32" s="85">
        <v>44389</v>
      </c>
      <c r="D32" s="87">
        <v>1.613</v>
      </c>
      <c r="E32" s="116">
        <f t="shared" si="0"/>
        <v>80.650000000000006</v>
      </c>
      <c r="F32" s="121">
        <f t="shared" si="1"/>
        <v>0.40325</v>
      </c>
      <c r="G32" s="122" t="s">
        <v>47</v>
      </c>
      <c r="H32" s="122" t="s">
        <v>47</v>
      </c>
      <c r="I32" s="85">
        <v>44355</v>
      </c>
      <c r="J32" s="87">
        <f t="shared" si="2"/>
        <v>34</v>
      </c>
      <c r="K32" s="116" t="str">
        <f t="shared" si="3"/>
        <v>21-40</v>
      </c>
      <c r="L32" s="116">
        <v>80.650000000000006</v>
      </c>
      <c r="Q32" s="84" t="s">
        <v>73</v>
      </c>
      <c r="R32" s="84">
        <v>81.5</v>
      </c>
    </row>
    <row r="33" spans="1:18" x14ac:dyDescent="0.3">
      <c r="A33" s="128">
        <v>191</v>
      </c>
      <c r="B33" s="87" t="s">
        <v>86</v>
      </c>
      <c r="C33" s="85">
        <v>44396</v>
      </c>
      <c r="D33" s="87">
        <v>1.806</v>
      </c>
      <c r="E33" s="116">
        <f t="shared" si="0"/>
        <v>90.3</v>
      </c>
      <c r="F33" s="121">
        <f t="shared" si="1"/>
        <v>0.45150000000000001</v>
      </c>
      <c r="G33" s="122" t="s">
        <v>47</v>
      </c>
      <c r="H33" s="122" t="s">
        <v>47</v>
      </c>
      <c r="I33" s="85">
        <v>44355</v>
      </c>
      <c r="J33" s="87">
        <f t="shared" si="2"/>
        <v>41</v>
      </c>
      <c r="K33" s="116" t="str">
        <f t="shared" si="3"/>
        <v>41-60</v>
      </c>
      <c r="L33" s="116">
        <v>90.3</v>
      </c>
      <c r="Q33" s="84" t="s">
        <v>73</v>
      </c>
      <c r="R33" s="84">
        <v>75.25</v>
      </c>
    </row>
    <row r="34" spans="1:18" x14ac:dyDescent="0.3">
      <c r="A34" s="129">
        <v>201</v>
      </c>
      <c r="B34" s="87" t="s">
        <v>87</v>
      </c>
      <c r="C34" s="85">
        <v>44425</v>
      </c>
      <c r="D34" s="87">
        <v>1.4750000000000001</v>
      </c>
      <c r="E34" s="113">
        <f t="shared" si="0"/>
        <v>73.75</v>
      </c>
      <c r="F34" s="114">
        <f t="shared" si="1"/>
        <v>0.36875000000000002</v>
      </c>
      <c r="G34" s="115" t="s">
        <v>48</v>
      </c>
      <c r="H34" s="115" t="s">
        <v>48</v>
      </c>
      <c r="I34" s="85">
        <v>44355</v>
      </c>
      <c r="J34" s="87">
        <f t="shared" si="2"/>
        <v>70</v>
      </c>
      <c r="K34" s="116" t="str">
        <f t="shared" si="3"/>
        <v>61-80</v>
      </c>
      <c r="L34" s="113">
        <v>73.75</v>
      </c>
      <c r="Q34" s="84" t="s">
        <v>73</v>
      </c>
      <c r="R34" s="84">
        <v>83.25</v>
      </c>
    </row>
    <row r="35" spans="1:18" x14ac:dyDescent="0.3">
      <c r="A35" s="87">
        <v>1</v>
      </c>
      <c r="B35" s="87" t="s">
        <v>49</v>
      </c>
      <c r="C35" s="85">
        <v>44362</v>
      </c>
      <c r="D35" s="87">
        <v>1.4319999999999999</v>
      </c>
      <c r="E35" s="113">
        <f t="shared" si="0"/>
        <v>71.599999999999994</v>
      </c>
      <c r="F35" s="130">
        <f t="shared" si="1"/>
        <v>0.35799999999999998</v>
      </c>
      <c r="G35" s="113" t="s">
        <v>48</v>
      </c>
      <c r="H35" s="113" t="s">
        <v>48</v>
      </c>
      <c r="I35" s="85">
        <v>44355</v>
      </c>
      <c r="J35" s="87">
        <f t="shared" si="2"/>
        <v>7</v>
      </c>
      <c r="K35" s="116" t="str">
        <f t="shared" si="3"/>
        <v>1-20</v>
      </c>
      <c r="L35" s="113">
        <v>71.599999999999994</v>
      </c>
      <c r="Q35" s="84" t="s">
        <v>73</v>
      </c>
      <c r="R35" s="84">
        <v>100.49999999999999</v>
      </c>
    </row>
    <row r="36" spans="1:18" x14ac:dyDescent="0.3">
      <c r="A36" s="87">
        <v>3</v>
      </c>
      <c r="B36" s="87" t="s">
        <v>51</v>
      </c>
      <c r="C36" s="85">
        <v>44364</v>
      </c>
      <c r="D36" s="87">
        <v>1.462</v>
      </c>
      <c r="E36" s="113">
        <f t="shared" si="0"/>
        <v>73.099999999999994</v>
      </c>
      <c r="F36" s="130">
        <f t="shared" si="1"/>
        <v>0.36549999999999999</v>
      </c>
      <c r="G36" s="113" t="s">
        <v>48</v>
      </c>
      <c r="H36" s="113" t="s">
        <v>48</v>
      </c>
      <c r="I36" s="85">
        <v>44355</v>
      </c>
      <c r="J36" s="87">
        <f t="shared" si="2"/>
        <v>9</v>
      </c>
      <c r="K36" s="116" t="str">
        <f t="shared" si="3"/>
        <v>1-20</v>
      </c>
      <c r="L36" s="113">
        <v>73.099999999999994</v>
      </c>
      <c r="Q36" s="84" t="s">
        <v>73</v>
      </c>
      <c r="R36" s="84">
        <v>57.499999999999993</v>
      </c>
    </row>
    <row r="37" spans="1:18" x14ac:dyDescent="0.3">
      <c r="A37" s="87">
        <v>5</v>
      </c>
      <c r="B37" s="87" t="s">
        <v>51</v>
      </c>
      <c r="C37" s="85">
        <v>44364</v>
      </c>
      <c r="D37" s="87">
        <v>1.512</v>
      </c>
      <c r="E37" s="113">
        <f t="shared" si="0"/>
        <v>75.599999999999994</v>
      </c>
      <c r="F37" s="130">
        <f t="shared" si="1"/>
        <v>0.378</v>
      </c>
      <c r="G37" s="113" t="s">
        <v>48</v>
      </c>
      <c r="H37" s="113" t="s">
        <v>48</v>
      </c>
      <c r="I37" s="85">
        <v>44355</v>
      </c>
      <c r="J37" s="87">
        <f t="shared" si="2"/>
        <v>9</v>
      </c>
      <c r="K37" s="116" t="str">
        <f t="shared" si="3"/>
        <v>1-20</v>
      </c>
      <c r="L37" s="113">
        <v>75.599999999999994</v>
      </c>
      <c r="Q37" s="84" t="s">
        <v>73</v>
      </c>
      <c r="R37" s="84">
        <v>80.5</v>
      </c>
    </row>
    <row r="38" spans="1:18" x14ac:dyDescent="0.3">
      <c r="A38" s="87">
        <v>2</v>
      </c>
      <c r="B38" s="87" t="s">
        <v>50</v>
      </c>
      <c r="C38" s="85">
        <v>44362</v>
      </c>
      <c r="D38" s="87">
        <v>1.88</v>
      </c>
      <c r="E38" s="116">
        <f t="shared" si="0"/>
        <v>94</v>
      </c>
      <c r="F38" s="131">
        <f t="shared" si="1"/>
        <v>0.47</v>
      </c>
      <c r="G38" s="116" t="s">
        <v>47</v>
      </c>
      <c r="H38" s="116" t="s">
        <v>47</v>
      </c>
      <c r="I38" s="85">
        <v>44355</v>
      </c>
      <c r="J38" s="87">
        <f t="shared" si="2"/>
        <v>7</v>
      </c>
      <c r="K38" s="116" t="str">
        <f t="shared" si="3"/>
        <v>1-20</v>
      </c>
      <c r="L38" s="116">
        <v>94</v>
      </c>
      <c r="Q38" s="84" t="s">
        <v>73</v>
      </c>
      <c r="R38" s="84">
        <v>96.5</v>
      </c>
    </row>
    <row r="39" spans="1:18" x14ac:dyDescent="0.3">
      <c r="A39" s="87">
        <v>4</v>
      </c>
      <c r="B39" s="87" t="s">
        <v>52</v>
      </c>
      <c r="C39" s="85">
        <v>44364</v>
      </c>
      <c r="D39" s="87">
        <v>1.5309999999999999</v>
      </c>
      <c r="E39" s="113">
        <f t="shared" si="0"/>
        <v>76.55</v>
      </c>
      <c r="F39" s="130">
        <f t="shared" si="1"/>
        <v>0.38274999999999998</v>
      </c>
      <c r="G39" s="113" t="s">
        <v>48</v>
      </c>
      <c r="H39" s="113" t="s">
        <v>48</v>
      </c>
      <c r="I39" s="85">
        <v>44355</v>
      </c>
      <c r="J39" s="87">
        <f t="shared" si="2"/>
        <v>9</v>
      </c>
      <c r="K39" s="116" t="str">
        <f t="shared" si="3"/>
        <v>1-20</v>
      </c>
      <c r="L39" s="113">
        <v>76.55</v>
      </c>
      <c r="Q39" s="84" t="s">
        <v>73</v>
      </c>
      <c r="R39" s="84">
        <v>79.5</v>
      </c>
    </row>
    <row r="40" spans="1:18" x14ac:dyDescent="0.3">
      <c r="A40" s="87">
        <v>6</v>
      </c>
      <c r="B40" s="87" t="s">
        <v>53</v>
      </c>
      <c r="C40" s="85">
        <v>44368</v>
      </c>
      <c r="D40" s="87">
        <v>1.94</v>
      </c>
      <c r="E40" s="116">
        <f t="shared" si="0"/>
        <v>97</v>
      </c>
      <c r="F40" s="131">
        <f t="shared" si="1"/>
        <v>0.48499999999999999</v>
      </c>
      <c r="G40" s="116" t="s">
        <v>47</v>
      </c>
      <c r="H40" s="116" t="s">
        <v>47</v>
      </c>
      <c r="I40" s="85">
        <v>44355</v>
      </c>
      <c r="J40" s="87">
        <f t="shared" si="2"/>
        <v>13</v>
      </c>
      <c r="K40" s="116" t="str">
        <f t="shared" si="3"/>
        <v>1-20</v>
      </c>
      <c r="L40" s="116">
        <v>97</v>
      </c>
      <c r="Q40" s="84" t="s">
        <v>73</v>
      </c>
      <c r="R40" s="84">
        <v>90.3</v>
      </c>
    </row>
    <row r="41" spans="1:18" x14ac:dyDescent="0.3">
      <c r="A41" s="87">
        <v>7</v>
      </c>
      <c r="B41" s="87" t="s">
        <v>54</v>
      </c>
      <c r="C41" s="85">
        <v>44370</v>
      </c>
      <c r="D41" s="87">
        <v>1.7370000000000001</v>
      </c>
      <c r="E41" s="116">
        <f t="shared" si="0"/>
        <v>86.850000000000009</v>
      </c>
      <c r="F41" s="131">
        <f t="shared" si="1"/>
        <v>0.43425000000000002</v>
      </c>
      <c r="G41" s="116" t="s">
        <v>47</v>
      </c>
      <c r="H41" s="116" t="s">
        <v>47</v>
      </c>
      <c r="I41" s="85">
        <v>44355</v>
      </c>
      <c r="J41" s="87">
        <f t="shared" si="2"/>
        <v>15</v>
      </c>
      <c r="K41" s="116" t="str">
        <f t="shared" si="3"/>
        <v>1-20</v>
      </c>
      <c r="L41" s="116">
        <v>86.850000000000009</v>
      </c>
      <c r="Q41" s="84" t="s">
        <v>74</v>
      </c>
      <c r="R41" s="84">
        <v>92.800000000000011</v>
      </c>
    </row>
    <row r="42" spans="1:18" x14ac:dyDescent="0.3">
      <c r="A42" s="87">
        <v>8</v>
      </c>
      <c r="B42" s="87" t="s">
        <v>55</v>
      </c>
      <c r="C42" s="85">
        <v>44382</v>
      </c>
      <c r="D42" s="87">
        <v>1.7250000000000001</v>
      </c>
      <c r="E42" s="116">
        <f t="shared" si="0"/>
        <v>86.25</v>
      </c>
      <c r="F42" s="131">
        <f t="shared" si="1"/>
        <v>0.43125000000000002</v>
      </c>
      <c r="G42" s="116" t="s">
        <v>47</v>
      </c>
      <c r="H42" s="116" t="s">
        <v>47</v>
      </c>
      <c r="I42" s="85">
        <v>44355</v>
      </c>
      <c r="J42" s="87">
        <f t="shared" si="2"/>
        <v>27</v>
      </c>
      <c r="K42" s="116" t="str">
        <f t="shared" si="3"/>
        <v>21-40</v>
      </c>
      <c r="L42" s="116">
        <v>86.25</v>
      </c>
      <c r="Q42" s="84" t="s">
        <v>74</v>
      </c>
      <c r="R42" s="84">
        <v>93.75</v>
      </c>
    </row>
    <row r="43" spans="1:18" x14ac:dyDescent="0.3">
      <c r="A43" s="87" t="s">
        <v>46</v>
      </c>
      <c r="B43" s="87" t="s">
        <v>57</v>
      </c>
      <c r="C43" s="85">
        <v>44385</v>
      </c>
      <c r="D43" s="87">
        <v>3.33</v>
      </c>
      <c r="E43" s="116">
        <f>(D43/4)*100</f>
        <v>83.25</v>
      </c>
      <c r="F43" s="131">
        <f>D43/8</f>
        <v>0.41625000000000001</v>
      </c>
      <c r="G43" s="116" t="s">
        <v>47</v>
      </c>
      <c r="H43" s="116" t="s">
        <v>47</v>
      </c>
      <c r="I43" s="85">
        <v>44355</v>
      </c>
      <c r="J43" s="87">
        <f t="shared" si="2"/>
        <v>30</v>
      </c>
      <c r="K43" s="116" t="str">
        <f t="shared" si="3"/>
        <v>21-40</v>
      </c>
      <c r="L43" s="116">
        <v>83.25</v>
      </c>
      <c r="Q43" s="84" t="s">
        <v>74</v>
      </c>
      <c r="R43" s="84">
        <v>86.25</v>
      </c>
    </row>
    <row r="44" spans="1:18" x14ac:dyDescent="0.3">
      <c r="A44" s="87">
        <v>9</v>
      </c>
      <c r="B44" s="87" t="s">
        <v>56</v>
      </c>
      <c r="C44" s="85">
        <v>44382</v>
      </c>
      <c r="D44" s="87">
        <v>2.0059999999999998</v>
      </c>
      <c r="E44" s="116">
        <f>(D44/2)*100</f>
        <v>100.29999999999998</v>
      </c>
      <c r="F44" s="131">
        <f>D44/4</f>
        <v>0.50149999999999995</v>
      </c>
      <c r="G44" s="116" t="s">
        <v>47</v>
      </c>
      <c r="H44" s="116" t="s">
        <v>47</v>
      </c>
      <c r="I44" s="85">
        <v>44355</v>
      </c>
      <c r="J44" s="87">
        <f t="shared" si="2"/>
        <v>27</v>
      </c>
      <c r="K44" s="116" t="str">
        <f t="shared" si="3"/>
        <v>21-40</v>
      </c>
      <c r="L44" s="116">
        <v>100.29999999999998</v>
      </c>
      <c r="Q44" s="84" t="s">
        <v>74</v>
      </c>
      <c r="R44" s="84">
        <v>87.15</v>
      </c>
    </row>
    <row r="45" spans="1:18" x14ac:dyDescent="0.3">
      <c r="A45" s="87">
        <v>13</v>
      </c>
      <c r="B45" s="87" t="s">
        <v>59</v>
      </c>
      <c r="C45" s="85">
        <v>44385</v>
      </c>
      <c r="D45" s="87">
        <v>1.57</v>
      </c>
      <c r="E45" s="113">
        <f>(D45/2)*100</f>
        <v>78.5</v>
      </c>
      <c r="F45" s="130">
        <f>D45/4</f>
        <v>0.39250000000000002</v>
      </c>
      <c r="G45" s="113" t="s">
        <v>48</v>
      </c>
      <c r="H45" s="113" t="s">
        <v>48</v>
      </c>
      <c r="I45" s="85">
        <v>44355</v>
      </c>
      <c r="J45" s="87">
        <f t="shared" si="2"/>
        <v>30</v>
      </c>
      <c r="K45" s="116" t="str">
        <f t="shared" si="3"/>
        <v>21-40</v>
      </c>
      <c r="L45" s="113">
        <v>78.5</v>
      </c>
      <c r="Q45" s="84" t="s">
        <v>74</v>
      </c>
      <c r="R45" s="84">
        <v>73.75</v>
      </c>
    </row>
    <row r="46" spans="1:18" x14ac:dyDescent="0.3">
      <c r="E46" s="132">
        <f>AVERAGE(E5:E45)</f>
        <v>75.190243902439022</v>
      </c>
    </row>
    <row r="48" spans="1:18" ht="15.6" x14ac:dyDescent="0.3">
      <c r="A48" s="133" t="s">
        <v>75</v>
      </c>
    </row>
    <row r="49" spans="1:1" ht="15.6" x14ac:dyDescent="0.3">
      <c r="A49" s="134" t="s">
        <v>76</v>
      </c>
    </row>
    <row r="50" spans="1:1" ht="15.6" x14ac:dyDescent="0.3">
      <c r="A50" s="135" t="s">
        <v>77</v>
      </c>
    </row>
    <row r="52" spans="1:1" x14ac:dyDescent="0.3">
      <c r="A52" s="36" t="s">
        <v>88</v>
      </c>
    </row>
  </sheetData>
  <autoFilter ref="Q4:R4" xr:uid="{46875776-0C4C-4480-9FF6-EF4664FAE429}">
    <sortState xmlns:xlrd2="http://schemas.microsoft.com/office/spreadsheetml/2017/richdata2" ref="Q5:R45">
      <sortCondition ref="Q4"/>
    </sortState>
  </autoFilter>
  <mergeCells count="3">
    <mergeCell ref="Q3:R3"/>
    <mergeCell ref="Q2:R2"/>
    <mergeCell ref="A3:L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F829-872C-4655-B4DA-D42A237645F4}">
  <sheetPr>
    <tabColor rgb="FF92D050"/>
  </sheetPr>
  <dimension ref="A1:V14"/>
  <sheetViews>
    <sheetView topLeftCell="B1" zoomScale="95" zoomScaleNormal="95" workbookViewId="0">
      <selection activeCell="U1" sqref="U1:V1"/>
    </sheetView>
  </sheetViews>
  <sheetFormatPr defaultColWidth="11.44140625" defaultRowHeight="14.4" x14ac:dyDescent="0.3"/>
  <cols>
    <col min="1" max="1" width="22.5546875" style="5" customWidth="1"/>
    <col min="2" max="3" width="11.44140625" style="5"/>
    <col min="4" max="4" width="6.44140625" style="5" customWidth="1"/>
    <col min="5" max="5" width="7" style="5" customWidth="1"/>
    <col min="6" max="6" width="6.5546875" style="5" customWidth="1"/>
    <col min="7" max="7" width="7" style="5" customWidth="1"/>
    <col min="8" max="8" width="5.33203125" style="5" customWidth="1"/>
    <col min="9" max="9" width="5.6640625" style="5" customWidth="1"/>
    <col min="10" max="10" width="6" style="5" customWidth="1"/>
    <col min="11" max="11" width="6.88671875" style="5" customWidth="1"/>
    <col min="12" max="12" width="11.44140625" style="95"/>
    <col min="13" max="13" width="15.6640625" style="5" customWidth="1"/>
    <col min="14" max="14" width="15.33203125" style="5" customWidth="1"/>
    <col min="15" max="15" width="14" style="5" customWidth="1"/>
    <col min="16" max="20" width="11.44140625" style="5"/>
    <col min="21" max="21" width="12.77734375" style="5" customWidth="1"/>
    <col min="22" max="16384" width="11.44140625" style="5"/>
  </cols>
  <sheetData>
    <row r="1" spans="1:22" ht="18" x14ac:dyDescent="0.35">
      <c r="A1" s="183" t="s">
        <v>153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U1" s="183" t="s">
        <v>153</v>
      </c>
      <c r="V1" s="183"/>
    </row>
    <row r="2" spans="1:22" ht="43.2" x14ac:dyDescent="0.3">
      <c r="A2" s="38" t="s">
        <v>94</v>
      </c>
      <c r="B2" s="38" t="s">
        <v>3</v>
      </c>
      <c r="C2" s="153" t="s">
        <v>41</v>
      </c>
      <c r="D2" s="32" t="s">
        <v>95</v>
      </c>
      <c r="E2" s="33"/>
      <c r="F2" s="33"/>
      <c r="G2" s="34"/>
      <c r="H2" s="32" t="s">
        <v>96</v>
      </c>
      <c r="I2" s="33"/>
      <c r="J2" s="33"/>
      <c r="K2" s="34"/>
      <c r="L2" s="153" t="s">
        <v>41</v>
      </c>
      <c r="M2" s="154" t="s">
        <v>89</v>
      </c>
      <c r="N2" s="155" t="s">
        <v>97</v>
      </c>
      <c r="O2" s="156" t="s">
        <v>98</v>
      </c>
      <c r="P2" s="157" t="s">
        <v>99</v>
      </c>
      <c r="Q2" s="158" t="s">
        <v>100</v>
      </c>
      <c r="R2" s="159" t="s">
        <v>101</v>
      </c>
      <c r="S2" s="158" t="s">
        <v>155</v>
      </c>
      <c r="U2" s="17" t="s">
        <v>157</v>
      </c>
      <c r="V2" s="160" t="s">
        <v>99</v>
      </c>
    </row>
    <row r="3" spans="1:22" x14ac:dyDescent="0.3">
      <c r="A3" s="90" t="s">
        <v>90</v>
      </c>
      <c r="B3" s="138">
        <v>45001</v>
      </c>
      <c r="C3" s="89">
        <v>38.875</v>
      </c>
      <c r="D3" s="90">
        <v>43</v>
      </c>
      <c r="E3" s="90">
        <v>41</v>
      </c>
      <c r="F3" s="90">
        <v>30</v>
      </c>
      <c r="G3" s="90">
        <v>32</v>
      </c>
      <c r="H3" s="90">
        <v>46</v>
      </c>
      <c r="I3" s="90">
        <v>46</v>
      </c>
      <c r="J3" s="90">
        <v>37</v>
      </c>
      <c r="K3" s="90">
        <v>36</v>
      </c>
      <c r="L3" s="89">
        <f t="shared" ref="L3:L10" si="0">AVERAGE(D3:K3)</f>
        <v>38.875</v>
      </c>
      <c r="M3" s="161">
        <f t="shared" ref="M3:M10" si="1">L3*10000*5</f>
        <v>1943750</v>
      </c>
      <c r="N3" s="162">
        <f>AVERAGE(M3:M6)</f>
        <v>1854687.5</v>
      </c>
      <c r="O3" s="162">
        <f>_xlfn.STDEV.S(M3:M6)</f>
        <v>92473.954666525795</v>
      </c>
      <c r="P3" s="163">
        <f t="shared" ref="P3:P10" si="2">(M3/2000000)*100</f>
        <v>97.1875</v>
      </c>
      <c r="Q3" s="164">
        <f>AVERAGE(P3:P6)</f>
        <v>92.734375</v>
      </c>
      <c r="R3" s="165">
        <f>STDEV(P3:P6)</f>
        <v>4.6236977333262894</v>
      </c>
      <c r="S3" s="166">
        <f>_xlfn.T.TEST(P3:P6,P7:P10,2,2)</f>
        <v>2.5417277861487873E-3</v>
      </c>
      <c r="U3" s="167" t="s">
        <v>107</v>
      </c>
      <c r="V3" s="168">
        <f>P3</f>
        <v>97.1875</v>
      </c>
    </row>
    <row r="4" spans="1:22" x14ac:dyDescent="0.3">
      <c r="A4" s="90" t="s">
        <v>91</v>
      </c>
      <c r="B4" s="138">
        <v>45001</v>
      </c>
      <c r="C4" s="89">
        <v>38.5</v>
      </c>
      <c r="D4" s="90">
        <v>31</v>
      </c>
      <c r="E4" s="90">
        <v>37</v>
      </c>
      <c r="F4" s="90">
        <v>44</v>
      </c>
      <c r="G4" s="90">
        <v>33</v>
      </c>
      <c r="H4" s="90">
        <v>36</v>
      </c>
      <c r="I4" s="90">
        <v>39</v>
      </c>
      <c r="J4" s="90">
        <v>49</v>
      </c>
      <c r="K4" s="90">
        <v>39</v>
      </c>
      <c r="L4" s="89">
        <f t="shared" si="0"/>
        <v>38.5</v>
      </c>
      <c r="M4" s="161">
        <f t="shared" si="1"/>
        <v>1925000</v>
      </c>
      <c r="N4" s="169"/>
      <c r="O4" s="162"/>
      <c r="P4" s="163">
        <f t="shared" si="2"/>
        <v>96.25</v>
      </c>
      <c r="Q4" s="170"/>
      <c r="R4" s="171"/>
      <c r="S4" s="172"/>
      <c r="U4" s="167"/>
      <c r="V4" s="168">
        <f t="shared" ref="V4:V10" si="3">P4</f>
        <v>96.25</v>
      </c>
    </row>
    <row r="5" spans="1:22" x14ac:dyDescent="0.3">
      <c r="A5" s="90" t="s">
        <v>102</v>
      </c>
      <c r="B5" s="138">
        <v>45407</v>
      </c>
      <c r="C5" s="89">
        <v>35.375</v>
      </c>
      <c r="D5" s="90">
        <v>45</v>
      </c>
      <c r="E5" s="90">
        <v>30</v>
      </c>
      <c r="F5" s="90">
        <v>32</v>
      </c>
      <c r="G5" s="90">
        <v>26</v>
      </c>
      <c r="H5" s="90">
        <v>52</v>
      </c>
      <c r="I5" s="90">
        <v>34</v>
      </c>
      <c r="J5" s="149">
        <v>34</v>
      </c>
      <c r="K5" s="149">
        <v>30</v>
      </c>
      <c r="L5" s="89">
        <f t="shared" si="0"/>
        <v>35.375</v>
      </c>
      <c r="M5" s="161">
        <f t="shared" si="1"/>
        <v>1768750</v>
      </c>
      <c r="N5" s="169"/>
      <c r="O5" s="162"/>
      <c r="P5" s="163">
        <f t="shared" si="2"/>
        <v>88.4375</v>
      </c>
      <c r="Q5" s="170"/>
      <c r="R5" s="171"/>
      <c r="S5" s="172"/>
      <c r="U5" s="167"/>
      <c r="V5" s="168">
        <f t="shared" si="3"/>
        <v>88.4375</v>
      </c>
    </row>
    <row r="6" spans="1:22" x14ac:dyDescent="0.3">
      <c r="A6" s="90" t="s">
        <v>103</v>
      </c>
      <c r="B6" s="138">
        <v>45407</v>
      </c>
      <c r="C6" s="89">
        <v>35.625</v>
      </c>
      <c r="D6" s="90">
        <v>32</v>
      </c>
      <c r="E6" s="90">
        <v>26</v>
      </c>
      <c r="F6" s="90">
        <v>30</v>
      </c>
      <c r="G6" s="90">
        <v>43</v>
      </c>
      <c r="H6" s="90">
        <v>39</v>
      </c>
      <c r="I6" s="90">
        <v>34</v>
      </c>
      <c r="J6" s="149">
        <v>36</v>
      </c>
      <c r="K6" s="149">
        <v>45</v>
      </c>
      <c r="L6" s="89">
        <f t="shared" si="0"/>
        <v>35.625</v>
      </c>
      <c r="M6" s="161">
        <f t="shared" si="1"/>
        <v>1781250</v>
      </c>
      <c r="N6" s="169"/>
      <c r="O6" s="162"/>
      <c r="P6" s="163">
        <f t="shared" si="2"/>
        <v>89.0625</v>
      </c>
      <c r="Q6" s="173"/>
      <c r="R6" s="174"/>
      <c r="S6" s="172"/>
      <c r="U6" s="167"/>
      <c r="V6" s="168">
        <f t="shared" si="3"/>
        <v>89.0625</v>
      </c>
    </row>
    <row r="7" spans="1:22" x14ac:dyDescent="0.3">
      <c r="A7" s="90" t="s">
        <v>92</v>
      </c>
      <c r="B7" s="138">
        <v>45001</v>
      </c>
      <c r="C7" s="89">
        <v>17.625</v>
      </c>
      <c r="D7" s="90">
        <v>22</v>
      </c>
      <c r="E7" s="90">
        <v>22</v>
      </c>
      <c r="F7" s="90">
        <v>11</v>
      </c>
      <c r="G7" s="90">
        <v>11</v>
      </c>
      <c r="H7" s="90">
        <v>25</v>
      </c>
      <c r="I7" s="90">
        <v>26</v>
      </c>
      <c r="J7" s="90">
        <v>12</v>
      </c>
      <c r="K7" s="90">
        <v>12</v>
      </c>
      <c r="L7" s="89">
        <f t="shared" si="0"/>
        <v>17.625</v>
      </c>
      <c r="M7" s="161">
        <f t="shared" si="1"/>
        <v>881250</v>
      </c>
      <c r="N7" s="162">
        <f>AVERAGE(M7:M10)</f>
        <v>1223437.5</v>
      </c>
      <c r="O7" s="162">
        <f>_xlfn.STDEV.S(M7:M10)</f>
        <v>236916.77292177238</v>
      </c>
      <c r="P7" s="163">
        <f t="shared" si="2"/>
        <v>44.0625</v>
      </c>
      <c r="Q7" s="164">
        <f>AVERAGE(P7:P10)</f>
        <v>61.171875</v>
      </c>
      <c r="R7" s="165">
        <f>STDEV(P7:P10)</f>
        <v>11.84583864608862</v>
      </c>
      <c r="S7" s="172"/>
      <c r="U7" s="167" t="s">
        <v>156</v>
      </c>
      <c r="V7" s="168">
        <f t="shared" si="3"/>
        <v>44.0625</v>
      </c>
    </row>
    <row r="8" spans="1:22" x14ac:dyDescent="0.3">
      <c r="A8" s="90" t="s">
        <v>93</v>
      </c>
      <c r="B8" s="138">
        <v>45001</v>
      </c>
      <c r="C8" s="89">
        <v>28.25</v>
      </c>
      <c r="D8" s="90">
        <v>35</v>
      </c>
      <c r="E8" s="90">
        <v>22</v>
      </c>
      <c r="F8" s="90">
        <v>23</v>
      </c>
      <c r="G8" s="90">
        <v>27</v>
      </c>
      <c r="H8" s="90">
        <v>40</v>
      </c>
      <c r="I8" s="90">
        <v>24</v>
      </c>
      <c r="J8" s="90">
        <v>25</v>
      </c>
      <c r="K8" s="90">
        <v>30</v>
      </c>
      <c r="L8" s="89">
        <f t="shared" si="0"/>
        <v>28.25</v>
      </c>
      <c r="M8" s="161">
        <f t="shared" si="1"/>
        <v>1412500</v>
      </c>
      <c r="N8" s="169"/>
      <c r="O8" s="162"/>
      <c r="P8" s="163">
        <f t="shared" si="2"/>
        <v>70.625</v>
      </c>
      <c r="Q8" s="170"/>
      <c r="R8" s="171"/>
      <c r="S8" s="172"/>
      <c r="U8" s="167"/>
      <c r="V8" s="168">
        <f t="shared" si="3"/>
        <v>70.625</v>
      </c>
    </row>
    <row r="9" spans="1:22" x14ac:dyDescent="0.3">
      <c r="A9" s="90" t="s">
        <v>104</v>
      </c>
      <c r="B9" s="138">
        <v>45407</v>
      </c>
      <c r="C9" s="89">
        <v>26.875</v>
      </c>
      <c r="D9" s="90">
        <v>14</v>
      </c>
      <c r="E9" s="90">
        <v>30</v>
      </c>
      <c r="F9" s="90">
        <v>26</v>
      </c>
      <c r="G9" s="90">
        <v>24</v>
      </c>
      <c r="H9" s="149">
        <v>21</v>
      </c>
      <c r="I9" s="149">
        <v>32</v>
      </c>
      <c r="J9" s="149">
        <v>32</v>
      </c>
      <c r="K9" s="149">
        <v>36</v>
      </c>
      <c r="L9" s="89">
        <f t="shared" si="0"/>
        <v>26.875</v>
      </c>
      <c r="M9" s="161">
        <f t="shared" si="1"/>
        <v>1343750</v>
      </c>
      <c r="N9" s="169"/>
      <c r="O9" s="162"/>
      <c r="P9" s="163">
        <f t="shared" si="2"/>
        <v>67.1875</v>
      </c>
      <c r="Q9" s="170"/>
      <c r="R9" s="171"/>
      <c r="S9" s="172"/>
      <c r="U9" s="167"/>
      <c r="V9" s="168">
        <f t="shared" si="3"/>
        <v>67.1875</v>
      </c>
    </row>
    <row r="10" spans="1:22" x14ac:dyDescent="0.3">
      <c r="A10" s="90" t="s">
        <v>105</v>
      </c>
      <c r="B10" s="138">
        <v>45407</v>
      </c>
      <c r="C10" s="89">
        <v>25.125</v>
      </c>
      <c r="D10" s="90">
        <v>24</v>
      </c>
      <c r="E10" s="90">
        <v>19</v>
      </c>
      <c r="F10" s="90">
        <v>18</v>
      </c>
      <c r="G10" s="90">
        <v>17</v>
      </c>
      <c r="H10" s="149">
        <v>33</v>
      </c>
      <c r="I10" s="149">
        <v>37</v>
      </c>
      <c r="J10" s="149">
        <v>29</v>
      </c>
      <c r="K10" s="90">
        <v>24</v>
      </c>
      <c r="L10" s="89">
        <f t="shared" si="0"/>
        <v>25.125</v>
      </c>
      <c r="M10" s="161">
        <f t="shared" si="1"/>
        <v>1256250</v>
      </c>
      <c r="N10" s="169"/>
      <c r="O10" s="162"/>
      <c r="P10" s="163">
        <f t="shared" si="2"/>
        <v>62.812500000000007</v>
      </c>
      <c r="Q10" s="173"/>
      <c r="R10" s="174"/>
      <c r="S10" s="175"/>
      <c r="U10" s="167"/>
      <c r="V10" s="168">
        <f t="shared" si="3"/>
        <v>62.812500000000007</v>
      </c>
    </row>
    <row r="12" spans="1:22" x14ac:dyDescent="0.3">
      <c r="A12" s="176" t="s">
        <v>106</v>
      </c>
      <c r="B12" s="176"/>
      <c r="P12" s="95"/>
    </row>
    <row r="13" spans="1:22" x14ac:dyDescent="0.3">
      <c r="A13" s="5" t="s">
        <v>107</v>
      </c>
    </row>
    <row r="14" spans="1:22" x14ac:dyDescent="0.3">
      <c r="A14" s="5" t="s">
        <v>158</v>
      </c>
    </row>
  </sheetData>
  <mergeCells count="11">
    <mergeCell ref="U7:U10"/>
    <mergeCell ref="U3:U6"/>
    <mergeCell ref="U1:V1"/>
    <mergeCell ref="D2:G2"/>
    <mergeCell ref="H2:K2"/>
    <mergeCell ref="A1:S1"/>
    <mergeCell ref="Q3:Q6"/>
    <mergeCell ref="R3:R6"/>
    <mergeCell ref="S3:S10"/>
    <mergeCell ref="Q7:Q10"/>
    <mergeCell ref="R7:R1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FA03B-8FA7-47FD-8747-7D0C4CEE6637}">
  <sheetPr>
    <tabColor rgb="FF92D050"/>
  </sheetPr>
  <dimension ref="A1:W35"/>
  <sheetViews>
    <sheetView topLeftCell="D1" zoomScale="88" zoomScaleNormal="88" workbookViewId="0">
      <selection activeCell="U1" sqref="U1:W1"/>
    </sheetView>
  </sheetViews>
  <sheetFormatPr defaultColWidth="11.44140625" defaultRowHeight="14.4" x14ac:dyDescent="0.3"/>
  <cols>
    <col min="1" max="1" width="17.5546875" style="5" bestFit="1" customWidth="1"/>
    <col min="2" max="13" width="11.44140625" style="5"/>
    <col min="14" max="14" width="13.44140625" style="5" bestFit="1" customWidth="1"/>
    <col min="15" max="15" width="17.109375" style="9" customWidth="1"/>
    <col min="16" max="16" width="5.109375" style="136" customWidth="1"/>
    <col min="17" max="16384" width="11.44140625" style="5"/>
  </cols>
  <sheetData>
    <row r="1" spans="1:23" ht="18" x14ac:dyDescent="0.35">
      <c r="A1" s="183" t="s">
        <v>160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U1" s="183" t="s">
        <v>160</v>
      </c>
      <c r="V1" s="183"/>
      <c r="W1" s="183"/>
    </row>
    <row r="2" spans="1:23" ht="43.2" customHeight="1" x14ac:dyDescent="0.3">
      <c r="A2" s="38" t="s">
        <v>108</v>
      </c>
      <c r="B2" s="38" t="s">
        <v>161</v>
      </c>
      <c r="C2" s="38" t="s">
        <v>3</v>
      </c>
      <c r="D2" s="32" t="s">
        <v>109</v>
      </c>
      <c r="E2" s="33"/>
      <c r="F2" s="33"/>
      <c r="G2" s="34"/>
      <c r="H2" s="32" t="s">
        <v>110</v>
      </c>
      <c r="I2" s="33"/>
      <c r="J2" s="33"/>
      <c r="K2" s="34"/>
      <c r="L2" s="38" t="s">
        <v>41</v>
      </c>
      <c r="M2" s="38" t="s">
        <v>111</v>
      </c>
      <c r="N2" s="38" t="s">
        <v>89</v>
      </c>
      <c r="O2" s="18" t="s">
        <v>112</v>
      </c>
      <c r="Q2" s="137"/>
      <c r="R2" s="16" t="s">
        <v>41</v>
      </c>
      <c r="S2" s="16" t="s">
        <v>113</v>
      </c>
      <c r="V2" s="189" t="s">
        <v>162</v>
      </c>
      <c r="W2" s="189"/>
    </row>
    <row r="3" spans="1:23" x14ac:dyDescent="0.3">
      <c r="A3" s="90" t="s">
        <v>114</v>
      </c>
      <c r="B3" s="90" t="s">
        <v>115</v>
      </c>
      <c r="C3" s="138">
        <v>45407</v>
      </c>
      <c r="D3" s="2"/>
      <c r="E3" s="3"/>
      <c r="F3" s="3"/>
      <c r="G3" s="4"/>
      <c r="H3" s="2"/>
      <c r="I3" s="3"/>
      <c r="J3" s="3"/>
      <c r="K3" s="4"/>
      <c r="L3" s="188"/>
      <c r="M3" s="90"/>
      <c r="N3" s="15">
        <v>112500</v>
      </c>
      <c r="O3" s="139"/>
      <c r="Q3" s="137"/>
      <c r="R3" s="15"/>
      <c r="S3" s="15"/>
      <c r="U3" s="17" t="s">
        <v>157</v>
      </c>
      <c r="V3" s="168" t="s">
        <v>118</v>
      </c>
      <c r="W3" s="100" t="s">
        <v>120</v>
      </c>
    </row>
    <row r="4" spans="1:23" x14ac:dyDescent="0.3">
      <c r="A4" s="90" t="s">
        <v>116</v>
      </c>
      <c r="B4" s="90" t="s">
        <v>115</v>
      </c>
      <c r="C4" s="138">
        <v>45407</v>
      </c>
      <c r="D4" s="2"/>
      <c r="E4" s="3"/>
      <c r="F4" s="3"/>
      <c r="G4" s="4"/>
      <c r="H4" s="2"/>
      <c r="I4" s="3"/>
      <c r="J4" s="3"/>
      <c r="K4" s="4"/>
      <c r="L4" s="188"/>
      <c r="M4" s="90"/>
      <c r="N4" s="15">
        <v>112500</v>
      </c>
      <c r="O4" s="139"/>
      <c r="Q4" s="137"/>
      <c r="R4" s="15"/>
      <c r="S4" s="15"/>
      <c r="U4" s="167" t="s">
        <v>107</v>
      </c>
      <c r="V4" s="196">
        <f>O8</f>
        <v>138.88888888888889</v>
      </c>
      <c r="W4" s="101">
        <f>O9</f>
        <v>494.44444444444446</v>
      </c>
    </row>
    <row r="5" spans="1:23" x14ac:dyDescent="0.3">
      <c r="A5" s="90"/>
      <c r="B5" s="90"/>
      <c r="C5" s="90"/>
      <c r="D5" s="2"/>
      <c r="E5" s="3"/>
      <c r="F5" s="3"/>
      <c r="G5" s="4"/>
      <c r="H5" s="2"/>
      <c r="I5" s="3"/>
      <c r="J5" s="3"/>
      <c r="K5" s="4"/>
      <c r="L5" s="188"/>
      <c r="M5" s="90"/>
      <c r="N5" s="15"/>
      <c r="O5" s="139"/>
      <c r="Q5" s="137"/>
      <c r="R5" s="15"/>
      <c r="S5" s="15"/>
      <c r="U5" s="167"/>
      <c r="V5" s="197"/>
      <c r="W5" s="101">
        <f>O10</f>
        <v>627.77777777777771</v>
      </c>
    </row>
    <row r="6" spans="1:23" x14ac:dyDescent="0.3">
      <c r="A6" s="90"/>
      <c r="B6" s="90"/>
      <c r="C6" s="138"/>
      <c r="D6" s="90"/>
      <c r="E6" s="90"/>
      <c r="F6" s="90"/>
      <c r="G6" s="90"/>
      <c r="H6" s="90"/>
      <c r="I6" s="90"/>
      <c r="J6" s="90"/>
      <c r="K6" s="90"/>
      <c r="L6" s="90"/>
      <c r="M6" s="90"/>
      <c r="N6" s="16"/>
      <c r="O6" s="192"/>
      <c r="Q6" s="140"/>
      <c r="R6" s="16"/>
      <c r="S6" s="16"/>
      <c r="U6" s="167"/>
      <c r="V6" s="196">
        <f>O13</f>
        <v>100</v>
      </c>
      <c r="W6" s="101">
        <f>O14</f>
        <v>894.44444444444446</v>
      </c>
    </row>
    <row r="7" spans="1:23" x14ac:dyDescent="0.3">
      <c r="A7" s="90"/>
      <c r="B7" s="90"/>
      <c r="C7" s="138"/>
      <c r="D7" s="90"/>
      <c r="E7" s="90"/>
      <c r="F7" s="90"/>
      <c r="G7" s="90"/>
      <c r="H7" s="90"/>
      <c r="I7" s="90"/>
      <c r="J7" s="90"/>
      <c r="K7" s="90"/>
      <c r="L7" s="90"/>
      <c r="M7" s="90"/>
      <c r="N7" s="16"/>
      <c r="O7" s="192"/>
      <c r="Q7" s="141"/>
      <c r="R7" s="90"/>
      <c r="S7" s="90"/>
      <c r="U7" s="167"/>
      <c r="V7" s="197"/>
      <c r="W7" s="101">
        <f>O15</f>
        <v>722.22222222222229</v>
      </c>
    </row>
    <row r="8" spans="1:23" x14ac:dyDescent="0.3">
      <c r="A8" s="90" t="s">
        <v>117</v>
      </c>
      <c r="B8" s="90" t="s">
        <v>118</v>
      </c>
      <c r="C8" s="138">
        <v>45418</v>
      </c>
      <c r="D8" s="90">
        <v>2</v>
      </c>
      <c r="E8" s="90">
        <v>5</v>
      </c>
      <c r="F8" s="90">
        <v>4</v>
      </c>
      <c r="G8" s="90">
        <v>8</v>
      </c>
      <c r="H8" s="90">
        <v>3</v>
      </c>
      <c r="I8" s="90">
        <v>6</v>
      </c>
      <c r="J8" s="90">
        <v>6</v>
      </c>
      <c r="K8" s="90">
        <v>9</v>
      </c>
      <c r="L8" s="90">
        <f>AVERAGE(D8:K8)</f>
        <v>5.375</v>
      </c>
      <c r="M8" s="90">
        <v>5</v>
      </c>
      <c r="N8" s="15">
        <f>L8*10000*5</f>
        <v>268750</v>
      </c>
      <c r="O8" s="193">
        <f>((N8-$N$3)/$N$3)*100</f>
        <v>138.88888888888889</v>
      </c>
      <c r="Q8" s="142" t="s">
        <v>119</v>
      </c>
      <c r="R8" s="12">
        <f>AVERAGE(O8,O13)</f>
        <v>119.44444444444444</v>
      </c>
      <c r="S8" s="12">
        <f>STDEVA(O8,O13)</f>
        <v>27.498597046143512</v>
      </c>
      <c r="U8" s="167" t="s">
        <v>156</v>
      </c>
      <c r="V8" s="196">
        <f>O18</f>
        <v>100</v>
      </c>
      <c r="W8" s="101">
        <f>O19</f>
        <v>322.22222222222223</v>
      </c>
    </row>
    <row r="9" spans="1:23" x14ac:dyDescent="0.3">
      <c r="A9" s="90" t="s">
        <v>117</v>
      </c>
      <c r="B9" s="90" t="s">
        <v>120</v>
      </c>
      <c r="C9" s="138">
        <v>45425</v>
      </c>
      <c r="D9" s="90">
        <v>11</v>
      </c>
      <c r="E9" s="90">
        <v>17</v>
      </c>
      <c r="F9" s="90">
        <v>13</v>
      </c>
      <c r="G9" s="90">
        <v>16</v>
      </c>
      <c r="H9" s="90">
        <v>9</v>
      </c>
      <c r="I9" s="90">
        <v>10</v>
      </c>
      <c r="J9" s="90">
        <v>16</v>
      </c>
      <c r="K9" s="90">
        <v>15</v>
      </c>
      <c r="L9" s="90">
        <f>AVERAGE(D9:K9)</f>
        <v>13.375</v>
      </c>
      <c r="M9" s="90"/>
      <c r="N9" s="16">
        <f>L9*10000*5</f>
        <v>668750</v>
      </c>
      <c r="O9" s="194">
        <f>((N9-$N$3)/$N$3)*100</f>
        <v>494.44444444444446</v>
      </c>
      <c r="Q9" s="142" t="s">
        <v>121</v>
      </c>
      <c r="R9" s="12">
        <f>AVERAGE(O9:O10,O14:O15)</f>
        <v>684.72222222222217</v>
      </c>
      <c r="S9" s="12">
        <f>STDEVA(O9:O10,O14:O15)</f>
        <v>168.16456519628142</v>
      </c>
      <c r="U9" s="167"/>
      <c r="V9" s="197"/>
      <c r="W9" s="101">
        <f>O20</f>
        <v>477.77777777777777</v>
      </c>
    </row>
    <row r="10" spans="1:23" x14ac:dyDescent="0.3">
      <c r="A10" s="90" t="s">
        <v>117</v>
      </c>
      <c r="B10" s="90" t="s">
        <v>120</v>
      </c>
      <c r="C10" s="138">
        <v>45425</v>
      </c>
      <c r="D10" s="90">
        <v>25</v>
      </c>
      <c r="E10" s="90">
        <v>19</v>
      </c>
      <c r="F10" s="90">
        <v>18</v>
      </c>
      <c r="G10" s="90">
        <v>7</v>
      </c>
      <c r="H10" s="90">
        <v>22</v>
      </c>
      <c r="I10" s="90">
        <v>16</v>
      </c>
      <c r="J10" s="90">
        <v>17</v>
      </c>
      <c r="K10" s="90">
        <v>7</v>
      </c>
      <c r="L10" s="90">
        <f>AVERAGE(D10:K10)</f>
        <v>16.375</v>
      </c>
      <c r="M10" s="90"/>
      <c r="N10" s="16">
        <f>L10*10000*5</f>
        <v>818750</v>
      </c>
      <c r="O10" s="194">
        <f>((N10-$N$3)/$N$3)*100</f>
        <v>627.77777777777771</v>
      </c>
      <c r="Q10" s="143"/>
      <c r="R10" s="12"/>
      <c r="S10" s="12"/>
      <c r="U10" s="167"/>
      <c r="V10" s="196">
        <f>O23</f>
        <v>38.888888888888893</v>
      </c>
      <c r="W10" s="101">
        <f>O24</f>
        <v>233.33333333333334</v>
      </c>
    </row>
    <row r="11" spans="1:23" x14ac:dyDescent="0.3">
      <c r="A11" s="90"/>
      <c r="B11" s="90"/>
      <c r="C11" s="138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16"/>
      <c r="O11" s="192"/>
      <c r="Q11" s="140"/>
      <c r="R11" s="16"/>
      <c r="S11" s="16"/>
      <c r="U11" s="167"/>
      <c r="V11" s="197"/>
      <c r="W11" s="101">
        <f>O25</f>
        <v>194.44444444444443</v>
      </c>
    </row>
    <row r="12" spans="1:23" x14ac:dyDescent="0.3">
      <c r="A12" s="90"/>
      <c r="B12" s="90"/>
      <c r="C12" s="138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16"/>
      <c r="O12" s="192"/>
      <c r="Q12" s="140"/>
      <c r="R12" s="16"/>
      <c r="S12" s="16"/>
    </row>
    <row r="13" spans="1:23" x14ac:dyDescent="0.3">
      <c r="A13" s="90" t="s">
        <v>122</v>
      </c>
      <c r="B13" s="90" t="s">
        <v>118</v>
      </c>
      <c r="C13" s="138">
        <v>45418</v>
      </c>
      <c r="D13" s="90">
        <v>3</v>
      </c>
      <c r="E13" s="90">
        <v>4</v>
      </c>
      <c r="F13" s="90">
        <v>2</v>
      </c>
      <c r="G13" s="90">
        <v>7</v>
      </c>
      <c r="H13" s="90">
        <v>3</v>
      </c>
      <c r="I13" s="90">
        <v>5</v>
      </c>
      <c r="J13" s="90">
        <v>4</v>
      </c>
      <c r="K13" s="90">
        <v>8</v>
      </c>
      <c r="L13" s="90">
        <f>AVERAGE(D13:K13)</f>
        <v>4.5</v>
      </c>
      <c r="M13" s="90">
        <v>5</v>
      </c>
      <c r="N13" s="16">
        <f>L13*10000*5</f>
        <v>225000</v>
      </c>
      <c r="O13" s="193">
        <f>((N13-$N$3)/$N$3)*100</f>
        <v>100</v>
      </c>
      <c r="Q13" s="143"/>
      <c r="R13" s="12"/>
      <c r="S13" s="12"/>
    </row>
    <row r="14" spans="1:23" x14ac:dyDescent="0.3">
      <c r="A14" s="90" t="s">
        <v>122</v>
      </c>
      <c r="B14" s="90" t="s">
        <v>120</v>
      </c>
      <c r="C14" s="138">
        <v>45425</v>
      </c>
      <c r="D14" s="90">
        <v>21</v>
      </c>
      <c r="E14" s="90">
        <v>25</v>
      </c>
      <c r="F14" s="90">
        <v>22</v>
      </c>
      <c r="G14" s="90">
        <v>21</v>
      </c>
      <c r="H14" s="90">
        <v>20</v>
      </c>
      <c r="I14" s="90">
        <v>27</v>
      </c>
      <c r="J14" s="90">
        <v>26</v>
      </c>
      <c r="K14" s="90">
        <v>17</v>
      </c>
      <c r="L14" s="90">
        <f>AVERAGE(D14:K14)</f>
        <v>22.375</v>
      </c>
      <c r="M14" s="90"/>
      <c r="N14" s="16">
        <f>L14*10000*5</f>
        <v>1118750</v>
      </c>
      <c r="O14" s="194">
        <f>((N14-$N$3)/$N$3)*100</f>
        <v>894.44444444444446</v>
      </c>
      <c r="Q14" s="143"/>
      <c r="R14" s="12"/>
      <c r="S14" s="12"/>
    </row>
    <row r="15" spans="1:23" x14ac:dyDescent="0.3">
      <c r="A15" s="90" t="s">
        <v>122</v>
      </c>
      <c r="B15" s="90" t="s">
        <v>120</v>
      </c>
      <c r="C15" s="138">
        <v>45425</v>
      </c>
      <c r="D15" s="90">
        <v>20</v>
      </c>
      <c r="E15" s="90">
        <v>21</v>
      </c>
      <c r="F15" s="90">
        <v>15</v>
      </c>
      <c r="G15" s="90">
        <v>18</v>
      </c>
      <c r="H15" s="90">
        <v>21</v>
      </c>
      <c r="I15" s="90">
        <v>23</v>
      </c>
      <c r="J15" s="90">
        <v>13</v>
      </c>
      <c r="K15" s="90">
        <v>17</v>
      </c>
      <c r="L15" s="90">
        <f>AVERAGE(D15:K15)</f>
        <v>18.5</v>
      </c>
      <c r="M15" s="90"/>
      <c r="N15" s="16">
        <f>L15*10000*5</f>
        <v>925000</v>
      </c>
      <c r="O15" s="194">
        <f>((N15-$N$3)/$N$3)*100</f>
        <v>722.22222222222229</v>
      </c>
      <c r="Q15" s="143"/>
      <c r="R15" s="12"/>
      <c r="S15" s="12"/>
    </row>
    <row r="16" spans="1:23" x14ac:dyDescent="0.3">
      <c r="A16" s="144"/>
      <c r="B16" s="145"/>
      <c r="C16" s="146"/>
      <c r="D16" s="144"/>
      <c r="E16" s="144"/>
      <c r="F16" s="144"/>
      <c r="G16" s="144"/>
      <c r="H16" s="144"/>
      <c r="I16" s="144"/>
      <c r="J16" s="144"/>
      <c r="K16" s="144"/>
      <c r="L16" s="145"/>
      <c r="M16" s="90"/>
      <c r="N16" s="152"/>
      <c r="O16" s="195"/>
      <c r="Q16" s="148"/>
      <c r="R16" s="147"/>
      <c r="S16" s="147"/>
    </row>
    <row r="17" spans="1:19" x14ac:dyDescent="0.3">
      <c r="A17" s="144"/>
      <c r="B17" s="145"/>
      <c r="C17" s="146"/>
      <c r="D17" s="144"/>
      <c r="E17" s="144"/>
      <c r="F17" s="144"/>
      <c r="G17" s="144"/>
      <c r="H17" s="144"/>
      <c r="I17" s="144"/>
      <c r="J17" s="144"/>
      <c r="K17" s="144"/>
      <c r="L17" s="145"/>
      <c r="M17" s="145"/>
      <c r="N17" s="152"/>
      <c r="O17" s="195"/>
      <c r="Q17" s="141"/>
      <c r="R17" s="16"/>
      <c r="S17" s="16"/>
    </row>
    <row r="18" spans="1:19" x14ac:dyDescent="0.3">
      <c r="A18" s="149" t="s">
        <v>123</v>
      </c>
      <c r="B18" s="149" t="s">
        <v>118</v>
      </c>
      <c r="C18" s="150">
        <v>45418</v>
      </c>
      <c r="D18" s="149">
        <v>2</v>
      </c>
      <c r="E18" s="149">
        <v>6</v>
      </c>
      <c r="F18" s="149">
        <v>6</v>
      </c>
      <c r="G18" s="149">
        <v>5</v>
      </c>
      <c r="H18" s="149">
        <v>2</v>
      </c>
      <c r="I18" s="149">
        <v>5</v>
      </c>
      <c r="J18" s="149">
        <v>6</v>
      </c>
      <c r="K18" s="149">
        <v>4</v>
      </c>
      <c r="L18" s="149">
        <f>AVERAGE(D18:K18)</f>
        <v>4.5</v>
      </c>
      <c r="M18" s="149">
        <v>5</v>
      </c>
      <c r="N18" s="151">
        <f>L18*10000*5</f>
        <v>225000</v>
      </c>
      <c r="O18" s="193">
        <f>((N18-$N$3)/$N$3)*100</f>
        <v>100</v>
      </c>
      <c r="Q18" s="142" t="s">
        <v>119</v>
      </c>
      <c r="R18" s="12">
        <f>AVERAGE(O18,O23)</f>
        <v>69.444444444444443</v>
      </c>
      <c r="S18" s="12">
        <f>STDEVA(O18,O23)</f>
        <v>43.212081072511239</v>
      </c>
    </row>
    <row r="19" spans="1:19" x14ac:dyDescent="0.3">
      <c r="A19" s="149" t="s">
        <v>123</v>
      </c>
      <c r="B19" s="149" t="s">
        <v>120</v>
      </c>
      <c r="C19" s="150">
        <v>45425</v>
      </c>
      <c r="D19" s="149">
        <v>14</v>
      </c>
      <c r="E19" s="149">
        <v>10</v>
      </c>
      <c r="F19" s="149">
        <v>9</v>
      </c>
      <c r="G19" s="149">
        <v>5</v>
      </c>
      <c r="H19" s="149">
        <v>12</v>
      </c>
      <c r="I19" s="149">
        <v>12</v>
      </c>
      <c r="J19" s="149">
        <v>9</v>
      </c>
      <c r="K19" s="149">
        <v>5</v>
      </c>
      <c r="L19" s="149">
        <f>AVERAGE(D19:K19)</f>
        <v>9.5</v>
      </c>
      <c r="M19" s="145"/>
      <c r="N19" s="151">
        <f>L19*10000*5</f>
        <v>475000</v>
      </c>
      <c r="O19" s="194">
        <f>((N19-$N$3)/$N$3)*100</f>
        <v>322.22222222222223</v>
      </c>
      <c r="Q19" s="142" t="s">
        <v>121</v>
      </c>
      <c r="R19" s="12">
        <f>AVERAGE(O19:O20,O24:O25)</f>
        <v>306.9444444444444</v>
      </c>
      <c r="S19" s="12">
        <f>STDEVA(O19:O20,O24:O25)</f>
        <v>125.82035334902089</v>
      </c>
    </row>
    <row r="20" spans="1:19" x14ac:dyDescent="0.3">
      <c r="A20" s="149" t="s">
        <v>123</v>
      </c>
      <c r="B20" s="149" t="s">
        <v>120</v>
      </c>
      <c r="C20" s="150">
        <v>45425</v>
      </c>
      <c r="D20" s="149">
        <v>20</v>
      </c>
      <c r="E20" s="149">
        <v>13</v>
      </c>
      <c r="F20" s="149">
        <v>10</v>
      </c>
      <c r="G20" s="149">
        <v>13</v>
      </c>
      <c r="H20" s="149">
        <v>16</v>
      </c>
      <c r="I20" s="149">
        <v>13</v>
      </c>
      <c r="J20" s="149">
        <v>7</v>
      </c>
      <c r="K20" s="149">
        <v>12</v>
      </c>
      <c r="L20" s="149">
        <f>AVERAGE(D20:K20)</f>
        <v>13</v>
      </c>
      <c r="M20" s="145"/>
      <c r="N20" s="151">
        <f>L20*10000*5</f>
        <v>650000</v>
      </c>
      <c r="O20" s="194">
        <f>((N20-$N$3)/$N$3)*100</f>
        <v>477.77777777777777</v>
      </c>
      <c r="Q20" s="140"/>
      <c r="R20" s="152"/>
      <c r="S20" s="152"/>
    </row>
    <row r="21" spans="1:19" x14ac:dyDescent="0.3">
      <c r="A21" s="90"/>
      <c r="B21" s="90"/>
      <c r="C21" s="138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16"/>
      <c r="O21" s="192"/>
      <c r="Q21" s="140"/>
      <c r="R21" s="16"/>
      <c r="S21" s="16"/>
    </row>
    <row r="22" spans="1:19" x14ac:dyDescent="0.3">
      <c r="A22" s="90"/>
      <c r="B22" s="90"/>
      <c r="C22" s="138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16"/>
      <c r="O22" s="192"/>
      <c r="Q22" s="140"/>
      <c r="R22" s="16"/>
      <c r="S22" s="16"/>
    </row>
    <row r="23" spans="1:19" x14ac:dyDescent="0.3">
      <c r="A23" s="90" t="s">
        <v>124</v>
      </c>
      <c r="B23" s="90" t="s">
        <v>118</v>
      </c>
      <c r="C23" s="138">
        <v>45418</v>
      </c>
      <c r="D23" s="90">
        <v>4</v>
      </c>
      <c r="E23" s="90">
        <v>4</v>
      </c>
      <c r="F23" s="90">
        <v>3</v>
      </c>
      <c r="G23" s="90">
        <v>2</v>
      </c>
      <c r="H23" s="90">
        <v>4</v>
      </c>
      <c r="I23" s="90">
        <v>4</v>
      </c>
      <c r="J23" s="90">
        <v>3</v>
      </c>
      <c r="K23" s="90">
        <v>1</v>
      </c>
      <c r="L23" s="90">
        <f>AVERAGE(D23:K23)</f>
        <v>3.125</v>
      </c>
      <c r="M23" s="90">
        <v>5</v>
      </c>
      <c r="N23" s="16">
        <f>L23*10000*5</f>
        <v>156250</v>
      </c>
      <c r="O23" s="193">
        <f>((N23-$N$3)/$N$3)*100</f>
        <v>38.888888888888893</v>
      </c>
      <c r="Q23" s="140"/>
      <c r="R23" s="16"/>
      <c r="S23" s="16"/>
    </row>
    <row r="24" spans="1:19" x14ac:dyDescent="0.3">
      <c r="A24" s="90" t="s">
        <v>124</v>
      </c>
      <c r="B24" s="90" t="s">
        <v>120</v>
      </c>
      <c r="C24" s="138">
        <v>45425</v>
      </c>
      <c r="D24" s="90">
        <v>11</v>
      </c>
      <c r="E24" s="90">
        <v>6</v>
      </c>
      <c r="F24" s="90">
        <v>12</v>
      </c>
      <c r="G24" s="90">
        <v>3</v>
      </c>
      <c r="H24" s="90">
        <v>10</v>
      </c>
      <c r="I24" s="90">
        <v>4</v>
      </c>
      <c r="J24" s="90">
        <v>10</v>
      </c>
      <c r="K24" s="90">
        <v>4</v>
      </c>
      <c r="L24" s="90">
        <f>AVERAGE(D24:K24)</f>
        <v>7.5</v>
      </c>
      <c r="M24" s="90"/>
      <c r="N24" s="16">
        <f>L24*10000*5</f>
        <v>375000</v>
      </c>
      <c r="O24" s="194">
        <f>((N24-$N$3)/$N$3)*100</f>
        <v>233.33333333333334</v>
      </c>
      <c r="Q24" s="140"/>
      <c r="R24" s="16"/>
      <c r="S24" s="16"/>
    </row>
    <row r="25" spans="1:19" x14ac:dyDescent="0.3">
      <c r="A25" s="90" t="s">
        <v>124</v>
      </c>
      <c r="B25" s="90" t="s">
        <v>120</v>
      </c>
      <c r="C25" s="138">
        <v>45425</v>
      </c>
      <c r="D25" s="90">
        <v>8</v>
      </c>
      <c r="E25" s="90">
        <v>10</v>
      </c>
      <c r="F25" s="90">
        <v>4</v>
      </c>
      <c r="G25" s="90">
        <v>8</v>
      </c>
      <c r="H25" s="90">
        <v>8</v>
      </c>
      <c r="I25" s="90">
        <v>7</v>
      </c>
      <c r="J25" s="90">
        <v>2</v>
      </c>
      <c r="K25" s="90">
        <v>6</v>
      </c>
      <c r="L25" s="90">
        <f>AVERAGE(D25:K25)</f>
        <v>6.625</v>
      </c>
      <c r="M25" s="90"/>
      <c r="N25" s="16">
        <f>L25*10000*5</f>
        <v>331250</v>
      </c>
      <c r="O25" s="194">
        <f>((N25-$N$3)/$N$3)*100</f>
        <v>194.44444444444443</v>
      </c>
      <c r="Q25" s="140"/>
      <c r="R25" s="16"/>
      <c r="S25" s="16"/>
    </row>
    <row r="26" spans="1:19" x14ac:dyDescent="0.3">
      <c r="O26" s="195"/>
    </row>
    <row r="27" spans="1:19" x14ac:dyDescent="0.3">
      <c r="A27" s="5" t="s">
        <v>107</v>
      </c>
      <c r="O27" s="95"/>
    </row>
    <row r="28" spans="1:19" x14ac:dyDescent="0.3">
      <c r="A28" s="5" t="s">
        <v>158</v>
      </c>
    </row>
    <row r="31" spans="1:19" x14ac:dyDescent="0.3">
      <c r="A31" s="90"/>
      <c r="B31" s="90" t="s">
        <v>107</v>
      </c>
      <c r="C31" s="90" t="s">
        <v>158</v>
      </c>
      <c r="D31" s="90" t="s">
        <v>155</v>
      </c>
    </row>
    <row r="32" spans="1:19" x14ac:dyDescent="0.3">
      <c r="A32" s="90" t="s">
        <v>120</v>
      </c>
      <c r="B32" s="12">
        <v>494.44444444444446</v>
      </c>
      <c r="C32" s="12">
        <v>322.22222222222223</v>
      </c>
      <c r="D32" s="90">
        <f>_xlfn.T.TEST(B32:B35,C32:C35,2,2)</f>
        <v>1.1401058759744625E-2</v>
      </c>
    </row>
    <row r="33" spans="1:4" x14ac:dyDescent="0.3">
      <c r="A33" s="90"/>
      <c r="B33" s="12">
        <v>627.77777777777771</v>
      </c>
      <c r="C33" s="12">
        <v>477.77777777777777</v>
      </c>
      <c r="D33" s="90"/>
    </row>
    <row r="34" spans="1:4" x14ac:dyDescent="0.3">
      <c r="A34" s="90"/>
      <c r="B34" s="12">
        <v>894.44444444444446</v>
      </c>
      <c r="C34" s="12">
        <v>233.33333333333334</v>
      </c>
      <c r="D34" s="90"/>
    </row>
    <row r="35" spans="1:4" x14ac:dyDescent="0.3">
      <c r="A35" s="90"/>
      <c r="B35" s="12">
        <v>722.22222222222229</v>
      </c>
      <c r="C35" s="12">
        <v>194.44444444444443</v>
      </c>
      <c r="D35" s="90"/>
    </row>
  </sheetData>
  <mergeCells count="11">
    <mergeCell ref="U8:U11"/>
    <mergeCell ref="V2:W2"/>
    <mergeCell ref="V4:V5"/>
    <mergeCell ref="V6:V7"/>
    <mergeCell ref="V8:V9"/>
    <mergeCell ref="V10:V11"/>
    <mergeCell ref="D2:G2"/>
    <mergeCell ref="H2:K2"/>
    <mergeCell ref="A1:S1"/>
    <mergeCell ref="U4:U7"/>
    <mergeCell ref="U1:W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B708-F115-46A4-B95C-903BBBF858FE}">
  <sheetPr>
    <tabColor rgb="FF92D050"/>
  </sheetPr>
  <dimension ref="A1:C8"/>
  <sheetViews>
    <sheetView workbookViewId="0">
      <selection sqref="A1:C1"/>
    </sheetView>
  </sheetViews>
  <sheetFormatPr defaultColWidth="9.109375" defaultRowHeight="14.4" x14ac:dyDescent="0.3"/>
  <cols>
    <col min="1" max="1" width="10.5546875" style="5" bestFit="1" customWidth="1"/>
    <col min="2" max="2" width="11.6640625" style="5" bestFit="1" customWidth="1"/>
    <col min="3" max="3" width="25.44140625" style="5" bestFit="1" customWidth="1"/>
    <col min="4" max="16384" width="9.109375" style="5"/>
  </cols>
  <sheetData>
    <row r="1" spans="1:3" ht="18" x14ac:dyDescent="0.35">
      <c r="A1" s="183" t="s">
        <v>168</v>
      </c>
      <c r="B1" s="183"/>
      <c r="C1" s="183"/>
    </row>
    <row r="2" spans="1:3" x14ac:dyDescent="0.3">
      <c r="B2" s="198" t="s">
        <v>125</v>
      </c>
      <c r="C2" s="198" t="s">
        <v>126</v>
      </c>
    </row>
    <row r="3" spans="1:3" x14ac:dyDescent="0.3">
      <c r="A3" s="100" t="s">
        <v>127</v>
      </c>
      <c r="B3" s="100">
        <v>97.1</v>
      </c>
      <c r="C3" s="100">
        <f>B3/$B$3</f>
        <v>1</v>
      </c>
    </row>
    <row r="4" spans="1:3" x14ac:dyDescent="0.3">
      <c r="A4" s="100" t="s">
        <v>163</v>
      </c>
      <c r="B4" s="100">
        <v>96.6</v>
      </c>
      <c r="C4" s="100">
        <f>B4/$B$3</f>
        <v>0.99485066941297629</v>
      </c>
    </row>
    <row r="5" spans="1:3" x14ac:dyDescent="0.3">
      <c r="A5" s="100" t="s">
        <v>164</v>
      </c>
      <c r="B5" s="100">
        <v>92.3</v>
      </c>
      <c r="C5" s="100">
        <f>B5/$B$3</f>
        <v>0.95056642636457267</v>
      </c>
    </row>
    <row r="6" spans="1:3" x14ac:dyDescent="0.3">
      <c r="A6" s="100" t="s">
        <v>165</v>
      </c>
      <c r="B6" s="100">
        <v>88.1</v>
      </c>
      <c r="C6" s="100">
        <f>B6/$B$3</f>
        <v>0.90731204943357358</v>
      </c>
    </row>
    <row r="7" spans="1:3" x14ac:dyDescent="0.3">
      <c r="A7" s="100" t="s">
        <v>166</v>
      </c>
      <c r="B7" s="100">
        <v>81</v>
      </c>
      <c r="C7" s="100">
        <f>B7/$B$3</f>
        <v>0.83419155509783738</v>
      </c>
    </row>
    <row r="8" spans="1:3" x14ac:dyDescent="0.3">
      <c r="A8" s="100" t="s">
        <v>167</v>
      </c>
      <c r="B8" s="100">
        <v>81.06</v>
      </c>
      <c r="C8" s="100">
        <f>B8/$B$3</f>
        <v>0.83480947476828016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8A9F-35F9-46EA-ADE5-61E21D478E8F}">
  <sheetPr>
    <tabColor rgb="FF92D050"/>
  </sheetPr>
  <dimension ref="A1:N49"/>
  <sheetViews>
    <sheetView tabSelected="1" zoomScale="99" zoomScaleNormal="99" workbookViewId="0">
      <selection sqref="A1:F1"/>
    </sheetView>
  </sheetViews>
  <sheetFormatPr defaultColWidth="11.44140625" defaultRowHeight="14.4" x14ac:dyDescent="0.3"/>
  <cols>
    <col min="1" max="1" width="7.21875" style="176" bestFit="1" customWidth="1"/>
    <col min="2" max="2" width="15.21875" style="176" bestFit="1" customWidth="1"/>
    <col min="3" max="3" width="6.33203125" style="176" bestFit="1" customWidth="1"/>
    <col min="4" max="4" width="6.77734375" style="176" bestFit="1" customWidth="1"/>
    <col min="5" max="5" width="17.109375" style="176" bestFit="1" customWidth="1"/>
    <col min="6" max="6" width="9.77734375" style="176" bestFit="1" customWidth="1"/>
    <col min="7" max="7" width="11.44140625" style="5"/>
    <col min="8" max="8" width="18.33203125" style="5" bestFit="1" customWidth="1"/>
    <col min="9" max="9" width="15.21875" style="5" bestFit="1" customWidth="1"/>
    <col min="10" max="11" width="14.6640625" style="5" bestFit="1" customWidth="1"/>
    <col min="12" max="12" width="17.109375" style="5" bestFit="1" customWidth="1"/>
    <col min="13" max="13" width="14.6640625" style="5" bestFit="1" customWidth="1"/>
    <col min="14" max="16384" width="11.44140625" style="5"/>
  </cols>
  <sheetData>
    <row r="1" spans="1:14" ht="18" x14ac:dyDescent="0.35">
      <c r="A1" s="183" t="s">
        <v>169</v>
      </c>
      <c r="B1" s="183"/>
      <c r="C1" s="183"/>
      <c r="D1" s="183"/>
      <c r="E1" s="183"/>
      <c r="F1" s="183"/>
      <c r="H1" s="183" t="s">
        <v>169</v>
      </c>
      <c r="I1" s="183"/>
      <c r="J1" s="183"/>
      <c r="K1" s="183"/>
      <c r="L1" s="183"/>
      <c r="M1" s="183"/>
    </row>
    <row r="2" spans="1:14" ht="18" x14ac:dyDescent="0.35">
      <c r="A2" s="183" t="s">
        <v>175</v>
      </c>
      <c r="B2" s="183"/>
      <c r="C2" s="183"/>
      <c r="D2" s="183"/>
      <c r="E2" s="183"/>
      <c r="F2" s="183"/>
      <c r="H2" s="182" t="s">
        <v>176</v>
      </c>
      <c r="I2" s="182"/>
      <c r="J2" s="182"/>
      <c r="K2" s="182"/>
      <c r="L2" s="182"/>
      <c r="M2" s="182"/>
    </row>
    <row r="3" spans="1:14" x14ac:dyDescent="0.3">
      <c r="A3" s="198" t="s">
        <v>157</v>
      </c>
      <c r="B3" s="213" t="s">
        <v>170</v>
      </c>
      <c r="C3" s="213"/>
      <c r="D3" s="213" t="s">
        <v>171</v>
      </c>
      <c r="E3" s="213"/>
      <c r="F3" s="213"/>
      <c r="H3" s="187" t="s">
        <v>157</v>
      </c>
      <c r="I3" s="199" t="s">
        <v>170</v>
      </c>
      <c r="J3" s="199"/>
      <c r="K3" s="199" t="s">
        <v>171</v>
      </c>
      <c r="L3" s="199"/>
      <c r="M3" s="199"/>
    </row>
    <row r="4" spans="1:14" x14ac:dyDescent="0.3">
      <c r="A4" s="198" t="s">
        <v>172</v>
      </c>
      <c r="B4" s="198" t="s">
        <v>1</v>
      </c>
      <c r="C4" s="198" t="s">
        <v>130</v>
      </c>
      <c r="D4" s="198" t="s">
        <v>129</v>
      </c>
      <c r="E4" s="198" t="s">
        <v>173</v>
      </c>
      <c r="F4" s="198" t="s">
        <v>128</v>
      </c>
      <c r="H4" s="187" t="s">
        <v>172</v>
      </c>
      <c r="I4" s="187" t="s">
        <v>1</v>
      </c>
      <c r="J4" s="187" t="s">
        <v>130</v>
      </c>
      <c r="K4" s="187" t="s">
        <v>129</v>
      </c>
      <c r="L4" s="187" t="s">
        <v>173</v>
      </c>
      <c r="M4" s="187" t="s">
        <v>128</v>
      </c>
    </row>
    <row r="5" spans="1:14" x14ac:dyDescent="0.3">
      <c r="A5" s="214" t="s">
        <v>175</v>
      </c>
      <c r="B5" s="205">
        <v>98.2</v>
      </c>
      <c r="C5" s="206">
        <v>85.7</v>
      </c>
      <c r="D5" s="205">
        <v>97.1875</v>
      </c>
      <c r="E5" s="206">
        <v>44.0625</v>
      </c>
      <c r="F5" s="207">
        <v>96.6</v>
      </c>
      <c r="H5" s="90" t="s">
        <v>131</v>
      </c>
      <c r="I5" s="190">
        <f>AVERAGE(B5:B49)</f>
        <v>98.1</v>
      </c>
      <c r="J5" s="190">
        <f t="shared" ref="J5:M5" si="0">AVERAGE(C5:C49)</f>
        <v>90.074999999999989</v>
      </c>
      <c r="K5" s="190">
        <f t="shared" si="0"/>
        <v>92.734375</v>
      </c>
      <c r="L5" s="190">
        <f t="shared" si="0"/>
        <v>73.944166666666675</v>
      </c>
      <c r="M5" s="190">
        <f t="shared" si="0"/>
        <v>87.811999999999998</v>
      </c>
      <c r="N5" s="191"/>
    </row>
    <row r="6" spans="1:14" x14ac:dyDescent="0.3">
      <c r="A6" s="214"/>
      <c r="B6" s="205">
        <v>98</v>
      </c>
      <c r="C6" s="208">
        <v>91.2</v>
      </c>
      <c r="D6" s="205">
        <v>96.25</v>
      </c>
      <c r="E6" s="208">
        <v>70.625</v>
      </c>
      <c r="F6" s="207">
        <v>92.3</v>
      </c>
      <c r="H6" s="90" t="s">
        <v>174</v>
      </c>
      <c r="I6" s="90">
        <f>_xlfn.STDEV.S(B5:B49)</f>
        <v>8.1649658092773761E-2</v>
      </c>
      <c r="J6" s="90">
        <f t="shared" ref="J6:M6" si="1">_xlfn.STDEV.S(C5:C49)</f>
        <v>3.1127426277587844</v>
      </c>
      <c r="K6" s="90">
        <f t="shared" si="1"/>
        <v>4.6236977333262894</v>
      </c>
      <c r="L6" s="90">
        <f t="shared" si="1"/>
        <v>17.458714001961017</v>
      </c>
      <c r="M6" s="90">
        <f t="shared" si="1"/>
        <v>6.8819851787111519</v>
      </c>
    </row>
    <row r="7" spans="1:14" x14ac:dyDescent="0.3">
      <c r="A7" s="214"/>
      <c r="B7" s="205">
        <v>98.1</v>
      </c>
      <c r="C7" s="208">
        <v>93</v>
      </c>
      <c r="D7" s="209">
        <v>88.4375</v>
      </c>
      <c r="E7" s="210">
        <v>67.1875</v>
      </c>
      <c r="F7" s="207">
        <v>88.1</v>
      </c>
      <c r="H7" s="90" t="s">
        <v>149</v>
      </c>
      <c r="I7" s="90">
        <f>COUNT(B5:B49)</f>
        <v>4</v>
      </c>
      <c r="J7" s="90">
        <f t="shared" ref="J7:M7" si="2">COUNT(C5:C49)</f>
        <v>4</v>
      </c>
      <c r="K7" s="90">
        <f t="shared" si="2"/>
        <v>4</v>
      </c>
      <c r="L7" s="90">
        <f t="shared" si="2"/>
        <v>45</v>
      </c>
      <c r="M7" s="90">
        <f t="shared" si="2"/>
        <v>5</v>
      </c>
    </row>
    <row r="8" spans="1:14" x14ac:dyDescent="0.3">
      <c r="A8" s="214"/>
      <c r="B8" s="205">
        <v>98.1</v>
      </c>
      <c r="C8" s="208">
        <v>90.4</v>
      </c>
      <c r="D8" s="209">
        <v>89.0625</v>
      </c>
      <c r="E8" s="210">
        <v>62.812500000000007</v>
      </c>
      <c r="F8" s="207">
        <v>81</v>
      </c>
    </row>
    <row r="9" spans="1:14" x14ac:dyDescent="0.3">
      <c r="A9" s="214"/>
      <c r="C9" s="200"/>
      <c r="E9" s="211">
        <v>56.499999999999993</v>
      </c>
      <c r="F9" s="207">
        <v>81.06</v>
      </c>
    </row>
    <row r="10" spans="1:14" x14ac:dyDescent="0.3">
      <c r="A10" s="214"/>
      <c r="C10" s="200"/>
      <c r="E10" s="211">
        <v>80.300000000000011</v>
      </c>
      <c r="F10" s="202"/>
    </row>
    <row r="11" spans="1:14" x14ac:dyDescent="0.3">
      <c r="A11" s="214"/>
      <c r="C11" s="200"/>
      <c r="E11" s="211">
        <v>48.75</v>
      </c>
      <c r="F11" s="202"/>
    </row>
    <row r="12" spans="1:14" x14ac:dyDescent="0.3">
      <c r="A12" s="214"/>
      <c r="C12" s="200"/>
      <c r="E12" s="211">
        <v>49.05</v>
      </c>
      <c r="F12" s="202"/>
    </row>
    <row r="13" spans="1:14" x14ac:dyDescent="0.3">
      <c r="A13" s="214"/>
      <c r="C13" s="200"/>
      <c r="E13" s="211">
        <v>92.800000000000011</v>
      </c>
      <c r="F13" s="202"/>
    </row>
    <row r="14" spans="1:14" x14ac:dyDescent="0.3">
      <c r="A14" s="214"/>
      <c r="C14" s="200"/>
      <c r="E14" s="211">
        <v>81.5</v>
      </c>
      <c r="F14" s="202"/>
    </row>
    <row r="15" spans="1:14" x14ac:dyDescent="0.3">
      <c r="A15" s="214"/>
      <c r="C15" s="200"/>
      <c r="E15" s="211">
        <v>48.75</v>
      </c>
      <c r="F15" s="202"/>
    </row>
    <row r="16" spans="1:14" x14ac:dyDescent="0.3">
      <c r="A16" s="214"/>
      <c r="C16" s="200"/>
      <c r="E16" s="211">
        <v>48.75</v>
      </c>
      <c r="F16" s="202"/>
    </row>
    <row r="17" spans="1:6" x14ac:dyDescent="0.3">
      <c r="A17" s="214"/>
      <c r="C17" s="200"/>
      <c r="E17" s="211">
        <v>33.25</v>
      </c>
      <c r="F17" s="202"/>
    </row>
    <row r="18" spans="1:6" x14ac:dyDescent="0.3">
      <c r="A18" s="214"/>
      <c r="C18" s="200"/>
      <c r="E18" s="211">
        <v>93.75</v>
      </c>
      <c r="F18" s="202"/>
    </row>
    <row r="19" spans="1:6" x14ac:dyDescent="0.3">
      <c r="A19" s="214"/>
      <c r="C19" s="200"/>
      <c r="E19" s="211">
        <v>86.25</v>
      </c>
      <c r="F19" s="202"/>
    </row>
    <row r="20" spans="1:6" x14ac:dyDescent="0.3">
      <c r="A20" s="214"/>
      <c r="C20" s="200"/>
      <c r="E20" s="211">
        <v>55.65</v>
      </c>
      <c r="F20" s="202"/>
    </row>
    <row r="21" spans="1:6" x14ac:dyDescent="0.3">
      <c r="A21" s="214"/>
      <c r="C21" s="200"/>
      <c r="E21" s="211">
        <v>44.4</v>
      </c>
      <c r="F21" s="202"/>
    </row>
    <row r="22" spans="1:6" x14ac:dyDescent="0.3">
      <c r="A22" s="214"/>
      <c r="C22" s="200"/>
      <c r="E22" s="211">
        <v>45.5</v>
      </c>
      <c r="F22" s="202"/>
    </row>
    <row r="23" spans="1:6" x14ac:dyDescent="0.3">
      <c r="A23" s="214"/>
      <c r="C23" s="200"/>
      <c r="E23" s="211">
        <v>58.75</v>
      </c>
      <c r="F23" s="202"/>
    </row>
    <row r="24" spans="1:6" x14ac:dyDescent="0.3">
      <c r="A24" s="214"/>
      <c r="C24" s="200"/>
      <c r="E24" s="211">
        <v>87.15</v>
      </c>
      <c r="F24" s="202"/>
    </row>
    <row r="25" spans="1:6" x14ac:dyDescent="0.3">
      <c r="A25" s="214"/>
      <c r="C25" s="200"/>
      <c r="E25" s="211">
        <v>81.75</v>
      </c>
      <c r="F25" s="202"/>
    </row>
    <row r="26" spans="1:6" x14ac:dyDescent="0.3">
      <c r="A26" s="214"/>
      <c r="C26" s="200"/>
      <c r="E26" s="211">
        <v>75.25</v>
      </c>
      <c r="F26" s="202"/>
    </row>
    <row r="27" spans="1:6" x14ac:dyDescent="0.3">
      <c r="A27" s="214"/>
      <c r="C27" s="200"/>
      <c r="E27" s="211">
        <v>76.5</v>
      </c>
      <c r="F27" s="202"/>
    </row>
    <row r="28" spans="1:6" x14ac:dyDescent="0.3">
      <c r="A28" s="214"/>
      <c r="C28" s="200"/>
      <c r="E28" s="211">
        <v>83.25</v>
      </c>
      <c r="F28" s="202"/>
    </row>
    <row r="29" spans="1:6" x14ac:dyDescent="0.3">
      <c r="A29" s="214"/>
      <c r="C29" s="200"/>
      <c r="E29" s="211">
        <v>100.49999999999999</v>
      </c>
      <c r="F29" s="202"/>
    </row>
    <row r="30" spans="1:6" x14ac:dyDescent="0.3">
      <c r="A30" s="214"/>
      <c r="C30" s="200"/>
      <c r="E30" s="211">
        <v>82.5</v>
      </c>
      <c r="F30" s="202"/>
    </row>
    <row r="31" spans="1:6" x14ac:dyDescent="0.3">
      <c r="A31" s="214"/>
      <c r="C31" s="200"/>
      <c r="E31" s="211">
        <v>57.499999999999993</v>
      </c>
      <c r="F31" s="202"/>
    </row>
    <row r="32" spans="1:6" x14ac:dyDescent="0.3">
      <c r="A32" s="214"/>
      <c r="C32" s="200"/>
      <c r="E32" s="211">
        <v>90.25</v>
      </c>
      <c r="F32" s="202"/>
    </row>
    <row r="33" spans="1:6" x14ac:dyDescent="0.3">
      <c r="A33" s="214"/>
      <c r="C33" s="200"/>
      <c r="E33" s="211">
        <v>80.5</v>
      </c>
      <c r="F33" s="202"/>
    </row>
    <row r="34" spans="1:6" x14ac:dyDescent="0.3">
      <c r="A34" s="214"/>
      <c r="C34" s="200"/>
      <c r="E34" s="211">
        <v>96.5</v>
      </c>
      <c r="F34" s="202"/>
    </row>
    <row r="35" spans="1:6" x14ac:dyDescent="0.3">
      <c r="A35" s="214"/>
      <c r="C35" s="200"/>
      <c r="E35" s="211">
        <v>79.5</v>
      </c>
      <c r="F35" s="202"/>
    </row>
    <row r="36" spans="1:6" x14ac:dyDescent="0.3">
      <c r="A36" s="214"/>
      <c r="C36" s="200"/>
      <c r="E36" s="211">
        <v>80.650000000000006</v>
      </c>
      <c r="F36" s="202"/>
    </row>
    <row r="37" spans="1:6" x14ac:dyDescent="0.3">
      <c r="A37" s="214"/>
      <c r="C37" s="200"/>
      <c r="E37" s="211">
        <v>90.3</v>
      </c>
      <c r="F37" s="202"/>
    </row>
    <row r="38" spans="1:6" x14ac:dyDescent="0.3">
      <c r="A38" s="214"/>
      <c r="C38" s="200"/>
      <c r="E38" s="211">
        <v>73.75</v>
      </c>
      <c r="F38" s="202"/>
    </row>
    <row r="39" spans="1:6" x14ac:dyDescent="0.3">
      <c r="A39" s="214"/>
      <c r="C39" s="200"/>
      <c r="E39" s="211">
        <v>71.599999999999994</v>
      </c>
      <c r="F39" s="202"/>
    </row>
    <row r="40" spans="1:6" x14ac:dyDescent="0.3">
      <c r="A40" s="214"/>
      <c r="C40" s="200"/>
      <c r="E40" s="211">
        <v>73.099999999999994</v>
      </c>
      <c r="F40" s="202"/>
    </row>
    <row r="41" spans="1:6" x14ac:dyDescent="0.3">
      <c r="A41" s="214"/>
      <c r="C41" s="200"/>
      <c r="E41" s="211">
        <v>75.599999999999994</v>
      </c>
      <c r="F41" s="202"/>
    </row>
    <row r="42" spans="1:6" x14ac:dyDescent="0.3">
      <c r="A42" s="214"/>
      <c r="C42" s="200"/>
      <c r="E42" s="211">
        <v>94</v>
      </c>
      <c r="F42" s="202"/>
    </row>
    <row r="43" spans="1:6" x14ac:dyDescent="0.3">
      <c r="A43" s="214"/>
      <c r="C43" s="200"/>
      <c r="E43" s="211">
        <v>76.55</v>
      </c>
      <c r="F43" s="202"/>
    </row>
    <row r="44" spans="1:6" x14ac:dyDescent="0.3">
      <c r="A44" s="214"/>
      <c r="C44" s="200"/>
      <c r="E44" s="211">
        <v>97</v>
      </c>
      <c r="F44" s="202"/>
    </row>
    <row r="45" spans="1:6" x14ac:dyDescent="0.3">
      <c r="A45" s="214"/>
      <c r="C45" s="200"/>
      <c r="E45" s="211">
        <v>86.850000000000009</v>
      </c>
      <c r="F45" s="202"/>
    </row>
    <row r="46" spans="1:6" x14ac:dyDescent="0.3">
      <c r="A46" s="214"/>
      <c r="C46" s="200"/>
      <c r="E46" s="211">
        <v>86.25</v>
      </c>
      <c r="F46" s="202"/>
    </row>
    <row r="47" spans="1:6" x14ac:dyDescent="0.3">
      <c r="A47" s="214"/>
      <c r="C47" s="200"/>
      <c r="E47" s="211">
        <v>83.25</v>
      </c>
      <c r="F47" s="202"/>
    </row>
    <row r="48" spans="1:6" x14ac:dyDescent="0.3">
      <c r="A48" s="214"/>
      <c r="C48" s="200"/>
      <c r="E48" s="211">
        <v>100.29999999999998</v>
      </c>
      <c r="F48" s="202"/>
    </row>
    <row r="49" spans="1:6" x14ac:dyDescent="0.3">
      <c r="A49" s="214"/>
      <c r="B49" s="203"/>
      <c r="C49" s="201"/>
      <c r="D49" s="203"/>
      <c r="E49" s="212">
        <v>78.5</v>
      </c>
      <c r="F49" s="204"/>
    </row>
  </sheetData>
  <mergeCells count="9">
    <mergeCell ref="A1:F1"/>
    <mergeCell ref="A2:F2"/>
    <mergeCell ref="H1:M1"/>
    <mergeCell ref="H2:M2"/>
    <mergeCell ref="A5:A49"/>
    <mergeCell ref="D3:F3"/>
    <mergeCell ref="B3:C3"/>
    <mergeCell ref="I3:J3"/>
    <mergeCell ref="K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Fig1</vt:lpstr>
      <vt:lpstr>Fig2</vt:lpstr>
      <vt:lpstr>Fig3</vt:lpstr>
      <vt:lpstr>Fig4a</vt:lpstr>
      <vt:lpstr>Fig4b</vt:lpstr>
      <vt:lpstr>Fig5</vt:lpstr>
      <vt:lpstr>Fig6</vt:lpstr>
    </vt:vector>
  </TitlesOfParts>
  <Manager/>
  <Company>Centre Hospitalier Universitaire Vaudois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Flahaut Chetelat Marjorie</dc:creator>
  <cp:keywords/>
  <dc:description/>
  <cp:lastModifiedBy>Carla Fuenteslopez</cp:lastModifiedBy>
  <cp:revision/>
  <dcterms:created xsi:type="dcterms:W3CDTF">2023-09-08T14:05:14Z</dcterms:created>
  <dcterms:modified xsi:type="dcterms:W3CDTF">2024-06-20T22:45:40Z</dcterms:modified>
  <cp:category/>
  <cp:contentStatus/>
</cp:coreProperties>
</file>