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OneDrive\Área de Trabalho\"/>
    </mc:Choice>
  </mc:AlternateContent>
  <xr:revisionPtr revIDLastSave="0" documentId="13_ncr:1_{E221496F-AD11-47FF-B38F-D88F1EB00A77}" xr6:coauthVersionLast="47" xr6:coauthVersionMax="47" xr10:uidLastSave="{00000000-0000-0000-0000-000000000000}"/>
  <bookViews>
    <workbookView xWindow="-120" yWindow="-120" windowWidth="20730" windowHeight="11040" xr2:uid="{C5A1190A-691C-4D12-8082-D41FD3A99E4E}"/>
  </bookViews>
  <sheets>
    <sheet name="Pesquisa de preços" sheetId="1" r:id="rId1"/>
    <sheet name="Orçamento" sheetId="2" state="hidden" r:id="rId2"/>
    <sheet name="MO" sheetId="3" state="hidden" r:id="rId3"/>
    <sheet name="Receita" sheetId="4" state="hidden" r:id="rId4"/>
    <sheet name="Planejamento" sheetId="5" r:id="rId5"/>
    <sheet name="Cerâmica(Simulação)" sheetId="10" r:id="rId6"/>
    <sheet name="Esgoto" sheetId="11" state="hidden" r:id="rId7"/>
    <sheet name="Planilha2" sheetId="8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5" l="1"/>
  <c r="C79" i="5"/>
  <c r="P83" i="5"/>
  <c r="T80" i="5"/>
  <c r="T81" i="5"/>
  <c r="G77" i="5"/>
  <c r="C77" i="5"/>
  <c r="H20" i="11"/>
  <c r="G24" i="11"/>
  <c r="G23" i="11"/>
  <c r="G20" i="11"/>
  <c r="E23" i="11"/>
  <c r="E20" i="11"/>
  <c r="D20" i="11"/>
  <c r="E16" i="11"/>
  <c r="M10" i="11" s="1"/>
  <c r="J16" i="11"/>
  <c r="M11" i="11"/>
  <c r="M9" i="11"/>
  <c r="J10" i="11"/>
  <c r="J9" i="11"/>
  <c r="E9" i="11"/>
  <c r="P96" i="5"/>
  <c r="G90" i="5" s="1"/>
  <c r="L96" i="5"/>
  <c r="G91" i="5" s="1"/>
  <c r="C96" i="5"/>
  <c r="T90" i="5" s="1"/>
  <c r="Y7" i="5"/>
  <c r="AX8" i="5"/>
  <c r="AX9" i="5"/>
  <c r="AX10" i="5"/>
  <c r="AX11" i="5"/>
  <c r="AX12" i="5"/>
  <c r="AX13" i="5"/>
  <c r="AX16" i="5"/>
  <c r="AX17" i="5"/>
  <c r="AX18" i="5"/>
  <c r="AX19" i="5"/>
  <c r="AX5" i="5"/>
  <c r="AW6" i="5"/>
  <c r="AX6" i="5" s="1"/>
  <c r="AW7" i="5"/>
  <c r="AX7" i="5" s="1"/>
  <c r="AW8" i="5"/>
  <c r="AW9" i="5"/>
  <c r="AW10" i="5"/>
  <c r="AW11" i="5"/>
  <c r="AW12" i="5"/>
  <c r="AW13" i="5"/>
  <c r="AW14" i="5"/>
  <c r="AX14" i="5" s="1"/>
  <c r="AW15" i="5"/>
  <c r="AX15" i="5" s="1"/>
  <c r="AW16" i="5"/>
  <c r="AW17" i="5"/>
  <c r="AW18" i="5"/>
  <c r="AW19" i="5"/>
  <c r="AW5" i="5"/>
  <c r="T67" i="5"/>
  <c r="T68" i="5"/>
  <c r="L83" i="5"/>
  <c r="G78" i="5" s="1"/>
  <c r="P70" i="5"/>
  <c r="G64" i="5"/>
  <c r="L65" i="5"/>
  <c r="L70" i="5" s="1"/>
  <c r="G65" i="5" s="1"/>
  <c r="C6" i="10"/>
  <c r="C15" i="10"/>
  <c r="Y15" i="10" s="1"/>
  <c r="L18" i="10"/>
  <c r="K7" i="10"/>
  <c r="L7" i="10" s="1"/>
  <c r="C66" i="5"/>
  <c r="C67" i="5" s="1"/>
  <c r="C70" i="5" s="1"/>
  <c r="L6" i="10"/>
  <c r="R19" i="10"/>
  <c r="R16" i="10"/>
  <c r="R15" i="10"/>
  <c r="R22" i="10" s="1"/>
  <c r="B11" i="10"/>
  <c r="C17" i="10"/>
  <c r="W18" i="5"/>
  <c r="G15" i="10"/>
  <c r="L16" i="10"/>
  <c r="L22" i="10" s="1"/>
  <c r="K16" i="10"/>
  <c r="P21" i="10"/>
  <c r="P20" i="10"/>
  <c r="P18" i="10"/>
  <c r="P17" i="10"/>
  <c r="P16" i="10" s="1"/>
  <c r="Q16" i="10" s="1"/>
  <c r="P15" i="10"/>
  <c r="Q15" i="10" s="1"/>
  <c r="G6" i="10"/>
  <c r="U21" i="10"/>
  <c r="V21" i="10" s="1"/>
  <c r="U20" i="10"/>
  <c r="U19" i="10" s="1"/>
  <c r="V19" i="10" s="1"/>
  <c r="U18" i="10"/>
  <c r="U16" i="10" s="1"/>
  <c r="V16" i="10" s="1"/>
  <c r="U17" i="10"/>
  <c r="U15" i="10"/>
  <c r="L15" i="10"/>
  <c r="W20" i="5"/>
  <c r="Y18" i="5"/>
  <c r="Y17" i="5"/>
  <c r="Y16" i="5"/>
  <c r="T55" i="5"/>
  <c r="T56" i="5"/>
  <c r="Y9" i="5"/>
  <c r="P45" i="5"/>
  <c r="G40" i="5" s="1"/>
  <c r="T43" i="5" s="1"/>
  <c r="AF8" i="5" s="1"/>
  <c r="L45" i="5"/>
  <c r="G41" i="5" s="1"/>
  <c r="AB8" i="5" s="1"/>
  <c r="P57" i="5"/>
  <c r="G52" i="5" s="1"/>
  <c r="L57" i="5"/>
  <c r="G53" i="5" s="1"/>
  <c r="L29" i="5"/>
  <c r="L33" i="5" s="1"/>
  <c r="G29" i="5" s="1"/>
  <c r="AB7" i="5" s="1"/>
  <c r="AZ5" i="5"/>
  <c r="AL6" i="5"/>
  <c r="AD5" i="5"/>
  <c r="Y8" i="5"/>
  <c r="Y6" i="5"/>
  <c r="Y5" i="5"/>
  <c r="C30" i="5"/>
  <c r="F14" i="8"/>
  <c r="L16" i="5"/>
  <c r="L21" i="5" s="1"/>
  <c r="G17" i="5" s="1"/>
  <c r="T18" i="5" s="1"/>
  <c r="G13" i="8"/>
  <c r="F13" i="8"/>
  <c r="P16" i="5"/>
  <c r="P21" i="5" s="1"/>
  <c r="G16" i="5" s="1"/>
  <c r="AD6" i="5" s="1"/>
  <c r="P33" i="5"/>
  <c r="G28" i="5" s="1"/>
  <c r="AD7" i="5" s="1"/>
  <c r="L8" i="5"/>
  <c r="L9" i="5" s="1"/>
  <c r="G7" i="5" s="1"/>
  <c r="G9" i="5" s="1"/>
  <c r="P7" i="5" s="1"/>
  <c r="AF5" i="5" s="1"/>
  <c r="P6" i="5"/>
  <c r="Q9" i="1"/>
  <c r="Q6" i="1"/>
  <c r="Q5" i="1"/>
  <c r="N15" i="4"/>
  <c r="G17" i="2"/>
  <c r="N13" i="4"/>
  <c r="N12" i="4"/>
  <c r="N9" i="4"/>
  <c r="N7" i="4"/>
  <c r="J23" i="4"/>
  <c r="J16" i="4"/>
  <c r="J9" i="4"/>
  <c r="N6" i="4"/>
  <c r="E9" i="4"/>
  <c r="E8" i="4"/>
  <c r="G11" i="2"/>
  <c r="G15" i="2"/>
  <c r="G14" i="2"/>
  <c r="G10" i="2"/>
  <c r="G9" i="2"/>
  <c r="G8" i="2"/>
  <c r="G7" i="2"/>
  <c r="G6" i="2"/>
  <c r="I11" i="1"/>
  <c r="I10" i="1"/>
  <c r="I7" i="1"/>
  <c r="C83" i="5" l="1"/>
  <c r="T77" i="5" s="1"/>
  <c r="G96" i="5"/>
  <c r="T91" i="5" s="1"/>
  <c r="T96" i="5" s="1"/>
  <c r="G70" i="5"/>
  <c r="T65" i="5" s="1"/>
  <c r="T66" i="5"/>
  <c r="G83" i="5"/>
  <c r="T78" i="5" s="1"/>
  <c r="U67" i="5"/>
  <c r="U70" i="5" s="1"/>
  <c r="G57" i="5"/>
  <c r="T53" i="5" s="1"/>
  <c r="AF9" i="5" s="1"/>
  <c r="AB5" i="5"/>
  <c r="AB9" i="5"/>
  <c r="U66" i="5"/>
  <c r="U65" i="5"/>
  <c r="C22" i="10"/>
  <c r="T64" i="5"/>
  <c r="T70" i="5" s="1"/>
  <c r="L9" i="10"/>
  <c r="G7" i="10" s="1"/>
  <c r="P19" i="10"/>
  <c r="Q19" i="10" s="1"/>
  <c r="Q22" i="10"/>
  <c r="P22" i="10"/>
  <c r="U22" i="10"/>
  <c r="G16" i="10"/>
  <c r="V20" i="10"/>
  <c r="V15" i="10"/>
  <c r="V22" i="10" s="1"/>
  <c r="AD9" i="5"/>
  <c r="AD8" i="5"/>
  <c r="AB6" i="5"/>
  <c r="W5" i="5"/>
  <c r="T19" i="5"/>
  <c r="G45" i="5"/>
  <c r="P8" i="5"/>
  <c r="C16" i="5" s="1"/>
  <c r="C19" i="5" s="1"/>
  <c r="G33" i="5"/>
  <c r="G21" i="5"/>
  <c r="T83" i="5" l="1"/>
  <c r="W10" i="5"/>
  <c r="W9" i="5"/>
  <c r="G22" i="10"/>
  <c r="Y16" i="10" s="1"/>
  <c r="W7" i="5"/>
  <c r="T41" i="5"/>
  <c r="W8" i="5"/>
  <c r="AI6" i="5"/>
  <c r="AF6" i="5"/>
  <c r="T17" i="5"/>
  <c r="W6" i="5"/>
  <c r="C21" i="5"/>
  <c r="T16" i="5" s="1"/>
  <c r="T21" i="5" s="1"/>
  <c r="T29" i="5"/>
  <c r="T31" i="5"/>
  <c r="AF7" i="5" s="1"/>
  <c r="W12" i="5" l="1"/>
  <c r="C28" i="5"/>
  <c r="C33" i="5" s="1"/>
  <c r="T28" i="5" l="1"/>
  <c r="T33" i="5" s="1"/>
  <c r="C40" i="5" s="1"/>
  <c r="C45" i="5" l="1"/>
  <c r="T40" i="5" s="1"/>
  <c r="T45" i="5" l="1"/>
  <c r="C52" i="5" s="1"/>
  <c r="C57" i="5" s="1"/>
  <c r="T52" i="5" s="1"/>
  <c r="T57" i="5" s="1"/>
</calcChain>
</file>

<file path=xl/sharedStrings.xml><?xml version="1.0" encoding="utf-8"?>
<sst xmlns="http://schemas.openxmlformats.org/spreadsheetml/2006/main" count="556" uniqueCount="204">
  <si>
    <t>Receita</t>
  </si>
  <si>
    <t>MO</t>
  </si>
  <si>
    <t>MP</t>
  </si>
  <si>
    <t>Telha</t>
  </si>
  <si>
    <t>Empresas</t>
  </si>
  <si>
    <t>Tijolo</t>
  </si>
  <si>
    <t>Cimento</t>
  </si>
  <si>
    <t>Massame</t>
  </si>
  <si>
    <t>Areia</t>
  </si>
  <si>
    <t>Rejunto</t>
  </si>
  <si>
    <t>Argamassa</t>
  </si>
  <si>
    <t>Cerâmica</t>
  </si>
  <si>
    <t>Material Albuquerque</t>
  </si>
  <si>
    <t>Valor unitário</t>
  </si>
  <si>
    <t>Valor total</t>
  </si>
  <si>
    <t>Marca</t>
  </si>
  <si>
    <t>Telha canal 2 Santa Luzia</t>
  </si>
  <si>
    <t>Tijolo 08 furo redondo serido</t>
  </si>
  <si>
    <t>Areia grossa/media</t>
  </si>
  <si>
    <t xml:space="preserve"> Montes Claros 50kg</t>
  </si>
  <si>
    <t>Itatiunga 5kg Varias cores</t>
  </si>
  <si>
    <t>Argacola 15kg AC1</t>
  </si>
  <si>
    <t>Quantidade</t>
  </si>
  <si>
    <t>Com Pedras Material de Construção</t>
  </si>
  <si>
    <t>Colonial</t>
  </si>
  <si>
    <t>8 furos Picui</t>
  </si>
  <si>
    <t>CPII Z 32 saco 50kg</t>
  </si>
  <si>
    <t>Ceramicas 1 kg quartzolit</t>
  </si>
  <si>
    <t>ACII 5G quartzolit</t>
  </si>
  <si>
    <t>JB Material de Construção</t>
  </si>
  <si>
    <t>Sanderli Picui</t>
  </si>
  <si>
    <t>Montes Claros larfagem</t>
  </si>
  <si>
    <t>Areia média</t>
  </si>
  <si>
    <t>Flexivel polimassa sort. 5kg</t>
  </si>
  <si>
    <t>Poli massa AC1</t>
  </si>
  <si>
    <t>de cruzeta segunda</t>
  </si>
  <si>
    <t>Atacadão da construção</t>
  </si>
  <si>
    <t>Montes claros CPII 50kg</t>
  </si>
  <si>
    <t>Quartzolit Flex cinza  platin</t>
  </si>
  <si>
    <t>Itatiunga ACI 20kg</t>
  </si>
  <si>
    <t>60 metros</t>
  </si>
  <si>
    <t>30 sacos</t>
  </si>
  <si>
    <t>10 kg</t>
  </si>
  <si>
    <t>1,5 metros</t>
  </si>
  <si>
    <t>0,5 metro</t>
  </si>
  <si>
    <t>7 sacos</t>
  </si>
  <si>
    <t>50 unid.</t>
  </si>
  <si>
    <t>1100 unid.</t>
  </si>
  <si>
    <t>Melhor marca</t>
  </si>
  <si>
    <t>Unidade</t>
  </si>
  <si>
    <t>Melhor preço</t>
  </si>
  <si>
    <t>Tijolo 08 furo redondo serido / Sanderli Picui</t>
  </si>
  <si>
    <t>Empresa</t>
  </si>
  <si>
    <t>Material Albuquerque / JB Material de Construção</t>
  </si>
  <si>
    <t>Preço total</t>
  </si>
  <si>
    <t>Total parcial</t>
  </si>
  <si>
    <t>Caixa atual</t>
  </si>
  <si>
    <t>13°</t>
  </si>
  <si>
    <t>1/3 férias</t>
  </si>
  <si>
    <t>Estimativa a receber</t>
  </si>
  <si>
    <t>MOP(sem ceramica)</t>
  </si>
  <si>
    <t>Telhado</t>
  </si>
  <si>
    <t>Piso da sala e terraço + porta</t>
  </si>
  <si>
    <t>Quebrar o piso</t>
  </si>
  <si>
    <t>Total</t>
  </si>
  <si>
    <t>MOP(com ceramica da sala e terraço)</t>
  </si>
  <si>
    <t>MOP(casa toda)</t>
  </si>
  <si>
    <t>Caixa estimado para o inicio de dez.</t>
  </si>
  <si>
    <t>OP(sem ceramica)</t>
  </si>
  <si>
    <t>OP(com ceramica da sala e terraço)</t>
  </si>
  <si>
    <t>Comercial Barbosa</t>
  </si>
  <si>
    <t>Caixa</t>
  </si>
  <si>
    <t>A receber</t>
  </si>
  <si>
    <t>Custos</t>
  </si>
  <si>
    <t>Caibo</t>
  </si>
  <si>
    <t>Materia Prima</t>
  </si>
  <si>
    <t>Telhas</t>
  </si>
  <si>
    <t>Orçamento</t>
  </si>
  <si>
    <t>Custo</t>
  </si>
  <si>
    <t>A prazo</t>
  </si>
  <si>
    <t>Adicional</t>
  </si>
  <si>
    <t>Total em caixa</t>
  </si>
  <si>
    <t>Mão de obra</t>
  </si>
  <si>
    <t>Pedreiro</t>
  </si>
  <si>
    <t>Ajudante</t>
  </si>
  <si>
    <t>Parcelado</t>
  </si>
  <si>
    <t>A vista</t>
  </si>
  <si>
    <t>Sala e Terraço</t>
  </si>
  <si>
    <t>Cerâmica (tudo)</t>
  </si>
  <si>
    <t>Terraço e sala</t>
  </si>
  <si>
    <t>metros</t>
  </si>
  <si>
    <t>Valor</t>
  </si>
  <si>
    <t>Cozinha</t>
  </si>
  <si>
    <t>Quartos</t>
  </si>
  <si>
    <t>1°</t>
  </si>
  <si>
    <t>2°</t>
  </si>
  <si>
    <t>Metro</t>
  </si>
  <si>
    <t>Cerâmica(m)</t>
  </si>
  <si>
    <t>Argamassa(sacos)</t>
  </si>
  <si>
    <t>Reajunto(kg)</t>
  </si>
  <si>
    <t>Area</t>
  </si>
  <si>
    <t>31 telhas quebradas= Safra</t>
  </si>
  <si>
    <t>15 telhas a mais = Albuquerque</t>
  </si>
  <si>
    <t>Adicional Nov.</t>
  </si>
  <si>
    <t>Cascalho</t>
  </si>
  <si>
    <t xml:space="preserve">Telhado </t>
  </si>
  <si>
    <t>Caixas de tomada</t>
  </si>
  <si>
    <t>Fios eletricos</t>
  </si>
  <si>
    <t>Eletricista</t>
  </si>
  <si>
    <t>Reparo, encanação e eletricidade</t>
  </si>
  <si>
    <t>Cartão</t>
  </si>
  <si>
    <t>Albuquerque</t>
  </si>
  <si>
    <t>Parcelado(8x)</t>
  </si>
  <si>
    <t>cal</t>
  </si>
  <si>
    <t>sobrou</t>
  </si>
  <si>
    <t>Empretado</t>
  </si>
  <si>
    <t>Emprestado</t>
  </si>
  <si>
    <t>Obs.:</t>
  </si>
  <si>
    <t>O adicional é referente ao que sobrou do salário</t>
  </si>
  <si>
    <t>O adicional é referente a 10(frança pediu emprestado em dinheiro e devolveu em pix)+ 14(queijo)+41(passagens)</t>
  </si>
  <si>
    <t>Trabalho realizado</t>
  </si>
  <si>
    <t>Data</t>
  </si>
  <si>
    <t xml:space="preserve">Obs.: </t>
  </si>
  <si>
    <t>O adicional é referente ao frete para trazer as 700 telhas no dia para terminar o telhado</t>
  </si>
  <si>
    <t>Pag. à vista</t>
  </si>
  <si>
    <t>Pag. à prazo</t>
  </si>
  <si>
    <t>08/12 à 09/12</t>
  </si>
  <si>
    <t>16/12 à17/12</t>
  </si>
  <si>
    <t>12/12 à 16/12</t>
  </si>
  <si>
    <t>Pagamento</t>
  </si>
  <si>
    <t>Parcela</t>
  </si>
  <si>
    <t>Pago</t>
  </si>
  <si>
    <t>Empréstimo</t>
  </si>
  <si>
    <t>Cano de correr</t>
  </si>
  <si>
    <t>...</t>
  </si>
  <si>
    <t>Telhado area de serviço</t>
  </si>
  <si>
    <t>Linha</t>
  </si>
  <si>
    <t>Parede area de serviço</t>
  </si>
  <si>
    <t>armário</t>
  </si>
  <si>
    <t>Dobradiça</t>
  </si>
  <si>
    <t>Reboco e concerto do armário</t>
  </si>
  <si>
    <t>Frete</t>
  </si>
  <si>
    <t>Observação: Gastei a receita com biblia, roupa e matricula da academia. Além disso antecipei algumas parcelas</t>
  </si>
  <si>
    <t>Em caixa</t>
  </si>
  <si>
    <t>Retroativo</t>
  </si>
  <si>
    <t>Acrescimo</t>
  </si>
  <si>
    <t>A cada 2 metros um saco e meio</t>
  </si>
  <si>
    <t>Adicional mensal</t>
  </si>
  <si>
    <t>Valor cerâmica</t>
  </si>
  <si>
    <t>Valor Argamassa</t>
  </si>
  <si>
    <t>Sacos</t>
  </si>
  <si>
    <t>Para pagar depois</t>
  </si>
  <si>
    <t>Adicional(desmontar armário)</t>
  </si>
  <si>
    <t>Argamassa(saco de 20kg)</t>
  </si>
  <si>
    <t>Rejunto(Saco de 5kg)</t>
  </si>
  <si>
    <t>Cerâmica(metros)</t>
  </si>
  <si>
    <t>Junta de ceramica</t>
  </si>
  <si>
    <t>Argamaça AC1 (Mãe)</t>
  </si>
  <si>
    <t>Frete(mãe)</t>
  </si>
  <si>
    <t>Mãe</t>
  </si>
  <si>
    <t>Caixa(HE)</t>
  </si>
  <si>
    <t>FGTS</t>
  </si>
  <si>
    <t>Janela</t>
  </si>
  <si>
    <t>Cerâmica (Compra- Março)</t>
  </si>
  <si>
    <t>Valor(Albuquerque)</t>
  </si>
  <si>
    <t>Valor(argamassa)</t>
  </si>
  <si>
    <t>Valor(internet)</t>
  </si>
  <si>
    <t>Valor comprometido no cartão</t>
  </si>
  <si>
    <t>-</t>
  </si>
  <si>
    <t>11/04 a 12/04</t>
  </si>
  <si>
    <t>Cerâmica: Terraço e sala</t>
  </si>
  <si>
    <t>Cerâmica: Cozinha</t>
  </si>
  <si>
    <t xml:space="preserve">18/04/2024  e </t>
  </si>
  <si>
    <t>Disco maquita</t>
  </si>
  <si>
    <t>Produto</t>
  </si>
  <si>
    <t>Cano</t>
  </si>
  <si>
    <t>Tipo</t>
  </si>
  <si>
    <t>Caixa de esgoto</t>
  </si>
  <si>
    <t>Janice</t>
  </si>
  <si>
    <t>Planejamento</t>
  </si>
  <si>
    <t>Curva de 100</t>
  </si>
  <si>
    <t>Junção de 100</t>
  </si>
  <si>
    <t>Redução de 150 para 100</t>
  </si>
  <si>
    <t>Dias</t>
  </si>
  <si>
    <t>Auxiliar</t>
  </si>
  <si>
    <t>Eu</t>
  </si>
  <si>
    <t>Tia ninha</t>
  </si>
  <si>
    <t>Materia prima</t>
  </si>
  <si>
    <t>À prazo</t>
  </si>
  <si>
    <t>À vista</t>
  </si>
  <si>
    <t>Depois</t>
  </si>
  <si>
    <t>Casa as construção</t>
  </si>
  <si>
    <t>Carvalho material e construção</t>
  </si>
  <si>
    <t>Material albuquerque</t>
  </si>
  <si>
    <t>Já paguei</t>
  </si>
  <si>
    <t>Tirou a janela</t>
  </si>
  <si>
    <t>25/05 e 26/05</t>
  </si>
  <si>
    <t>11/05 e 12/05</t>
  </si>
  <si>
    <t>Começou a colocar a ceramica (sala e terraço)</t>
  </si>
  <si>
    <t>Ceramica (cozinha)</t>
  </si>
  <si>
    <t>Ceramica(pedreiro)</t>
  </si>
  <si>
    <t>Cerâmica (Tudo= Maio e Junho)</t>
  </si>
  <si>
    <t xml:space="preserve">  </t>
  </si>
  <si>
    <t>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</si>
</sst>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onstantia"/>
      <family val="1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-0.24994659260841701"/>
      </right>
      <top/>
      <bottom style="thin">
        <color theme="8" tint="0.39994506668294322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465926084170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1" xfId="0" applyFill="1" applyBorder="1"/>
    <xf numFmtId="0" fontId="0" fillId="4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5" xfId="0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9" borderId="0" xfId="0" applyFill="1"/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6" xfId="0" applyFill="1" applyBorder="1"/>
    <xf numFmtId="0" fontId="0" fillId="8" borderId="6" xfId="0" quotePrefix="1" applyFill="1" applyBorder="1"/>
    <xf numFmtId="16" fontId="0" fillId="8" borderId="0" xfId="0" applyNumberFormat="1" applyFill="1"/>
    <xf numFmtId="17" fontId="0" fillId="8" borderId="0" xfId="0" applyNumberFormat="1" applyFill="1"/>
    <xf numFmtId="0" fontId="3" fillId="6" borderId="0" xfId="0" applyFont="1" applyFill="1" applyAlignment="1">
      <alignment vertical="center"/>
    </xf>
    <xf numFmtId="0" fontId="0" fillId="8" borderId="0" xfId="0" applyFill="1" applyAlignment="1">
      <alignment horizontal="left"/>
    </xf>
    <xf numFmtId="0" fontId="0" fillId="8" borderId="7" xfId="0" applyFill="1" applyBorder="1"/>
    <xf numFmtId="0" fontId="0" fillId="11" borderId="0" xfId="0" applyFill="1"/>
    <xf numFmtId="0" fontId="0" fillId="12" borderId="0" xfId="0" applyFill="1"/>
    <xf numFmtId="0" fontId="2" fillId="0" borderId="0" xfId="0" applyFont="1"/>
    <xf numFmtId="16" fontId="0" fillId="0" borderId="0" xfId="0" applyNumberFormat="1"/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0" fillId="8" borderId="6" xfId="0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6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657225</xdr:colOff>
          <xdr:row>3</xdr:row>
          <xdr:rowOff>180975</xdr:rowOff>
        </xdr:from>
        <xdr:to>
          <xdr:col>43</xdr:col>
          <xdr:colOff>200025</xdr:colOff>
          <xdr:row>5</xdr:row>
          <xdr:rowOff>9525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657225</xdr:colOff>
          <xdr:row>4</xdr:row>
          <xdr:rowOff>171450</xdr:rowOff>
        </xdr:from>
        <xdr:to>
          <xdr:col>43</xdr:col>
          <xdr:colOff>200025</xdr:colOff>
          <xdr:row>6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5</xdr:row>
          <xdr:rowOff>180975</xdr:rowOff>
        </xdr:from>
        <xdr:to>
          <xdr:col>43</xdr:col>
          <xdr:colOff>200025</xdr:colOff>
          <xdr:row>7</xdr:row>
          <xdr:rowOff>9525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6</xdr:row>
          <xdr:rowOff>180975</xdr:rowOff>
        </xdr:from>
        <xdr:to>
          <xdr:col>43</xdr:col>
          <xdr:colOff>200025</xdr:colOff>
          <xdr:row>8</xdr:row>
          <xdr:rowOff>9525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7</xdr:row>
          <xdr:rowOff>180975</xdr:rowOff>
        </xdr:from>
        <xdr:to>
          <xdr:col>43</xdr:col>
          <xdr:colOff>200025</xdr:colOff>
          <xdr:row>9</xdr:row>
          <xdr:rowOff>9525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8</xdr:row>
          <xdr:rowOff>171450</xdr:rowOff>
        </xdr:from>
        <xdr:to>
          <xdr:col>43</xdr:col>
          <xdr:colOff>200025</xdr:colOff>
          <xdr:row>10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666750</xdr:colOff>
          <xdr:row>9</xdr:row>
          <xdr:rowOff>180975</xdr:rowOff>
        </xdr:from>
        <xdr:to>
          <xdr:col>43</xdr:col>
          <xdr:colOff>200025</xdr:colOff>
          <xdr:row>11</xdr:row>
          <xdr:rowOff>9525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42</xdr:col>
          <xdr:colOff>657225</xdr:colOff>
          <xdr:row>10</xdr:row>
          <xdr:rowOff>180975</xdr:rowOff>
        </xdr:from>
        <xdr:to>
          <xdr:col>43</xdr:col>
          <xdr:colOff>200025</xdr:colOff>
          <xdr:row>12</xdr:row>
          <xdr:rowOff>9525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52</xdr:col>
          <xdr:colOff>600075</xdr:colOff>
          <xdr:row>4</xdr:row>
          <xdr:rowOff>0</xdr:rowOff>
        </xdr:from>
        <xdr:to>
          <xdr:col>53</xdr:col>
          <xdr:colOff>190500</xdr:colOff>
          <xdr:row>5</xdr:row>
          <xdr:rowOff>19050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276225</xdr:colOff>
          <xdr:row>4</xdr:row>
          <xdr:rowOff>0</xdr:rowOff>
        </xdr:from>
        <xdr:to>
          <xdr:col>51</xdr:col>
          <xdr:colOff>476250</xdr:colOff>
          <xdr:row>5</xdr:row>
          <xdr:rowOff>19050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6</xdr:row>
          <xdr:rowOff>180975</xdr:rowOff>
        </xdr:from>
        <xdr:to>
          <xdr:col>46</xdr:col>
          <xdr:colOff>200025</xdr:colOff>
          <xdr:row>8</xdr:row>
          <xdr:rowOff>9525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7</xdr:row>
          <xdr:rowOff>171450</xdr:rowOff>
        </xdr:from>
        <xdr:to>
          <xdr:col>46</xdr:col>
          <xdr:colOff>200025</xdr:colOff>
          <xdr:row>9</xdr:row>
          <xdr:rowOff>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8</xdr:row>
          <xdr:rowOff>180975</xdr:rowOff>
        </xdr:from>
        <xdr:to>
          <xdr:col>46</xdr:col>
          <xdr:colOff>200025</xdr:colOff>
          <xdr:row>10</xdr:row>
          <xdr:rowOff>9525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9</xdr:row>
          <xdr:rowOff>180975</xdr:rowOff>
        </xdr:from>
        <xdr:to>
          <xdr:col>46</xdr:col>
          <xdr:colOff>200025</xdr:colOff>
          <xdr:row>11</xdr:row>
          <xdr:rowOff>9525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10</xdr:row>
          <xdr:rowOff>180975</xdr:rowOff>
        </xdr:from>
        <xdr:to>
          <xdr:col>46</xdr:col>
          <xdr:colOff>200025</xdr:colOff>
          <xdr:row>12</xdr:row>
          <xdr:rowOff>9525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11</xdr:row>
          <xdr:rowOff>171450</xdr:rowOff>
        </xdr:from>
        <xdr:to>
          <xdr:col>46</xdr:col>
          <xdr:colOff>200025</xdr:colOff>
          <xdr:row>13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12</xdr:row>
          <xdr:rowOff>180975</xdr:rowOff>
        </xdr:from>
        <xdr:to>
          <xdr:col>46</xdr:col>
          <xdr:colOff>200025</xdr:colOff>
          <xdr:row>14</xdr:row>
          <xdr:rowOff>9525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13</xdr:row>
          <xdr:rowOff>180975</xdr:rowOff>
        </xdr:from>
        <xdr:to>
          <xdr:col>46</xdr:col>
          <xdr:colOff>200025</xdr:colOff>
          <xdr:row>15</xdr:row>
          <xdr:rowOff>9525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14</xdr:row>
          <xdr:rowOff>180975</xdr:rowOff>
        </xdr:from>
        <xdr:to>
          <xdr:col>46</xdr:col>
          <xdr:colOff>200025</xdr:colOff>
          <xdr:row>16</xdr:row>
          <xdr:rowOff>9525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4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15</xdr:row>
          <xdr:rowOff>171450</xdr:rowOff>
        </xdr:from>
        <xdr:to>
          <xdr:col>46</xdr:col>
          <xdr:colOff>200025</xdr:colOff>
          <xdr:row>17</xdr:row>
          <xdr:rowOff>0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4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666750</xdr:colOff>
          <xdr:row>16</xdr:row>
          <xdr:rowOff>180975</xdr:rowOff>
        </xdr:from>
        <xdr:to>
          <xdr:col>46</xdr:col>
          <xdr:colOff>200025</xdr:colOff>
          <xdr:row>18</xdr:row>
          <xdr:rowOff>9525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4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657225</xdr:colOff>
          <xdr:row>17</xdr:row>
          <xdr:rowOff>180975</xdr:rowOff>
        </xdr:from>
        <xdr:to>
          <xdr:col>46</xdr:col>
          <xdr:colOff>200025</xdr:colOff>
          <xdr:row>19</xdr:row>
          <xdr:rowOff>9525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4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8</xdr:row>
      <xdr:rowOff>180974</xdr:rowOff>
    </xdr:from>
    <xdr:to>
      <xdr:col>0</xdr:col>
      <xdr:colOff>568800</xdr:colOff>
      <xdr:row>11</xdr:row>
      <xdr:rowOff>124105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6" y="1704974"/>
          <a:ext cx="483074" cy="514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762F-26BC-46A8-A96A-0D084010186D}">
  <dimension ref="B2:T12"/>
  <sheetViews>
    <sheetView tabSelected="1" topLeftCell="A3" workbookViewId="0">
      <selection activeCell="C10" sqref="C10"/>
    </sheetView>
  </sheetViews>
  <sheetFormatPr defaultRowHeight="15" x14ac:dyDescent="0.25"/>
  <cols>
    <col min="1" max="1" width="2.5703125" customWidth="1"/>
    <col min="2" max="2" width="9.7109375" customWidth="1"/>
    <col min="3" max="3" width="10.42578125" bestFit="1" customWidth="1"/>
    <col min="4" max="4" width="17.140625" customWidth="1"/>
    <col min="5" max="5" width="8.140625" customWidth="1"/>
    <col min="6" max="6" width="7" customWidth="1"/>
    <col min="7" max="7" width="11.7109375" customWidth="1"/>
    <col min="8" max="8" width="8.140625" customWidth="1"/>
    <col min="9" max="9" width="7" customWidth="1"/>
    <col min="10" max="10" width="14.7109375" customWidth="1"/>
    <col min="11" max="11" width="8.140625" customWidth="1"/>
    <col min="12" max="12" width="7.28515625" customWidth="1"/>
    <col min="13" max="13" width="13.7109375" customWidth="1"/>
    <col min="14" max="14" width="8.28515625" customWidth="1"/>
    <col min="15" max="15" width="7" customWidth="1"/>
    <col min="17" max="17" width="7.7109375" customWidth="1"/>
    <col min="18" max="18" width="6.5703125" customWidth="1"/>
  </cols>
  <sheetData>
    <row r="2" spans="2:20" x14ac:dyDescent="0.25">
      <c r="D2" s="37" t="s">
        <v>4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2:20" ht="27.75" customHeight="1" x14ac:dyDescent="0.25">
      <c r="B3" s="10"/>
      <c r="C3" s="10"/>
      <c r="D3" s="36" t="s">
        <v>12</v>
      </c>
      <c r="E3" s="36"/>
      <c r="F3" s="36"/>
      <c r="G3" s="36" t="s">
        <v>23</v>
      </c>
      <c r="H3" s="36"/>
      <c r="I3" s="36"/>
      <c r="J3" s="36" t="s">
        <v>29</v>
      </c>
      <c r="K3" s="36"/>
      <c r="L3" s="36"/>
      <c r="M3" s="36" t="s">
        <v>36</v>
      </c>
      <c r="N3" s="36"/>
      <c r="O3" s="36"/>
      <c r="P3" s="36" t="s">
        <v>70</v>
      </c>
      <c r="Q3" s="36"/>
      <c r="R3" s="36"/>
      <c r="S3" s="9"/>
      <c r="T3" s="9"/>
    </row>
    <row r="4" spans="2:20" ht="26.25" customHeight="1" x14ac:dyDescent="0.25">
      <c r="B4" s="17" t="s">
        <v>22</v>
      </c>
      <c r="C4" s="22" t="s">
        <v>2</v>
      </c>
      <c r="D4" s="18" t="s">
        <v>15</v>
      </c>
      <c r="E4" s="17" t="s">
        <v>13</v>
      </c>
      <c r="F4" s="22" t="s">
        <v>14</v>
      </c>
      <c r="G4" s="18" t="s">
        <v>15</v>
      </c>
      <c r="H4" s="17" t="s">
        <v>13</v>
      </c>
      <c r="I4" s="22" t="s">
        <v>14</v>
      </c>
      <c r="J4" s="18" t="s">
        <v>15</v>
      </c>
      <c r="K4" s="17" t="s">
        <v>13</v>
      </c>
      <c r="L4" s="22" t="s">
        <v>14</v>
      </c>
      <c r="M4" s="18" t="s">
        <v>15</v>
      </c>
      <c r="N4" s="17" t="s">
        <v>13</v>
      </c>
      <c r="O4" s="22" t="s">
        <v>14</v>
      </c>
      <c r="P4" s="18" t="s">
        <v>15</v>
      </c>
      <c r="Q4" s="17" t="s">
        <v>13</v>
      </c>
      <c r="R4" s="22" t="s">
        <v>14</v>
      </c>
      <c r="S4" s="12"/>
      <c r="T4" s="12"/>
    </row>
    <row r="5" spans="2:20" ht="30.75" customHeight="1" x14ac:dyDescent="0.25">
      <c r="B5" s="19" t="s">
        <v>47</v>
      </c>
      <c r="C5" s="23" t="s">
        <v>3</v>
      </c>
      <c r="D5" s="20" t="s">
        <v>16</v>
      </c>
      <c r="E5" s="21">
        <v>0.56999999999999995</v>
      </c>
      <c r="F5" s="24">
        <v>627</v>
      </c>
      <c r="G5" s="20" t="s">
        <v>24</v>
      </c>
      <c r="H5" s="21">
        <v>0.65</v>
      </c>
      <c r="I5" s="24">
        <v>715</v>
      </c>
      <c r="J5" s="20" t="s">
        <v>35</v>
      </c>
      <c r="K5" s="21">
        <v>0.59</v>
      </c>
      <c r="L5" s="24">
        <v>649</v>
      </c>
      <c r="M5" s="20"/>
      <c r="N5" s="20"/>
      <c r="O5" s="23"/>
      <c r="P5" s="19"/>
      <c r="Q5" s="19">
        <f>850/1100</f>
        <v>0.77272727272727271</v>
      </c>
      <c r="R5" s="25">
        <v>850</v>
      </c>
      <c r="S5" s="19"/>
      <c r="T5" s="19"/>
    </row>
    <row r="6" spans="2:20" ht="32.25" customHeight="1" x14ac:dyDescent="0.25">
      <c r="B6" s="19" t="s">
        <v>46</v>
      </c>
      <c r="C6" s="23" t="s">
        <v>5</v>
      </c>
      <c r="D6" s="20" t="s">
        <v>17</v>
      </c>
      <c r="E6" s="21">
        <v>0.63</v>
      </c>
      <c r="F6" s="24">
        <v>31.5</v>
      </c>
      <c r="G6" s="20" t="s">
        <v>25</v>
      </c>
      <c r="H6" s="21">
        <v>0.65</v>
      </c>
      <c r="I6" s="24">
        <v>32.5</v>
      </c>
      <c r="J6" s="20" t="s">
        <v>30</v>
      </c>
      <c r="K6" s="21">
        <v>0.63</v>
      </c>
      <c r="L6" s="24">
        <v>31.5</v>
      </c>
      <c r="M6" s="20"/>
      <c r="N6" s="20"/>
      <c r="O6" s="23"/>
      <c r="P6" s="19"/>
      <c r="Q6" s="19">
        <f>47/50</f>
        <v>0.94</v>
      </c>
      <c r="R6" s="25">
        <v>47</v>
      </c>
      <c r="S6" s="19"/>
      <c r="T6" s="19"/>
    </row>
    <row r="7" spans="2:20" ht="28.5" customHeight="1" x14ac:dyDescent="0.25">
      <c r="B7" s="19" t="s">
        <v>45</v>
      </c>
      <c r="C7" s="23" t="s">
        <v>6</v>
      </c>
      <c r="D7" s="20" t="s">
        <v>19</v>
      </c>
      <c r="E7" s="21">
        <v>37</v>
      </c>
      <c r="F7" s="24">
        <v>259</v>
      </c>
      <c r="G7" s="20" t="s">
        <v>26</v>
      </c>
      <c r="H7" s="21">
        <v>40</v>
      </c>
      <c r="I7" s="24">
        <f>7*H7</f>
        <v>280</v>
      </c>
      <c r="J7" s="20" t="s">
        <v>31</v>
      </c>
      <c r="K7" s="20">
        <v>35</v>
      </c>
      <c r="L7" s="23">
        <v>245</v>
      </c>
      <c r="M7" s="20" t="s">
        <v>37</v>
      </c>
      <c r="N7" s="20">
        <v>39.99</v>
      </c>
      <c r="O7" s="23">
        <v>279.93</v>
      </c>
      <c r="P7" s="19"/>
      <c r="Q7" s="19">
        <v>35</v>
      </c>
      <c r="R7" s="25">
        <v>245</v>
      </c>
      <c r="S7" s="19"/>
      <c r="T7" s="19"/>
    </row>
    <row r="8" spans="2:20" x14ac:dyDescent="0.25">
      <c r="B8" s="19" t="s">
        <v>44</v>
      </c>
      <c r="C8" s="23" t="s">
        <v>7</v>
      </c>
      <c r="D8" s="19"/>
      <c r="E8" s="21">
        <v>65</v>
      </c>
      <c r="F8" s="24">
        <v>32.5</v>
      </c>
      <c r="G8" s="19"/>
      <c r="H8" s="21">
        <v>60</v>
      </c>
      <c r="I8" s="24">
        <v>30</v>
      </c>
      <c r="J8" s="20"/>
      <c r="K8" s="21">
        <v>75</v>
      </c>
      <c r="L8" s="24">
        <v>37.5</v>
      </c>
      <c r="M8" s="20"/>
      <c r="N8" s="20"/>
      <c r="O8" s="23"/>
      <c r="P8" s="19"/>
      <c r="Q8" s="19">
        <v>100</v>
      </c>
      <c r="R8" s="25">
        <v>50</v>
      </c>
      <c r="S8" s="19"/>
      <c r="T8" s="19"/>
    </row>
    <row r="9" spans="2:20" ht="31.5" customHeight="1" x14ac:dyDescent="0.25">
      <c r="B9" s="19" t="s">
        <v>43</v>
      </c>
      <c r="C9" s="23" t="s">
        <v>8</v>
      </c>
      <c r="D9" s="20" t="s">
        <v>18</v>
      </c>
      <c r="E9" s="21">
        <v>85</v>
      </c>
      <c r="F9" s="24">
        <v>127.5</v>
      </c>
      <c r="G9" s="19"/>
      <c r="H9" s="21">
        <v>100</v>
      </c>
      <c r="I9" s="24">
        <v>150</v>
      </c>
      <c r="J9" s="20" t="s">
        <v>32</v>
      </c>
      <c r="K9" s="21">
        <v>90</v>
      </c>
      <c r="L9" s="24">
        <v>135</v>
      </c>
      <c r="M9" s="20"/>
      <c r="N9" s="20"/>
      <c r="O9" s="23"/>
      <c r="P9" s="19"/>
      <c r="Q9" s="19">
        <f>165/3+55</f>
        <v>110</v>
      </c>
      <c r="R9" s="25">
        <v>165</v>
      </c>
      <c r="S9" s="19"/>
      <c r="T9" s="19"/>
    </row>
    <row r="10" spans="2:20" ht="46.5" customHeight="1" x14ac:dyDescent="0.25">
      <c r="B10" s="19" t="s">
        <v>42</v>
      </c>
      <c r="C10" s="23" t="s">
        <v>9</v>
      </c>
      <c r="D10" s="20" t="s">
        <v>20</v>
      </c>
      <c r="E10" s="21">
        <v>30</v>
      </c>
      <c r="F10" s="24">
        <v>60</v>
      </c>
      <c r="G10" s="20" t="s">
        <v>27</v>
      </c>
      <c r="H10" s="21">
        <v>11.5</v>
      </c>
      <c r="I10" s="24">
        <f>H10*10</f>
        <v>115</v>
      </c>
      <c r="J10" s="20" t="s">
        <v>33</v>
      </c>
      <c r="K10" s="21">
        <v>48</v>
      </c>
      <c r="L10" s="24">
        <v>96</v>
      </c>
      <c r="M10" s="20" t="s">
        <v>38</v>
      </c>
      <c r="N10" s="20">
        <v>44.99</v>
      </c>
      <c r="O10" s="23">
        <v>89.98</v>
      </c>
      <c r="P10" s="19"/>
      <c r="Q10" s="19"/>
      <c r="R10" s="25"/>
      <c r="S10" s="19"/>
      <c r="T10" s="19"/>
    </row>
    <row r="11" spans="2:20" ht="30" x14ac:dyDescent="0.25">
      <c r="B11" s="19" t="s">
        <v>41</v>
      </c>
      <c r="C11" s="23" t="s">
        <v>10</v>
      </c>
      <c r="D11" s="20" t="s">
        <v>21</v>
      </c>
      <c r="E11" s="21">
        <v>9.5</v>
      </c>
      <c r="F11" s="24">
        <v>285</v>
      </c>
      <c r="G11" s="20" t="s">
        <v>28</v>
      </c>
      <c r="H11" s="21">
        <v>13</v>
      </c>
      <c r="I11" s="24">
        <f>H11*30</f>
        <v>390</v>
      </c>
      <c r="J11" s="20" t="s">
        <v>34</v>
      </c>
      <c r="K11" s="21">
        <v>15</v>
      </c>
      <c r="L11" s="24">
        <v>450</v>
      </c>
      <c r="M11" s="20" t="s">
        <v>39</v>
      </c>
      <c r="N11" s="20">
        <v>13.99</v>
      </c>
      <c r="O11" s="23">
        <v>419.7</v>
      </c>
      <c r="P11" s="19"/>
      <c r="Q11" s="19"/>
      <c r="R11" s="25"/>
      <c r="S11" s="19"/>
      <c r="T11" s="19"/>
    </row>
    <row r="12" spans="2:20" x14ac:dyDescent="0.25">
      <c r="B12" s="19" t="s">
        <v>40</v>
      </c>
      <c r="C12" s="23" t="s">
        <v>11</v>
      </c>
      <c r="D12" s="19"/>
      <c r="E12" s="19"/>
      <c r="F12" s="25"/>
      <c r="G12" s="19"/>
      <c r="H12" s="19"/>
      <c r="I12" s="25"/>
      <c r="J12" s="19"/>
      <c r="K12" s="19"/>
      <c r="L12" s="25"/>
      <c r="M12" s="19"/>
      <c r="N12" s="19"/>
      <c r="O12" s="25"/>
      <c r="P12" s="19"/>
      <c r="Q12" s="19"/>
      <c r="R12" s="25"/>
      <c r="S12" s="19"/>
      <c r="T12" s="19"/>
    </row>
  </sheetData>
  <mergeCells count="6">
    <mergeCell ref="P3:R3"/>
    <mergeCell ref="D2:R2"/>
    <mergeCell ref="D3:F3"/>
    <mergeCell ref="G3:I3"/>
    <mergeCell ref="J3:L3"/>
    <mergeCell ref="M3:O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90AE-E48C-4D52-9FF2-ECF777B4FB67}">
  <dimension ref="B4:S17"/>
  <sheetViews>
    <sheetView topLeftCell="A6" workbookViewId="0">
      <selection activeCell="G16" sqref="G16"/>
    </sheetView>
  </sheetViews>
  <sheetFormatPr defaultRowHeight="15" x14ac:dyDescent="0.25"/>
  <cols>
    <col min="2" max="2" width="11.7109375" bestFit="1" customWidth="1"/>
    <col min="3" max="3" width="12" customWidth="1"/>
    <col min="5" max="5" width="17.140625" customWidth="1"/>
    <col min="6" max="6" width="25" customWidth="1"/>
    <col min="9" max="9" width="11.7109375" bestFit="1" customWidth="1"/>
    <col min="10" max="10" width="12.140625" customWidth="1"/>
  </cols>
  <sheetData>
    <row r="4" spans="2:19" ht="30" x14ac:dyDescent="0.25">
      <c r="B4" s="38" t="s">
        <v>50</v>
      </c>
      <c r="C4" s="38"/>
      <c r="D4" s="38"/>
      <c r="E4" s="38"/>
      <c r="F4" s="38"/>
      <c r="G4" s="38"/>
      <c r="I4" s="38" t="s">
        <v>48</v>
      </c>
      <c r="J4" s="38"/>
      <c r="K4" s="38"/>
      <c r="L4" s="38"/>
      <c r="M4" s="38"/>
      <c r="N4" s="38"/>
      <c r="S4" s="1" t="s">
        <v>48</v>
      </c>
    </row>
    <row r="5" spans="2:19" ht="30" x14ac:dyDescent="0.25">
      <c r="B5" s="6" t="s">
        <v>22</v>
      </c>
      <c r="C5" s="5" t="s">
        <v>2</v>
      </c>
      <c r="D5" s="5" t="s">
        <v>49</v>
      </c>
      <c r="E5" s="5" t="s">
        <v>15</v>
      </c>
      <c r="F5" s="5" t="s">
        <v>52</v>
      </c>
      <c r="G5" s="5" t="s">
        <v>54</v>
      </c>
      <c r="I5" s="6" t="s">
        <v>22</v>
      </c>
      <c r="J5" s="5" t="s">
        <v>2</v>
      </c>
      <c r="K5" s="5" t="s">
        <v>49</v>
      </c>
      <c r="L5" s="5" t="s">
        <v>15</v>
      </c>
      <c r="M5" s="5" t="s">
        <v>52</v>
      </c>
      <c r="N5" s="5" t="s">
        <v>54</v>
      </c>
    </row>
    <row r="6" spans="2:19" ht="30" x14ac:dyDescent="0.25">
      <c r="B6" s="3" t="s">
        <v>47</v>
      </c>
      <c r="C6" s="4" t="s">
        <v>3</v>
      </c>
      <c r="D6" s="4">
        <v>0.56999999999999995</v>
      </c>
      <c r="E6" s="4" t="s">
        <v>16</v>
      </c>
      <c r="F6" s="2" t="s">
        <v>12</v>
      </c>
      <c r="G6" s="4">
        <f>D6*1100</f>
        <v>627</v>
      </c>
      <c r="I6" s="3" t="s">
        <v>47</v>
      </c>
      <c r="J6" s="4" t="s">
        <v>3</v>
      </c>
      <c r="K6" s="4"/>
      <c r="L6" s="4"/>
      <c r="M6" s="4"/>
      <c r="N6" s="4"/>
    </row>
    <row r="7" spans="2:19" ht="45" customHeight="1" x14ac:dyDescent="0.25">
      <c r="B7" s="3" t="s">
        <v>46</v>
      </c>
      <c r="C7" s="4" t="s">
        <v>5</v>
      </c>
      <c r="D7" s="4">
        <v>0.63</v>
      </c>
      <c r="E7" s="4" t="s">
        <v>51</v>
      </c>
      <c r="F7" s="2" t="s">
        <v>53</v>
      </c>
      <c r="G7" s="4">
        <f>D7*50</f>
        <v>31.5</v>
      </c>
      <c r="I7" s="3" t="s">
        <v>46</v>
      </c>
      <c r="J7" s="4" t="s">
        <v>5</v>
      </c>
      <c r="K7" s="4"/>
      <c r="L7" s="4"/>
      <c r="M7" s="4"/>
      <c r="N7" s="4"/>
    </row>
    <row r="8" spans="2:19" ht="30" x14ac:dyDescent="0.25">
      <c r="B8" s="3" t="s">
        <v>45</v>
      </c>
      <c r="C8" s="4" t="s">
        <v>6</v>
      </c>
      <c r="D8" s="4">
        <v>35</v>
      </c>
      <c r="E8" s="4" t="s">
        <v>31</v>
      </c>
      <c r="F8" s="2" t="s">
        <v>29</v>
      </c>
      <c r="G8" s="4">
        <f>D8*7</f>
        <v>245</v>
      </c>
      <c r="I8" s="3" t="s">
        <v>45</v>
      </c>
      <c r="J8" s="4" t="s">
        <v>6</v>
      </c>
      <c r="K8" s="4"/>
      <c r="L8" s="4"/>
      <c r="M8" s="4"/>
      <c r="N8" s="4"/>
    </row>
    <row r="9" spans="2:19" ht="35.25" customHeight="1" x14ac:dyDescent="0.25">
      <c r="B9" s="3" t="s">
        <v>44</v>
      </c>
      <c r="C9" s="4" t="s">
        <v>7</v>
      </c>
      <c r="D9" s="4">
        <v>60</v>
      </c>
      <c r="E9" s="4"/>
      <c r="F9" s="2" t="s">
        <v>23</v>
      </c>
      <c r="G9" s="4">
        <f>D9/2</f>
        <v>30</v>
      </c>
      <c r="I9" s="3" t="s">
        <v>44</v>
      </c>
      <c r="J9" s="4" t="s">
        <v>7</v>
      </c>
      <c r="K9" s="4"/>
      <c r="L9" s="4"/>
      <c r="M9" s="4"/>
      <c r="N9" s="4"/>
    </row>
    <row r="10" spans="2:19" ht="30" x14ac:dyDescent="0.25">
      <c r="B10" s="3" t="s">
        <v>43</v>
      </c>
      <c r="C10" s="4" t="s">
        <v>8</v>
      </c>
      <c r="D10" s="4">
        <v>85</v>
      </c>
      <c r="E10" s="4" t="s">
        <v>18</v>
      </c>
      <c r="F10" s="2" t="s">
        <v>12</v>
      </c>
      <c r="G10" s="4">
        <f>D10+42.5</f>
        <v>127.5</v>
      </c>
      <c r="I10" s="3" t="s">
        <v>43</v>
      </c>
      <c r="J10" s="4" t="s">
        <v>8</v>
      </c>
      <c r="K10" s="4"/>
      <c r="L10" s="4"/>
      <c r="M10" s="4"/>
      <c r="N10" s="4"/>
    </row>
    <row r="11" spans="2:19" x14ac:dyDescent="0.25">
      <c r="B11" s="4" t="s">
        <v>55</v>
      </c>
      <c r="C11" s="4"/>
      <c r="D11" s="4"/>
      <c r="E11" s="4"/>
      <c r="F11" s="2"/>
      <c r="G11" s="8">
        <f>SUM(G6:G10)</f>
        <v>1061</v>
      </c>
      <c r="I11" s="7" t="s">
        <v>55</v>
      </c>
      <c r="J11" s="7"/>
      <c r="K11" s="4"/>
      <c r="L11" s="4"/>
      <c r="M11" s="4"/>
      <c r="N11" s="4"/>
    </row>
    <row r="13" spans="2:19" x14ac:dyDescent="0.25">
      <c r="C13" s="4"/>
    </row>
    <row r="14" spans="2:19" ht="30" x14ac:dyDescent="0.25">
      <c r="B14" s="3" t="s">
        <v>42</v>
      </c>
      <c r="C14" s="4" t="s">
        <v>9</v>
      </c>
      <c r="D14">
        <v>30</v>
      </c>
      <c r="E14" s="4" t="s">
        <v>20</v>
      </c>
      <c r="F14" s="2" t="s">
        <v>12</v>
      </c>
      <c r="G14">
        <f>D14*2</f>
        <v>60</v>
      </c>
      <c r="I14" s="3" t="s">
        <v>42</v>
      </c>
      <c r="J14" s="4" t="s">
        <v>9</v>
      </c>
    </row>
    <row r="15" spans="2:19" x14ac:dyDescent="0.25">
      <c r="B15" s="3" t="s">
        <v>41</v>
      </c>
      <c r="C15" s="4" t="s">
        <v>10</v>
      </c>
      <c r="D15">
        <v>9.5</v>
      </c>
      <c r="E15" s="4" t="s">
        <v>21</v>
      </c>
      <c r="F15" s="2" t="s">
        <v>12</v>
      </c>
      <c r="G15">
        <f>D15*30</f>
        <v>285</v>
      </c>
      <c r="I15" s="3" t="s">
        <v>41</v>
      </c>
      <c r="J15" s="4" t="s">
        <v>10</v>
      </c>
    </row>
    <row r="16" spans="2:19" x14ac:dyDescent="0.25">
      <c r="B16" s="3" t="s">
        <v>40</v>
      </c>
      <c r="C16" s="4" t="s">
        <v>11</v>
      </c>
      <c r="D16" s="4"/>
      <c r="I16" s="3" t="s">
        <v>40</v>
      </c>
      <c r="J16" s="4" t="s">
        <v>11</v>
      </c>
    </row>
    <row r="17" spans="7:7" x14ac:dyDescent="0.25">
      <c r="G17">
        <f>G11+G14+G15+G16</f>
        <v>1406</v>
      </c>
    </row>
  </sheetData>
  <mergeCells count="2">
    <mergeCell ref="B4:G4"/>
    <mergeCell ref="I4:N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9DC8-8C48-4184-8285-7D03C8684937}">
  <dimension ref="A1"/>
  <sheetViews>
    <sheetView workbookViewId="0">
      <selection activeCell="D4" sqref="D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6FEDE-B9B7-4154-B387-EABBD2F98626}">
  <dimension ref="D5:P23"/>
  <sheetViews>
    <sheetView workbookViewId="0">
      <selection activeCell="N16" sqref="N16"/>
    </sheetView>
  </sheetViews>
  <sheetFormatPr defaultRowHeight="15" x14ac:dyDescent="0.25"/>
  <cols>
    <col min="4" max="4" width="10.5703125" bestFit="1" customWidth="1"/>
    <col min="6" max="6" width="19.140625" bestFit="1" customWidth="1"/>
    <col min="9" max="9" width="26.5703125" bestFit="1" customWidth="1"/>
    <col min="13" max="13" width="14.140625" customWidth="1"/>
  </cols>
  <sheetData>
    <row r="5" spans="4:16" x14ac:dyDescent="0.25">
      <c r="D5" s="39" t="s">
        <v>0</v>
      </c>
      <c r="E5" s="39"/>
      <c r="F5" s="39"/>
      <c r="I5" s="39" t="s">
        <v>60</v>
      </c>
      <c r="J5" s="39"/>
      <c r="K5" s="39"/>
      <c r="M5" s="39" t="s">
        <v>68</v>
      </c>
      <c r="N5" s="39"/>
      <c r="O5" s="39"/>
      <c r="P5" s="39"/>
    </row>
    <row r="6" spans="4:16" x14ac:dyDescent="0.25">
      <c r="D6" t="s">
        <v>56</v>
      </c>
      <c r="E6">
        <v>1838.72</v>
      </c>
      <c r="I6" t="s">
        <v>61</v>
      </c>
      <c r="J6">
        <v>600</v>
      </c>
      <c r="M6" t="s">
        <v>67</v>
      </c>
      <c r="N6">
        <f>1838.72+(1302/2)</f>
        <v>2489.7200000000003</v>
      </c>
    </row>
    <row r="7" spans="4:16" x14ac:dyDescent="0.25">
      <c r="D7" t="s">
        <v>57</v>
      </c>
      <c r="E7">
        <v>1200</v>
      </c>
      <c r="F7" t="s">
        <v>59</v>
      </c>
      <c r="I7" t="s">
        <v>62</v>
      </c>
      <c r="J7">
        <v>450</v>
      </c>
      <c r="M7" t="s">
        <v>1</v>
      </c>
      <c r="N7">
        <f>J9</f>
        <v>1200</v>
      </c>
    </row>
    <row r="8" spans="4:16" x14ac:dyDescent="0.25">
      <c r="D8" t="s">
        <v>58</v>
      </c>
      <c r="E8">
        <f>1302/3</f>
        <v>434</v>
      </c>
      <c r="F8" t="s">
        <v>59</v>
      </c>
      <c r="I8" t="s">
        <v>63</v>
      </c>
      <c r="J8">
        <v>150</v>
      </c>
      <c r="M8" t="s">
        <v>2</v>
      </c>
      <c r="N8">
        <v>1061</v>
      </c>
    </row>
    <row r="9" spans="4:16" x14ac:dyDescent="0.25">
      <c r="E9">
        <f>SUM(E6:E8)</f>
        <v>3472.7200000000003</v>
      </c>
      <c r="I9" t="s">
        <v>64</v>
      </c>
      <c r="J9">
        <f>SUM(J6:J8)</f>
        <v>1200</v>
      </c>
      <c r="M9" t="s">
        <v>64</v>
      </c>
      <c r="N9">
        <f>N6-N7-N8</f>
        <v>228.72000000000025</v>
      </c>
    </row>
    <row r="11" spans="4:16" x14ac:dyDescent="0.25">
      <c r="I11" s="39" t="s">
        <v>65</v>
      </c>
      <c r="J11" s="39"/>
      <c r="K11" s="39"/>
      <c r="M11" s="39" t="s">
        <v>69</v>
      </c>
      <c r="N11" s="39"/>
      <c r="O11" s="39"/>
      <c r="P11" s="39"/>
    </row>
    <row r="12" spans="4:16" x14ac:dyDescent="0.25">
      <c r="I12" t="s">
        <v>61</v>
      </c>
      <c r="J12">
        <v>600</v>
      </c>
      <c r="M12" t="s">
        <v>67</v>
      </c>
      <c r="N12">
        <f>N6</f>
        <v>2489.7200000000003</v>
      </c>
    </row>
    <row r="13" spans="4:16" x14ac:dyDescent="0.25">
      <c r="I13" t="s">
        <v>62</v>
      </c>
      <c r="J13">
        <v>450</v>
      </c>
      <c r="M13" t="s">
        <v>1</v>
      </c>
      <c r="N13">
        <f>J16</f>
        <v>1622.4</v>
      </c>
    </row>
    <row r="14" spans="4:16" x14ac:dyDescent="0.25">
      <c r="I14" t="s">
        <v>63</v>
      </c>
      <c r="J14">
        <v>150</v>
      </c>
      <c r="M14" t="s">
        <v>2</v>
      </c>
      <c r="N14">
        <v>1406</v>
      </c>
    </row>
    <row r="15" spans="4:16" x14ac:dyDescent="0.25">
      <c r="I15" t="s">
        <v>11</v>
      </c>
      <c r="J15">
        <v>422.4</v>
      </c>
      <c r="M15" t="s">
        <v>64</v>
      </c>
      <c r="N15">
        <f>N12-N13-N14</f>
        <v>-538.67999999999984</v>
      </c>
    </row>
    <row r="16" spans="4:16" x14ac:dyDescent="0.25">
      <c r="I16" t="s">
        <v>64</v>
      </c>
      <c r="J16">
        <f>SUM(J12:J15)</f>
        <v>1622.4</v>
      </c>
    </row>
    <row r="18" spans="9:11" x14ac:dyDescent="0.25">
      <c r="I18" s="39" t="s">
        <v>66</v>
      </c>
      <c r="J18" s="39"/>
      <c r="K18" s="39"/>
    </row>
    <row r="19" spans="9:11" x14ac:dyDescent="0.25">
      <c r="I19" t="s">
        <v>61</v>
      </c>
      <c r="J19">
        <v>600</v>
      </c>
    </row>
    <row r="20" spans="9:11" x14ac:dyDescent="0.25">
      <c r="I20" t="s">
        <v>62</v>
      </c>
      <c r="J20">
        <v>450</v>
      </c>
    </row>
    <row r="21" spans="9:11" x14ac:dyDescent="0.25">
      <c r="I21" t="s">
        <v>63</v>
      </c>
      <c r="J21">
        <v>150</v>
      </c>
    </row>
    <row r="22" spans="9:11" x14ac:dyDescent="0.25">
      <c r="I22" t="s">
        <v>11</v>
      </c>
      <c r="J22">
        <v>1100</v>
      </c>
    </row>
    <row r="23" spans="9:11" x14ac:dyDescent="0.25">
      <c r="I23" t="s">
        <v>64</v>
      </c>
      <c r="J23">
        <f>SUM(J19:J22)</f>
        <v>2300</v>
      </c>
    </row>
  </sheetData>
  <mergeCells count="6">
    <mergeCell ref="D5:F5"/>
    <mergeCell ref="I5:K5"/>
    <mergeCell ref="I11:K11"/>
    <mergeCell ref="I18:K18"/>
    <mergeCell ref="M5:P5"/>
    <mergeCell ref="M11:P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E3293-BCA6-4CD4-9C06-8ABA5105CBD1}">
  <dimension ref="B1:BB103"/>
  <sheetViews>
    <sheetView topLeftCell="A55" workbookViewId="0">
      <selection activeCell="L72" sqref="L72"/>
    </sheetView>
  </sheetViews>
  <sheetFormatPr defaultRowHeight="15" x14ac:dyDescent="0.25"/>
  <cols>
    <col min="1" max="1" width="4" customWidth="1"/>
    <col min="2" max="2" width="9.5703125" bestFit="1" customWidth="1"/>
    <col min="4" max="4" width="10.140625" customWidth="1"/>
    <col min="5" max="5" width="2.7109375" customWidth="1"/>
    <col min="8" max="8" width="7.42578125" customWidth="1"/>
    <col min="9" max="9" width="2.7109375" customWidth="1"/>
    <col min="10" max="10" width="16.5703125" customWidth="1"/>
    <col min="11" max="11" width="11.42578125" bestFit="1" customWidth="1"/>
    <col min="13" max="13" width="7.28515625" customWidth="1"/>
    <col min="14" max="14" width="3.28515625" customWidth="1"/>
    <col min="15" max="15" width="26.7109375" customWidth="1"/>
    <col min="17" max="17" width="2.5703125" customWidth="1"/>
    <col min="18" max="18" width="13.7109375" bestFit="1" customWidth="1"/>
    <col min="19" max="19" width="13.7109375" customWidth="1"/>
    <col min="20" max="20" width="10.5703125" customWidth="1"/>
    <col min="22" max="22" width="12.5703125" bestFit="1" customWidth="1"/>
    <col min="27" max="27" width="16" customWidth="1"/>
    <col min="28" max="28" width="6.140625" customWidth="1"/>
    <col min="42" max="42" width="7.28515625" customWidth="1"/>
    <col min="43" max="43" width="6.140625" customWidth="1"/>
    <col min="44" max="44" width="4.85546875" customWidth="1"/>
    <col min="45" max="45" width="8.140625" customWidth="1"/>
    <col min="47" max="47" width="5.42578125" customWidth="1"/>
    <col min="48" max="48" width="8.7109375" customWidth="1"/>
    <col min="49" max="49" width="7.85546875" customWidth="1"/>
    <col min="50" max="51" width="8.28515625" customWidth="1"/>
  </cols>
  <sheetData>
    <row r="1" spans="2:54" ht="23.25" x14ac:dyDescent="0.25">
      <c r="V1" s="40" t="s">
        <v>64</v>
      </c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O1" s="40" t="s">
        <v>129</v>
      </c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29"/>
    </row>
    <row r="2" spans="2:54" ht="23.25" x14ac:dyDescent="0.25">
      <c r="B2" s="40" t="s">
        <v>105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29"/>
    </row>
    <row r="3" spans="2:54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AS3" s="34" t="s">
        <v>130</v>
      </c>
    </row>
    <row r="4" spans="2:54" x14ac:dyDescent="0.25">
      <c r="V4" s="10" t="s">
        <v>121</v>
      </c>
      <c r="W4" s="43" t="s">
        <v>78</v>
      </c>
      <c r="X4" s="43"/>
      <c r="Y4" s="43" t="s">
        <v>120</v>
      </c>
      <c r="Z4" s="43"/>
      <c r="AA4" s="43"/>
      <c r="AB4" s="43" t="s">
        <v>75</v>
      </c>
      <c r="AC4" s="43"/>
      <c r="AD4" s="43" t="s">
        <v>82</v>
      </c>
      <c r="AE4" s="43"/>
      <c r="AF4" s="43" t="s">
        <v>124</v>
      </c>
      <c r="AG4" s="43"/>
      <c r="AH4" s="43"/>
      <c r="AI4" s="43" t="s">
        <v>125</v>
      </c>
      <c r="AJ4" s="43"/>
      <c r="AK4" s="43"/>
      <c r="AL4" s="43" t="s">
        <v>116</v>
      </c>
      <c r="AM4" s="43"/>
      <c r="AO4" s="10" t="s">
        <v>121</v>
      </c>
      <c r="AP4" s="10" t="s">
        <v>130</v>
      </c>
      <c r="AQ4" s="10" t="s">
        <v>164</v>
      </c>
      <c r="AR4" s="10" t="s">
        <v>131</v>
      </c>
      <c r="AS4" s="10" t="s">
        <v>130</v>
      </c>
      <c r="AT4" s="10" t="s">
        <v>165</v>
      </c>
      <c r="AU4" s="10" t="s">
        <v>131</v>
      </c>
      <c r="AV4" s="10" t="s">
        <v>166</v>
      </c>
      <c r="AW4" s="10" t="s">
        <v>64</v>
      </c>
      <c r="AX4" s="10" t="s">
        <v>167</v>
      </c>
      <c r="AY4" s="10" t="s">
        <v>168</v>
      </c>
      <c r="AZ4" s="10"/>
      <c r="BA4" s="10" t="s">
        <v>132</v>
      </c>
      <c r="BB4" s="10"/>
    </row>
    <row r="5" spans="2:54" x14ac:dyDescent="0.25">
      <c r="B5" s="10"/>
      <c r="C5" s="43" t="s">
        <v>0</v>
      </c>
      <c r="D5" s="43"/>
      <c r="E5" s="10"/>
      <c r="F5" s="10"/>
      <c r="G5" s="43" t="s">
        <v>73</v>
      </c>
      <c r="H5" s="43"/>
      <c r="I5" s="10"/>
      <c r="J5" s="10" t="s">
        <v>75</v>
      </c>
      <c r="K5" s="10" t="s">
        <v>22</v>
      </c>
      <c r="L5" s="43" t="s">
        <v>91</v>
      </c>
      <c r="M5" s="43"/>
      <c r="N5" s="10"/>
      <c r="O5" s="43" t="s">
        <v>77</v>
      </c>
      <c r="P5" s="43"/>
      <c r="V5" s="27" t="s">
        <v>126</v>
      </c>
      <c r="W5" s="41">
        <f>G9</f>
        <v>1843.5</v>
      </c>
      <c r="X5" s="41"/>
      <c r="Y5" s="41" t="str">
        <f>B2</f>
        <v xml:space="preserve">Telhado </v>
      </c>
      <c r="Z5" s="41"/>
      <c r="AA5" s="41"/>
      <c r="AB5" s="41">
        <f>G7</f>
        <v>1203.5</v>
      </c>
      <c r="AC5" s="41"/>
      <c r="AD5" s="41">
        <f>G6</f>
        <v>600</v>
      </c>
      <c r="AE5" s="41"/>
      <c r="AF5" s="41">
        <f>P7</f>
        <v>1843.5</v>
      </c>
      <c r="AG5" s="41"/>
      <c r="AH5" s="41"/>
      <c r="AI5" s="41"/>
      <c r="AJ5" s="41"/>
      <c r="AK5" s="41"/>
      <c r="AL5" s="41"/>
      <c r="AM5" s="41"/>
      <c r="AO5" s="27">
        <v>44937</v>
      </c>
      <c r="AP5" s="12">
        <v>1</v>
      </c>
      <c r="AQ5" s="12">
        <v>63.5</v>
      </c>
      <c r="AR5" s="12"/>
      <c r="AS5" s="12"/>
      <c r="AT5" s="12"/>
      <c r="AU5" s="12"/>
      <c r="AV5" s="12">
        <v>99.89</v>
      </c>
      <c r="AW5" s="12">
        <f>AQ5+AT5</f>
        <v>63.5</v>
      </c>
      <c r="AX5" s="12">
        <f>AV5+AW5</f>
        <v>163.38999999999999</v>
      </c>
      <c r="AY5" s="12"/>
      <c r="AZ5" s="30">
        <f>P40</f>
        <v>350</v>
      </c>
      <c r="BA5" s="12">
        <v>125</v>
      </c>
      <c r="BB5" s="12"/>
    </row>
    <row r="6" spans="2:54" x14ac:dyDescent="0.25">
      <c r="B6" s="12" t="s">
        <v>71</v>
      </c>
      <c r="C6" s="41">
        <v>2674.89</v>
      </c>
      <c r="D6" s="44"/>
      <c r="E6" s="12"/>
      <c r="F6" s="12" t="s">
        <v>1</v>
      </c>
      <c r="G6" s="41">
        <v>600</v>
      </c>
      <c r="H6" s="44"/>
      <c r="I6" s="12"/>
      <c r="J6" s="12" t="s">
        <v>74</v>
      </c>
      <c r="K6" s="12">
        <v>1</v>
      </c>
      <c r="L6" s="41">
        <v>37.5</v>
      </c>
      <c r="M6" s="44"/>
      <c r="N6" s="12"/>
      <c r="O6" s="12" t="s">
        <v>0</v>
      </c>
      <c r="P6" s="15">
        <f>C6</f>
        <v>2674.89</v>
      </c>
      <c r="R6" t="s">
        <v>101</v>
      </c>
      <c r="V6" s="12" t="s">
        <v>128</v>
      </c>
      <c r="W6" s="41">
        <f>G21</f>
        <v>1006</v>
      </c>
      <c r="X6" s="41"/>
      <c r="Y6" s="41" t="str">
        <f>B12</f>
        <v>Sala e Terraço</v>
      </c>
      <c r="Z6" s="41"/>
      <c r="AA6" s="41"/>
      <c r="AB6" s="41">
        <f>G17</f>
        <v>506</v>
      </c>
      <c r="AC6" s="41"/>
      <c r="AD6" s="41">
        <f>G16</f>
        <v>500</v>
      </c>
      <c r="AE6" s="41"/>
      <c r="AF6" s="41">
        <f>T19</f>
        <v>350</v>
      </c>
      <c r="AG6" s="41"/>
      <c r="AH6" s="41"/>
      <c r="AI6" s="41">
        <f>T19</f>
        <v>350</v>
      </c>
      <c r="AJ6" s="41"/>
      <c r="AK6" s="41"/>
      <c r="AL6" s="41">
        <f>T20</f>
        <v>150</v>
      </c>
      <c r="AM6" s="41"/>
      <c r="AO6" s="27">
        <v>44968</v>
      </c>
      <c r="AP6" s="12">
        <v>2</v>
      </c>
      <c r="AQ6" s="12">
        <v>63.5</v>
      </c>
      <c r="AR6" s="12"/>
      <c r="AS6" s="12"/>
      <c r="AT6" s="12"/>
      <c r="AU6" s="12"/>
      <c r="AV6" s="12">
        <v>99.89</v>
      </c>
      <c r="AW6" s="12">
        <f t="shared" ref="AW6:AW19" si="0">AQ6+AT6</f>
        <v>63.5</v>
      </c>
      <c r="AX6" s="12">
        <f t="shared" ref="AX6:AX19" si="1">AV6+AW6</f>
        <v>163.38999999999999</v>
      </c>
      <c r="AY6" s="12"/>
      <c r="AZ6" s="12"/>
      <c r="BA6" s="12"/>
      <c r="BB6" s="12"/>
    </row>
    <row r="7" spans="2:54" x14ac:dyDescent="0.25">
      <c r="B7" s="12" t="s">
        <v>72</v>
      </c>
      <c r="C7" s="41"/>
      <c r="D7" s="44"/>
      <c r="E7" s="12"/>
      <c r="F7" s="12" t="s">
        <v>2</v>
      </c>
      <c r="G7" s="41">
        <f>L9</f>
        <v>1203.5</v>
      </c>
      <c r="H7" s="44"/>
      <c r="I7" s="12"/>
      <c r="J7" s="12" t="s">
        <v>6</v>
      </c>
      <c r="K7" s="12">
        <v>1</v>
      </c>
      <c r="L7" s="41">
        <v>32</v>
      </c>
      <c r="M7" s="44"/>
      <c r="N7" s="12"/>
      <c r="O7" s="12" t="s">
        <v>78</v>
      </c>
      <c r="P7" s="15">
        <f>G9</f>
        <v>1843.5</v>
      </c>
      <c r="R7" t="s">
        <v>102</v>
      </c>
      <c r="V7" s="12" t="s">
        <v>127</v>
      </c>
      <c r="W7" s="41">
        <f>G33</f>
        <v>172.5</v>
      </c>
      <c r="X7" s="41"/>
      <c r="Y7" s="41" t="str">
        <f>B24</f>
        <v>Reparo, encanação e eletricidade</v>
      </c>
      <c r="Z7" s="41"/>
      <c r="AA7" s="41"/>
      <c r="AB7" s="41">
        <f>G29</f>
        <v>32.5</v>
      </c>
      <c r="AC7" s="41"/>
      <c r="AD7" s="41">
        <f>G28</f>
        <v>140</v>
      </c>
      <c r="AE7" s="41"/>
      <c r="AF7" s="41">
        <f>T31</f>
        <v>172.5</v>
      </c>
      <c r="AG7" s="41"/>
      <c r="AH7" s="41"/>
      <c r="AI7" s="41"/>
      <c r="AJ7" s="41"/>
      <c r="AK7" s="41"/>
      <c r="AL7" s="41"/>
      <c r="AM7" s="41"/>
      <c r="AO7" s="27">
        <v>44996</v>
      </c>
      <c r="AP7" s="12">
        <v>3</v>
      </c>
      <c r="AQ7" s="12">
        <v>63.5</v>
      </c>
      <c r="AR7" s="12"/>
      <c r="AS7" s="12"/>
      <c r="AT7" s="12"/>
      <c r="AU7" s="12"/>
      <c r="AV7" s="12">
        <v>99.89</v>
      </c>
      <c r="AW7" s="12">
        <f t="shared" si="0"/>
        <v>63.5</v>
      </c>
      <c r="AX7" s="12">
        <f t="shared" si="1"/>
        <v>163.38999999999999</v>
      </c>
      <c r="AY7" s="12"/>
      <c r="AZ7" s="12"/>
      <c r="BA7" s="12"/>
      <c r="BB7" s="12"/>
    </row>
    <row r="8" spans="2:54" x14ac:dyDescent="0.25">
      <c r="B8" s="12" t="s">
        <v>80</v>
      </c>
      <c r="C8" s="41"/>
      <c r="D8" s="44"/>
      <c r="E8" s="12"/>
      <c r="F8" s="12" t="s">
        <v>80</v>
      </c>
      <c r="G8" s="41">
        <v>40</v>
      </c>
      <c r="H8" s="44"/>
      <c r="I8" s="12"/>
      <c r="J8" s="12" t="s">
        <v>76</v>
      </c>
      <c r="K8" s="12">
        <v>1900</v>
      </c>
      <c r="L8" s="41">
        <f>734+400</f>
        <v>1134</v>
      </c>
      <c r="M8" s="44"/>
      <c r="N8" s="12"/>
      <c r="O8" s="12" t="s">
        <v>81</v>
      </c>
      <c r="P8" s="15">
        <f>P6-P7</f>
        <v>831.38999999999987</v>
      </c>
      <c r="V8" s="28">
        <v>45297</v>
      </c>
      <c r="W8" s="41">
        <f>G45</f>
        <v>495</v>
      </c>
      <c r="X8" s="41"/>
      <c r="Y8" s="41" t="str">
        <f>B36</f>
        <v>Reboco e concerto do armário</v>
      </c>
      <c r="Z8" s="41"/>
      <c r="AA8" s="41"/>
      <c r="AB8" s="41">
        <f>G41</f>
        <v>45</v>
      </c>
      <c r="AC8" s="41"/>
      <c r="AD8" s="41">
        <f>G40</f>
        <v>450</v>
      </c>
      <c r="AE8" s="41"/>
      <c r="AF8" s="41">
        <f>T43</f>
        <v>483</v>
      </c>
      <c r="AG8" s="41"/>
      <c r="AH8" s="41"/>
      <c r="AI8" s="41"/>
      <c r="AJ8" s="41"/>
      <c r="AK8" s="41"/>
      <c r="AL8" s="41"/>
      <c r="AM8" s="41"/>
      <c r="AO8" s="27">
        <v>45027</v>
      </c>
      <c r="AP8" s="12">
        <v>4</v>
      </c>
      <c r="AQ8" s="12">
        <v>63.5</v>
      </c>
      <c r="AR8" s="12"/>
      <c r="AS8" s="12">
        <v>1</v>
      </c>
      <c r="AT8" s="12">
        <v>25.89</v>
      </c>
      <c r="AU8" s="12"/>
      <c r="AV8" s="12">
        <v>99.89</v>
      </c>
      <c r="AW8" s="12">
        <f t="shared" si="0"/>
        <v>89.39</v>
      </c>
      <c r="AX8" s="12">
        <f t="shared" si="1"/>
        <v>189.28</v>
      </c>
      <c r="AY8" s="12"/>
      <c r="AZ8" s="12"/>
      <c r="BA8" s="12"/>
      <c r="BB8" s="12"/>
    </row>
    <row r="9" spans="2:54" x14ac:dyDescent="0.25">
      <c r="B9" s="12" t="s">
        <v>64</v>
      </c>
      <c r="C9" s="41"/>
      <c r="D9" s="44"/>
      <c r="E9" s="12"/>
      <c r="F9" s="12" t="s">
        <v>64</v>
      </c>
      <c r="G9" s="41">
        <f>SUM(G6:H8)</f>
        <v>1843.5</v>
      </c>
      <c r="H9" s="44"/>
      <c r="I9" s="12"/>
      <c r="J9" s="12" t="s">
        <v>64</v>
      </c>
      <c r="K9" s="12"/>
      <c r="L9" s="41">
        <f>SUM(L6:M8)</f>
        <v>1203.5</v>
      </c>
      <c r="M9" s="44"/>
      <c r="N9" s="12"/>
      <c r="O9" s="12"/>
      <c r="P9" s="15"/>
      <c r="V9" s="28"/>
      <c r="W9" s="41">
        <f>G57</f>
        <v>300</v>
      </c>
      <c r="X9" s="41"/>
      <c r="Y9" s="41" t="str">
        <f>B48</f>
        <v>Telhado area de serviço</v>
      </c>
      <c r="Z9" s="41"/>
      <c r="AA9" s="41"/>
      <c r="AB9" s="41">
        <f>L57</f>
        <v>200</v>
      </c>
      <c r="AC9" s="41"/>
      <c r="AD9" s="41">
        <f>P57</f>
        <v>100</v>
      </c>
      <c r="AE9" s="41"/>
      <c r="AF9" s="41">
        <f>T55</f>
        <v>250</v>
      </c>
      <c r="AG9" s="41"/>
      <c r="AH9" s="41"/>
      <c r="AI9" s="41"/>
      <c r="AJ9" s="41"/>
      <c r="AK9" s="41"/>
      <c r="AL9" s="41"/>
      <c r="AM9" s="41"/>
      <c r="AO9" s="27">
        <v>45057</v>
      </c>
      <c r="AP9" s="12">
        <v>5</v>
      </c>
      <c r="AQ9" s="12">
        <v>63.5</v>
      </c>
      <c r="AR9" s="12"/>
      <c r="AS9" s="12">
        <v>2</v>
      </c>
      <c r="AT9" s="12">
        <v>25.89</v>
      </c>
      <c r="AU9" s="12"/>
      <c r="AV9" s="12">
        <v>99.89</v>
      </c>
      <c r="AW9" s="12">
        <f t="shared" si="0"/>
        <v>89.39</v>
      </c>
      <c r="AX9" s="12">
        <f t="shared" si="1"/>
        <v>189.28</v>
      </c>
      <c r="AY9" s="12"/>
      <c r="AZ9" s="12"/>
      <c r="BA9" s="12"/>
      <c r="BB9" s="12"/>
    </row>
    <row r="10" spans="2:54" x14ac:dyDescent="0.25">
      <c r="B10" t="s">
        <v>122</v>
      </c>
      <c r="C10" t="s">
        <v>123</v>
      </c>
      <c r="L10" s="39"/>
      <c r="M10" s="39"/>
      <c r="V10" s="28" t="s">
        <v>169</v>
      </c>
      <c r="W10" s="41">
        <f>T65+T78</f>
        <v>3735</v>
      </c>
      <c r="X10" s="41"/>
      <c r="Y10" s="41" t="s">
        <v>170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O10" s="27">
        <v>45088</v>
      </c>
      <c r="AP10" s="12">
        <v>6</v>
      </c>
      <c r="AQ10" s="12">
        <v>63.5</v>
      </c>
      <c r="AR10" s="12"/>
      <c r="AS10" s="12">
        <v>3</v>
      </c>
      <c r="AT10" s="12">
        <v>25.89</v>
      </c>
      <c r="AU10" s="12"/>
      <c r="AV10" s="12">
        <v>99.89</v>
      </c>
      <c r="AW10" s="12">
        <f t="shared" si="0"/>
        <v>89.39</v>
      </c>
      <c r="AX10" s="12">
        <f t="shared" si="1"/>
        <v>189.28</v>
      </c>
      <c r="AY10" s="12"/>
      <c r="AZ10" s="12"/>
      <c r="BA10" s="12"/>
      <c r="BB10" s="12"/>
    </row>
    <row r="11" spans="2:54" x14ac:dyDescent="0.25">
      <c r="C11" s="39"/>
      <c r="D11" s="39"/>
      <c r="G11" s="39"/>
      <c r="H11" s="39"/>
      <c r="L11" s="39"/>
      <c r="M11" s="39"/>
      <c r="V11" s="28" t="s">
        <v>172</v>
      </c>
      <c r="W11" s="41"/>
      <c r="X11" s="41"/>
      <c r="Y11" s="41" t="s">
        <v>171</v>
      </c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O11" s="27">
        <v>45118</v>
      </c>
      <c r="AP11" s="12">
        <v>7</v>
      </c>
      <c r="AQ11" s="12">
        <v>63.5</v>
      </c>
      <c r="AR11" s="12"/>
      <c r="AS11" s="12">
        <v>4</v>
      </c>
      <c r="AT11" s="12">
        <v>25.89</v>
      </c>
      <c r="AU11" s="12"/>
      <c r="AV11" s="12">
        <v>99.89</v>
      </c>
      <c r="AW11" s="12">
        <f t="shared" si="0"/>
        <v>89.39</v>
      </c>
      <c r="AX11" s="12">
        <f t="shared" si="1"/>
        <v>189.28</v>
      </c>
      <c r="AY11" s="12"/>
      <c r="AZ11" s="12"/>
      <c r="BA11" s="12"/>
      <c r="BB11" s="12"/>
    </row>
    <row r="12" spans="2:54" ht="15" customHeight="1" x14ac:dyDescent="0.25">
      <c r="B12" s="40" t="s">
        <v>87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V12" s="10" t="s">
        <v>64</v>
      </c>
      <c r="W12" s="42">
        <f>SUM(W5:X10)</f>
        <v>7552</v>
      </c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O12" s="27">
        <v>45149</v>
      </c>
      <c r="AP12" s="12">
        <v>8</v>
      </c>
      <c r="AQ12" s="12">
        <v>63.5</v>
      </c>
      <c r="AR12" s="12"/>
      <c r="AS12" s="12">
        <v>5</v>
      </c>
      <c r="AT12" s="12">
        <v>25.89</v>
      </c>
      <c r="AU12" s="12"/>
      <c r="AV12" s="12">
        <v>99.89</v>
      </c>
      <c r="AW12" s="12">
        <f t="shared" si="0"/>
        <v>89.39</v>
      </c>
      <c r="AX12" s="12">
        <f t="shared" si="1"/>
        <v>189.28</v>
      </c>
      <c r="AY12" s="12"/>
      <c r="AZ12" s="12"/>
      <c r="BA12" s="12"/>
      <c r="BB12" s="12"/>
    </row>
    <row r="13" spans="2:54" ht="15" customHeight="1" x14ac:dyDescent="0.25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AO13" s="27">
        <v>45180</v>
      </c>
      <c r="AP13" s="12"/>
      <c r="AQ13" s="12"/>
      <c r="AR13" s="12"/>
      <c r="AS13" s="12">
        <v>6</v>
      </c>
      <c r="AT13" s="12">
        <v>25.89</v>
      </c>
      <c r="AU13" s="12"/>
      <c r="AV13" s="12">
        <v>99.89</v>
      </c>
      <c r="AW13" s="12">
        <f t="shared" si="0"/>
        <v>25.89</v>
      </c>
      <c r="AX13" s="12">
        <f t="shared" si="1"/>
        <v>125.78</v>
      </c>
      <c r="AY13" s="12"/>
      <c r="AZ13" s="12"/>
      <c r="BA13" s="12"/>
      <c r="BB13" s="12"/>
    </row>
    <row r="14" spans="2:54" x14ac:dyDescent="0.25">
      <c r="V14" s="45" t="s">
        <v>0</v>
      </c>
      <c r="W14" s="45"/>
      <c r="X14" s="45"/>
      <c r="Y14" s="45"/>
      <c r="Z14" s="45"/>
      <c r="AO14" s="27">
        <v>45210</v>
      </c>
      <c r="AP14" s="12"/>
      <c r="AQ14" s="12"/>
      <c r="AR14" s="12"/>
      <c r="AS14" s="12">
        <v>7</v>
      </c>
      <c r="AT14" s="12">
        <v>25.89</v>
      </c>
      <c r="AU14" s="12"/>
      <c r="AV14" s="12">
        <v>99.89</v>
      </c>
      <c r="AW14" s="12">
        <f t="shared" si="0"/>
        <v>25.89</v>
      </c>
      <c r="AX14" s="12">
        <f t="shared" si="1"/>
        <v>125.78</v>
      </c>
      <c r="AY14" s="12"/>
      <c r="AZ14" s="12"/>
      <c r="BA14" s="12"/>
      <c r="BB14" s="12"/>
    </row>
    <row r="15" spans="2:54" x14ac:dyDescent="0.25">
      <c r="B15" s="10"/>
      <c r="C15" s="43" t="s">
        <v>0</v>
      </c>
      <c r="D15" s="43"/>
      <c r="E15" s="10"/>
      <c r="F15" s="10"/>
      <c r="G15" s="43" t="s">
        <v>73</v>
      </c>
      <c r="H15" s="43"/>
      <c r="I15" s="10"/>
      <c r="J15" s="10" t="s">
        <v>75</v>
      </c>
      <c r="K15" s="10" t="s">
        <v>22</v>
      </c>
      <c r="L15" s="43" t="s">
        <v>91</v>
      </c>
      <c r="M15" s="43"/>
      <c r="N15" s="10"/>
      <c r="O15" s="43" t="s">
        <v>82</v>
      </c>
      <c r="P15" s="43"/>
      <c r="Q15" s="10"/>
      <c r="R15" s="43" t="s">
        <v>77</v>
      </c>
      <c r="S15" s="43"/>
      <c r="T15" s="43"/>
      <c r="V15" s="45"/>
      <c r="W15" s="45"/>
      <c r="X15" s="45"/>
      <c r="Y15" s="45"/>
      <c r="Z15" s="45"/>
      <c r="AO15" s="27">
        <v>45241</v>
      </c>
      <c r="AP15" s="12"/>
      <c r="AQ15" s="12"/>
      <c r="AR15" s="12"/>
      <c r="AS15" s="12">
        <v>8</v>
      </c>
      <c r="AT15" s="12">
        <v>25.89</v>
      </c>
      <c r="AU15" s="12"/>
      <c r="AV15" s="12">
        <v>99.89</v>
      </c>
      <c r="AW15" s="12">
        <f t="shared" si="0"/>
        <v>25.89</v>
      </c>
      <c r="AX15" s="12">
        <f t="shared" si="1"/>
        <v>125.78</v>
      </c>
      <c r="AY15" s="12"/>
      <c r="AZ15" s="12"/>
      <c r="BA15" s="12"/>
      <c r="BB15" s="12"/>
    </row>
    <row r="16" spans="2:54" x14ac:dyDescent="0.25">
      <c r="B16" s="12" t="s">
        <v>71</v>
      </c>
      <c r="C16" s="41">
        <f>P8</f>
        <v>831.38999999999987</v>
      </c>
      <c r="D16" s="44"/>
      <c r="E16" s="12"/>
      <c r="F16" s="12" t="s">
        <v>1</v>
      </c>
      <c r="G16" s="41">
        <f>P21</f>
        <v>500</v>
      </c>
      <c r="H16" s="44"/>
      <c r="I16" s="12"/>
      <c r="J16" s="12" t="s">
        <v>6</v>
      </c>
      <c r="K16" s="12">
        <v>7</v>
      </c>
      <c r="L16" s="41">
        <f>38*K16</f>
        <v>266</v>
      </c>
      <c r="M16" s="44"/>
      <c r="N16" s="12"/>
      <c r="O16" s="12" t="s">
        <v>83</v>
      </c>
      <c r="P16" s="15">
        <f>450-100</f>
        <v>350</v>
      </c>
      <c r="Q16" s="12"/>
      <c r="R16" s="12" t="s">
        <v>0</v>
      </c>
      <c r="S16" s="12"/>
      <c r="T16" s="15">
        <f>C21</f>
        <v>911.33</v>
      </c>
      <c r="V16" s="12" t="s">
        <v>143</v>
      </c>
      <c r="W16" s="12">
        <v>600</v>
      </c>
      <c r="X16" s="12"/>
      <c r="Y16" s="12">
        <f>22*60</f>
        <v>1320</v>
      </c>
      <c r="Z16" s="12">
        <v>22</v>
      </c>
      <c r="AO16" s="27">
        <v>45271</v>
      </c>
      <c r="AP16" s="12"/>
      <c r="AQ16" s="12"/>
      <c r="AR16" s="12"/>
      <c r="AS16" s="12">
        <v>9</v>
      </c>
      <c r="AT16" s="12">
        <v>25.89</v>
      </c>
      <c r="AU16" s="12"/>
      <c r="AV16" s="12">
        <v>99.89</v>
      </c>
      <c r="AW16" s="12">
        <f t="shared" si="0"/>
        <v>25.89</v>
      </c>
      <c r="AX16" s="12">
        <f t="shared" si="1"/>
        <v>125.78</v>
      </c>
      <c r="AY16" s="12"/>
      <c r="AZ16" s="12"/>
      <c r="BA16" s="12"/>
      <c r="BB16" s="12"/>
    </row>
    <row r="17" spans="2:54" x14ac:dyDescent="0.25">
      <c r="B17" s="12" t="s">
        <v>72</v>
      </c>
      <c r="C17" s="41"/>
      <c r="D17" s="44"/>
      <c r="E17" s="12"/>
      <c r="F17" s="12" t="s">
        <v>2</v>
      </c>
      <c r="G17" s="41">
        <f>L21</f>
        <v>506</v>
      </c>
      <c r="H17" s="44"/>
      <c r="I17" s="12"/>
      <c r="J17" s="12" t="s">
        <v>7</v>
      </c>
      <c r="K17" s="12">
        <v>0.5</v>
      </c>
      <c r="L17" s="41">
        <v>32.5</v>
      </c>
      <c r="M17" s="44"/>
      <c r="N17" s="12"/>
      <c r="O17" s="12" t="s">
        <v>84</v>
      </c>
      <c r="P17" s="15">
        <v>150</v>
      </c>
      <c r="Q17" s="12"/>
      <c r="R17" s="12" t="s">
        <v>78</v>
      </c>
      <c r="S17" s="12"/>
      <c r="T17" s="15">
        <f>G21</f>
        <v>1006</v>
      </c>
      <c r="V17" s="12" t="s">
        <v>144</v>
      </c>
      <c r="W17" s="12">
        <v>290</v>
      </c>
      <c r="X17" s="12"/>
      <c r="Y17" s="12">
        <f>26*60</f>
        <v>1560</v>
      </c>
      <c r="Z17" s="12">
        <v>26</v>
      </c>
      <c r="AO17" s="27">
        <v>45302</v>
      </c>
      <c r="AP17" s="12"/>
      <c r="AQ17" s="12"/>
      <c r="AR17" s="12"/>
      <c r="AS17" s="12">
        <v>10</v>
      </c>
      <c r="AT17" s="12">
        <v>25.89</v>
      </c>
      <c r="AU17" s="12"/>
      <c r="AV17" s="12">
        <v>99.89</v>
      </c>
      <c r="AW17" s="12">
        <f t="shared" si="0"/>
        <v>25.89</v>
      </c>
      <c r="AX17" s="12">
        <f t="shared" si="1"/>
        <v>125.78</v>
      </c>
      <c r="AY17" s="12"/>
      <c r="AZ17" s="12"/>
      <c r="BA17" s="12"/>
      <c r="BB17" s="12"/>
    </row>
    <row r="18" spans="2:54" x14ac:dyDescent="0.25">
      <c r="B18" s="12" t="s">
        <v>79</v>
      </c>
      <c r="C18" s="41"/>
      <c r="D18" s="44"/>
      <c r="E18" s="12"/>
      <c r="F18" s="12" t="s">
        <v>80</v>
      </c>
      <c r="G18" s="41"/>
      <c r="H18" s="44"/>
      <c r="I18" s="12"/>
      <c r="J18" s="12" t="s">
        <v>8</v>
      </c>
      <c r="K18" s="12">
        <v>1.5</v>
      </c>
      <c r="L18" s="41">
        <v>127.5</v>
      </c>
      <c r="M18" s="44"/>
      <c r="N18" s="12"/>
      <c r="O18" s="12" t="s">
        <v>80</v>
      </c>
      <c r="P18" s="15"/>
      <c r="Q18" s="12"/>
      <c r="R18" s="12"/>
      <c r="S18" s="12" t="s">
        <v>112</v>
      </c>
      <c r="T18" s="15">
        <f>G17</f>
        <v>506</v>
      </c>
      <c r="V18" s="12" t="s">
        <v>58</v>
      </c>
      <c r="W18" s="12">
        <f>1412/3</f>
        <v>470.66666666666669</v>
      </c>
      <c r="X18" s="12"/>
      <c r="Y18" s="12">
        <f>28*60</f>
        <v>1680</v>
      </c>
      <c r="Z18" s="12">
        <v>28</v>
      </c>
      <c r="AO18" s="27">
        <v>45333</v>
      </c>
      <c r="AP18" s="12"/>
      <c r="AQ18" s="12"/>
      <c r="AR18" s="12"/>
      <c r="AS18" s="12">
        <v>11</v>
      </c>
      <c r="AT18" s="12">
        <v>25.89</v>
      </c>
      <c r="AU18" s="12"/>
      <c r="AV18" s="12">
        <v>99.89</v>
      </c>
      <c r="AW18" s="12">
        <f t="shared" si="0"/>
        <v>25.89</v>
      </c>
      <c r="AX18" s="12">
        <f t="shared" si="1"/>
        <v>125.78</v>
      </c>
      <c r="AY18" s="12"/>
      <c r="AZ18" s="12"/>
      <c r="BA18" s="12"/>
      <c r="BB18" s="12"/>
    </row>
    <row r="19" spans="2:54" x14ac:dyDescent="0.25">
      <c r="B19" s="12" t="s">
        <v>103</v>
      </c>
      <c r="C19" s="41">
        <f>1030.5-C16-119.17</f>
        <v>79.940000000000126</v>
      </c>
      <c r="D19" s="44"/>
      <c r="E19" s="12"/>
      <c r="F19" s="12"/>
      <c r="G19" s="13"/>
      <c r="H19" s="14"/>
      <c r="I19" s="12"/>
      <c r="J19" s="12" t="s">
        <v>104</v>
      </c>
      <c r="K19" s="12">
        <v>0.5</v>
      </c>
      <c r="L19" s="41">
        <v>80</v>
      </c>
      <c r="M19" s="44"/>
      <c r="N19" s="12"/>
      <c r="O19" s="12"/>
      <c r="P19" s="15"/>
      <c r="Q19" s="12"/>
      <c r="R19" s="12"/>
      <c r="S19" s="12" t="s">
        <v>86</v>
      </c>
      <c r="T19" s="26">
        <f>P16</f>
        <v>350</v>
      </c>
      <c r="V19" s="12" t="s">
        <v>145</v>
      </c>
      <c r="W19" s="12"/>
      <c r="X19" s="12"/>
      <c r="Y19" s="12"/>
      <c r="Z19" s="12"/>
      <c r="AO19" s="27">
        <v>45362</v>
      </c>
      <c r="AP19" s="12"/>
      <c r="AQ19" s="12"/>
      <c r="AR19" s="12"/>
      <c r="AS19" s="12">
        <v>12</v>
      </c>
      <c r="AT19" s="12">
        <v>25.89</v>
      </c>
      <c r="AU19" s="12"/>
      <c r="AV19" s="12">
        <v>99.89</v>
      </c>
      <c r="AW19" s="12">
        <f t="shared" si="0"/>
        <v>25.89</v>
      </c>
      <c r="AX19" s="12">
        <f t="shared" si="1"/>
        <v>125.78</v>
      </c>
      <c r="AY19" s="12"/>
      <c r="AZ19" s="12"/>
      <c r="BA19" s="12"/>
      <c r="BB19" s="12"/>
    </row>
    <row r="20" spans="2:54" x14ac:dyDescent="0.25">
      <c r="B20" s="12"/>
      <c r="C20" s="13"/>
      <c r="D20" s="14"/>
      <c r="E20" s="12"/>
      <c r="F20" s="12"/>
      <c r="G20" s="13"/>
      <c r="H20" s="14"/>
      <c r="I20" s="12"/>
      <c r="J20" s="12"/>
      <c r="K20" s="12"/>
      <c r="L20" s="13"/>
      <c r="M20" s="14"/>
      <c r="N20" s="12"/>
      <c r="O20" s="12"/>
      <c r="P20" s="15"/>
      <c r="Q20" s="12"/>
      <c r="R20" s="12"/>
      <c r="S20" s="12" t="s">
        <v>115</v>
      </c>
      <c r="T20" s="26">
        <v>150</v>
      </c>
      <c r="V20" s="9" t="s">
        <v>64</v>
      </c>
      <c r="W20" s="9">
        <f>SUM(W16:W19)</f>
        <v>1360.6666666666667</v>
      </c>
      <c r="X20" s="9"/>
      <c r="Y20" s="9"/>
      <c r="Z20" s="9"/>
    </row>
    <row r="21" spans="2:54" x14ac:dyDescent="0.25">
      <c r="B21" s="12" t="s">
        <v>64</v>
      </c>
      <c r="C21" s="41">
        <f>SUM(C16:D19)</f>
        <v>911.33</v>
      </c>
      <c r="D21" s="44"/>
      <c r="E21" s="12"/>
      <c r="F21" s="12" t="s">
        <v>64</v>
      </c>
      <c r="G21" s="41">
        <f>SUM(G16:H18)</f>
        <v>1006</v>
      </c>
      <c r="H21" s="44"/>
      <c r="I21" s="12"/>
      <c r="J21" s="12" t="s">
        <v>64</v>
      </c>
      <c r="K21" s="12"/>
      <c r="L21" s="41">
        <f>SUM(L16:M19)</f>
        <v>506</v>
      </c>
      <c r="M21" s="44"/>
      <c r="N21" s="12"/>
      <c r="O21" s="12" t="s">
        <v>64</v>
      </c>
      <c r="P21" s="15">
        <f>SUM(P16:P18)</f>
        <v>500</v>
      </c>
      <c r="Q21" s="12"/>
      <c r="R21" s="12" t="s">
        <v>81</v>
      </c>
      <c r="S21" s="12"/>
      <c r="T21" s="15">
        <f>T16-T19</f>
        <v>561.33000000000004</v>
      </c>
    </row>
    <row r="22" spans="2:54" x14ac:dyDescent="0.25">
      <c r="B22" t="s">
        <v>117</v>
      </c>
      <c r="C22" t="s">
        <v>118</v>
      </c>
    </row>
    <row r="24" spans="2:54" ht="15" customHeight="1" x14ac:dyDescent="0.25">
      <c r="B24" s="40" t="s">
        <v>109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</row>
    <row r="25" spans="2:54" ht="15" customHeight="1" x14ac:dyDescent="0.25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</row>
    <row r="27" spans="2:54" x14ac:dyDescent="0.25">
      <c r="B27" s="10"/>
      <c r="C27" s="43" t="s">
        <v>0</v>
      </c>
      <c r="D27" s="43"/>
      <c r="E27" s="10"/>
      <c r="F27" s="10"/>
      <c r="G27" s="43" t="s">
        <v>73</v>
      </c>
      <c r="H27" s="43"/>
      <c r="I27" s="10"/>
      <c r="J27" s="10" t="s">
        <v>75</v>
      </c>
      <c r="K27" s="10" t="s">
        <v>22</v>
      </c>
      <c r="L27" s="43" t="s">
        <v>91</v>
      </c>
      <c r="M27" s="43"/>
      <c r="N27" s="10"/>
      <c r="O27" s="43" t="s">
        <v>82</v>
      </c>
      <c r="P27" s="43"/>
      <c r="Q27" s="10"/>
      <c r="R27" s="43" t="s">
        <v>77</v>
      </c>
      <c r="S27" s="43"/>
      <c r="T27" s="43"/>
    </row>
    <row r="28" spans="2:54" x14ac:dyDescent="0.25">
      <c r="B28" s="12" t="s">
        <v>71</v>
      </c>
      <c r="C28" s="41">
        <f>T21</f>
        <v>561.33000000000004</v>
      </c>
      <c r="D28" s="44"/>
      <c r="E28" s="12"/>
      <c r="F28" s="12" t="s">
        <v>1</v>
      </c>
      <c r="G28" s="41">
        <f>P33</f>
        <v>140</v>
      </c>
      <c r="H28" s="44"/>
      <c r="I28" s="12"/>
      <c r="J28" s="12" t="s">
        <v>106</v>
      </c>
      <c r="K28" s="12">
        <v>2</v>
      </c>
      <c r="L28" s="41">
        <v>8</v>
      </c>
      <c r="M28" s="44"/>
      <c r="N28" s="12"/>
      <c r="O28" s="12" t="s">
        <v>83</v>
      </c>
      <c r="P28" s="15">
        <v>100</v>
      </c>
      <c r="Q28" s="12"/>
      <c r="R28" s="12" t="s">
        <v>0</v>
      </c>
      <c r="S28" s="12"/>
      <c r="T28" s="15">
        <f>C33</f>
        <v>626.33000000000004</v>
      </c>
    </row>
    <row r="29" spans="2:54" x14ac:dyDescent="0.25">
      <c r="B29" s="12" t="s">
        <v>72</v>
      </c>
      <c r="C29" s="41"/>
      <c r="D29" s="44"/>
      <c r="E29" s="12"/>
      <c r="F29" s="12" t="s">
        <v>2</v>
      </c>
      <c r="G29" s="41">
        <f>L33</f>
        <v>32.5</v>
      </c>
      <c r="H29" s="44"/>
      <c r="I29" s="12"/>
      <c r="J29" s="12" t="s">
        <v>107</v>
      </c>
      <c r="K29" s="12">
        <v>3</v>
      </c>
      <c r="L29" s="41">
        <f>3*2.5</f>
        <v>7.5</v>
      </c>
      <c r="M29" s="44"/>
      <c r="N29" s="12"/>
      <c r="O29" s="12" t="s">
        <v>108</v>
      </c>
      <c r="P29" s="15">
        <v>40</v>
      </c>
      <c r="Q29" s="12"/>
      <c r="R29" s="12" t="s">
        <v>78</v>
      </c>
      <c r="S29" s="12"/>
      <c r="T29" s="15">
        <f>G33</f>
        <v>172.5</v>
      </c>
    </row>
    <row r="30" spans="2:54" x14ac:dyDescent="0.25">
      <c r="B30" s="12" t="s">
        <v>80</v>
      </c>
      <c r="C30" s="41">
        <f>10+14+41</f>
        <v>65</v>
      </c>
      <c r="D30" s="44"/>
      <c r="E30" s="12"/>
      <c r="F30" s="12" t="s">
        <v>80</v>
      </c>
      <c r="G30" s="41"/>
      <c r="H30" s="44"/>
      <c r="I30" s="12"/>
      <c r="J30" s="12" t="s">
        <v>9</v>
      </c>
      <c r="K30" s="12">
        <v>1</v>
      </c>
      <c r="L30" s="41">
        <v>12</v>
      </c>
      <c r="M30" s="44"/>
      <c r="N30" s="12"/>
      <c r="O30" s="12" t="s">
        <v>80</v>
      </c>
      <c r="P30" s="15"/>
      <c r="Q30" s="12"/>
      <c r="R30" s="12"/>
      <c r="S30" s="12" t="s">
        <v>85</v>
      </c>
      <c r="T30" s="15"/>
    </row>
    <row r="31" spans="2:54" x14ac:dyDescent="0.25">
      <c r="B31" s="12"/>
      <c r="C31" s="41"/>
      <c r="D31" s="44"/>
      <c r="E31" s="12"/>
      <c r="F31" s="12"/>
      <c r="G31" s="13"/>
      <c r="H31" s="14"/>
      <c r="I31" s="12"/>
      <c r="J31" s="12" t="s">
        <v>113</v>
      </c>
      <c r="K31" s="12">
        <v>0</v>
      </c>
      <c r="L31" s="41"/>
      <c r="M31" s="44"/>
      <c r="N31" s="12"/>
      <c r="O31" s="12"/>
      <c r="P31" s="15"/>
      <c r="Q31" s="12"/>
      <c r="R31" s="12"/>
      <c r="S31" s="12" t="s">
        <v>86</v>
      </c>
      <c r="T31" s="15">
        <f>G33</f>
        <v>172.5</v>
      </c>
    </row>
    <row r="32" spans="2:54" x14ac:dyDescent="0.25">
      <c r="B32" s="12"/>
      <c r="C32" s="13"/>
      <c r="D32" s="14"/>
      <c r="E32" s="12"/>
      <c r="F32" s="12"/>
      <c r="G32" s="13"/>
      <c r="H32" s="14"/>
      <c r="I32" s="12"/>
      <c r="J32" s="12" t="s">
        <v>133</v>
      </c>
      <c r="K32" s="12">
        <v>1</v>
      </c>
      <c r="L32" s="41">
        <v>5</v>
      </c>
      <c r="M32" s="44"/>
      <c r="N32" s="12"/>
      <c r="O32" s="12"/>
      <c r="P32" s="15"/>
      <c r="Q32" s="12"/>
      <c r="R32" s="12"/>
      <c r="S32" s="12"/>
      <c r="T32" s="15"/>
    </row>
    <row r="33" spans="2:20" x14ac:dyDescent="0.25">
      <c r="B33" s="12" t="s">
        <v>64</v>
      </c>
      <c r="C33" s="41">
        <f>SUM(C28:D31)</f>
        <v>626.33000000000004</v>
      </c>
      <c r="D33" s="44"/>
      <c r="E33" s="12"/>
      <c r="F33" s="12" t="s">
        <v>64</v>
      </c>
      <c r="G33" s="41">
        <f>SUM(G28:H30)</f>
        <v>172.5</v>
      </c>
      <c r="H33" s="44"/>
      <c r="I33" s="12"/>
      <c r="J33" s="12" t="s">
        <v>64</v>
      </c>
      <c r="K33" s="12"/>
      <c r="L33" s="41">
        <f>SUM(L28:M32)</f>
        <v>32.5</v>
      </c>
      <c r="M33" s="44"/>
      <c r="N33" s="12"/>
      <c r="O33" s="12" t="s">
        <v>64</v>
      </c>
      <c r="P33" s="15">
        <f>SUM(P28:P30)</f>
        <v>140</v>
      </c>
      <c r="Q33" s="12"/>
      <c r="R33" s="12" t="s">
        <v>81</v>
      </c>
      <c r="S33" s="12"/>
      <c r="T33" s="15">
        <f>T28-T31</f>
        <v>453.83000000000004</v>
      </c>
    </row>
    <row r="34" spans="2:20" x14ac:dyDescent="0.25">
      <c r="B34" t="s">
        <v>117</v>
      </c>
      <c r="C34" t="s">
        <v>119</v>
      </c>
      <c r="L34">
        <v>23</v>
      </c>
    </row>
    <row r="36" spans="2:20" x14ac:dyDescent="0.25">
      <c r="B36" s="40" t="s">
        <v>140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</row>
    <row r="37" spans="2:20" x14ac:dyDescent="0.25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</row>
    <row r="39" spans="2:20" x14ac:dyDescent="0.25">
      <c r="B39" s="10"/>
      <c r="C39" s="43" t="s">
        <v>0</v>
      </c>
      <c r="D39" s="43"/>
      <c r="E39" s="10"/>
      <c r="F39" s="10"/>
      <c r="G39" s="43" t="s">
        <v>73</v>
      </c>
      <c r="H39" s="43"/>
      <c r="I39" s="10"/>
      <c r="J39" s="10" t="s">
        <v>75</v>
      </c>
      <c r="K39" s="10" t="s">
        <v>22</v>
      </c>
      <c r="L39" s="43" t="s">
        <v>91</v>
      </c>
      <c r="M39" s="43"/>
      <c r="N39" s="10"/>
      <c r="O39" s="43" t="s">
        <v>82</v>
      </c>
      <c r="P39" s="43"/>
      <c r="Q39" s="10"/>
      <c r="R39" s="43" t="s">
        <v>77</v>
      </c>
      <c r="S39" s="43"/>
      <c r="T39" s="43"/>
    </row>
    <row r="40" spans="2:20" x14ac:dyDescent="0.25">
      <c r="B40" s="12" t="s">
        <v>71</v>
      </c>
      <c r="C40" s="41">
        <f>T33</f>
        <v>453.83000000000004</v>
      </c>
      <c r="D40" s="44"/>
      <c r="E40" s="12"/>
      <c r="F40" s="12" t="s">
        <v>1</v>
      </c>
      <c r="G40" s="41">
        <f>P45</f>
        <v>450</v>
      </c>
      <c r="H40" s="44"/>
      <c r="I40" s="12"/>
      <c r="J40" s="12" t="s">
        <v>6</v>
      </c>
      <c r="K40" s="12">
        <v>1</v>
      </c>
      <c r="L40" s="41">
        <v>33</v>
      </c>
      <c r="M40" s="44"/>
      <c r="N40" s="12"/>
      <c r="O40" s="12" t="s">
        <v>83</v>
      </c>
      <c r="P40" s="15">
        <v>350</v>
      </c>
      <c r="Q40" s="12"/>
      <c r="R40" s="12" t="s">
        <v>0</v>
      </c>
      <c r="S40" s="12"/>
      <c r="T40" s="15">
        <f>C45</f>
        <v>1084.2099999999998</v>
      </c>
    </row>
    <row r="41" spans="2:20" x14ac:dyDescent="0.25">
      <c r="B41" s="12" t="s">
        <v>72</v>
      </c>
      <c r="C41" s="41">
        <v>622.02</v>
      </c>
      <c r="D41" s="44"/>
      <c r="E41" s="12"/>
      <c r="F41" s="12" t="s">
        <v>2</v>
      </c>
      <c r="G41" s="41">
        <f>L45</f>
        <v>45</v>
      </c>
      <c r="H41" s="44"/>
      <c r="I41" s="12"/>
      <c r="J41" s="12" t="s">
        <v>8</v>
      </c>
      <c r="K41" s="12" t="s">
        <v>114</v>
      </c>
      <c r="L41" s="41"/>
      <c r="M41" s="44"/>
      <c r="N41" s="12"/>
      <c r="O41" s="12" t="s">
        <v>137</v>
      </c>
      <c r="P41" s="15">
        <v>80</v>
      </c>
      <c r="Q41" s="12"/>
      <c r="R41" s="12" t="s">
        <v>78</v>
      </c>
      <c r="S41" s="12"/>
      <c r="T41" s="15">
        <f>G45</f>
        <v>495</v>
      </c>
    </row>
    <row r="42" spans="2:20" x14ac:dyDescent="0.25">
      <c r="B42" s="12" t="s">
        <v>134</v>
      </c>
      <c r="C42" s="41">
        <v>8.36</v>
      </c>
      <c r="D42" s="44"/>
      <c r="E42" s="12"/>
      <c r="F42" s="12" t="s">
        <v>80</v>
      </c>
      <c r="G42" s="41"/>
      <c r="H42" s="44"/>
      <c r="I42" s="12"/>
      <c r="J42" s="12" t="s">
        <v>7</v>
      </c>
      <c r="K42" s="12" t="s">
        <v>114</v>
      </c>
      <c r="L42" s="41"/>
      <c r="M42" s="44"/>
      <c r="N42" s="12"/>
      <c r="O42" s="12" t="s">
        <v>138</v>
      </c>
      <c r="P42" s="15">
        <v>20</v>
      </c>
      <c r="Q42" s="12"/>
      <c r="R42" s="12"/>
      <c r="S42" s="12" t="s">
        <v>85</v>
      </c>
      <c r="T42" s="15"/>
    </row>
    <row r="43" spans="2:20" x14ac:dyDescent="0.25">
      <c r="B43" s="12"/>
      <c r="C43" s="41"/>
      <c r="D43" s="44"/>
      <c r="E43" s="12"/>
      <c r="F43" s="12"/>
      <c r="G43" s="13"/>
      <c r="H43" s="14"/>
      <c r="I43" s="12"/>
      <c r="J43" s="12" t="s">
        <v>139</v>
      </c>
      <c r="K43" s="12"/>
      <c r="L43" s="41">
        <v>12</v>
      </c>
      <c r="M43" s="44"/>
      <c r="N43" s="12"/>
      <c r="O43" s="12"/>
      <c r="P43" s="15"/>
      <c r="Q43" s="12"/>
      <c r="R43" s="12"/>
      <c r="S43" s="12" t="s">
        <v>86</v>
      </c>
      <c r="T43" s="15">
        <f>L40+G40</f>
        <v>483</v>
      </c>
    </row>
    <row r="44" spans="2:20" x14ac:dyDescent="0.25">
      <c r="B44" s="12"/>
      <c r="C44" s="13"/>
      <c r="D44" s="14"/>
      <c r="E44" s="12"/>
      <c r="F44" s="12"/>
      <c r="G44" s="13"/>
      <c r="H44" s="14"/>
      <c r="I44" s="12"/>
      <c r="J44" s="12"/>
      <c r="K44" s="12"/>
      <c r="L44" s="13"/>
      <c r="M44" s="14"/>
      <c r="N44" s="12"/>
      <c r="O44" s="12"/>
      <c r="P44" s="15"/>
      <c r="Q44" s="12"/>
      <c r="R44" s="12"/>
      <c r="S44" s="12" t="s">
        <v>116</v>
      </c>
      <c r="T44" s="15"/>
    </row>
    <row r="45" spans="2:20" x14ac:dyDescent="0.25">
      <c r="B45" s="12" t="s">
        <v>64</v>
      </c>
      <c r="C45" s="41">
        <f>SUM(C40:D43)</f>
        <v>1084.2099999999998</v>
      </c>
      <c r="D45" s="44"/>
      <c r="E45" s="12"/>
      <c r="F45" s="12" t="s">
        <v>64</v>
      </c>
      <c r="G45" s="41">
        <f>SUM(G40:H42)</f>
        <v>495</v>
      </c>
      <c r="H45" s="44"/>
      <c r="I45" s="12"/>
      <c r="J45" s="12" t="s">
        <v>64</v>
      </c>
      <c r="K45" s="12"/>
      <c r="L45" s="41">
        <f>SUM(L40:M44)</f>
        <v>45</v>
      </c>
      <c r="M45" s="44"/>
      <c r="N45" s="12"/>
      <c r="O45" s="12" t="s">
        <v>64</v>
      </c>
      <c r="P45" s="15">
        <f>SUM(P40:P44)</f>
        <v>450</v>
      </c>
      <c r="Q45" s="12"/>
      <c r="R45" s="12" t="s">
        <v>81</v>
      </c>
      <c r="S45" s="12"/>
      <c r="T45" s="15">
        <f>T40-T41</f>
        <v>589.20999999999981</v>
      </c>
    </row>
    <row r="48" spans="2:20" x14ac:dyDescent="0.25">
      <c r="B48" s="40" t="s">
        <v>135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</row>
    <row r="49" spans="2:21" x14ac:dyDescent="0.25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</row>
    <row r="51" spans="2:21" x14ac:dyDescent="0.25">
      <c r="B51" s="10"/>
      <c r="C51" s="43" t="s">
        <v>0</v>
      </c>
      <c r="D51" s="43"/>
      <c r="E51" s="10"/>
      <c r="F51" s="10"/>
      <c r="G51" s="43" t="s">
        <v>73</v>
      </c>
      <c r="H51" s="43"/>
      <c r="I51" s="10"/>
      <c r="J51" s="10" t="s">
        <v>75</v>
      </c>
      <c r="K51" s="10" t="s">
        <v>22</v>
      </c>
      <c r="L51" s="43" t="s">
        <v>91</v>
      </c>
      <c r="M51" s="43"/>
      <c r="N51" s="10"/>
      <c r="O51" s="43" t="s">
        <v>82</v>
      </c>
      <c r="P51" s="43"/>
      <c r="Q51" s="10"/>
      <c r="R51" s="43" t="s">
        <v>77</v>
      </c>
      <c r="S51" s="43"/>
      <c r="T51" s="43"/>
    </row>
    <row r="52" spans="2:21" x14ac:dyDescent="0.25">
      <c r="B52" s="12" t="s">
        <v>71</v>
      </c>
      <c r="C52" s="41">
        <f>T45</f>
        <v>589.20999999999981</v>
      </c>
      <c r="D52" s="44"/>
      <c r="E52" s="12"/>
      <c r="F52" s="12" t="s">
        <v>1</v>
      </c>
      <c r="G52" s="41">
        <f>P57</f>
        <v>100</v>
      </c>
      <c r="H52" s="44"/>
      <c r="I52" s="12"/>
      <c r="J52" s="12" t="s">
        <v>136</v>
      </c>
      <c r="K52" s="12">
        <v>1</v>
      </c>
      <c r="L52" s="41">
        <v>200</v>
      </c>
      <c r="M52" s="44"/>
      <c r="N52" s="12"/>
      <c r="O52" s="12" t="s">
        <v>83</v>
      </c>
      <c r="P52" s="15">
        <v>50</v>
      </c>
      <c r="Q52" s="12"/>
      <c r="R52" s="12" t="s">
        <v>0</v>
      </c>
      <c r="S52" s="12"/>
      <c r="T52" s="15">
        <f>C57</f>
        <v>589.20999999999981</v>
      </c>
    </row>
    <row r="53" spans="2:21" x14ac:dyDescent="0.25">
      <c r="B53" s="12" t="s">
        <v>72</v>
      </c>
      <c r="C53" s="41"/>
      <c r="D53" s="44"/>
      <c r="E53" s="12"/>
      <c r="F53" s="12" t="s">
        <v>2</v>
      </c>
      <c r="G53" s="41">
        <f>L57</f>
        <v>200</v>
      </c>
      <c r="H53" s="44"/>
      <c r="I53" s="12"/>
      <c r="J53" s="12"/>
      <c r="K53" s="12"/>
      <c r="L53" s="41"/>
      <c r="M53" s="44"/>
      <c r="N53" s="12"/>
      <c r="O53" s="12" t="s">
        <v>141</v>
      </c>
      <c r="P53" s="15">
        <v>50</v>
      </c>
      <c r="Q53" s="12"/>
      <c r="R53" s="12" t="s">
        <v>78</v>
      </c>
      <c r="S53" s="12"/>
      <c r="T53" s="15">
        <f>G57</f>
        <v>300</v>
      </c>
    </row>
    <row r="54" spans="2:21" x14ac:dyDescent="0.25">
      <c r="B54" s="12" t="s">
        <v>134</v>
      </c>
      <c r="C54" s="41"/>
      <c r="D54" s="44"/>
      <c r="E54" s="12"/>
      <c r="F54" s="12" t="s">
        <v>80</v>
      </c>
      <c r="G54" s="41"/>
      <c r="H54" s="44"/>
      <c r="I54" s="12"/>
      <c r="J54" s="12"/>
      <c r="K54" s="12"/>
      <c r="L54" s="41"/>
      <c r="M54" s="44"/>
      <c r="N54" s="12"/>
      <c r="O54" s="12"/>
      <c r="P54" s="15"/>
      <c r="Q54" s="12"/>
      <c r="R54" s="12"/>
      <c r="S54" s="12" t="s">
        <v>85</v>
      </c>
      <c r="T54" s="15"/>
    </row>
    <row r="55" spans="2:21" x14ac:dyDescent="0.25">
      <c r="B55" s="12"/>
      <c r="C55" s="41"/>
      <c r="D55" s="44"/>
      <c r="E55" s="12"/>
      <c r="F55" s="12"/>
      <c r="G55" s="13"/>
      <c r="H55" s="14"/>
      <c r="I55" s="12"/>
      <c r="J55" s="12"/>
      <c r="K55" s="12"/>
      <c r="L55" s="41"/>
      <c r="M55" s="44"/>
      <c r="N55" s="12"/>
      <c r="O55" s="12"/>
      <c r="P55" s="15"/>
      <c r="Q55" s="12"/>
      <c r="R55" s="12"/>
      <c r="S55" s="12" t="s">
        <v>86</v>
      </c>
      <c r="T55" s="15">
        <f>L52+P53</f>
        <v>250</v>
      </c>
    </row>
    <row r="56" spans="2:21" x14ac:dyDescent="0.25">
      <c r="B56" s="12"/>
      <c r="C56" s="13"/>
      <c r="D56" s="14"/>
      <c r="E56" s="12"/>
      <c r="F56" s="12"/>
      <c r="G56" s="13"/>
      <c r="H56" s="14"/>
      <c r="I56" s="12"/>
      <c r="J56" s="12"/>
      <c r="K56" s="12"/>
      <c r="L56" s="13"/>
      <c r="M56" s="14"/>
      <c r="N56" s="12"/>
      <c r="O56" s="12"/>
      <c r="P56" s="15"/>
      <c r="Q56" s="12"/>
      <c r="R56" s="12"/>
      <c r="S56" s="12" t="s">
        <v>116</v>
      </c>
      <c r="T56" s="15">
        <f>P52</f>
        <v>50</v>
      </c>
    </row>
    <row r="57" spans="2:21" x14ac:dyDescent="0.25">
      <c r="B57" s="12" t="s">
        <v>64</v>
      </c>
      <c r="C57" s="41">
        <f>SUM(C52:D55)</f>
        <v>589.20999999999981</v>
      </c>
      <c r="D57" s="44"/>
      <c r="E57" s="12"/>
      <c r="F57" s="12" t="s">
        <v>64</v>
      </c>
      <c r="G57" s="41">
        <f>SUM(G52:H54)</f>
        <v>300</v>
      </c>
      <c r="H57" s="44"/>
      <c r="I57" s="12"/>
      <c r="J57" s="12" t="s">
        <v>64</v>
      </c>
      <c r="K57" s="12"/>
      <c r="L57" s="41">
        <f>SUM(L52:M54)</f>
        <v>200</v>
      </c>
      <c r="M57" s="44"/>
      <c r="N57" s="12"/>
      <c r="O57" s="12" t="s">
        <v>64</v>
      </c>
      <c r="P57" s="15">
        <f>SUM(P52:P54)</f>
        <v>100</v>
      </c>
      <c r="Q57" s="12"/>
      <c r="R57" s="12" t="s">
        <v>81</v>
      </c>
      <c r="S57" s="12"/>
      <c r="T57" s="15">
        <f>T52-T55</f>
        <v>339.20999999999981</v>
      </c>
    </row>
    <row r="58" spans="2:21" x14ac:dyDescent="0.25">
      <c r="C58" t="s">
        <v>142</v>
      </c>
    </row>
    <row r="60" spans="2:21" x14ac:dyDescent="0.25">
      <c r="B60" s="40" t="s">
        <v>163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</row>
    <row r="61" spans="2:21" x14ac:dyDescent="0.25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</row>
    <row r="63" spans="2:21" x14ac:dyDescent="0.25">
      <c r="B63" s="10"/>
      <c r="C63" s="43" t="s">
        <v>0</v>
      </c>
      <c r="D63" s="43"/>
      <c r="E63" s="10"/>
      <c r="F63" s="10"/>
      <c r="G63" s="43" t="s">
        <v>73</v>
      </c>
      <c r="H63" s="43"/>
      <c r="I63" s="10"/>
      <c r="J63" s="10" t="s">
        <v>75</v>
      </c>
      <c r="K63" s="10" t="s">
        <v>22</v>
      </c>
      <c r="L63" s="43" t="s">
        <v>91</v>
      </c>
      <c r="M63" s="43"/>
      <c r="N63" s="10"/>
      <c r="O63" s="43" t="s">
        <v>82</v>
      </c>
      <c r="P63" s="43"/>
      <c r="Q63" s="10"/>
      <c r="R63" s="43" t="s">
        <v>77</v>
      </c>
      <c r="S63" s="43"/>
      <c r="T63" s="43"/>
    </row>
    <row r="64" spans="2:21" x14ac:dyDescent="0.25">
      <c r="B64" s="12" t="s">
        <v>71</v>
      </c>
      <c r="C64" s="41">
        <v>600</v>
      </c>
      <c r="D64" s="44"/>
      <c r="E64" s="12"/>
      <c r="F64" s="12" t="s">
        <v>1</v>
      </c>
      <c r="G64" s="41">
        <f>P70</f>
        <v>35</v>
      </c>
      <c r="H64" s="44"/>
      <c r="I64" s="12"/>
      <c r="J64" s="12" t="s">
        <v>155</v>
      </c>
      <c r="K64" s="12">
        <v>60</v>
      </c>
      <c r="L64" s="41">
        <v>1788</v>
      </c>
      <c r="M64" s="44"/>
      <c r="N64" s="12"/>
      <c r="O64" s="12" t="s">
        <v>158</v>
      </c>
      <c r="P64" s="15">
        <v>35</v>
      </c>
      <c r="Q64" s="12"/>
      <c r="R64" s="12" t="s">
        <v>0</v>
      </c>
      <c r="S64" s="12"/>
      <c r="T64" s="15">
        <f>C70</f>
        <v>1832</v>
      </c>
      <c r="U64">
        <v>1800</v>
      </c>
    </row>
    <row r="65" spans="2:21" x14ac:dyDescent="0.25">
      <c r="B65" s="12" t="s">
        <v>144</v>
      </c>
      <c r="C65" s="41">
        <v>290</v>
      </c>
      <c r="D65" s="44"/>
      <c r="E65" s="12"/>
      <c r="F65" s="12" t="s">
        <v>2</v>
      </c>
      <c r="G65" s="41">
        <f>L70</f>
        <v>2317</v>
      </c>
      <c r="H65" s="44"/>
      <c r="I65" s="12"/>
      <c r="J65" s="12" t="s">
        <v>153</v>
      </c>
      <c r="K65" s="12">
        <v>10</v>
      </c>
      <c r="L65" s="41">
        <f>K65*31</f>
        <v>310</v>
      </c>
      <c r="M65" s="44"/>
      <c r="N65" s="12"/>
      <c r="O65" s="12"/>
      <c r="P65" s="15"/>
      <c r="Q65" s="12"/>
      <c r="R65" s="12" t="s">
        <v>78</v>
      </c>
      <c r="S65" s="12"/>
      <c r="T65" s="15">
        <f>G70</f>
        <v>2352</v>
      </c>
      <c r="U65">
        <f>L64+L65+L66</f>
        <v>2142</v>
      </c>
    </row>
    <row r="66" spans="2:21" x14ac:dyDescent="0.25">
      <c r="B66" s="12" t="s">
        <v>58</v>
      </c>
      <c r="C66" s="41">
        <f>1412/3</f>
        <v>470.66666666666669</v>
      </c>
      <c r="D66" s="44"/>
      <c r="E66" s="12"/>
      <c r="F66" s="12" t="s">
        <v>80</v>
      </c>
      <c r="G66" s="41"/>
      <c r="H66" s="44"/>
      <c r="I66" s="12"/>
      <c r="J66" s="12" t="s">
        <v>154</v>
      </c>
      <c r="K66" s="12">
        <v>1</v>
      </c>
      <c r="L66" s="41">
        <v>44</v>
      </c>
      <c r="M66" s="44"/>
      <c r="N66" s="12"/>
      <c r="O66" s="12"/>
      <c r="P66" s="15"/>
      <c r="Q66" s="12"/>
      <c r="R66" s="12"/>
      <c r="S66" s="12" t="s">
        <v>85</v>
      </c>
      <c r="T66" s="15">
        <f>L65</f>
        <v>310</v>
      </c>
      <c r="U66">
        <f>L65</f>
        <v>310</v>
      </c>
    </row>
    <row r="67" spans="2:21" x14ac:dyDescent="0.25">
      <c r="B67" s="12" t="s">
        <v>80</v>
      </c>
      <c r="C67" s="41">
        <f>1832-SUM(C64:D66)</f>
        <v>471.33333333333326</v>
      </c>
      <c r="D67" s="44"/>
      <c r="E67" s="12"/>
      <c r="F67" s="12"/>
      <c r="G67" s="13"/>
      <c r="H67" s="14"/>
      <c r="I67" s="12"/>
      <c r="J67" s="12" t="s">
        <v>157</v>
      </c>
      <c r="K67" s="12">
        <v>10</v>
      </c>
      <c r="L67" s="41">
        <v>175</v>
      </c>
      <c r="M67" s="44">
        <v>175</v>
      </c>
      <c r="N67" s="12"/>
      <c r="O67" s="12"/>
      <c r="P67" s="15"/>
      <c r="Q67" s="12"/>
      <c r="R67" s="12"/>
      <c r="S67" s="12" t="s">
        <v>86</v>
      </c>
      <c r="T67" s="15">
        <f>L64+L66</f>
        <v>1832</v>
      </c>
      <c r="U67">
        <f>L64+L66</f>
        <v>1832</v>
      </c>
    </row>
    <row r="68" spans="2:21" x14ac:dyDescent="0.25">
      <c r="B68" s="12"/>
      <c r="C68" s="41"/>
      <c r="D68" s="44"/>
      <c r="E68" s="12"/>
      <c r="F68" s="12"/>
      <c r="G68" s="13"/>
      <c r="H68" s="14"/>
      <c r="I68" s="12"/>
      <c r="J68" s="12"/>
      <c r="K68" s="12"/>
      <c r="L68" s="13"/>
      <c r="M68" s="14"/>
      <c r="N68" s="12"/>
      <c r="O68" s="12"/>
      <c r="P68" s="15"/>
      <c r="Q68" s="12"/>
      <c r="R68" s="12"/>
      <c r="S68" s="12" t="s">
        <v>159</v>
      </c>
      <c r="T68" s="15">
        <f>L67+P64</f>
        <v>210</v>
      </c>
    </row>
    <row r="69" spans="2:21" x14ac:dyDescent="0.25">
      <c r="B69" s="12"/>
      <c r="C69" s="13"/>
      <c r="D69" s="14"/>
      <c r="E69" s="12"/>
      <c r="F69" s="12"/>
      <c r="G69" s="13"/>
      <c r="H69" s="14"/>
      <c r="I69" s="12"/>
      <c r="J69" s="12"/>
      <c r="K69" s="12"/>
      <c r="L69" s="13"/>
      <c r="M69" s="14"/>
      <c r="N69" s="12"/>
      <c r="O69" s="12"/>
      <c r="P69" s="15"/>
      <c r="Q69" s="12"/>
      <c r="R69" s="12"/>
      <c r="S69" s="12"/>
      <c r="T69" s="15"/>
    </row>
    <row r="70" spans="2:21" x14ac:dyDescent="0.25">
      <c r="B70" s="12" t="s">
        <v>64</v>
      </c>
      <c r="C70" s="41">
        <f>SUM(C64:D67)</f>
        <v>1832</v>
      </c>
      <c r="D70" s="44"/>
      <c r="E70" s="12"/>
      <c r="F70" s="12" t="s">
        <v>64</v>
      </c>
      <c r="G70" s="41">
        <f>G65+G64</f>
        <v>2352</v>
      </c>
      <c r="H70" s="44"/>
      <c r="I70" s="12"/>
      <c r="J70" s="12" t="s">
        <v>64</v>
      </c>
      <c r="K70" s="12"/>
      <c r="L70" s="41">
        <f>L64+L65+L66+L67</f>
        <v>2317</v>
      </c>
      <c r="M70" s="44"/>
      <c r="N70" s="12"/>
      <c r="O70" s="12" t="s">
        <v>64</v>
      </c>
      <c r="P70" s="15">
        <f>SUM(P64:P68)</f>
        <v>35</v>
      </c>
      <c r="Q70" s="12"/>
      <c r="R70" s="12" t="s">
        <v>81</v>
      </c>
      <c r="S70" s="12"/>
      <c r="T70" s="15">
        <f>T64-T67</f>
        <v>0</v>
      </c>
      <c r="U70">
        <f>U64-U67</f>
        <v>-32</v>
      </c>
    </row>
    <row r="73" spans="2:21" x14ac:dyDescent="0.25">
      <c r="B73" s="40" t="s">
        <v>201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</row>
    <row r="74" spans="2:21" x14ac:dyDescent="0.25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</row>
    <row r="75" spans="2:21" x14ac:dyDescent="0.25">
      <c r="R75" t="s">
        <v>11</v>
      </c>
      <c r="S75">
        <v>29.9</v>
      </c>
    </row>
    <row r="76" spans="2:21" x14ac:dyDescent="0.25">
      <c r="B76" s="10"/>
      <c r="C76" s="43" t="s">
        <v>0</v>
      </c>
      <c r="D76" s="43"/>
      <c r="E76" s="10"/>
      <c r="F76" s="10"/>
      <c r="G76" s="43" t="s">
        <v>73</v>
      </c>
      <c r="H76" s="43"/>
      <c r="I76" s="10"/>
      <c r="J76" s="10" t="s">
        <v>75</v>
      </c>
      <c r="K76" s="10" t="s">
        <v>22</v>
      </c>
      <c r="L76" s="43" t="s">
        <v>91</v>
      </c>
      <c r="M76" s="43"/>
      <c r="N76" s="10"/>
      <c r="O76" s="43" t="s">
        <v>82</v>
      </c>
      <c r="P76" s="43"/>
      <c r="Q76" s="10"/>
      <c r="R76" s="43" t="s">
        <v>77</v>
      </c>
      <c r="S76" s="43"/>
      <c r="T76" s="43"/>
    </row>
    <row r="77" spans="2:21" x14ac:dyDescent="0.25">
      <c r="B77" s="12" t="s">
        <v>160</v>
      </c>
      <c r="C77" s="41">
        <f>1371-C78</f>
        <v>274.73</v>
      </c>
      <c r="D77" s="44"/>
      <c r="E77" s="12"/>
      <c r="F77" s="12" t="s">
        <v>1</v>
      </c>
      <c r="G77" s="41">
        <f>P83</f>
        <v>1250</v>
      </c>
      <c r="H77" s="44"/>
      <c r="I77" s="12"/>
      <c r="J77" s="12" t="s">
        <v>156</v>
      </c>
      <c r="K77" s="12">
        <v>3</v>
      </c>
      <c r="L77" s="41">
        <v>99</v>
      </c>
      <c r="M77" s="44"/>
      <c r="N77" s="12"/>
      <c r="O77" s="12" t="s">
        <v>200</v>
      </c>
      <c r="P77" s="15">
        <v>1100</v>
      </c>
      <c r="Q77" s="12"/>
      <c r="R77" s="12" t="s">
        <v>0</v>
      </c>
      <c r="S77" s="12"/>
      <c r="T77" s="15">
        <f>C83</f>
        <v>1521</v>
      </c>
    </row>
    <row r="78" spans="2:21" x14ac:dyDescent="0.25">
      <c r="B78" s="12" t="s">
        <v>161</v>
      </c>
      <c r="C78" s="41">
        <v>1096.27</v>
      </c>
      <c r="D78" s="44"/>
      <c r="E78" s="12"/>
      <c r="F78" s="12" t="s">
        <v>2</v>
      </c>
      <c r="G78" s="41">
        <f>L83</f>
        <v>133</v>
      </c>
      <c r="H78" s="44"/>
      <c r="I78" s="12"/>
      <c r="J78" s="12" t="s">
        <v>173</v>
      </c>
      <c r="K78" s="12"/>
      <c r="L78" s="41">
        <v>14</v>
      </c>
      <c r="M78" s="44"/>
      <c r="N78" s="12"/>
      <c r="O78" s="12" t="s">
        <v>152</v>
      </c>
      <c r="P78" s="15">
        <v>30</v>
      </c>
      <c r="Q78" s="12"/>
      <c r="R78" s="12" t="s">
        <v>78</v>
      </c>
      <c r="S78" s="12"/>
      <c r="T78" s="15">
        <f>G83</f>
        <v>1383</v>
      </c>
    </row>
    <row r="79" spans="2:21" x14ac:dyDescent="0.25">
      <c r="B79" s="12" t="s">
        <v>203</v>
      </c>
      <c r="C79" s="41">
        <f>120+30</f>
        <v>150</v>
      </c>
      <c r="D79" s="44"/>
      <c r="E79" s="12"/>
      <c r="F79" s="12" t="s">
        <v>80</v>
      </c>
      <c r="G79" s="41"/>
      <c r="H79" s="44"/>
      <c r="I79" s="12"/>
      <c r="J79" s="12" t="s">
        <v>6</v>
      </c>
      <c r="K79" s="12"/>
      <c r="L79" s="41">
        <v>20</v>
      </c>
      <c r="M79" s="44"/>
      <c r="N79" s="12"/>
      <c r="O79" s="12" t="s">
        <v>162</v>
      </c>
      <c r="P79" s="15">
        <v>120</v>
      </c>
      <c r="Q79" s="12"/>
      <c r="R79" s="12"/>
      <c r="S79" s="12" t="s">
        <v>85</v>
      </c>
      <c r="T79" s="15"/>
    </row>
    <row r="80" spans="2:21" x14ac:dyDescent="0.25">
      <c r="B80" s="12"/>
      <c r="C80" s="41"/>
      <c r="D80" s="44"/>
      <c r="E80" s="12"/>
      <c r="F80" s="12"/>
      <c r="G80" s="13"/>
      <c r="H80" s="14"/>
      <c r="I80" s="12"/>
      <c r="J80" s="12" t="s">
        <v>9</v>
      </c>
      <c r="K80" s="12">
        <v>1</v>
      </c>
      <c r="L80" s="41"/>
      <c r="M80" s="44"/>
      <c r="N80" s="12"/>
      <c r="O80" s="12"/>
      <c r="P80" s="15"/>
      <c r="Q80" s="12"/>
      <c r="R80" s="12"/>
      <c r="S80" s="12" t="s">
        <v>86</v>
      </c>
      <c r="T80" s="15">
        <f>SUM(P77:P80)</f>
        <v>1250</v>
      </c>
    </row>
    <row r="81" spans="2:20" x14ac:dyDescent="0.25">
      <c r="B81" s="12"/>
      <c r="C81" s="41"/>
      <c r="D81" s="44"/>
      <c r="E81" s="12"/>
      <c r="F81" s="12"/>
      <c r="G81" s="13"/>
      <c r="H81" s="14"/>
      <c r="I81" s="12"/>
      <c r="J81" s="12" t="s">
        <v>10</v>
      </c>
      <c r="K81" s="12"/>
      <c r="L81" s="41"/>
      <c r="M81" s="44"/>
      <c r="N81" s="12"/>
      <c r="O81" s="12"/>
      <c r="P81" s="15"/>
      <c r="Q81" s="12"/>
      <c r="R81" s="12"/>
      <c r="S81" s="12" t="s">
        <v>194</v>
      </c>
      <c r="T81" s="15">
        <f>L77+L78+L79</f>
        <v>133</v>
      </c>
    </row>
    <row r="82" spans="2:20" x14ac:dyDescent="0.25">
      <c r="B82" s="12"/>
      <c r="C82" s="13"/>
      <c r="D82" s="14"/>
      <c r="E82" s="12"/>
      <c r="F82" s="12"/>
      <c r="G82" s="13"/>
      <c r="H82" s="14"/>
      <c r="I82" s="12"/>
      <c r="J82" s="12"/>
      <c r="K82" s="12"/>
      <c r="L82" s="13"/>
      <c r="M82" s="14"/>
      <c r="N82" s="12"/>
      <c r="O82" s="12"/>
      <c r="P82" s="15"/>
      <c r="Q82" s="12"/>
      <c r="R82" s="12"/>
      <c r="S82" s="12"/>
      <c r="T82" s="15"/>
    </row>
    <row r="83" spans="2:20" x14ac:dyDescent="0.25">
      <c r="B83" s="12" t="s">
        <v>64</v>
      </c>
      <c r="C83" s="41">
        <f>SUM(C77:D80)</f>
        <v>1521</v>
      </c>
      <c r="D83" s="44"/>
      <c r="E83" s="12"/>
      <c r="F83" s="12" t="s">
        <v>64</v>
      </c>
      <c r="G83" s="41">
        <f>SUM(G77:H79)</f>
        <v>1383</v>
      </c>
      <c r="H83" s="44"/>
      <c r="I83" s="12"/>
      <c r="J83" s="12" t="s">
        <v>64</v>
      </c>
      <c r="K83" s="12"/>
      <c r="L83" s="41">
        <f>SUM(L77:M81)</f>
        <v>133</v>
      </c>
      <c r="M83" s="44"/>
      <c r="N83" s="12"/>
      <c r="O83" s="12" t="s">
        <v>64</v>
      </c>
      <c r="P83" s="15">
        <f>SUM(P77:P81)</f>
        <v>1250</v>
      </c>
      <c r="Q83" s="12"/>
      <c r="R83" s="12" t="s">
        <v>81</v>
      </c>
      <c r="S83" s="12"/>
      <c r="T83" s="15">
        <f>T77-T78</f>
        <v>138</v>
      </c>
    </row>
    <row r="84" spans="2:20" x14ac:dyDescent="0.25">
      <c r="B84" s="35">
        <v>45451</v>
      </c>
      <c r="C84" t="s">
        <v>195</v>
      </c>
      <c r="F84" t="s">
        <v>196</v>
      </c>
      <c r="G84" t="s">
        <v>199</v>
      </c>
    </row>
    <row r="85" spans="2:20" x14ac:dyDescent="0.25">
      <c r="B85" s="35" t="s">
        <v>197</v>
      </c>
      <c r="C85" t="s">
        <v>198</v>
      </c>
    </row>
    <row r="86" spans="2:20" x14ac:dyDescent="0.25">
      <c r="B86" s="40" t="s">
        <v>162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</row>
    <row r="87" spans="2:20" x14ac:dyDescent="0.25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</row>
    <row r="88" spans="2:20" x14ac:dyDescent="0.25">
      <c r="R88" t="s">
        <v>11</v>
      </c>
      <c r="S88">
        <v>29.9</v>
      </c>
    </row>
    <row r="89" spans="2:20" x14ac:dyDescent="0.25">
      <c r="B89" s="10"/>
      <c r="C89" s="43" t="s">
        <v>0</v>
      </c>
      <c r="D89" s="43"/>
      <c r="E89" s="10"/>
      <c r="F89" s="10"/>
      <c r="G89" s="43" t="s">
        <v>73</v>
      </c>
      <c r="H89" s="43"/>
      <c r="I89" s="10"/>
      <c r="J89" s="10" t="s">
        <v>75</v>
      </c>
      <c r="K89" s="10" t="s">
        <v>22</v>
      </c>
      <c r="L89" s="43" t="s">
        <v>91</v>
      </c>
      <c r="M89" s="43"/>
      <c r="N89" s="10"/>
      <c r="O89" s="43" t="s">
        <v>82</v>
      </c>
      <c r="P89" s="43"/>
      <c r="Q89" s="10"/>
      <c r="R89" s="43" t="s">
        <v>77</v>
      </c>
      <c r="S89" s="43"/>
      <c r="T89" s="43"/>
    </row>
    <row r="90" spans="2:20" x14ac:dyDescent="0.25">
      <c r="B90" s="12" t="s">
        <v>71</v>
      </c>
      <c r="C90" s="41">
        <f>T83</f>
        <v>138</v>
      </c>
      <c r="D90" s="44"/>
      <c r="E90" s="12"/>
      <c r="F90" s="12" t="s">
        <v>1</v>
      </c>
      <c r="G90" s="41">
        <f>P96</f>
        <v>0</v>
      </c>
      <c r="H90" s="44"/>
      <c r="I90" s="12"/>
      <c r="J90" s="12" t="s">
        <v>162</v>
      </c>
      <c r="K90" s="12">
        <v>1</v>
      </c>
      <c r="L90" s="41">
        <v>350</v>
      </c>
      <c r="M90" s="44"/>
      <c r="N90" s="12"/>
      <c r="O90" s="12"/>
      <c r="P90" s="15"/>
      <c r="Q90" s="12"/>
      <c r="R90" s="12" t="s">
        <v>0</v>
      </c>
      <c r="S90" s="12"/>
      <c r="T90" s="15">
        <f>C96</f>
        <v>138</v>
      </c>
    </row>
    <row r="91" spans="2:20" x14ac:dyDescent="0.25">
      <c r="B91" s="12"/>
      <c r="C91" s="41"/>
      <c r="D91" s="44"/>
      <c r="E91" s="12"/>
      <c r="F91" s="12" t="s">
        <v>2</v>
      </c>
      <c r="G91" s="41">
        <f>L96</f>
        <v>350</v>
      </c>
      <c r="H91" s="44"/>
      <c r="I91" s="12"/>
      <c r="J91" s="12"/>
      <c r="K91" s="12"/>
      <c r="L91" s="41"/>
      <c r="M91" s="44"/>
      <c r="N91" s="12"/>
      <c r="O91" s="12"/>
      <c r="P91" s="15"/>
      <c r="Q91" s="12"/>
      <c r="R91" s="12" t="s">
        <v>78</v>
      </c>
      <c r="S91" s="12"/>
      <c r="T91" s="15">
        <f>G96</f>
        <v>350</v>
      </c>
    </row>
    <row r="92" spans="2:20" x14ac:dyDescent="0.25">
      <c r="B92" s="12"/>
      <c r="C92" s="41"/>
      <c r="D92" s="44"/>
      <c r="E92" s="12"/>
      <c r="F92" s="12" t="s">
        <v>80</v>
      </c>
      <c r="G92" s="41"/>
      <c r="H92" s="44"/>
      <c r="I92" s="12"/>
      <c r="J92" s="12"/>
      <c r="K92" s="12"/>
      <c r="L92" s="41"/>
      <c r="M92" s="44"/>
      <c r="N92" s="12"/>
      <c r="O92" s="12"/>
      <c r="P92" s="15"/>
      <c r="Q92" s="12"/>
      <c r="R92" s="12"/>
      <c r="S92" s="12" t="s">
        <v>85</v>
      </c>
      <c r="T92" s="15"/>
    </row>
    <row r="93" spans="2:20" x14ac:dyDescent="0.25">
      <c r="B93" s="12"/>
      <c r="C93" s="41"/>
      <c r="D93" s="44"/>
      <c r="E93" s="12"/>
      <c r="F93" s="12"/>
      <c r="G93" s="13"/>
      <c r="H93" s="14"/>
      <c r="I93" s="12"/>
      <c r="J93" s="12"/>
      <c r="K93" s="12"/>
      <c r="L93" s="41"/>
      <c r="M93" s="44"/>
      <c r="N93" s="12"/>
      <c r="O93" s="12"/>
      <c r="P93" s="15"/>
      <c r="Q93" s="12"/>
      <c r="R93" s="12"/>
      <c r="S93" s="12" t="s">
        <v>86</v>
      </c>
      <c r="T93" s="15"/>
    </row>
    <row r="94" spans="2:20" x14ac:dyDescent="0.25">
      <c r="B94" s="12"/>
      <c r="C94" s="41"/>
      <c r="D94" s="44"/>
      <c r="E94" s="12"/>
      <c r="F94" s="12"/>
      <c r="G94" s="13"/>
      <c r="H94" s="14"/>
      <c r="I94" s="12"/>
      <c r="J94" s="12"/>
      <c r="K94" s="12"/>
      <c r="L94" s="41"/>
      <c r="M94" s="44"/>
      <c r="N94" s="12"/>
      <c r="O94" s="12"/>
      <c r="P94" s="15"/>
      <c r="Q94" s="12"/>
      <c r="R94" s="12"/>
      <c r="S94" s="12" t="s">
        <v>151</v>
      </c>
      <c r="T94" s="15"/>
    </row>
    <row r="95" spans="2:20" x14ac:dyDescent="0.25">
      <c r="B95" s="12"/>
      <c r="C95" s="13"/>
      <c r="D95" s="14"/>
      <c r="E95" s="12"/>
      <c r="F95" s="12"/>
      <c r="G95" s="13"/>
      <c r="H95" s="14"/>
      <c r="I95" s="12"/>
      <c r="J95" s="12"/>
      <c r="K95" s="12"/>
      <c r="L95" s="13"/>
      <c r="M95" s="14"/>
      <c r="N95" s="12"/>
      <c r="O95" s="12"/>
      <c r="P95" s="15"/>
      <c r="Q95" s="12"/>
      <c r="R95" s="12"/>
      <c r="S95" s="12"/>
      <c r="T95" s="15"/>
    </row>
    <row r="96" spans="2:20" x14ac:dyDescent="0.25">
      <c r="B96" s="12" t="s">
        <v>64</v>
      </c>
      <c r="C96" s="41">
        <f>SUM(C90:D93)</f>
        <v>138</v>
      </c>
      <c r="D96" s="44"/>
      <c r="E96" s="12"/>
      <c r="F96" s="12" t="s">
        <v>64</v>
      </c>
      <c r="G96" s="41">
        <f>SUM(G90:H92)</f>
        <v>350</v>
      </c>
      <c r="H96" s="44"/>
      <c r="I96" s="12"/>
      <c r="J96" s="12" t="s">
        <v>64</v>
      </c>
      <c r="K96" s="12"/>
      <c r="L96" s="41">
        <f>SUM(L90:M94)</f>
        <v>350</v>
      </c>
      <c r="M96" s="44"/>
      <c r="N96" s="12"/>
      <c r="O96" s="12" t="s">
        <v>64</v>
      </c>
      <c r="P96" s="15">
        <f>P90+P91+P92+P93</f>
        <v>0</v>
      </c>
      <c r="Q96" s="12"/>
      <c r="R96" s="12" t="s">
        <v>81</v>
      </c>
      <c r="S96" s="12"/>
      <c r="T96" s="15">
        <f>T90-T91</f>
        <v>-212</v>
      </c>
    </row>
    <row r="103" spans="10:10" x14ac:dyDescent="0.25">
      <c r="J103" t="s">
        <v>202</v>
      </c>
    </row>
  </sheetData>
  <mergeCells count="227">
    <mergeCell ref="C96:D96"/>
    <mergeCell ref="G96:H96"/>
    <mergeCell ref="L96:M96"/>
    <mergeCell ref="C91:D91"/>
    <mergeCell ref="G91:H91"/>
    <mergeCell ref="L91:M91"/>
    <mergeCell ref="C92:D92"/>
    <mergeCell ref="G92:H92"/>
    <mergeCell ref="L92:M92"/>
    <mergeCell ref="C93:D93"/>
    <mergeCell ref="L93:M93"/>
    <mergeCell ref="C94:D94"/>
    <mergeCell ref="L94:M94"/>
    <mergeCell ref="B86:T87"/>
    <mergeCell ref="C89:D89"/>
    <mergeCell ref="G89:H89"/>
    <mergeCell ref="L89:M89"/>
    <mergeCell ref="O89:P89"/>
    <mergeCell ref="R89:T89"/>
    <mergeCell ref="C90:D90"/>
    <mergeCell ref="G90:H90"/>
    <mergeCell ref="L90:M90"/>
    <mergeCell ref="C83:D83"/>
    <mergeCell ref="G83:H83"/>
    <mergeCell ref="L83:M83"/>
    <mergeCell ref="L80:M80"/>
    <mergeCell ref="C78:D78"/>
    <mergeCell ref="G78:H78"/>
    <mergeCell ref="L78:M78"/>
    <mergeCell ref="C79:D79"/>
    <mergeCell ref="G79:H79"/>
    <mergeCell ref="L79:M79"/>
    <mergeCell ref="C80:D80"/>
    <mergeCell ref="L77:M77"/>
    <mergeCell ref="C81:D81"/>
    <mergeCell ref="L81:M81"/>
    <mergeCell ref="B73:T74"/>
    <mergeCell ref="C76:D76"/>
    <mergeCell ref="G76:H76"/>
    <mergeCell ref="L76:M76"/>
    <mergeCell ref="O76:P76"/>
    <mergeCell ref="R76:T76"/>
    <mergeCell ref="C77:D77"/>
    <mergeCell ref="G77:H77"/>
    <mergeCell ref="C65:D65"/>
    <mergeCell ref="G65:H65"/>
    <mergeCell ref="L65:M65"/>
    <mergeCell ref="C66:D66"/>
    <mergeCell ref="G66:H66"/>
    <mergeCell ref="L66:M66"/>
    <mergeCell ref="C67:D67"/>
    <mergeCell ref="C70:D70"/>
    <mergeCell ref="G70:H70"/>
    <mergeCell ref="L70:M70"/>
    <mergeCell ref="C68:D68"/>
    <mergeCell ref="L67:M67"/>
    <mergeCell ref="V14:Z15"/>
    <mergeCell ref="B60:T61"/>
    <mergeCell ref="C63:D63"/>
    <mergeCell ref="G63:H63"/>
    <mergeCell ref="L63:M63"/>
    <mergeCell ref="O63:P63"/>
    <mergeCell ref="R63:T63"/>
    <mergeCell ref="C64:D64"/>
    <mergeCell ref="G64:H64"/>
    <mergeCell ref="L64:M64"/>
    <mergeCell ref="L51:M51"/>
    <mergeCell ref="O51:P51"/>
    <mergeCell ref="R51:T51"/>
    <mergeCell ref="C52:D52"/>
    <mergeCell ref="G52:H52"/>
    <mergeCell ref="L52:M52"/>
    <mergeCell ref="C55:D55"/>
    <mergeCell ref="L55:M55"/>
    <mergeCell ref="C57:D57"/>
    <mergeCell ref="G57:H57"/>
    <mergeCell ref="L57:M57"/>
    <mergeCell ref="G41:H41"/>
    <mergeCell ref="L41:M41"/>
    <mergeCell ref="B36:T37"/>
    <mergeCell ref="AI9:AK9"/>
    <mergeCell ref="AI10:AK10"/>
    <mergeCell ref="AL9:AM9"/>
    <mergeCell ref="AL10:AM10"/>
    <mergeCell ref="AD9:AE9"/>
    <mergeCell ref="AD10:AE10"/>
    <mergeCell ref="AF9:AH9"/>
    <mergeCell ref="AF10:AH10"/>
    <mergeCell ref="AB4:AC4"/>
    <mergeCell ref="AB5:AC5"/>
    <mergeCell ref="AB6:AC6"/>
    <mergeCell ref="AB7:AC7"/>
    <mergeCell ref="AB8:AC8"/>
    <mergeCell ref="AB9:AC9"/>
    <mergeCell ref="AB10:AC10"/>
    <mergeCell ref="AD6:AE6"/>
    <mergeCell ref="AD7:AE7"/>
    <mergeCell ref="AD8:AE8"/>
    <mergeCell ref="W9:X9"/>
    <mergeCell ref="W10:X10"/>
    <mergeCell ref="Y9:AA9"/>
    <mergeCell ref="Y10:AA10"/>
    <mergeCell ref="C53:D53"/>
    <mergeCell ref="G53:H53"/>
    <mergeCell ref="L53:M53"/>
    <mergeCell ref="C54:D54"/>
    <mergeCell ref="G54:H54"/>
    <mergeCell ref="L54:M54"/>
    <mergeCell ref="B48:T49"/>
    <mergeCell ref="C51:D51"/>
    <mergeCell ref="G51:H51"/>
    <mergeCell ref="R15:T15"/>
    <mergeCell ref="C19:D19"/>
    <mergeCell ref="C16:D16"/>
    <mergeCell ref="L16:M16"/>
    <mergeCell ref="L19:M19"/>
    <mergeCell ref="C43:D43"/>
    <mergeCell ref="L43:M43"/>
    <mergeCell ref="C40:D40"/>
    <mergeCell ref="G40:H40"/>
    <mergeCell ref="L40:M40"/>
    <mergeCell ref="C41:D41"/>
    <mergeCell ref="C39:D39"/>
    <mergeCell ref="G39:H39"/>
    <mergeCell ref="L39:M39"/>
    <mergeCell ref="O39:P39"/>
    <mergeCell ref="R39:T39"/>
    <mergeCell ref="C18:D18"/>
    <mergeCell ref="C21:D21"/>
    <mergeCell ref="G16:H16"/>
    <mergeCell ref="G17:H17"/>
    <mergeCell ref="G18:H18"/>
    <mergeCell ref="G21:H21"/>
    <mergeCell ref="L15:M15"/>
    <mergeCell ref="B2:P3"/>
    <mergeCell ref="C5:D5"/>
    <mergeCell ref="G5:H5"/>
    <mergeCell ref="G6:H6"/>
    <mergeCell ref="G7:H7"/>
    <mergeCell ref="O5:P5"/>
    <mergeCell ref="C6:D6"/>
    <mergeCell ref="C7:D7"/>
    <mergeCell ref="G11:H11"/>
    <mergeCell ref="L5:M5"/>
    <mergeCell ref="L6:M6"/>
    <mergeCell ref="L7:M7"/>
    <mergeCell ref="L8:M8"/>
    <mergeCell ref="L9:M9"/>
    <mergeCell ref="L10:M10"/>
    <mergeCell ref="G8:H8"/>
    <mergeCell ref="L11:M11"/>
    <mergeCell ref="C8:D8"/>
    <mergeCell ref="C9:D9"/>
    <mergeCell ref="C11:D11"/>
    <mergeCell ref="G9:H9"/>
    <mergeCell ref="V1:AM2"/>
    <mergeCell ref="C29:D29"/>
    <mergeCell ref="G29:H29"/>
    <mergeCell ref="L29:M29"/>
    <mergeCell ref="C33:D33"/>
    <mergeCell ref="G33:H33"/>
    <mergeCell ref="L33:M33"/>
    <mergeCell ref="C30:D30"/>
    <mergeCell ref="G30:H30"/>
    <mergeCell ref="L30:M30"/>
    <mergeCell ref="C31:D31"/>
    <mergeCell ref="L31:M31"/>
    <mergeCell ref="W5:X5"/>
    <mergeCell ref="W6:X6"/>
    <mergeCell ref="W4:X4"/>
    <mergeCell ref="AD4:AE4"/>
    <mergeCell ref="AF4:AH4"/>
    <mergeCell ref="C27:D27"/>
    <mergeCell ref="G27:H27"/>
    <mergeCell ref="L27:M27"/>
    <mergeCell ref="C28:D28"/>
    <mergeCell ref="G28:H28"/>
    <mergeCell ref="L28:M28"/>
    <mergeCell ref="O27:P27"/>
    <mergeCell ref="Y5:AA5"/>
    <mergeCell ref="Y4:AA4"/>
    <mergeCell ref="Y6:AA6"/>
    <mergeCell ref="C45:D45"/>
    <mergeCell ref="G45:H45"/>
    <mergeCell ref="L45:M45"/>
    <mergeCell ref="L32:M32"/>
    <mergeCell ref="C42:D42"/>
    <mergeCell ref="G42:H42"/>
    <mergeCell ref="L42:M42"/>
    <mergeCell ref="Y7:AA7"/>
    <mergeCell ref="Y8:AA8"/>
    <mergeCell ref="W7:X7"/>
    <mergeCell ref="W8:X8"/>
    <mergeCell ref="B24:T25"/>
    <mergeCell ref="R27:T27"/>
    <mergeCell ref="L17:M17"/>
    <mergeCell ref="L18:M18"/>
    <mergeCell ref="L21:M21"/>
    <mergeCell ref="O15:P15"/>
    <mergeCell ref="B12:T13"/>
    <mergeCell ref="C17:D17"/>
    <mergeCell ref="C15:D15"/>
    <mergeCell ref="G15:H15"/>
    <mergeCell ref="AO1:BA2"/>
    <mergeCell ref="AL8:AM8"/>
    <mergeCell ref="W12:AM12"/>
    <mergeCell ref="AL4:AM4"/>
    <mergeCell ref="AL6:AM6"/>
    <mergeCell ref="AL5:AM5"/>
    <mergeCell ref="AL7:AM7"/>
    <mergeCell ref="AF8:AH8"/>
    <mergeCell ref="AI5:AK5"/>
    <mergeCell ref="AI6:AK6"/>
    <mergeCell ref="AI7:AK7"/>
    <mergeCell ref="AI8:AK8"/>
    <mergeCell ref="AI4:AK4"/>
    <mergeCell ref="AF5:AH5"/>
    <mergeCell ref="AF6:AH6"/>
    <mergeCell ref="AF7:AH7"/>
    <mergeCell ref="AD5:AE5"/>
    <mergeCell ref="W11:X11"/>
    <mergeCell ref="Y11:AA11"/>
    <mergeCell ref="AB11:AC11"/>
    <mergeCell ref="AD11:AE11"/>
    <mergeCell ref="AF11:AH11"/>
    <mergeCell ref="AI11:AK11"/>
    <mergeCell ref="AL11:AM11"/>
  </mergeCells>
  <phoneticPr fontId="5" type="noConversion"/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3" name="Check Box 9">
              <controlPr defaultSize="0" autoFill="0" autoLine="0" autoPict="0">
                <anchor moveWithCells="1">
                  <from>
                    <xdr:col>52</xdr:col>
                    <xdr:colOff>600075</xdr:colOff>
                    <xdr:row>4</xdr:row>
                    <xdr:rowOff>0</xdr:rowOff>
                  </from>
                  <to>
                    <xdr:col>53</xdr:col>
                    <xdr:colOff>190500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4" name="Check Box 10">
              <controlPr defaultSize="0" autoFill="0" autoLine="0" autoPict="0">
                <anchor moveWithCells="1">
                  <from>
                    <xdr:col>51</xdr:col>
                    <xdr:colOff>276225</xdr:colOff>
                    <xdr:row>4</xdr:row>
                    <xdr:rowOff>0</xdr:rowOff>
                  </from>
                  <to>
                    <xdr:col>51</xdr:col>
                    <xdr:colOff>476250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42</xdr:col>
                    <xdr:colOff>657225</xdr:colOff>
                    <xdr:row>3</xdr:row>
                    <xdr:rowOff>180975</xdr:rowOff>
                  </from>
                  <to>
                    <xdr:col>43</xdr:col>
                    <xdr:colOff>200025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42</xdr:col>
                    <xdr:colOff>657225</xdr:colOff>
                    <xdr:row>4</xdr:row>
                    <xdr:rowOff>171450</xdr:rowOff>
                  </from>
                  <to>
                    <xdr:col>43</xdr:col>
                    <xdr:colOff>200025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42</xdr:col>
                    <xdr:colOff>666750</xdr:colOff>
                    <xdr:row>5</xdr:row>
                    <xdr:rowOff>180975</xdr:rowOff>
                  </from>
                  <to>
                    <xdr:col>43</xdr:col>
                    <xdr:colOff>200025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42</xdr:col>
                    <xdr:colOff>666750</xdr:colOff>
                    <xdr:row>6</xdr:row>
                    <xdr:rowOff>180975</xdr:rowOff>
                  </from>
                  <to>
                    <xdr:col>43</xdr:col>
                    <xdr:colOff>200025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43</xdr:col>
                    <xdr:colOff>0</xdr:colOff>
                    <xdr:row>7</xdr:row>
                    <xdr:rowOff>180975</xdr:rowOff>
                  </from>
                  <to>
                    <xdr:col>43</xdr:col>
                    <xdr:colOff>200025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42</xdr:col>
                    <xdr:colOff>666750</xdr:colOff>
                    <xdr:row>8</xdr:row>
                    <xdr:rowOff>171450</xdr:rowOff>
                  </from>
                  <to>
                    <xdr:col>43</xdr:col>
                    <xdr:colOff>200025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42</xdr:col>
                    <xdr:colOff>666750</xdr:colOff>
                    <xdr:row>9</xdr:row>
                    <xdr:rowOff>180975</xdr:rowOff>
                  </from>
                  <to>
                    <xdr:col>43</xdr:col>
                    <xdr:colOff>200025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42</xdr:col>
                    <xdr:colOff>657225</xdr:colOff>
                    <xdr:row>10</xdr:row>
                    <xdr:rowOff>180975</xdr:rowOff>
                  </from>
                  <to>
                    <xdr:col>43</xdr:col>
                    <xdr:colOff>200025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3" name="Check Box 11">
              <controlPr defaultSize="0" autoFill="0" autoLine="0" autoPict="0">
                <anchor moveWithCells="1">
                  <from>
                    <xdr:col>45</xdr:col>
                    <xdr:colOff>657225</xdr:colOff>
                    <xdr:row>6</xdr:row>
                    <xdr:rowOff>180975</xdr:rowOff>
                  </from>
                  <to>
                    <xdr:col>46</xdr:col>
                    <xdr:colOff>200025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4" name="Check Box 12">
              <controlPr defaultSize="0" autoFill="0" autoLine="0" autoPict="0">
                <anchor moveWithCells="1">
                  <from>
                    <xdr:col>45</xdr:col>
                    <xdr:colOff>657225</xdr:colOff>
                    <xdr:row>7</xdr:row>
                    <xdr:rowOff>171450</xdr:rowOff>
                  </from>
                  <to>
                    <xdr:col>46</xdr:col>
                    <xdr:colOff>200025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5" name="Check Box 13">
              <controlPr defaultSize="0" autoFill="0" autoLine="0" autoPict="0">
                <anchor moveWithCells="1">
                  <from>
                    <xdr:col>45</xdr:col>
                    <xdr:colOff>666750</xdr:colOff>
                    <xdr:row>8</xdr:row>
                    <xdr:rowOff>180975</xdr:rowOff>
                  </from>
                  <to>
                    <xdr:col>46</xdr:col>
                    <xdr:colOff>200025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6" name="Check Box 14">
              <controlPr defaultSize="0" autoFill="0" autoLine="0" autoPict="0">
                <anchor moveWithCells="1">
                  <from>
                    <xdr:col>45</xdr:col>
                    <xdr:colOff>666750</xdr:colOff>
                    <xdr:row>9</xdr:row>
                    <xdr:rowOff>180975</xdr:rowOff>
                  </from>
                  <to>
                    <xdr:col>46</xdr:col>
                    <xdr:colOff>200025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7" name="Check Box 15">
              <controlPr defaultSize="0" autoFill="0" autoLine="0" autoPict="0">
                <anchor moveWithCells="1">
                  <from>
                    <xdr:col>46</xdr:col>
                    <xdr:colOff>0</xdr:colOff>
                    <xdr:row>10</xdr:row>
                    <xdr:rowOff>180975</xdr:rowOff>
                  </from>
                  <to>
                    <xdr:col>46</xdr:col>
                    <xdr:colOff>200025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8" name="Check Box 16">
              <controlPr defaultSize="0" autoFill="0" autoLine="0" autoPict="0">
                <anchor moveWithCells="1">
                  <from>
                    <xdr:col>45</xdr:col>
                    <xdr:colOff>666750</xdr:colOff>
                    <xdr:row>11</xdr:row>
                    <xdr:rowOff>171450</xdr:rowOff>
                  </from>
                  <to>
                    <xdr:col>46</xdr:col>
                    <xdr:colOff>200025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19" name="Check Box 17">
              <controlPr defaultSize="0" autoFill="0" autoLine="0" autoPict="0">
                <anchor moveWithCells="1">
                  <from>
                    <xdr:col>45</xdr:col>
                    <xdr:colOff>666750</xdr:colOff>
                    <xdr:row>12</xdr:row>
                    <xdr:rowOff>180975</xdr:rowOff>
                  </from>
                  <to>
                    <xdr:col>46</xdr:col>
                    <xdr:colOff>200025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0" name="Check Box 18">
              <controlPr defaultSize="0" autoFill="0" autoLine="0" autoPict="0">
                <anchor moveWithCells="1">
                  <from>
                    <xdr:col>45</xdr:col>
                    <xdr:colOff>657225</xdr:colOff>
                    <xdr:row>13</xdr:row>
                    <xdr:rowOff>180975</xdr:rowOff>
                  </from>
                  <to>
                    <xdr:col>46</xdr:col>
                    <xdr:colOff>200025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1" name="Check Box 19">
              <controlPr defaultSize="0" autoFill="0" autoLine="0" autoPict="0">
                <anchor moveWithCells="1">
                  <from>
                    <xdr:col>46</xdr:col>
                    <xdr:colOff>0</xdr:colOff>
                    <xdr:row>14</xdr:row>
                    <xdr:rowOff>180975</xdr:rowOff>
                  </from>
                  <to>
                    <xdr:col>46</xdr:col>
                    <xdr:colOff>200025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2" name="Check Box 20">
              <controlPr defaultSize="0" autoFill="0" autoLine="0" autoPict="0">
                <anchor moveWithCells="1">
                  <from>
                    <xdr:col>45</xdr:col>
                    <xdr:colOff>666750</xdr:colOff>
                    <xdr:row>15</xdr:row>
                    <xdr:rowOff>171450</xdr:rowOff>
                  </from>
                  <to>
                    <xdr:col>46</xdr:col>
                    <xdr:colOff>200025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3" name="Check Box 21">
              <controlPr defaultSize="0" autoFill="0" autoLine="0" autoPict="0">
                <anchor moveWithCells="1">
                  <from>
                    <xdr:col>45</xdr:col>
                    <xdr:colOff>666750</xdr:colOff>
                    <xdr:row>16</xdr:row>
                    <xdr:rowOff>180975</xdr:rowOff>
                  </from>
                  <to>
                    <xdr:col>46</xdr:col>
                    <xdr:colOff>200025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4" name="Check Box 22">
              <controlPr defaultSize="0" autoFill="0" autoLine="0" autoPict="0">
                <anchor moveWithCells="1">
                  <from>
                    <xdr:col>45</xdr:col>
                    <xdr:colOff>657225</xdr:colOff>
                    <xdr:row>17</xdr:row>
                    <xdr:rowOff>180975</xdr:rowOff>
                  </from>
                  <to>
                    <xdr:col>46</xdr:col>
                    <xdr:colOff>200025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4E37-0EA3-4A2C-9A70-79792B1987B0}">
  <dimension ref="B2:Y24"/>
  <sheetViews>
    <sheetView topLeftCell="A11" workbookViewId="0">
      <selection activeCell="A28" sqref="A28"/>
    </sheetView>
  </sheetViews>
  <sheetFormatPr defaultRowHeight="15" x14ac:dyDescent="0.25"/>
  <cols>
    <col min="4" max="4" width="8.85546875" customWidth="1"/>
    <col min="5" max="5" width="3.28515625" customWidth="1"/>
    <col min="8" max="8" width="8.28515625" customWidth="1"/>
    <col min="9" max="9" width="2.42578125" customWidth="1"/>
    <col min="10" max="12" width="9.140625" customWidth="1"/>
    <col min="13" max="13" width="8" customWidth="1"/>
    <col min="14" max="14" width="3" customWidth="1"/>
    <col min="15" max="15" width="10.28515625" customWidth="1"/>
    <col min="19" max="19" width="3.85546875" customWidth="1"/>
  </cols>
  <sheetData>
    <row r="2" spans="2:25" x14ac:dyDescent="0.25">
      <c r="B2" s="40" t="s">
        <v>88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2:25" x14ac:dyDescent="0.25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T3" s="47" t="s">
        <v>149</v>
      </c>
      <c r="U3" s="47"/>
      <c r="V3" s="33">
        <v>31</v>
      </c>
    </row>
    <row r="4" spans="2:25" x14ac:dyDescent="0.25">
      <c r="P4" s="16" t="s">
        <v>96</v>
      </c>
      <c r="Q4" s="16"/>
      <c r="R4" s="16">
        <v>22</v>
      </c>
      <c r="T4" s="46" t="s">
        <v>148</v>
      </c>
      <c r="U4" s="46"/>
      <c r="V4" s="32">
        <v>29.9</v>
      </c>
    </row>
    <row r="5" spans="2:25" x14ac:dyDescent="0.25">
      <c r="B5" s="10"/>
      <c r="C5" s="43" t="s">
        <v>0</v>
      </c>
      <c r="D5" s="43"/>
      <c r="E5" s="10"/>
      <c r="F5" s="10"/>
      <c r="G5" s="43" t="s">
        <v>73</v>
      </c>
      <c r="H5" s="43"/>
      <c r="I5" s="10"/>
      <c r="J5" s="10" t="s">
        <v>2</v>
      </c>
      <c r="K5" s="10" t="s">
        <v>22</v>
      </c>
      <c r="L5" s="43" t="s">
        <v>91</v>
      </c>
      <c r="M5" s="43"/>
      <c r="N5" s="10"/>
      <c r="O5" s="43" t="s">
        <v>77</v>
      </c>
      <c r="P5" s="43"/>
      <c r="Q5" s="43"/>
      <c r="R5" s="43"/>
    </row>
    <row r="6" spans="2:25" x14ac:dyDescent="0.25">
      <c r="B6" s="12" t="s">
        <v>71</v>
      </c>
      <c r="C6" s="41">
        <f>600</f>
        <v>600</v>
      </c>
      <c r="D6" s="44"/>
      <c r="E6" s="12"/>
      <c r="F6" s="12" t="s">
        <v>1</v>
      </c>
      <c r="G6" s="41">
        <f>50*R4</f>
        <v>1100</v>
      </c>
      <c r="H6" s="44"/>
      <c r="I6" s="12"/>
      <c r="J6" s="12" t="s">
        <v>97</v>
      </c>
      <c r="K6" s="12">
        <v>60</v>
      </c>
      <c r="L6" s="41">
        <f>K6*V4</f>
        <v>1794</v>
      </c>
      <c r="M6" s="44"/>
      <c r="N6" s="12"/>
      <c r="O6" s="12" t="s">
        <v>0</v>
      </c>
      <c r="P6" s="12"/>
      <c r="Q6" s="12"/>
      <c r="R6" s="15"/>
    </row>
    <row r="7" spans="2:25" x14ac:dyDescent="0.25">
      <c r="B7" s="12" t="s">
        <v>72</v>
      </c>
      <c r="C7" s="41"/>
      <c r="D7" s="44"/>
      <c r="E7" s="12"/>
      <c r="F7" s="12" t="s">
        <v>2</v>
      </c>
      <c r="G7" s="41">
        <f>L9</f>
        <v>3016.5</v>
      </c>
      <c r="H7" s="44"/>
      <c r="I7" s="12"/>
      <c r="J7" s="12" t="s">
        <v>98</v>
      </c>
      <c r="K7" s="12">
        <f>(50/2)*1.5</f>
        <v>37.5</v>
      </c>
      <c r="L7" s="41">
        <f>K7*V3</f>
        <v>1162.5</v>
      </c>
      <c r="M7" s="44"/>
      <c r="N7" s="12"/>
      <c r="O7" s="12" t="s">
        <v>78</v>
      </c>
      <c r="P7" s="12"/>
      <c r="Q7" s="12"/>
      <c r="R7" s="15"/>
    </row>
    <row r="8" spans="2:25" x14ac:dyDescent="0.25">
      <c r="B8" s="12" t="s">
        <v>79</v>
      </c>
      <c r="C8" s="41"/>
      <c r="D8" s="44"/>
      <c r="E8" s="12"/>
      <c r="F8" s="12" t="s">
        <v>80</v>
      </c>
      <c r="G8" s="41"/>
      <c r="H8" s="44"/>
      <c r="I8" s="12"/>
      <c r="J8" s="12" t="s">
        <v>99</v>
      </c>
      <c r="K8" s="12">
        <v>10</v>
      </c>
      <c r="L8" s="41">
        <v>60</v>
      </c>
      <c r="M8" s="44"/>
      <c r="N8" s="12"/>
      <c r="O8" s="12" t="s">
        <v>81</v>
      </c>
      <c r="P8" s="12"/>
      <c r="Q8" s="12"/>
      <c r="R8" s="15"/>
    </row>
    <row r="9" spans="2:25" x14ac:dyDescent="0.25">
      <c r="B9" s="12" t="s">
        <v>64</v>
      </c>
      <c r="C9" s="41"/>
      <c r="D9" s="44"/>
      <c r="E9" s="12"/>
      <c r="F9" s="12" t="s">
        <v>64</v>
      </c>
      <c r="G9" s="41"/>
      <c r="H9" s="44"/>
      <c r="I9" s="12"/>
      <c r="J9" s="12" t="s">
        <v>64</v>
      </c>
      <c r="K9" s="12"/>
      <c r="L9" s="41">
        <f>SUM(L6:M8)</f>
        <v>3016.5</v>
      </c>
      <c r="M9" s="44"/>
      <c r="N9" s="12"/>
      <c r="O9" s="12"/>
      <c r="P9" s="12"/>
      <c r="Q9" s="12"/>
      <c r="R9" s="15"/>
    </row>
    <row r="11" spans="2:25" ht="15" customHeight="1" x14ac:dyDescent="0.25">
      <c r="B11" s="40" t="str">
        <f>"Cerâmica (por etapa - "&amp;U13&amp;")"</f>
        <v>Cerâmica (por etapa - Cozinha)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spans="2:25" ht="15" customHeight="1" x14ac:dyDescent="0.25"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spans="2:25" x14ac:dyDescent="0.25">
      <c r="T13" s="16" t="s">
        <v>100</v>
      </c>
      <c r="U13" s="16" t="s">
        <v>92</v>
      </c>
      <c r="V13" s="16"/>
    </row>
    <row r="14" spans="2:25" x14ac:dyDescent="0.25">
      <c r="B14" s="10"/>
      <c r="C14" s="43" t="s">
        <v>0</v>
      </c>
      <c r="D14" s="43"/>
      <c r="E14" s="10"/>
      <c r="F14" s="10"/>
      <c r="G14" s="43" t="s">
        <v>73</v>
      </c>
      <c r="H14" s="43"/>
      <c r="I14" s="10"/>
      <c r="J14" s="10" t="s">
        <v>2</v>
      </c>
      <c r="K14" s="10" t="s">
        <v>22</v>
      </c>
      <c r="L14" s="43" t="s">
        <v>91</v>
      </c>
      <c r="M14" s="43"/>
      <c r="N14" s="10"/>
      <c r="O14" s="11" t="s">
        <v>10</v>
      </c>
      <c r="P14" s="11" t="s">
        <v>90</v>
      </c>
      <c r="Q14" s="11" t="s">
        <v>150</v>
      </c>
      <c r="R14" s="10" t="s">
        <v>91</v>
      </c>
      <c r="S14" s="10"/>
      <c r="T14" s="11" t="s">
        <v>1</v>
      </c>
      <c r="U14" s="11" t="s">
        <v>90</v>
      </c>
      <c r="V14" s="11" t="s">
        <v>91</v>
      </c>
      <c r="W14" s="43" t="s">
        <v>77</v>
      </c>
      <c r="X14" s="43"/>
      <c r="Y14" s="43"/>
    </row>
    <row r="15" spans="2:25" x14ac:dyDescent="0.25">
      <c r="B15" s="12" t="s">
        <v>143</v>
      </c>
      <c r="C15" s="41">
        <f>C6</f>
        <v>600</v>
      </c>
      <c r="D15" s="44"/>
      <c r="E15" s="12"/>
      <c r="F15" s="12" t="s">
        <v>1</v>
      </c>
      <c r="G15" s="41">
        <f>IF(U13=T15,V15,IF(U13=T16,V16,IF(U13=T19,V19,0)))</f>
        <v>306.90000000000003</v>
      </c>
      <c r="H15" s="44"/>
      <c r="I15" s="12"/>
      <c r="J15" s="12" t="s">
        <v>97</v>
      </c>
      <c r="K15" s="12">
        <v>60</v>
      </c>
      <c r="L15" s="41">
        <f>K15*V4</f>
        <v>1794</v>
      </c>
      <c r="M15" s="44"/>
      <c r="N15" s="12"/>
      <c r="O15" s="12" t="s">
        <v>89</v>
      </c>
      <c r="P15" s="12">
        <f>3.2*6</f>
        <v>19.200000000000003</v>
      </c>
      <c r="Q15" s="12">
        <f>(P15/2)*1.5</f>
        <v>14.400000000000002</v>
      </c>
      <c r="R15" s="31">
        <f>Q15*V3</f>
        <v>446.40000000000009</v>
      </c>
      <c r="S15" s="12"/>
      <c r="T15" s="12" t="s">
        <v>89</v>
      </c>
      <c r="U15" s="12">
        <f>3.2*6</f>
        <v>19.200000000000003</v>
      </c>
      <c r="V15" s="15">
        <f>U15*R4</f>
        <v>422.40000000000009</v>
      </c>
      <c r="W15" s="12" t="s">
        <v>0</v>
      </c>
      <c r="X15" s="12"/>
      <c r="Y15" s="15">
        <f>C15</f>
        <v>600</v>
      </c>
    </row>
    <row r="16" spans="2:25" x14ac:dyDescent="0.25">
      <c r="B16" s="12" t="s">
        <v>144</v>
      </c>
      <c r="C16" s="41">
        <v>290</v>
      </c>
      <c r="D16" s="44"/>
      <c r="E16" s="12"/>
      <c r="F16" s="12" t="s">
        <v>2</v>
      </c>
      <c r="G16" s="41">
        <f>L22-L15</f>
        <v>488.33750000000009</v>
      </c>
      <c r="H16" s="44"/>
      <c r="I16" s="12"/>
      <c r="J16" s="12" t="s">
        <v>98</v>
      </c>
      <c r="K16" s="12">
        <f>IF(U13=O15,Q15,IF(U13=O16,Q16,IF(U13=O19,Q19,0)))</f>
        <v>10.4625</v>
      </c>
      <c r="L16" s="41">
        <f>IF(U13=O15,R15,IF(U13=O16,R16,IF(U13=O19,R19,0)))</f>
        <v>324.33750000000003</v>
      </c>
      <c r="M16" s="44"/>
      <c r="N16" s="12"/>
      <c r="O16" s="12" t="s">
        <v>92</v>
      </c>
      <c r="P16" s="12">
        <f>P17+P18</f>
        <v>13.950000000000001</v>
      </c>
      <c r="Q16" s="12">
        <f>(P16/2)*1.5</f>
        <v>10.4625</v>
      </c>
      <c r="R16" s="31">
        <f>Q16*V3</f>
        <v>324.33750000000003</v>
      </c>
      <c r="S16" s="12"/>
      <c r="T16" s="12" t="s">
        <v>92</v>
      </c>
      <c r="U16" s="12">
        <f>U17+U18</f>
        <v>13.950000000000001</v>
      </c>
      <c r="V16" s="15">
        <f>U16*R4</f>
        <v>306.90000000000003</v>
      </c>
      <c r="W16" s="12" t="s">
        <v>78</v>
      </c>
      <c r="X16" s="12"/>
      <c r="Y16" s="15">
        <f>G22</f>
        <v>795.23750000000018</v>
      </c>
    </row>
    <row r="17" spans="2:25" x14ac:dyDescent="0.25">
      <c r="B17" s="12" t="s">
        <v>58</v>
      </c>
      <c r="C17" s="41">
        <f>1412/3</f>
        <v>470.66666666666669</v>
      </c>
      <c r="D17" s="44"/>
      <c r="E17" s="12"/>
      <c r="F17" s="12" t="s">
        <v>80</v>
      </c>
      <c r="G17" s="41"/>
      <c r="H17" s="44"/>
      <c r="I17" s="12"/>
      <c r="J17" s="12" t="s">
        <v>99</v>
      </c>
      <c r="K17" s="12">
        <v>5</v>
      </c>
      <c r="L17" s="41">
        <v>44</v>
      </c>
      <c r="M17" s="44"/>
      <c r="N17" s="12"/>
      <c r="O17" s="12"/>
      <c r="P17" s="12">
        <f>3*3.6</f>
        <v>10.8</v>
      </c>
      <c r="Q17" s="12"/>
      <c r="R17" s="31"/>
      <c r="S17" s="12"/>
      <c r="T17" s="12"/>
      <c r="U17" s="12">
        <f>3*3.6</f>
        <v>10.8</v>
      </c>
      <c r="V17" s="15"/>
      <c r="W17" s="12"/>
      <c r="X17" s="12" t="s">
        <v>85</v>
      </c>
      <c r="Y17" s="15"/>
    </row>
    <row r="18" spans="2:25" x14ac:dyDescent="0.25">
      <c r="B18" s="12" t="s">
        <v>147</v>
      </c>
      <c r="C18" s="13"/>
      <c r="D18" s="14"/>
      <c r="E18" s="12"/>
      <c r="F18" s="12"/>
      <c r="G18" s="13"/>
      <c r="H18" s="14"/>
      <c r="I18" s="12"/>
      <c r="J18" s="12" t="s">
        <v>80</v>
      </c>
      <c r="K18" s="12">
        <v>3</v>
      </c>
      <c r="L18" s="41">
        <f>K18*40</f>
        <v>120</v>
      </c>
      <c r="M18" s="44"/>
      <c r="N18" s="12"/>
      <c r="O18" s="12"/>
      <c r="P18" s="12">
        <f>1.5*2.1</f>
        <v>3.1500000000000004</v>
      </c>
      <c r="Q18" s="12"/>
      <c r="R18" s="31"/>
      <c r="S18" s="12"/>
      <c r="T18" s="12"/>
      <c r="U18" s="12">
        <f>1.5*2.1</f>
        <v>3.1500000000000004</v>
      </c>
      <c r="V18" s="15"/>
      <c r="W18" s="12"/>
      <c r="X18" s="12" t="s">
        <v>86</v>
      </c>
      <c r="Y18" s="15"/>
    </row>
    <row r="19" spans="2:25" x14ac:dyDescent="0.25">
      <c r="B19" s="12"/>
      <c r="C19" s="13"/>
      <c r="D19" s="14"/>
      <c r="E19" s="12"/>
      <c r="F19" s="12"/>
      <c r="G19" s="13"/>
      <c r="H19" s="14"/>
      <c r="I19" s="12"/>
      <c r="J19" s="12"/>
      <c r="K19" s="12"/>
      <c r="L19" s="41"/>
      <c r="M19" s="44"/>
      <c r="N19" s="12"/>
      <c r="O19" s="12" t="s">
        <v>93</v>
      </c>
      <c r="P19" s="12">
        <f>P20+P21</f>
        <v>14.5</v>
      </c>
      <c r="Q19" s="12">
        <f>(P19/2)*1.5</f>
        <v>10.875</v>
      </c>
      <c r="R19" s="31">
        <f>Q19*V3</f>
        <v>337.125</v>
      </c>
      <c r="S19" s="12"/>
      <c r="T19" s="12" t="s">
        <v>93</v>
      </c>
      <c r="U19" s="12">
        <f>U20+U21</f>
        <v>14.5</v>
      </c>
      <c r="V19" s="15">
        <f>U19*R4</f>
        <v>319</v>
      </c>
      <c r="W19" s="12"/>
      <c r="X19" s="12"/>
      <c r="Y19" s="15"/>
    </row>
    <row r="20" spans="2:25" x14ac:dyDescent="0.25">
      <c r="B20" s="12"/>
      <c r="C20" s="13"/>
      <c r="D20" s="14"/>
      <c r="E20" s="12"/>
      <c r="F20" s="12"/>
      <c r="G20" s="13"/>
      <c r="H20" s="14"/>
      <c r="I20" s="12"/>
      <c r="J20" s="12"/>
      <c r="K20" s="12"/>
      <c r="L20" s="41"/>
      <c r="M20" s="44"/>
      <c r="N20" s="12"/>
      <c r="O20" s="12" t="s">
        <v>94</v>
      </c>
      <c r="P20" s="12">
        <f>2.5*2.8</f>
        <v>7</v>
      </c>
      <c r="Q20" s="12"/>
      <c r="R20" s="31"/>
      <c r="S20" s="12"/>
      <c r="T20" s="12" t="s">
        <v>94</v>
      </c>
      <c r="U20" s="12">
        <f>2.5*2.8</f>
        <v>7</v>
      </c>
      <c r="V20" s="15">
        <f>U20*R4</f>
        <v>154</v>
      </c>
      <c r="W20" s="12"/>
      <c r="X20" s="12"/>
      <c r="Y20" s="15"/>
    </row>
    <row r="21" spans="2:25" x14ac:dyDescent="0.25">
      <c r="B21" s="12"/>
      <c r="C21" s="13"/>
      <c r="D21" s="14"/>
      <c r="E21" s="12"/>
      <c r="F21" s="12"/>
      <c r="G21" s="13"/>
      <c r="H21" s="14"/>
      <c r="I21" s="12"/>
      <c r="J21" s="12"/>
      <c r="K21" s="12"/>
      <c r="L21" s="41"/>
      <c r="M21" s="44"/>
      <c r="N21" s="12"/>
      <c r="O21" s="12" t="s">
        <v>95</v>
      </c>
      <c r="P21" s="12">
        <f>2.5*3</f>
        <v>7.5</v>
      </c>
      <c r="Q21" s="12"/>
      <c r="R21" s="31"/>
      <c r="S21" s="12"/>
      <c r="T21" s="12" t="s">
        <v>95</v>
      </c>
      <c r="U21" s="12">
        <f>2.5*3</f>
        <v>7.5</v>
      </c>
      <c r="V21" s="15">
        <f>U21*R4</f>
        <v>165</v>
      </c>
      <c r="W21" s="12"/>
      <c r="X21" s="12"/>
      <c r="Y21" s="15"/>
    </row>
    <row r="22" spans="2:25" x14ac:dyDescent="0.25">
      <c r="B22" s="12" t="s">
        <v>64</v>
      </c>
      <c r="C22" s="41">
        <f>SUM(C15:D21)</f>
        <v>1360.6666666666667</v>
      </c>
      <c r="D22" s="44"/>
      <c r="E22" s="12"/>
      <c r="F22" s="12" t="s">
        <v>64</v>
      </c>
      <c r="G22" s="41">
        <f>SUM(G15:H21)</f>
        <v>795.23750000000018</v>
      </c>
      <c r="H22" s="44"/>
      <c r="I22" s="12"/>
      <c r="J22" s="12" t="s">
        <v>64</v>
      </c>
      <c r="K22" s="12"/>
      <c r="L22" s="41">
        <f>SUM(L15:M21)</f>
        <v>2282.3375000000001</v>
      </c>
      <c r="M22" s="44"/>
      <c r="N22" s="12"/>
      <c r="O22" s="12" t="s">
        <v>64</v>
      </c>
      <c r="P22" s="12">
        <f>SUM(P15+P16+P19)</f>
        <v>47.650000000000006</v>
      </c>
      <c r="Q22" s="12">
        <f>SUM(Q15:Q21)</f>
        <v>35.737500000000004</v>
      </c>
      <c r="R22" s="31">
        <f>SUM(R15:R21)</f>
        <v>1107.8625000000002</v>
      </c>
      <c r="S22" s="12"/>
      <c r="T22" s="12" t="s">
        <v>64</v>
      </c>
      <c r="U22" s="12">
        <f>SUM(U15+U16+U19)</f>
        <v>47.650000000000006</v>
      </c>
      <c r="V22" s="15">
        <f>V15+V16+V19</f>
        <v>1048.3000000000002</v>
      </c>
      <c r="W22" s="12" t="s">
        <v>81</v>
      </c>
      <c r="X22" s="12"/>
      <c r="Y22" s="15"/>
    </row>
    <row r="24" spans="2:25" x14ac:dyDescent="0.25">
      <c r="O24" s="12" t="s">
        <v>146</v>
      </c>
    </row>
  </sheetData>
  <mergeCells count="40">
    <mergeCell ref="L9:M9"/>
    <mergeCell ref="T4:U4"/>
    <mergeCell ref="T3:U3"/>
    <mergeCell ref="C7:D7"/>
    <mergeCell ref="G7:H7"/>
    <mergeCell ref="L7:M7"/>
    <mergeCell ref="C8:D8"/>
    <mergeCell ref="G8:H8"/>
    <mergeCell ref="L8:M8"/>
    <mergeCell ref="B2:R3"/>
    <mergeCell ref="C5:D5"/>
    <mergeCell ref="G5:H5"/>
    <mergeCell ref="L5:M5"/>
    <mergeCell ref="O5:R5"/>
    <mergeCell ref="C22:D22"/>
    <mergeCell ref="G22:H22"/>
    <mergeCell ref="L22:M22"/>
    <mergeCell ref="C6:D6"/>
    <mergeCell ref="G6:H6"/>
    <mergeCell ref="L6:M6"/>
    <mergeCell ref="L18:M18"/>
    <mergeCell ref="L19:M19"/>
    <mergeCell ref="C16:D16"/>
    <mergeCell ref="G16:H16"/>
    <mergeCell ref="L16:M16"/>
    <mergeCell ref="C17:D17"/>
    <mergeCell ref="G17:H17"/>
    <mergeCell ref="L17:M17"/>
    <mergeCell ref="C9:D9"/>
    <mergeCell ref="G9:H9"/>
    <mergeCell ref="L20:M20"/>
    <mergeCell ref="C14:D14"/>
    <mergeCell ref="G14:H14"/>
    <mergeCell ref="L14:M14"/>
    <mergeCell ref="L21:M21"/>
    <mergeCell ref="B11:Y12"/>
    <mergeCell ref="W14:Y14"/>
    <mergeCell ref="C15:D15"/>
    <mergeCell ref="G15:H15"/>
    <mergeCell ref="L15:M15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F7EB-26A9-45D0-8C3D-2A4FE9FC533B}">
  <dimension ref="B2:O25"/>
  <sheetViews>
    <sheetView topLeftCell="A7" workbookViewId="0">
      <selection activeCell="H21" sqref="H21"/>
    </sheetView>
  </sheetViews>
  <sheetFormatPr defaultRowHeight="15" x14ac:dyDescent="0.25"/>
  <cols>
    <col min="2" max="2" width="15" bestFit="1" customWidth="1"/>
    <col min="4" max="4" width="11.42578125" bestFit="1" customWidth="1"/>
    <col min="6" max="6" width="5.28515625" customWidth="1"/>
    <col min="7" max="7" width="15" bestFit="1" customWidth="1"/>
    <col min="8" max="8" width="16.5703125" bestFit="1" customWidth="1"/>
    <col min="9" max="9" width="11.42578125" bestFit="1" customWidth="1"/>
    <col min="10" max="10" width="15" bestFit="1" customWidth="1"/>
    <col min="11" max="11" width="5.140625" customWidth="1"/>
    <col min="12" max="12" width="15" bestFit="1" customWidth="1"/>
    <col min="13" max="13" width="15.7109375" bestFit="1" customWidth="1"/>
    <col min="14" max="14" width="11.42578125" bestFit="1" customWidth="1"/>
  </cols>
  <sheetData>
    <row r="2" spans="2:15" x14ac:dyDescent="0.25">
      <c r="B2" s="48" t="s">
        <v>179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2:15" x14ac:dyDescent="0.25"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5" spans="2:15" x14ac:dyDescent="0.25">
      <c r="B5" s="37" t="s">
        <v>187</v>
      </c>
      <c r="C5" s="37"/>
      <c r="D5" s="37"/>
      <c r="E5" s="37"/>
      <c r="F5" s="34"/>
      <c r="G5" s="37" t="s">
        <v>82</v>
      </c>
      <c r="H5" s="37"/>
      <c r="I5" s="37"/>
      <c r="J5" s="37"/>
      <c r="K5" s="34"/>
      <c r="L5" s="37" t="s">
        <v>129</v>
      </c>
      <c r="M5" s="37"/>
      <c r="N5" s="37"/>
      <c r="O5" s="37"/>
    </row>
    <row r="7" spans="2:15" x14ac:dyDescent="0.25">
      <c r="B7" s="9" t="s">
        <v>174</v>
      </c>
      <c r="C7" s="9" t="s">
        <v>176</v>
      </c>
      <c r="D7" s="9" t="s">
        <v>22</v>
      </c>
      <c r="E7" s="9" t="s">
        <v>91</v>
      </c>
      <c r="G7" s="9"/>
      <c r="H7" s="9"/>
      <c r="I7" s="9" t="s">
        <v>183</v>
      </c>
      <c r="J7" s="9" t="s">
        <v>91</v>
      </c>
      <c r="L7" s="9"/>
      <c r="M7" s="9"/>
      <c r="N7" s="9"/>
      <c r="O7" s="9"/>
    </row>
    <row r="9" spans="2:15" x14ac:dyDescent="0.25">
      <c r="B9" s="12" t="s">
        <v>175</v>
      </c>
      <c r="C9" s="12">
        <v>150</v>
      </c>
      <c r="D9" s="12">
        <v>4</v>
      </c>
      <c r="E9" s="12">
        <f>150*4</f>
        <v>600</v>
      </c>
      <c r="G9" s="12" t="s">
        <v>1</v>
      </c>
      <c r="H9" s="12" t="s">
        <v>83</v>
      </c>
      <c r="I9" s="12">
        <v>2</v>
      </c>
      <c r="J9" s="12">
        <f>120*I9</f>
        <v>240</v>
      </c>
      <c r="L9" s="12" t="s">
        <v>189</v>
      </c>
      <c r="M9" s="12">
        <f>J10</f>
        <v>140</v>
      </c>
      <c r="N9" s="12"/>
      <c r="O9" s="12"/>
    </row>
    <row r="10" spans="2:15" x14ac:dyDescent="0.25">
      <c r="B10" s="12" t="s">
        <v>181</v>
      </c>
      <c r="C10" s="12">
        <v>100</v>
      </c>
      <c r="D10" s="12">
        <v>1</v>
      </c>
      <c r="E10" s="12">
        <v>15</v>
      </c>
      <c r="G10" s="12" t="s">
        <v>1</v>
      </c>
      <c r="H10" s="12" t="s">
        <v>184</v>
      </c>
      <c r="I10" s="12">
        <v>2</v>
      </c>
      <c r="J10" s="12">
        <f>70*I10</f>
        <v>140</v>
      </c>
      <c r="L10" s="12" t="s">
        <v>188</v>
      </c>
      <c r="M10" s="12">
        <f>E16</f>
        <v>645</v>
      </c>
      <c r="N10" s="12"/>
      <c r="O10" s="12"/>
    </row>
    <row r="11" spans="2:15" x14ac:dyDescent="0.25">
      <c r="B11" s="12" t="s">
        <v>177</v>
      </c>
      <c r="C11" s="12"/>
      <c r="D11" s="12">
        <v>1</v>
      </c>
      <c r="E11" s="12"/>
      <c r="G11" s="12"/>
      <c r="H11" s="12"/>
      <c r="I11" s="12"/>
      <c r="J11" s="12"/>
      <c r="L11" s="12" t="s">
        <v>190</v>
      </c>
      <c r="M11" s="12">
        <f>J9</f>
        <v>240</v>
      </c>
      <c r="N11" s="12"/>
      <c r="O11" s="12"/>
    </row>
    <row r="12" spans="2:15" x14ac:dyDescent="0.25">
      <c r="B12" s="12" t="s">
        <v>6</v>
      </c>
      <c r="C12" s="12"/>
      <c r="D12" s="12">
        <v>2</v>
      </c>
      <c r="E12" s="12"/>
      <c r="G12" s="12"/>
      <c r="H12" s="12"/>
      <c r="I12" s="12"/>
      <c r="J12" s="12"/>
      <c r="L12" s="12"/>
      <c r="M12" s="12"/>
      <c r="N12" s="12"/>
      <c r="O12" s="12"/>
    </row>
    <row r="13" spans="2:15" x14ac:dyDescent="0.25">
      <c r="B13" s="12" t="s">
        <v>180</v>
      </c>
      <c r="C13" s="12"/>
      <c r="D13" s="12">
        <v>1</v>
      </c>
      <c r="E13" s="12"/>
      <c r="G13" s="12"/>
      <c r="H13" s="12"/>
      <c r="I13" s="12"/>
      <c r="J13" s="12"/>
      <c r="L13" s="12" t="s">
        <v>185</v>
      </c>
      <c r="M13" s="12"/>
      <c r="N13" s="12"/>
      <c r="O13" s="12"/>
    </row>
    <row r="14" spans="2:15" x14ac:dyDescent="0.25">
      <c r="B14" s="12" t="s">
        <v>182</v>
      </c>
      <c r="C14" s="12"/>
      <c r="D14" s="12">
        <v>1</v>
      </c>
      <c r="E14" s="12">
        <v>30</v>
      </c>
      <c r="G14" s="12"/>
      <c r="H14" s="12"/>
      <c r="I14" s="12"/>
      <c r="J14" s="12"/>
      <c r="L14" s="12" t="s">
        <v>178</v>
      </c>
      <c r="M14" s="12"/>
      <c r="N14" s="12"/>
      <c r="O14" s="12"/>
    </row>
    <row r="15" spans="2:15" x14ac:dyDescent="0.25">
      <c r="B15" s="12"/>
      <c r="C15" s="12"/>
      <c r="D15" s="12"/>
      <c r="E15" s="12"/>
      <c r="G15" s="12"/>
      <c r="H15" s="12"/>
      <c r="I15" s="12"/>
      <c r="J15" s="12"/>
      <c r="L15" s="12" t="s">
        <v>186</v>
      </c>
      <c r="M15" s="12"/>
      <c r="N15" s="12"/>
      <c r="O15" s="12"/>
    </row>
    <row r="16" spans="2:15" x14ac:dyDescent="0.25">
      <c r="B16" s="12" t="s">
        <v>64</v>
      </c>
      <c r="C16" s="12"/>
      <c r="D16" s="12"/>
      <c r="E16" s="12">
        <f>SUM(E9:E14)</f>
        <v>645</v>
      </c>
      <c r="G16" s="12" t="s">
        <v>64</v>
      </c>
      <c r="H16" s="12"/>
      <c r="I16" s="12"/>
      <c r="J16" s="12">
        <f>J9+J10</f>
        <v>380</v>
      </c>
      <c r="L16" s="12"/>
      <c r="M16" s="12"/>
      <c r="N16" s="12"/>
      <c r="O16" s="12"/>
    </row>
    <row r="17" spans="3:15" x14ac:dyDescent="0.25">
      <c r="G17" s="12"/>
      <c r="H17" s="12"/>
      <c r="I17" s="12"/>
      <c r="J17" s="12"/>
      <c r="L17" s="12"/>
      <c r="M17" s="12"/>
      <c r="N17" s="12"/>
      <c r="O17" s="12"/>
    </row>
    <row r="19" spans="3:15" x14ac:dyDescent="0.25">
      <c r="D19" t="s">
        <v>191</v>
      </c>
      <c r="E19" t="s">
        <v>36</v>
      </c>
      <c r="G19" t="s">
        <v>192</v>
      </c>
      <c r="H19" t="s">
        <v>193</v>
      </c>
    </row>
    <row r="20" spans="3:15" x14ac:dyDescent="0.25">
      <c r="C20" s="12" t="s">
        <v>175</v>
      </c>
      <c r="D20">
        <f>4*185.9</f>
        <v>743.6</v>
      </c>
      <c r="E20">
        <f>230*6</f>
        <v>1380</v>
      </c>
      <c r="G20">
        <f>329.4*4</f>
        <v>1317.6</v>
      </c>
      <c r="H20">
        <f>150*4</f>
        <v>600</v>
      </c>
    </row>
    <row r="21" spans="3:15" x14ac:dyDescent="0.25">
      <c r="C21" s="12" t="s">
        <v>181</v>
      </c>
      <c r="D21">
        <v>15</v>
      </c>
      <c r="E21">
        <v>14.99</v>
      </c>
      <c r="G21">
        <v>22</v>
      </c>
    </row>
    <row r="22" spans="3:15" x14ac:dyDescent="0.25">
      <c r="C22" s="12" t="s">
        <v>177</v>
      </c>
      <c r="E22">
        <v>12.99</v>
      </c>
    </row>
    <row r="23" spans="3:15" x14ac:dyDescent="0.25">
      <c r="C23" s="12" t="s">
        <v>6</v>
      </c>
      <c r="E23">
        <f>2*38.99</f>
        <v>77.98</v>
      </c>
      <c r="G23">
        <f>2*39.9</f>
        <v>79.8</v>
      </c>
    </row>
    <row r="24" spans="3:15" x14ac:dyDescent="0.25">
      <c r="C24" s="12" t="s">
        <v>180</v>
      </c>
      <c r="E24">
        <v>18.989999999999998</v>
      </c>
      <c r="G24">
        <f>24.9</f>
        <v>24.9</v>
      </c>
    </row>
    <row r="25" spans="3:15" x14ac:dyDescent="0.25">
      <c r="C25" s="12" t="s">
        <v>182</v>
      </c>
      <c r="D25">
        <v>39.14</v>
      </c>
      <c r="E25">
        <v>18</v>
      </c>
      <c r="G25">
        <v>34.9</v>
      </c>
    </row>
  </sheetData>
  <mergeCells count="4">
    <mergeCell ref="B5:E5"/>
    <mergeCell ref="G5:J5"/>
    <mergeCell ref="L5:O5"/>
    <mergeCell ref="B2:O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7BB1-1DF9-43B0-BED6-65ACD4C3EC09}">
  <dimension ref="E7:G14"/>
  <sheetViews>
    <sheetView workbookViewId="0">
      <selection activeCell="E8" sqref="E8"/>
    </sheetView>
  </sheetViews>
  <sheetFormatPr defaultRowHeight="15" x14ac:dyDescent="0.25"/>
  <sheetData>
    <row r="7" spans="5:7" x14ac:dyDescent="0.25">
      <c r="E7" s="39" t="s">
        <v>111</v>
      </c>
      <c r="F7" s="39"/>
      <c r="G7" s="39"/>
    </row>
    <row r="8" spans="5:7" x14ac:dyDescent="0.25">
      <c r="F8" t="s">
        <v>110</v>
      </c>
      <c r="G8" t="s">
        <v>86</v>
      </c>
    </row>
    <row r="9" spans="5:7" x14ac:dyDescent="0.25">
      <c r="E9" s="12" t="s">
        <v>6</v>
      </c>
      <c r="F9">
        <v>266</v>
      </c>
      <c r="G9">
        <v>238</v>
      </c>
    </row>
    <row r="10" spans="5:7" x14ac:dyDescent="0.25">
      <c r="E10" s="12" t="s">
        <v>7</v>
      </c>
      <c r="F10">
        <v>32.5</v>
      </c>
      <c r="G10">
        <v>30</v>
      </c>
    </row>
    <row r="11" spans="5:7" x14ac:dyDescent="0.25">
      <c r="E11" s="12" t="s">
        <v>8</v>
      </c>
      <c r="F11">
        <v>127.5</v>
      </c>
      <c r="G11">
        <v>112.5</v>
      </c>
    </row>
    <row r="12" spans="5:7" x14ac:dyDescent="0.25">
      <c r="E12" s="12" t="s">
        <v>104</v>
      </c>
      <c r="F12">
        <v>80</v>
      </c>
      <c r="G12">
        <v>70</v>
      </c>
    </row>
    <row r="13" spans="5:7" x14ac:dyDescent="0.25">
      <c r="E13" s="12" t="s">
        <v>64</v>
      </c>
      <c r="F13">
        <f>SUM(F9:F12)</f>
        <v>506</v>
      </c>
      <c r="G13">
        <f>SUM(G9:G12)</f>
        <v>450.5</v>
      </c>
    </row>
    <row r="14" spans="5:7" x14ac:dyDescent="0.25">
      <c r="F14">
        <f>F13/12</f>
        <v>42.166666666666664</v>
      </c>
    </row>
  </sheetData>
  <mergeCells count="1">
    <mergeCell ref="E7:G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Pesquisa de preços</vt:lpstr>
      <vt:lpstr>Orçamento</vt:lpstr>
      <vt:lpstr>MO</vt:lpstr>
      <vt:lpstr>Receita</vt:lpstr>
      <vt:lpstr>Planejamento</vt:lpstr>
      <vt:lpstr>Cerâmica(Simulação)</vt:lpstr>
      <vt:lpstr>Esgoto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Carvalho</dc:creator>
  <cp:lastModifiedBy>Carla Carvalho</cp:lastModifiedBy>
  <dcterms:created xsi:type="dcterms:W3CDTF">2023-10-16T22:58:07Z</dcterms:created>
  <dcterms:modified xsi:type="dcterms:W3CDTF">2024-07-13T15:41:27Z</dcterms:modified>
</cp:coreProperties>
</file>