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uerto Rico\Proyecto Humedales\Analisis de Datos\Tea bags\Excel Tea bags\"/>
    </mc:Choice>
  </mc:AlternateContent>
  <bookViews>
    <workbookView xWindow="0" yWindow="0" windowWidth="20490" windowHeight="7650" firstSheet="15" activeTab="19"/>
  </bookViews>
  <sheets>
    <sheet name="Datos Crudos SE2-Ref" sheetId="1" r:id="rId1"/>
    <sheet name="Depth SE2-Ref" sheetId="2" r:id="rId2"/>
    <sheet name="Datos Crudos SE3-Ref" sheetId="5" r:id="rId3"/>
    <sheet name="Depth SE3-Ref" sheetId="8" r:id="rId4"/>
    <sheet name="Control 1" sheetId="6" r:id="rId5"/>
    <sheet name="Datos Crudos SE2 Impact" sheetId="23" r:id="rId6"/>
    <sheet name="Depth SE2 Im" sheetId="10" r:id="rId7"/>
    <sheet name="Control 2" sheetId="11" r:id="rId8"/>
    <sheet name="Datos Crudos SE4-Ref" sheetId="12" r:id="rId9"/>
    <sheet name="Depth SE4-Ref" sheetId="13" r:id="rId10"/>
    <sheet name="Control 3" sheetId="14" r:id="rId11"/>
    <sheet name="Muestreo Exploratorio" sheetId="22" r:id="rId12"/>
    <sheet name="Datos Crudos SE3 Impac" sheetId="9" r:id="rId13"/>
    <sheet name="Depth SE3 Im" sheetId="25" r:id="rId14"/>
    <sheet name="Control 4" sheetId="24" r:id="rId15"/>
    <sheet name="Datos Crudos SE4 Im" sheetId="26" r:id="rId16"/>
    <sheet name="Depth SE4 Im " sheetId="27" r:id="rId17"/>
    <sheet name="Control 5" sheetId="28" r:id="rId18"/>
    <sheet name="Ensayo en Lab" sheetId="4" r:id="rId19"/>
    <sheet name="DATA- EVENTS" sheetId="3" r:id="rId20"/>
    <sheet name="Hoja1" sheetId="29" r:id="rId21"/>
  </sheets>
  <definedNames>
    <definedName name="_xlnm._FilterDatabase" localSheetId="19" hidden="1">'DATA- EVENTS'!$A$1:$AI$267</definedName>
    <definedName name="FINAL_WEIGHT_GREEN">'DATA- EVENTS'!$T:$T</definedName>
    <definedName name="FINAL_WEIGHT_RED">'DATA- EVENTS'!$U:$U</definedName>
    <definedName name="INITIAL_WEIGHT_GREEN">'DATA- EVENTS'!$K:$K</definedName>
    <definedName name="INITIAL_WEIGHT_RED">'DATA- EVENTS'!$L:$L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67" i="3" l="1"/>
  <c r="AA268" i="3"/>
  <c r="AA269" i="3"/>
  <c r="AA270" i="3"/>
  <c r="Z270" i="3"/>
  <c r="Z267" i="3"/>
  <c r="Z268" i="3"/>
  <c r="Z269" i="3"/>
  <c r="Y267" i="3"/>
  <c r="Y268" i="3"/>
  <c r="Y269" i="3"/>
  <c r="Y270" i="3"/>
  <c r="X267" i="3"/>
  <c r="X268" i="3"/>
  <c r="X269" i="3"/>
  <c r="X270" i="3"/>
  <c r="W267" i="3"/>
  <c r="W268" i="3"/>
  <c r="W269" i="3"/>
  <c r="W270" i="3"/>
  <c r="V265" i="3"/>
  <c r="V266" i="3"/>
  <c r="V267" i="3"/>
  <c r="V268" i="3"/>
  <c r="V269" i="3"/>
  <c r="V270" i="3"/>
  <c r="U269" i="3"/>
  <c r="U270" i="3"/>
  <c r="U268" i="3"/>
  <c r="T269" i="3"/>
  <c r="T270" i="3"/>
  <c r="T268" i="3"/>
  <c r="S269" i="3"/>
  <c r="S270" i="3"/>
  <c r="S268" i="3"/>
  <c r="R269" i="3"/>
  <c r="R270" i="3"/>
  <c r="R268" i="3"/>
  <c r="Q269" i="3"/>
  <c r="Q270" i="3"/>
  <c r="Q268" i="3"/>
  <c r="P269" i="3"/>
  <c r="P270" i="3"/>
  <c r="P268" i="3"/>
  <c r="O269" i="3"/>
  <c r="O270" i="3"/>
  <c r="O268" i="3"/>
  <c r="N269" i="3"/>
  <c r="N270" i="3"/>
  <c r="N268" i="3"/>
  <c r="L269" i="3"/>
  <c r="L270" i="3"/>
  <c r="L268" i="3"/>
  <c r="K269" i="3"/>
  <c r="K270" i="3"/>
  <c r="K268" i="3"/>
  <c r="J269" i="3"/>
  <c r="J270" i="3"/>
  <c r="J268" i="3"/>
  <c r="I269" i="3"/>
  <c r="I270" i="3"/>
  <c r="I268" i="3"/>
  <c r="H269" i="3"/>
  <c r="H270" i="3"/>
  <c r="H268" i="3"/>
  <c r="G269" i="3"/>
  <c r="G270" i="3"/>
  <c r="G268" i="3"/>
  <c r="V2" i="3" l="1"/>
  <c r="C192" i="29" l="1"/>
  <c r="C191" i="29"/>
  <c r="B192" i="29"/>
  <c r="B191" i="29"/>
  <c r="V34" i="3" l="1"/>
  <c r="Y35" i="3"/>
  <c r="Y36" i="3"/>
  <c r="Y37" i="3"/>
  <c r="Y38" i="3"/>
  <c r="Y39" i="3"/>
  <c r="Y40" i="3"/>
  <c r="Y41" i="3"/>
  <c r="Y34" i="3"/>
  <c r="V35" i="3"/>
  <c r="W35" i="3" s="1"/>
  <c r="V36" i="3"/>
  <c r="V37" i="3"/>
  <c r="W37" i="3" s="1"/>
  <c r="V38" i="3"/>
  <c r="V39" i="3"/>
  <c r="V40" i="3"/>
  <c r="V41" i="3"/>
  <c r="W36" i="3"/>
  <c r="V66" i="3"/>
  <c r="V67" i="3"/>
  <c r="V68" i="3"/>
  <c r="V69" i="3"/>
  <c r="V70" i="3"/>
  <c r="V71" i="3"/>
  <c r="V72" i="3"/>
  <c r="V73" i="3"/>
  <c r="V151" i="3"/>
  <c r="V152" i="3"/>
  <c r="V153" i="3"/>
  <c r="V154" i="3"/>
  <c r="V155" i="3"/>
  <c r="V156" i="3"/>
  <c r="V157" i="3"/>
  <c r="N12" i="4" l="1"/>
  <c r="N11" i="4"/>
  <c r="M12" i="4"/>
  <c r="M11" i="4"/>
  <c r="L10" i="4" l="1"/>
  <c r="L9" i="4"/>
  <c r="K10" i="4"/>
  <c r="K9" i="4"/>
  <c r="C10" i="4"/>
  <c r="C9" i="4"/>
  <c r="B10" i="4"/>
  <c r="B9" i="4"/>
  <c r="N3" i="4"/>
  <c r="N4" i="4"/>
  <c r="N5" i="4"/>
  <c r="N6" i="4"/>
  <c r="N7" i="4"/>
  <c r="N2" i="4"/>
  <c r="AI214" i="3" l="1"/>
  <c r="AI215" i="3"/>
  <c r="AI216" i="3"/>
  <c r="AI217" i="3"/>
  <c r="AI218" i="3"/>
  <c r="AI219" i="3"/>
  <c r="AI220" i="3"/>
  <c r="AI213" i="3"/>
  <c r="AH214" i="3"/>
  <c r="AH215" i="3"/>
  <c r="AH216" i="3"/>
  <c r="AH217" i="3"/>
  <c r="AH218" i="3"/>
  <c r="AH219" i="3"/>
  <c r="AH220" i="3"/>
  <c r="AH213" i="3"/>
  <c r="Z262" i="3"/>
  <c r="Z263" i="3"/>
  <c r="Z264" i="3"/>
  <c r="Z265" i="3"/>
  <c r="Z266" i="3"/>
  <c r="U267" i="3"/>
  <c r="U266" i="3"/>
  <c r="U262" i="3"/>
  <c r="U263" i="3"/>
  <c r="U264" i="3"/>
  <c r="U265" i="3"/>
  <c r="U261" i="3"/>
  <c r="T267" i="3"/>
  <c r="T266" i="3"/>
  <c r="T262" i="3"/>
  <c r="T263" i="3"/>
  <c r="T264" i="3"/>
  <c r="T265" i="3"/>
  <c r="T261" i="3"/>
  <c r="S267" i="3"/>
  <c r="S266" i="3"/>
  <c r="S262" i="3"/>
  <c r="S263" i="3"/>
  <c r="S264" i="3"/>
  <c r="S265" i="3"/>
  <c r="S261" i="3"/>
  <c r="R267" i="3"/>
  <c r="R266" i="3"/>
  <c r="R262" i="3"/>
  <c r="R263" i="3"/>
  <c r="R264" i="3"/>
  <c r="R265" i="3"/>
  <c r="R261" i="3"/>
  <c r="Q267" i="3"/>
  <c r="Q266" i="3"/>
  <c r="Q262" i="3"/>
  <c r="Q263" i="3"/>
  <c r="Q264" i="3"/>
  <c r="Q265" i="3"/>
  <c r="Q261" i="3"/>
  <c r="P267" i="3"/>
  <c r="P266" i="3"/>
  <c r="P262" i="3"/>
  <c r="P263" i="3"/>
  <c r="P264" i="3"/>
  <c r="P265" i="3"/>
  <c r="P261" i="3"/>
  <c r="O267" i="3"/>
  <c r="O266" i="3"/>
  <c r="O262" i="3"/>
  <c r="O263" i="3"/>
  <c r="O264" i="3"/>
  <c r="O265" i="3"/>
  <c r="O261" i="3"/>
  <c r="N267" i="3"/>
  <c r="N266" i="3"/>
  <c r="N262" i="3"/>
  <c r="N263" i="3"/>
  <c r="N264" i="3"/>
  <c r="N265" i="3"/>
  <c r="N261" i="3"/>
  <c r="Z261" i="3"/>
  <c r="H267" i="3"/>
  <c r="H266" i="3"/>
  <c r="H262" i="3"/>
  <c r="H263" i="3"/>
  <c r="H264" i="3"/>
  <c r="H265" i="3"/>
  <c r="H261" i="3"/>
  <c r="G267" i="3"/>
  <c r="G266" i="3"/>
  <c r="G262" i="3"/>
  <c r="G263" i="3"/>
  <c r="G264" i="3"/>
  <c r="G265" i="3"/>
  <c r="G261" i="3"/>
  <c r="N101" i="26"/>
  <c r="R101" i="26"/>
  <c r="S101" i="26" s="1"/>
  <c r="AC266" i="3" s="1"/>
  <c r="I101" i="26"/>
  <c r="J266" i="3" s="1"/>
  <c r="L266" i="3" l="1"/>
  <c r="Y266" i="3" s="1"/>
  <c r="U101" i="26"/>
  <c r="AI266" i="3" s="1"/>
  <c r="F50" i="27"/>
  <c r="F49" i="27"/>
  <c r="F48" i="27"/>
  <c r="F47" i="27"/>
  <c r="F46" i="27"/>
  <c r="F45" i="27"/>
  <c r="F44" i="27"/>
  <c r="F43" i="27"/>
  <c r="E50" i="27"/>
  <c r="E49" i="27"/>
  <c r="E48" i="27"/>
  <c r="E47" i="27"/>
  <c r="E46" i="27"/>
  <c r="E45" i="27"/>
  <c r="E44" i="27"/>
  <c r="E43" i="27"/>
  <c r="D50" i="27"/>
  <c r="D49" i="27"/>
  <c r="D48" i="27"/>
  <c r="D47" i="27"/>
  <c r="D46" i="27"/>
  <c r="D45" i="27"/>
  <c r="D44" i="27"/>
  <c r="D43" i="27"/>
  <c r="N102" i="9"/>
  <c r="R102" i="9"/>
  <c r="S102" i="9" s="1"/>
  <c r="I102" i="9"/>
  <c r="L102" i="9"/>
  <c r="U102" i="9" l="1"/>
  <c r="F50" i="25"/>
  <c r="F49" i="25"/>
  <c r="F48" i="25"/>
  <c r="F47" i="25"/>
  <c r="F46" i="25"/>
  <c r="F45" i="25"/>
  <c r="F44" i="25"/>
  <c r="F43" i="25"/>
  <c r="E50" i="25"/>
  <c r="E49" i="25"/>
  <c r="E48" i="25"/>
  <c r="E47" i="25"/>
  <c r="E46" i="25"/>
  <c r="E45" i="25"/>
  <c r="E44" i="25"/>
  <c r="E43" i="25"/>
  <c r="D50" i="25"/>
  <c r="D49" i="25"/>
  <c r="D48" i="25"/>
  <c r="D47" i="25"/>
  <c r="D46" i="25"/>
  <c r="D44" i="25"/>
  <c r="D43" i="25"/>
  <c r="I42" i="9" l="1"/>
  <c r="F42" i="27" l="1"/>
  <c r="F41" i="27"/>
  <c r="F40" i="27"/>
  <c r="F39" i="27"/>
  <c r="F38" i="27"/>
  <c r="F37" i="27"/>
  <c r="F36" i="27"/>
  <c r="F35" i="27"/>
  <c r="E42" i="27"/>
  <c r="E41" i="27"/>
  <c r="E40" i="27"/>
  <c r="E39" i="27"/>
  <c r="E38" i="27"/>
  <c r="E37" i="27"/>
  <c r="E36" i="27"/>
  <c r="E35" i="27"/>
  <c r="F34" i="27" l="1"/>
  <c r="F33" i="27"/>
  <c r="F31" i="27"/>
  <c r="F30" i="27"/>
  <c r="F28" i="27"/>
  <c r="F27" i="27"/>
  <c r="E34" i="27"/>
  <c r="E33" i="27"/>
  <c r="E32" i="27"/>
  <c r="E31" i="27"/>
  <c r="E30" i="27"/>
  <c r="E29" i="27"/>
  <c r="E28" i="27"/>
  <c r="E27" i="27"/>
  <c r="G22" i="27" l="1"/>
  <c r="G23" i="27"/>
  <c r="G24" i="27"/>
  <c r="G25" i="27"/>
  <c r="G26" i="27"/>
  <c r="G20" i="27"/>
  <c r="G21" i="27"/>
  <c r="F26" i="27"/>
  <c r="F25" i="27"/>
  <c r="F24" i="27"/>
  <c r="F23" i="27"/>
  <c r="F22" i="27"/>
  <c r="F21" i="27"/>
  <c r="F20" i="27"/>
  <c r="F19" i="27"/>
  <c r="D26" i="27"/>
  <c r="D25" i="27"/>
  <c r="D24" i="27"/>
  <c r="D23" i="27"/>
  <c r="D20" i="27"/>
  <c r="D19" i="27"/>
  <c r="E26" i="27"/>
  <c r="E25" i="27"/>
  <c r="E24" i="27"/>
  <c r="E23" i="27"/>
  <c r="E22" i="27"/>
  <c r="E21" i="27"/>
  <c r="E20" i="27"/>
  <c r="E19" i="27"/>
  <c r="L17" i="28" l="1"/>
  <c r="K17" i="28"/>
  <c r="J17" i="28"/>
  <c r="H17" i="28"/>
  <c r="C17" i="28"/>
  <c r="B17" i="28"/>
  <c r="M16" i="28"/>
  <c r="N16" i="28" s="1"/>
  <c r="I16" i="28"/>
  <c r="G16" i="28"/>
  <c r="D16" i="28"/>
  <c r="M15" i="28"/>
  <c r="N15" i="28" s="1"/>
  <c r="I15" i="28"/>
  <c r="G15" i="28"/>
  <c r="D15" i="28"/>
  <c r="M14" i="28"/>
  <c r="N14" i="28" s="1"/>
  <c r="I14" i="28"/>
  <c r="G14" i="28"/>
  <c r="D14" i="28"/>
  <c r="M13" i="28"/>
  <c r="N13" i="28" s="1"/>
  <c r="I13" i="28"/>
  <c r="G13" i="28"/>
  <c r="D13" i="28"/>
  <c r="M12" i="28"/>
  <c r="N12" i="28" s="1"/>
  <c r="I12" i="28"/>
  <c r="G12" i="28"/>
  <c r="D12" i="28"/>
  <c r="L7" i="28"/>
  <c r="K7" i="28"/>
  <c r="J7" i="28"/>
  <c r="H7" i="28"/>
  <c r="C7" i="28"/>
  <c r="B7" i="28"/>
  <c r="M6" i="28"/>
  <c r="N6" i="28" s="1"/>
  <c r="I6" i="28"/>
  <c r="G6" i="28"/>
  <c r="D6" i="28"/>
  <c r="M5" i="28"/>
  <c r="N5" i="28" s="1"/>
  <c r="I5" i="28"/>
  <c r="G5" i="28"/>
  <c r="D5" i="28"/>
  <c r="M4" i="28"/>
  <c r="N4" i="28" s="1"/>
  <c r="I4" i="28"/>
  <c r="G4" i="28"/>
  <c r="D4" i="28"/>
  <c r="M3" i="28"/>
  <c r="N3" i="28" s="1"/>
  <c r="I3" i="28"/>
  <c r="G3" i="28"/>
  <c r="D3" i="28"/>
  <c r="M2" i="28"/>
  <c r="M7" i="28" s="1"/>
  <c r="I2" i="28"/>
  <c r="G2" i="28"/>
  <c r="D2" i="28"/>
  <c r="D7" i="28" s="1"/>
  <c r="F10" i="27"/>
  <c r="F18" i="27"/>
  <c r="F17" i="27"/>
  <c r="F16" i="27"/>
  <c r="F15" i="27"/>
  <c r="F14" i="27"/>
  <c r="F13" i="27"/>
  <c r="F12" i="27"/>
  <c r="F11" i="27"/>
  <c r="E10" i="27"/>
  <c r="E18" i="27"/>
  <c r="E17" i="27"/>
  <c r="E16" i="27"/>
  <c r="E15" i="27"/>
  <c r="E14" i="27"/>
  <c r="E13" i="27"/>
  <c r="E12" i="27"/>
  <c r="E11" i="27"/>
  <c r="D10" i="27"/>
  <c r="D18" i="27"/>
  <c r="D17" i="27"/>
  <c r="D16" i="27"/>
  <c r="D15" i="27"/>
  <c r="D14" i="27"/>
  <c r="D13" i="27"/>
  <c r="D12" i="27"/>
  <c r="D11" i="27"/>
  <c r="D17" i="28" l="1"/>
  <c r="I17" i="28"/>
  <c r="I7" i="28"/>
  <c r="N2" i="28"/>
  <c r="N7" i="28" s="1"/>
  <c r="N17" i="28"/>
  <c r="M17" i="28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11" i="3"/>
  <c r="Z212" i="3"/>
  <c r="Z213" i="3"/>
  <c r="Z214" i="3"/>
  <c r="Z215" i="3"/>
  <c r="Z216" i="3"/>
  <c r="Z217" i="3"/>
  <c r="Z218" i="3"/>
  <c r="Z219" i="3"/>
  <c r="Z220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U221" i="3"/>
  <c r="T221" i="3"/>
  <c r="S221" i="3"/>
  <c r="R221" i="3"/>
  <c r="Q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P221" i="3"/>
  <c r="O221" i="3"/>
  <c r="N221" i="3"/>
  <c r="F9" i="27"/>
  <c r="F8" i="27"/>
  <c r="F7" i="27"/>
  <c r="F6" i="27"/>
  <c r="F5" i="27"/>
  <c r="F4" i="27"/>
  <c r="F3" i="27"/>
  <c r="F2" i="27"/>
  <c r="E9" i="27"/>
  <c r="E8" i="27"/>
  <c r="E7" i="27"/>
  <c r="E6" i="27"/>
  <c r="E5" i="27"/>
  <c r="E4" i="27"/>
  <c r="E3" i="27"/>
  <c r="E2" i="27"/>
  <c r="D9" i="27"/>
  <c r="D8" i="27"/>
  <c r="D7" i="27"/>
  <c r="D6" i="27"/>
  <c r="D5" i="27"/>
  <c r="D4" i="27"/>
  <c r="D3" i="27"/>
  <c r="D2" i="27"/>
  <c r="R68" i="26" l="1"/>
  <c r="L233" i="3" s="1"/>
  <c r="Y233" i="3" s="1"/>
  <c r="R69" i="26"/>
  <c r="N69" i="26"/>
  <c r="N70" i="26"/>
  <c r="I68" i="26"/>
  <c r="J233" i="3" s="1"/>
  <c r="I69" i="26"/>
  <c r="I70" i="26"/>
  <c r="J234" i="3"/>
  <c r="J235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21" i="3"/>
  <c r="L67" i="26"/>
  <c r="L68" i="26"/>
  <c r="L69" i="26"/>
  <c r="L70" i="26"/>
  <c r="L71" i="26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F32" i="27"/>
  <c r="G32" i="27" s="1"/>
  <c r="G31" i="27"/>
  <c r="G30" i="27"/>
  <c r="F29" i="27"/>
  <c r="G29" i="27"/>
  <c r="G28" i="27"/>
  <c r="G27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H104" i="26"/>
  <c r="H105" i="26" s="1"/>
  <c r="G104" i="26"/>
  <c r="G105" i="26" s="1"/>
  <c r="H103" i="26"/>
  <c r="G103" i="26"/>
  <c r="R102" i="26"/>
  <c r="N102" i="26"/>
  <c r="L102" i="26"/>
  <c r="I102" i="26"/>
  <c r="J267" i="3" s="1"/>
  <c r="R100" i="26"/>
  <c r="N100" i="26"/>
  <c r="L100" i="26"/>
  <c r="I100" i="26"/>
  <c r="J265" i="3" s="1"/>
  <c r="R99" i="26"/>
  <c r="N99" i="26"/>
  <c r="L99" i="26"/>
  <c r="I99" i="26"/>
  <c r="J264" i="3" s="1"/>
  <c r="R98" i="26"/>
  <c r="N98" i="26"/>
  <c r="L98" i="26"/>
  <c r="I98" i="26"/>
  <c r="J263" i="3" s="1"/>
  <c r="R97" i="26"/>
  <c r="N97" i="26"/>
  <c r="L97" i="26"/>
  <c r="I97" i="26"/>
  <c r="J262" i="3" s="1"/>
  <c r="T96" i="26"/>
  <c r="R96" i="26"/>
  <c r="L261" i="3" s="1"/>
  <c r="Y261" i="3" s="1"/>
  <c r="N96" i="26"/>
  <c r="L96" i="26"/>
  <c r="I96" i="26"/>
  <c r="J261" i="3" s="1"/>
  <c r="R95" i="26"/>
  <c r="N95" i="26"/>
  <c r="L95" i="26"/>
  <c r="I95" i="26"/>
  <c r="J260" i="3" s="1"/>
  <c r="R94" i="26"/>
  <c r="N94" i="26"/>
  <c r="L94" i="26"/>
  <c r="I94" i="26"/>
  <c r="J259" i="3" s="1"/>
  <c r="R93" i="26"/>
  <c r="N93" i="26"/>
  <c r="L93" i="26"/>
  <c r="I93" i="26"/>
  <c r="J258" i="3" s="1"/>
  <c r="R92" i="26"/>
  <c r="N92" i="26"/>
  <c r="L92" i="26"/>
  <c r="I92" i="26"/>
  <c r="J257" i="3" s="1"/>
  <c r="R91" i="26"/>
  <c r="N91" i="26"/>
  <c r="L91" i="26"/>
  <c r="I91" i="26"/>
  <c r="J256" i="3" s="1"/>
  <c r="R90" i="26"/>
  <c r="N90" i="26"/>
  <c r="L90" i="26"/>
  <c r="I90" i="26"/>
  <c r="J255" i="3" s="1"/>
  <c r="R89" i="26"/>
  <c r="N89" i="26"/>
  <c r="L89" i="26"/>
  <c r="I89" i="26"/>
  <c r="J254" i="3" s="1"/>
  <c r="T88" i="26"/>
  <c r="R88" i="26"/>
  <c r="N88" i="26"/>
  <c r="L88" i="26"/>
  <c r="I88" i="26"/>
  <c r="J253" i="3" s="1"/>
  <c r="R87" i="26"/>
  <c r="N87" i="26"/>
  <c r="L87" i="26"/>
  <c r="I87" i="26"/>
  <c r="J252" i="3" s="1"/>
  <c r="R86" i="26"/>
  <c r="N86" i="26"/>
  <c r="L86" i="26"/>
  <c r="I86" i="26"/>
  <c r="J251" i="3" s="1"/>
  <c r="S85" i="26"/>
  <c r="AC250" i="3" s="1"/>
  <c r="R85" i="26"/>
  <c r="N85" i="26"/>
  <c r="L85" i="26"/>
  <c r="I85" i="26"/>
  <c r="J250" i="3" s="1"/>
  <c r="R84" i="26"/>
  <c r="N84" i="26"/>
  <c r="L84" i="26"/>
  <c r="I84" i="26"/>
  <c r="J249" i="3" s="1"/>
  <c r="R83" i="26"/>
  <c r="N83" i="26"/>
  <c r="L83" i="26"/>
  <c r="I83" i="26"/>
  <c r="J248" i="3" s="1"/>
  <c r="R82" i="26"/>
  <c r="N82" i="26"/>
  <c r="L82" i="26"/>
  <c r="I82" i="26"/>
  <c r="J247" i="3" s="1"/>
  <c r="R81" i="26"/>
  <c r="S81" i="26" s="1"/>
  <c r="AC246" i="3" s="1"/>
  <c r="N81" i="26"/>
  <c r="L81" i="26"/>
  <c r="I81" i="26"/>
  <c r="J246" i="3" s="1"/>
  <c r="T80" i="26"/>
  <c r="R80" i="26"/>
  <c r="L245" i="3" s="1"/>
  <c r="Y245" i="3" s="1"/>
  <c r="N80" i="26"/>
  <c r="L80" i="26"/>
  <c r="I80" i="26"/>
  <c r="J245" i="3" s="1"/>
  <c r="R79" i="26"/>
  <c r="N79" i="26"/>
  <c r="L79" i="26"/>
  <c r="I79" i="26"/>
  <c r="J244" i="3" s="1"/>
  <c r="R78" i="26"/>
  <c r="U78" i="26" s="1"/>
  <c r="AI243" i="3" s="1"/>
  <c r="N78" i="26"/>
  <c r="L78" i="26"/>
  <c r="I78" i="26"/>
  <c r="J243" i="3" s="1"/>
  <c r="R77" i="26"/>
  <c r="N77" i="26"/>
  <c r="L77" i="26"/>
  <c r="I77" i="26"/>
  <c r="J242" i="3" s="1"/>
  <c r="R76" i="26"/>
  <c r="N76" i="26"/>
  <c r="L76" i="26"/>
  <c r="I76" i="26"/>
  <c r="J241" i="3" s="1"/>
  <c r="R75" i="26"/>
  <c r="N75" i="26"/>
  <c r="L75" i="26"/>
  <c r="I75" i="26"/>
  <c r="J240" i="3" s="1"/>
  <c r="R74" i="26"/>
  <c r="N74" i="26"/>
  <c r="L74" i="26"/>
  <c r="I74" i="26"/>
  <c r="J239" i="3" s="1"/>
  <c r="R73" i="26"/>
  <c r="N73" i="26"/>
  <c r="L73" i="26"/>
  <c r="I73" i="26"/>
  <c r="J238" i="3" s="1"/>
  <c r="T72" i="26"/>
  <c r="R72" i="26"/>
  <c r="N72" i="26"/>
  <c r="L72" i="26"/>
  <c r="I72" i="26"/>
  <c r="J237" i="3" s="1"/>
  <c r="R71" i="26"/>
  <c r="N71" i="26"/>
  <c r="I71" i="26"/>
  <c r="J236" i="3" s="1"/>
  <c r="R70" i="26"/>
  <c r="N68" i="26"/>
  <c r="R67" i="26"/>
  <c r="N67" i="26"/>
  <c r="I67" i="26"/>
  <c r="J232" i="3" s="1"/>
  <c r="R66" i="26"/>
  <c r="N66" i="26"/>
  <c r="L66" i="26"/>
  <c r="I66" i="26"/>
  <c r="J231" i="3" s="1"/>
  <c r="R65" i="26"/>
  <c r="N65" i="26"/>
  <c r="L65" i="26"/>
  <c r="I65" i="26"/>
  <c r="J230" i="3" s="1"/>
  <c r="T64" i="26"/>
  <c r="R64" i="26"/>
  <c r="L229" i="3" s="1"/>
  <c r="Y229" i="3" s="1"/>
  <c r="N64" i="26"/>
  <c r="L64" i="26"/>
  <c r="I64" i="26"/>
  <c r="J229" i="3" s="1"/>
  <c r="R63" i="26"/>
  <c r="N63" i="26"/>
  <c r="L63" i="26"/>
  <c r="I63" i="26"/>
  <c r="J228" i="3" s="1"/>
  <c r="R62" i="26"/>
  <c r="N62" i="26"/>
  <c r="L62" i="26"/>
  <c r="I62" i="26"/>
  <c r="J227" i="3" s="1"/>
  <c r="R61" i="26"/>
  <c r="N61" i="26"/>
  <c r="L61" i="26"/>
  <c r="I61" i="26"/>
  <c r="J226" i="3" s="1"/>
  <c r="R60" i="26"/>
  <c r="N60" i="26"/>
  <c r="L60" i="26"/>
  <c r="I60" i="26"/>
  <c r="J225" i="3" s="1"/>
  <c r="R59" i="26"/>
  <c r="N59" i="26"/>
  <c r="L59" i="26"/>
  <c r="I59" i="26"/>
  <c r="J224" i="3" s="1"/>
  <c r="R58" i="26"/>
  <c r="N58" i="26"/>
  <c r="L58" i="26"/>
  <c r="I58" i="26"/>
  <c r="J223" i="3" s="1"/>
  <c r="U57" i="26"/>
  <c r="AI222" i="3" s="1"/>
  <c r="R57" i="26"/>
  <c r="N57" i="26"/>
  <c r="L57" i="26"/>
  <c r="I57" i="26"/>
  <c r="J222" i="3" s="1"/>
  <c r="T56" i="26"/>
  <c r="R56" i="26"/>
  <c r="N56" i="26"/>
  <c r="L56" i="26"/>
  <c r="I56" i="26"/>
  <c r="J221" i="3" s="1"/>
  <c r="H50" i="26"/>
  <c r="H51" i="26" s="1"/>
  <c r="G50" i="26"/>
  <c r="G51" i="26" s="1"/>
  <c r="H49" i="26"/>
  <c r="G49" i="26"/>
  <c r="R48" i="26"/>
  <c r="N48" i="26"/>
  <c r="L48" i="26"/>
  <c r="I48" i="26"/>
  <c r="I267" i="3" s="1"/>
  <c r="R47" i="26"/>
  <c r="N47" i="26"/>
  <c r="L47" i="26"/>
  <c r="I47" i="26"/>
  <c r="I266" i="3" s="1"/>
  <c r="S46" i="26"/>
  <c r="AB265" i="3" s="1"/>
  <c r="R46" i="26"/>
  <c r="N46" i="26"/>
  <c r="L46" i="26"/>
  <c r="I46" i="26"/>
  <c r="I265" i="3" s="1"/>
  <c r="R45" i="26"/>
  <c r="N45" i="26"/>
  <c r="L45" i="26"/>
  <c r="I45" i="26"/>
  <c r="I264" i="3" s="1"/>
  <c r="R44" i="26"/>
  <c r="N44" i="26"/>
  <c r="L44" i="26"/>
  <c r="I44" i="26"/>
  <c r="I263" i="3" s="1"/>
  <c r="R43" i="26"/>
  <c r="N43" i="26"/>
  <c r="L43" i="26"/>
  <c r="I43" i="26"/>
  <c r="I262" i="3" s="1"/>
  <c r="T42" i="26"/>
  <c r="R42" i="26"/>
  <c r="K261" i="3" s="1"/>
  <c r="V261" i="3" s="1"/>
  <c r="W261" i="3" s="1"/>
  <c r="N42" i="26"/>
  <c r="L42" i="26"/>
  <c r="I42" i="26"/>
  <c r="I261" i="3" s="1"/>
  <c r="R41" i="26"/>
  <c r="S41" i="26" s="1"/>
  <c r="AB260" i="3" s="1"/>
  <c r="N41" i="26"/>
  <c r="L41" i="26"/>
  <c r="I41" i="26"/>
  <c r="I260" i="3" s="1"/>
  <c r="R40" i="26"/>
  <c r="S40" i="26" s="1"/>
  <c r="AB259" i="3" s="1"/>
  <c r="N40" i="26"/>
  <c r="L40" i="26"/>
  <c r="I40" i="26"/>
  <c r="I259" i="3" s="1"/>
  <c r="R39" i="26"/>
  <c r="S39" i="26" s="1"/>
  <c r="AB258" i="3" s="1"/>
  <c r="N39" i="26"/>
  <c r="L39" i="26"/>
  <c r="I39" i="26"/>
  <c r="I258" i="3" s="1"/>
  <c r="R38" i="26"/>
  <c r="S38" i="26" s="1"/>
  <c r="AB257" i="3" s="1"/>
  <c r="N38" i="26"/>
  <c r="L38" i="26"/>
  <c r="I38" i="26"/>
  <c r="I257" i="3" s="1"/>
  <c r="R37" i="26"/>
  <c r="S37" i="26" s="1"/>
  <c r="AB256" i="3" s="1"/>
  <c r="N37" i="26"/>
  <c r="L37" i="26"/>
  <c r="I37" i="26"/>
  <c r="I256" i="3" s="1"/>
  <c r="R36" i="26"/>
  <c r="S36" i="26" s="1"/>
  <c r="AB255" i="3" s="1"/>
  <c r="N36" i="26"/>
  <c r="L36" i="26"/>
  <c r="I36" i="26"/>
  <c r="I255" i="3" s="1"/>
  <c r="R35" i="26"/>
  <c r="S35" i="26" s="1"/>
  <c r="AB254" i="3" s="1"/>
  <c r="N35" i="26"/>
  <c r="L35" i="26"/>
  <c r="I35" i="26"/>
  <c r="I254" i="3" s="1"/>
  <c r="T34" i="26"/>
  <c r="R34" i="26"/>
  <c r="U34" i="26" s="1"/>
  <c r="AH253" i="3" s="1"/>
  <c r="N34" i="26"/>
  <c r="L34" i="26"/>
  <c r="I34" i="26"/>
  <c r="I253" i="3" s="1"/>
  <c r="R33" i="26"/>
  <c r="U33" i="26" s="1"/>
  <c r="AH252" i="3" s="1"/>
  <c r="N33" i="26"/>
  <c r="L33" i="26"/>
  <c r="I33" i="26"/>
  <c r="I252" i="3" s="1"/>
  <c r="R32" i="26"/>
  <c r="S32" i="26" s="1"/>
  <c r="AB251" i="3" s="1"/>
  <c r="N32" i="26"/>
  <c r="L32" i="26"/>
  <c r="I32" i="26"/>
  <c r="I251" i="3" s="1"/>
  <c r="R31" i="26"/>
  <c r="S31" i="26" s="1"/>
  <c r="AB250" i="3" s="1"/>
  <c r="N31" i="26"/>
  <c r="L31" i="26"/>
  <c r="I31" i="26"/>
  <c r="I250" i="3" s="1"/>
  <c r="R30" i="26"/>
  <c r="S30" i="26" s="1"/>
  <c r="AB249" i="3" s="1"/>
  <c r="N30" i="26"/>
  <c r="L30" i="26"/>
  <c r="I30" i="26"/>
  <c r="I249" i="3" s="1"/>
  <c r="R29" i="26"/>
  <c r="S29" i="26" s="1"/>
  <c r="AB248" i="3" s="1"/>
  <c r="N29" i="26"/>
  <c r="L29" i="26"/>
  <c r="I29" i="26"/>
  <c r="I248" i="3" s="1"/>
  <c r="R28" i="26"/>
  <c r="S28" i="26" s="1"/>
  <c r="AB247" i="3" s="1"/>
  <c r="N28" i="26"/>
  <c r="L28" i="26"/>
  <c r="I28" i="26"/>
  <c r="I247" i="3" s="1"/>
  <c r="R27" i="26"/>
  <c r="S27" i="26" s="1"/>
  <c r="AB246" i="3" s="1"/>
  <c r="N27" i="26"/>
  <c r="L27" i="26"/>
  <c r="I27" i="26"/>
  <c r="I246" i="3" s="1"/>
  <c r="T26" i="26"/>
  <c r="R26" i="26"/>
  <c r="U26" i="26" s="1"/>
  <c r="AH245" i="3" s="1"/>
  <c r="N26" i="26"/>
  <c r="L26" i="26"/>
  <c r="I26" i="26"/>
  <c r="I245" i="3" s="1"/>
  <c r="R25" i="26"/>
  <c r="U25" i="26" s="1"/>
  <c r="AH244" i="3" s="1"/>
  <c r="N25" i="26"/>
  <c r="L25" i="26"/>
  <c r="I25" i="26"/>
  <c r="I244" i="3" s="1"/>
  <c r="R24" i="26"/>
  <c r="U24" i="26" s="1"/>
  <c r="AH243" i="3" s="1"/>
  <c r="N24" i="26"/>
  <c r="L24" i="26"/>
  <c r="I24" i="26"/>
  <c r="I243" i="3" s="1"/>
  <c r="R23" i="26"/>
  <c r="U23" i="26" s="1"/>
  <c r="AH242" i="3" s="1"/>
  <c r="N23" i="26"/>
  <c r="L23" i="26"/>
  <c r="I23" i="26"/>
  <c r="I242" i="3" s="1"/>
  <c r="R22" i="26"/>
  <c r="U22" i="26" s="1"/>
  <c r="AH241" i="3" s="1"/>
  <c r="N22" i="26"/>
  <c r="L22" i="26"/>
  <c r="I22" i="26"/>
  <c r="I241" i="3" s="1"/>
  <c r="R21" i="26"/>
  <c r="U21" i="26" s="1"/>
  <c r="AH240" i="3" s="1"/>
  <c r="N21" i="26"/>
  <c r="L21" i="26"/>
  <c r="I21" i="26"/>
  <c r="I240" i="3" s="1"/>
  <c r="R20" i="26"/>
  <c r="U20" i="26" s="1"/>
  <c r="AH239" i="3" s="1"/>
  <c r="N20" i="26"/>
  <c r="L20" i="26"/>
  <c r="I20" i="26"/>
  <c r="I239" i="3" s="1"/>
  <c r="R19" i="26"/>
  <c r="U19" i="26" s="1"/>
  <c r="AH238" i="3" s="1"/>
  <c r="N19" i="26"/>
  <c r="L19" i="26"/>
  <c r="I19" i="26"/>
  <c r="I238" i="3" s="1"/>
  <c r="T18" i="26"/>
  <c r="R18" i="26"/>
  <c r="U18" i="26" s="1"/>
  <c r="AH237" i="3" s="1"/>
  <c r="N18" i="26"/>
  <c r="L18" i="26"/>
  <c r="I18" i="26"/>
  <c r="I237" i="3" s="1"/>
  <c r="R17" i="26"/>
  <c r="S17" i="26" s="1"/>
  <c r="AB236" i="3" s="1"/>
  <c r="N17" i="26"/>
  <c r="L17" i="26"/>
  <c r="I17" i="26"/>
  <c r="I236" i="3" s="1"/>
  <c r="R16" i="26"/>
  <c r="S16" i="26" s="1"/>
  <c r="AB235" i="3" s="1"/>
  <c r="N16" i="26"/>
  <c r="L16" i="26"/>
  <c r="I16" i="26"/>
  <c r="I235" i="3" s="1"/>
  <c r="R15" i="26"/>
  <c r="S15" i="26" s="1"/>
  <c r="AB234" i="3" s="1"/>
  <c r="N15" i="26"/>
  <c r="L15" i="26"/>
  <c r="I15" i="26"/>
  <c r="I234" i="3" s="1"/>
  <c r="R14" i="26"/>
  <c r="S14" i="26" s="1"/>
  <c r="AB233" i="3" s="1"/>
  <c r="N14" i="26"/>
  <c r="L14" i="26"/>
  <c r="I14" i="26"/>
  <c r="I233" i="3" s="1"/>
  <c r="R13" i="26"/>
  <c r="S13" i="26" s="1"/>
  <c r="AB232" i="3" s="1"/>
  <c r="N13" i="26"/>
  <c r="L13" i="26"/>
  <c r="I13" i="26"/>
  <c r="I232" i="3" s="1"/>
  <c r="R12" i="26"/>
  <c r="S12" i="26" s="1"/>
  <c r="AB231" i="3" s="1"/>
  <c r="N12" i="26"/>
  <c r="L12" i="26"/>
  <c r="I12" i="26"/>
  <c r="I231" i="3" s="1"/>
  <c r="R11" i="26"/>
  <c r="S11" i="26" s="1"/>
  <c r="AB230" i="3" s="1"/>
  <c r="N11" i="26"/>
  <c r="L11" i="26"/>
  <c r="I11" i="26"/>
  <c r="I230" i="3" s="1"/>
  <c r="T10" i="26"/>
  <c r="R10" i="26"/>
  <c r="K229" i="3" s="1"/>
  <c r="V229" i="3" s="1"/>
  <c r="W229" i="3" s="1"/>
  <c r="N10" i="26"/>
  <c r="L10" i="26"/>
  <c r="I10" i="26"/>
  <c r="I229" i="3" s="1"/>
  <c r="R9" i="26"/>
  <c r="U9" i="26" s="1"/>
  <c r="AH228" i="3" s="1"/>
  <c r="N9" i="26"/>
  <c r="L9" i="26"/>
  <c r="I9" i="26"/>
  <c r="I228" i="3" s="1"/>
  <c r="R8" i="26"/>
  <c r="U8" i="26" s="1"/>
  <c r="AH227" i="3" s="1"/>
  <c r="N8" i="26"/>
  <c r="L8" i="26"/>
  <c r="I8" i="26"/>
  <c r="I227" i="3" s="1"/>
  <c r="R7" i="26"/>
  <c r="U7" i="26" s="1"/>
  <c r="AH226" i="3" s="1"/>
  <c r="N7" i="26"/>
  <c r="L7" i="26"/>
  <c r="I7" i="26"/>
  <c r="I226" i="3" s="1"/>
  <c r="R6" i="26"/>
  <c r="U6" i="26" s="1"/>
  <c r="AH225" i="3" s="1"/>
  <c r="N6" i="26"/>
  <c r="L6" i="26"/>
  <c r="I6" i="26"/>
  <c r="I225" i="3" s="1"/>
  <c r="R5" i="26"/>
  <c r="U5" i="26" s="1"/>
  <c r="AH224" i="3" s="1"/>
  <c r="N5" i="26"/>
  <c r="L5" i="26"/>
  <c r="I5" i="26"/>
  <c r="I224" i="3" s="1"/>
  <c r="R4" i="26"/>
  <c r="U4" i="26" s="1"/>
  <c r="AH223" i="3" s="1"/>
  <c r="N4" i="26"/>
  <c r="L4" i="26"/>
  <c r="I4" i="26"/>
  <c r="I223" i="3" s="1"/>
  <c r="R3" i="26"/>
  <c r="U3" i="26" s="1"/>
  <c r="AH222" i="3" s="1"/>
  <c r="N3" i="26"/>
  <c r="L3" i="26"/>
  <c r="I3" i="26"/>
  <c r="I222" i="3" s="1"/>
  <c r="T2" i="26"/>
  <c r="R2" i="26"/>
  <c r="U2" i="26" s="1"/>
  <c r="AH221" i="3" s="1"/>
  <c r="N2" i="26"/>
  <c r="L2" i="26"/>
  <c r="I2" i="26"/>
  <c r="I221" i="3" s="1"/>
  <c r="X261" i="3" l="1"/>
  <c r="AA261" i="3" s="1"/>
  <c r="U47" i="26"/>
  <c r="AH266" i="3" s="1"/>
  <c r="K266" i="3"/>
  <c r="W266" i="3" s="1"/>
  <c r="X266" i="3" s="1"/>
  <c r="AA266" i="3" s="1"/>
  <c r="U48" i="26"/>
  <c r="AH267" i="3" s="1"/>
  <c r="K267" i="3"/>
  <c r="U97" i="26"/>
  <c r="AI262" i="3" s="1"/>
  <c r="L262" i="3"/>
  <c r="Y262" i="3" s="1"/>
  <c r="U98" i="26"/>
  <c r="AI263" i="3" s="1"/>
  <c r="L263" i="3"/>
  <c r="Y263" i="3" s="1"/>
  <c r="U99" i="26"/>
  <c r="AI264" i="3" s="1"/>
  <c r="L264" i="3"/>
  <c r="Y264" i="3" s="1"/>
  <c r="U100" i="26"/>
  <c r="AI265" i="3" s="1"/>
  <c r="L265" i="3"/>
  <c r="Y265" i="3" s="1"/>
  <c r="U43" i="26"/>
  <c r="AH262" i="3" s="1"/>
  <c r="K262" i="3"/>
  <c r="V262" i="3" s="1"/>
  <c r="W262" i="3" s="1"/>
  <c r="X262" i="3" s="1"/>
  <c r="AA262" i="3" s="1"/>
  <c r="U44" i="26"/>
  <c r="AH263" i="3" s="1"/>
  <c r="K263" i="3"/>
  <c r="V263" i="3" s="1"/>
  <c r="W263" i="3" s="1"/>
  <c r="X263" i="3" s="1"/>
  <c r="AA263" i="3" s="1"/>
  <c r="U45" i="26"/>
  <c r="AH264" i="3" s="1"/>
  <c r="K264" i="3"/>
  <c r="V264" i="3" s="1"/>
  <c r="W264" i="3" s="1"/>
  <c r="X264" i="3" s="1"/>
  <c r="AA264" i="3" s="1"/>
  <c r="U46" i="26"/>
  <c r="AH265" i="3" s="1"/>
  <c r="K265" i="3"/>
  <c r="W265" i="3" s="1"/>
  <c r="X265" i="3" s="1"/>
  <c r="AA265" i="3" s="1"/>
  <c r="S100" i="26"/>
  <c r="AC265" i="3" s="1"/>
  <c r="U102" i="26"/>
  <c r="AI267" i="3" s="1"/>
  <c r="L267" i="3"/>
  <c r="S98" i="26"/>
  <c r="AC263" i="3" s="1"/>
  <c r="S99" i="26"/>
  <c r="AC264" i="3" s="1"/>
  <c r="S102" i="26"/>
  <c r="AC267" i="3" s="1"/>
  <c r="S97" i="26"/>
  <c r="AC262" i="3" s="1"/>
  <c r="S45" i="26"/>
  <c r="AB264" i="3" s="1"/>
  <c r="S43" i="26"/>
  <c r="AB262" i="3" s="1"/>
  <c r="S48" i="26"/>
  <c r="AB267" i="3" s="1"/>
  <c r="S47" i="26"/>
  <c r="AB266" i="3" s="1"/>
  <c r="S44" i="26"/>
  <c r="AB263" i="3" s="1"/>
  <c r="X229" i="3"/>
  <c r="AA229" i="3" s="1"/>
  <c r="K260" i="3"/>
  <c r="V260" i="3" s="1"/>
  <c r="W260" i="3" s="1"/>
  <c r="X260" i="3" s="1"/>
  <c r="U40" i="26"/>
  <c r="AH259" i="3" s="1"/>
  <c r="K256" i="3"/>
  <c r="V256" i="3" s="1"/>
  <c r="W256" i="3" s="1"/>
  <c r="X256" i="3" s="1"/>
  <c r="K251" i="3"/>
  <c r="V251" i="3" s="1"/>
  <c r="W251" i="3" s="1"/>
  <c r="X251" i="3" s="1"/>
  <c r="K247" i="3"/>
  <c r="V247" i="3" s="1"/>
  <c r="W247" i="3" s="1"/>
  <c r="X247" i="3" s="1"/>
  <c r="S20" i="26"/>
  <c r="AB239" i="3" s="1"/>
  <c r="U68" i="26"/>
  <c r="AI233" i="3" s="1"/>
  <c r="L234" i="3"/>
  <c r="Y234" i="3" s="1"/>
  <c r="U69" i="26"/>
  <c r="AI234" i="3" s="1"/>
  <c r="K236" i="3"/>
  <c r="V236" i="3" s="1"/>
  <c r="W236" i="3" s="1"/>
  <c r="X236" i="3" s="1"/>
  <c r="S10" i="26"/>
  <c r="U10" i="26"/>
  <c r="AH229" i="3" s="1"/>
  <c r="S63" i="26"/>
  <c r="AC228" i="3" s="1"/>
  <c r="L228" i="3"/>
  <c r="Y228" i="3" s="1"/>
  <c r="S62" i="26"/>
  <c r="AC227" i="3" s="1"/>
  <c r="L227" i="3"/>
  <c r="Y227" i="3" s="1"/>
  <c r="S61" i="26"/>
  <c r="AC226" i="3" s="1"/>
  <c r="L226" i="3"/>
  <c r="Y226" i="3" s="1"/>
  <c r="S60" i="26"/>
  <c r="AC225" i="3" s="1"/>
  <c r="L225" i="3"/>
  <c r="Y225" i="3" s="1"/>
  <c r="S59" i="26"/>
  <c r="AC224" i="3" s="1"/>
  <c r="L224" i="3"/>
  <c r="Y224" i="3" s="1"/>
  <c r="S58" i="26"/>
  <c r="AC223" i="3" s="1"/>
  <c r="L223" i="3"/>
  <c r="Y223" i="3" s="1"/>
  <c r="S57" i="26"/>
  <c r="AC222" i="3" s="1"/>
  <c r="L222" i="3"/>
  <c r="Y222" i="3" s="1"/>
  <c r="U56" i="26"/>
  <c r="AI221" i="3" s="1"/>
  <c r="L221" i="3"/>
  <c r="Y221" i="3" s="1"/>
  <c r="K221" i="3"/>
  <c r="V221" i="3" s="1"/>
  <c r="W221" i="3" s="1"/>
  <c r="H36" i="27"/>
  <c r="S95" i="26"/>
  <c r="AC260" i="3" s="1"/>
  <c r="L260" i="3"/>
  <c r="Y260" i="3" s="1"/>
  <c r="S94" i="26"/>
  <c r="AC259" i="3" s="1"/>
  <c r="L259" i="3"/>
  <c r="Y259" i="3" s="1"/>
  <c r="U94" i="26"/>
  <c r="AI259" i="3" s="1"/>
  <c r="S93" i="26"/>
  <c r="AC258" i="3" s="1"/>
  <c r="L258" i="3"/>
  <c r="Y258" i="3" s="1"/>
  <c r="S92" i="26"/>
  <c r="AC257" i="3" s="1"/>
  <c r="L257" i="3"/>
  <c r="Y257" i="3" s="1"/>
  <c r="S91" i="26"/>
  <c r="AC256" i="3" s="1"/>
  <c r="L256" i="3"/>
  <c r="Y256" i="3" s="1"/>
  <c r="S90" i="26"/>
  <c r="AC255" i="3" s="1"/>
  <c r="L255" i="3"/>
  <c r="Y255" i="3" s="1"/>
  <c r="S89" i="26"/>
  <c r="AC254" i="3" s="1"/>
  <c r="L254" i="3"/>
  <c r="Y254" i="3" s="1"/>
  <c r="U88" i="26"/>
  <c r="AI253" i="3" s="1"/>
  <c r="L253" i="3"/>
  <c r="Y253" i="3" s="1"/>
  <c r="K259" i="3"/>
  <c r="K258" i="3"/>
  <c r="K257" i="3"/>
  <c r="V257" i="3" s="1"/>
  <c r="K255" i="3"/>
  <c r="V255" i="3" s="1"/>
  <c r="W255" i="3" s="1"/>
  <c r="X255" i="3" s="1"/>
  <c r="AA255" i="3" s="1"/>
  <c r="K254" i="3"/>
  <c r="V254" i="3" s="1"/>
  <c r="W254" i="3" s="1"/>
  <c r="X254" i="3" s="1"/>
  <c r="K253" i="3"/>
  <c r="V253" i="3" s="1"/>
  <c r="W253" i="3" s="1"/>
  <c r="U87" i="26"/>
  <c r="AI252" i="3" s="1"/>
  <c r="L252" i="3"/>
  <c r="Y252" i="3" s="1"/>
  <c r="U86" i="26"/>
  <c r="AI251" i="3" s="1"/>
  <c r="L251" i="3"/>
  <c r="Y251" i="3" s="1"/>
  <c r="U85" i="26"/>
  <c r="AI250" i="3" s="1"/>
  <c r="L250" i="3"/>
  <c r="Y250" i="3" s="1"/>
  <c r="U84" i="26"/>
  <c r="AI249" i="3" s="1"/>
  <c r="L249" i="3"/>
  <c r="Y249" i="3" s="1"/>
  <c r="U83" i="26"/>
  <c r="AI248" i="3" s="1"/>
  <c r="L248" i="3"/>
  <c r="Y248" i="3" s="1"/>
  <c r="U82" i="26"/>
  <c r="AI247" i="3" s="1"/>
  <c r="L247" i="3"/>
  <c r="Y247" i="3" s="1"/>
  <c r="AA247" i="3" s="1"/>
  <c r="U81" i="26"/>
  <c r="AI246" i="3" s="1"/>
  <c r="L246" i="3"/>
  <c r="Y246" i="3" s="1"/>
  <c r="K252" i="3"/>
  <c r="V252" i="3" s="1"/>
  <c r="W252" i="3" s="1"/>
  <c r="X252" i="3" s="1"/>
  <c r="K250" i="3"/>
  <c r="V250" i="3" s="1"/>
  <c r="W250" i="3" s="1"/>
  <c r="X250" i="3" s="1"/>
  <c r="AA250" i="3" s="1"/>
  <c r="K249" i="3"/>
  <c r="V249" i="3" s="1"/>
  <c r="W249" i="3" s="1"/>
  <c r="X249" i="3" s="1"/>
  <c r="K248" i="3"/>
  <c r="V248" i="3" s="1"/>
  <c r="W248" i="3" s="1"/>
  <c r="X248" i="3" s="1"/>
  <c r="K246" i="3"/>
  <c r="V246" i="3" s="1"/>
  <c r="W246" i="3" s="1"/>
  <c r="X246" i="3" s="1"/>
  <c r="K245" i="3"/>
  <c r="V245" i="3" s="1"/>
  <c r="W245" i="3" s="1"/>
  <c r="S24" i="26"/>
  <c r="AB243" i="3" s="1"/>
  <c r="K244" i="3"/>
  <c r="V244" i="3" s="1"/>
  <c r="W244" i="3" s="1"/>
  <c r="X244" i="3" s="1"/>
  <c r="K242" i="3"/>
  <c r="V242" i="3" s="1"/>
  <c r="W242" i="3" s="1"/>
  <c r="X242" i="3" s="1"/>
  <c r="K240" i="3"/>
  <c r="V240" i="3" s="1"/>
  <c r="W240" i="3" s="1"/>
  <c r="X240" i="3" s="1"/>
  <c r="K238" i="3"/>
  <c r="V238" i="3" s="1"/>
  <c r="W238" i="3" s="1"/>
  <c r="X238" i="3" s="1"/>
  <c r="K243" i="3"/>
  <c r="V243" i="3" s="1"/>
  <c r="W243" i="3" s="1"/>
  <c r="X243" i="3" s="1"/>
  <c r="K241" i="3"/>
  <c r="V241" i="3" s="1"/>
  <c r="W241" i="3" s="1"/>
  <c r="X241" i="3" s="1"/>
  <c r="K239" i="3"/>
  <c r="V239" i="3" s="1"/>
  <c r="W239" i="3" s="1"/>
  <c r="X239" i="3" s="1"/>
  <c r="K237" i="3"/>
  <c r="V237" i="3" s="1"/>
  <c r="W237" i="3" s="1"/>
  <c r="S79" i="26"/>
  <c r="AC244" i="3" s="1"/>
  <c r="L244" i="3"/>
  <c r="Y244" i="3" s="1"/>
  <c r="S78" i="26"/>
  <c r="AC243" i="3" s="1"/>
  <c r="L243" i="3"/>
  <c r="Y243" i="3" s="1"/>
  <c r="S77" i="26"/>
  <c r="AC242" i="3" s="1"/>
  <c r="L242" i="3"/>
  <c r="Y242" i="3" s="1"/>
  <c r="AA242" i="3" s="1"/>
  <c r="S76" i="26"/>
  <c r="AC241" i="3" s="1"/>
  <c r="L241" i="3"/>
  <c r="Y241" i="3" s="1"/>
  <c r="AA241" i="3" s="1"/>
  <c r="S75" i="26"/>
  <c r="AC240" i="3" s="1"/>
  <c r="L240" i="3"/>
  <c r="Y240" i="3" s="1"/>
  <c r="S74" i="26"/>
  <c r="AC239" i="3" s="1"/>
  <c r="L239" i="3"/>
  <c r="Y239" i="3" s="1"/>
  <c r="S73" i="26"/>
  <c r="AC238" i="3" s="1"/>
  <c r="L238" i="3"/>
  <c r="Y238" i="3" s="1"/>
  <c r="AA238" i="3" s="1"/>
  <c r="U72" i="26"/>
  <c r="AI237" i="3" s="1"/>
  <c r="L237" i="3"/>
  <c r="Y237" i="3" s="1"/>
  <c r="U71" i="26"/>
  <c r="AI236" i="3" s="1"/>
  <c r="L236" i="3"/>
  <c r="Y236" i="3" s="1"/>
  <c r="AA236" i="3" s="1"/>
  <c r="U70" i="26"/>
  <c r="AI235" i="3" s="1"/>
  <c r="L235" i="3"/>
  <c r="Y235" i="3" s="1"/>
  <c r="S69" i="26"/>
  <c r="AC234" i="3" s="1"/>
  <c r="S68" i="26"/>
  <c r="AC233" i="3" s="1"/>
  <c r="U67" i="26"/>
  <c r="AI232" i="3" s="1"/>
  <c r="L232" i="3"/>
  <c r="Y232" i="3" s="1"/>
  <c r="U66" i="26"/>
  <c r="AI231" i="3" s="1"/>
  <c r="L231" i="3"/>
  <c r="Y231" i="3" s="1"/>
  <c r="U65" i="26"/>
  <c r="AI230" i="3" s="1"/>
  <c r="L230" i="3"/>
  <c r="Y230" i="3" s="1"/>
  <c r="K235" i="3"/>
  <c r="V235" i="3" s="1"/>
  <c r="W235" i="3" s="1"/>
  <c r="X235" i="3" s="1"/>
  <c r="K234" i="3"/>
  <c r="V234" i="3" s="1"/>
  <c r="W234" i="3" s="1"/>
  <c r="X234" i="3" s="1"/>
  <c r="K233" i="3"/>
  <c r="V233" i="3" s="1"/>
  <c r="W233" i="3" s="1"/>
  <c r="X233" i="3" s="1"/>
  <c r="AA233" i="3" s="1"/>
  <c r="K232" i="3"/>
  <c r="V232" i="3" s="1"/>
  <c r="W232" i="3" s="1"/>
  <c r="X232" i="3" s="1"/>
  <c r="K231" i="3"/>
  <c r="V231" i="3" s="1"/>
  <c r="W231" i="3" s="1"/>
  <c r="X231" i="3" s="1"/>
  <c r="K230" i="3"/>
  <c r="V230" i="3" s="1"/>
  <c r="W230" i="3" s="1"/>
  <c r="X230" i="3" s="1"/>
  <c r="X10" i="26"/>
  <c r="AB229" i="3"/>
  <c r="H12" i="27"/>
  <c r="H2" i="27"/>
  <c r="K228" i="3"/>
  <c r="V228" i="3" s="1"/>
  <c r="W228" i="3" s="1"/>
  <c r="X228" i="3" s="1"/>
  <c r="K227" i="3"/>
  <c r="V227" i="3" s="1"/>
  <c r="W227" i="3" s="1"/>
  <c r="X227" i="3" s="1"/>
  <c r="K226" i="3"/>
  <c r="V226" i="3" s="1"/>
  <c r="W226" i="3" s="1"/>
  <c r="X226" i="3" s="1"/>
  <c r="S6" i="26"/>
  <c r="AB225" i="3" s="1"/>
  <c r="K225" i="3"/>
  <c r="V225" i="3" s="1"/>
  <c r="W225" i="3" s="1"/>
  <c r="X225" i="3" s="1"/>
  <c r="K224" i="3"/>
  <c r="V224" i="3" s="1"/>
  <c r="W224" i="3" s="1"/>
  <c r="X224" i="3" s="1"/>
  <c r="K223" i="3"/>
  <c r="V223" i="3" s="1"/>
  <c r="W223" i="3" s="1"/>
  <c r="X223" i="3" s="1"/>
  <c r="K222" i="3"/>
  <c r="V222" i="3" s="1"/>
  <c r="W222" i="3" s="1"/>
  <c r="X222" i="3" s="1"/>
  <c r="G52" i="26"/>
  <c r="H19" i="27"/>
  <c r="H28" i="27"/>
  <c r="H43" i="27"/>
  <c r="U61" i="26"/>
  <c r="AI226" i="3" s="1"/>
  <c r="S66" i="26"/>
  <c r="AC231" i="3" s="1"/>
  <c r="S71" i="26"/>
  <c r="AC236" i="3" s="1"/>
  <c r="U74" i="26"/>
  <c r="AI239" i="3" s="1"/>
  <c r="S83" i="26"/>
  <c r="AC248" i="3" s="1"/>
  <c r="S87" i="26"/>
  <c r="AC252" i="3" s="1"/>
  <c r="U90" i="26"/>
  <c r="AI255" i="3" s="1"/>
  <c r="S56" i="26"/>
  <c r="U59" i="26"/>
  <c r="AI224" i="3" s="1"/>
  <c r="U63" i="26"/>
  <c r="AI228" i="3" s="1"/>
  <c r="S65" i="26"/>
  <c r="AC230" i="3" s="1"/>
  <c r="S67" i="26"/>
  <c r="AC232" i="3" s="1"/>
  <c r="S70" i="26"/>
  <c r="AC235" i="3" s="1"/>
  <c r="S72" i="26"/>
  <c r="U76" i="26"/>
  <c r="AI241" i="3" s="1"/>
  <c r="S82" i="26"/>
  <c r="AC247" i="3" s="1"/>
  <c r="S84" i="26"/>
  <c r="AC249" i="3" s="1"/>
  <c r="S86" i="26"/>
  <c r="AC251" i="3" s="1"/>
  <c r="S88" i="26"/>
  <c r="U92" i="26"/>
  <c r="AI257" i="3" s="1"/>
  <c r="S4" i="26"/>
  <c r="AB223" i="3" s="1"/>
  <c r="S8" i="26"/>
  <c r="AB227" i="3" s="1"/>
  <c r="S22" i="26"/>
  <c r="AB241" i="3" s="1"/>
  <c r="S26" i="26"/>
  <c r="AB245" i="3" s="1"/>
  <c r="U36" i="26"/>
  <c r="AH255" i="3" s="1"/>
  <c r="S3" i="26"/>
  <c r="AB222" i="3" s="1"/>
  <c r="S5" i="26"/>
  <c r="AB224" i="3" s="1"/>
  <c r="S7" i="26"/>
  <c r="AB226" i="3" s="1"/>
  <c r="S9" i="26"/>
  <c r="AB228" i="3" s="1"/>
  <c r="U16" i="26"/>
  <c r="AH235" i="3" s="1"/>
  <c r="S19" i="26"/>
  <c r="AB238" i="3" s="1"/>
  <c r="S21" i="26"/>
  <c r="AB240" i="3" s="1"/>
  <c r="S23" i="26"/>
  <c r="AB242" i="3" s="1"/>
  <c r="S25" i="26"/>
  <c r="AB244" i="3" s="1"/>
  <c r="S34" i="26"/>
  <c r="U38" i="26"/>
  <c r="AH257" i="3" s="1"/>
  <c r="G106" i="26"/>
  <c r="G107" i="26" s="1"/>
  <c r="W2" i="26"/>
  <c r="V2" i="26"/>
  <c r="W18" i="26"/>
  <c r="V18" i="26"/>
  <c r="U17" i="26"/>
  <c r="AH236" i="3" s="1"/>
  <c r="U27" i="26"/>
  <c r="AH246" i="3" s="1"/>
  <c r="U28" i="26"/>
  <c r="AH247" i="3" s="1"/>
  <c r="G53" i="26"/>
  <c r="U64" i="26"/>
  <c r="AI229" i="3" s="1"/>
  <c r="S64" i="26"/>
  <c r="AC229" i="3" s="1"/>
  <c r="Y10" i="26"/>
  <c r="U11" i="26"/>
  <c r="AH230" i="3" s="1"/>
  <c r="U12" i="26"/>
  <c r="AH231" i="3" s="1"/>
  <c r="U13" i="26"/>
  <c r="AH232" i="3" s="1"/>
  <c r="U14" i="26"/>
  <c r="AH233" i="3" s="1"/>
  <c r="U15" i="26"/>
  <c r="AH234" i="3" s="1"/>
  <c r="U29" i="26"/>
  <c r="AH248" i="3" s="1"/>
  <c r="U30" i="26"/>
  <c r="AH249" i="3" s="1"/>
  <c r="U31" i="26"/>
  <c r="AH250" i="3" s="1"/>
  <c r="U32" i="26"/>
  <c r="AH251" i="3" s="1"/>
  <c r="S2" i="26"/>
  <c r="AB221" i="3" s="1"/>
  <c r="S18" i="26"/>
  <c r="AB237" i="3" s="1"/>
  <c r="S33" i="26"/>
  <c r="AB252" i="3" s="1"/>
  <c r="U35" i="26"/>
  <c r="AH254" i="3" s="1"/>
  <c r="U37" i="26"/>
  <c r="AH256" i="3" s="1"/>
  <c r="U39" i="26"/>
  <c r="AH258" i="3" s="1"/>
  <c r="U41" i="26"/>
  <c r="AH260" i="3" s="1"/>
  <c r="U42" i="26"/>
  <c r="AH261" i="3" s="1"/>
  <c r="S42" i="26"/>
  <c r="AB261" i="3" s="1"/>
  <c r="U58" i="26"/>
  <c r="AI223" i="3" s="1"/>
  <c r="U60" i="26"/>
  <c r="AI225" i="3" s="1"/>
  <c r="U62" i="26"/>
  <c r="AI227" i="3" s="1"/>
  <c r="U73" i="26"/>
  <c r="AI238" i="3" s="1"/>
  <c r="U75" i="26"/>
  <c r="AI240" i="3" s="1"/>
  <c r="U77" i="26"/>
  <c r="AI242" i="3" s="1"/>
  <c r="U79" i="26"/>
  <c r="AI244" i="3" s="1"/>
  <c r="U80" i="26"/>
  <c r="AI245" i="3" s="1"/>
  <c r="S80" i="26"/>
  <c r="AC245" i="3" s="1"/>
  <c r="U89" i="26"/>
  <c r="AI254" i="3" s="1"/>
  <c r="U91" i="26"/>
  <c r="AI256" i="3" s="1"/>
  <c r="U93" i="26"/>
  <c r="AI258" i="3" s="1"/>
  <c r="U95" i="26"/>
  <c r="AI260" i="3" s="1"/>
  <c r="U96" i="26"/>
  <c r="AI261" i="3" s="1"/>
  <c r="S96" i="26"/>
  <c r="AC261" i="3" s="1"/>
  <c r="H52" i="26"/>
  <c r="H53" i="26" s="1"/>
  <c r="H106" i="26"/>
  <c r="H107" i="26" s="1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I197" i="3"/>
  <c r="AH197" i="3"/>
  <c r="AI159" i="3"/>
  <c r="AI160" i="3"/>
  <c r="AI161" i="3"/>
  <c r="AI162" i="3"/>
  <c r="AI163" i="3"/>
  <c r="AI164" i="3"/>
  <c r="AI165" i="3"/>
  <c r="AI158" i="3"/>
  <c r="AI157" i="3"/>
  <c r="AA254" i="3" l="1"/>
  <c r="AA256" i="3"/>
  <c r="AA225" i="3"/>
  <c r="AA226" i="3"/>
  <c r="AA228" i="3"/>
  <c r="V258" i="3"/>
  <c r="W258" i="3" s="1"/>
  <c r="X258" i="3" s="1"/>
  <c r="AA258" i="3" s="1"/>
  <c r="AA260" i="3"/>
  <c r="AD261" i="3"/>
  <c r="W257" i="3"/>
  <c r="X257" i="3" s="1"/>
  <c r="AA257" i="3" s="1"/>
  <c r="V259" i="3"/>
  <c r="W259" i="3" s="1"/>
  <c r="X259" i="3" s="1"/>
  <c r="AA259" i="3" s="1"/>
  <c r="AG261" i="3"/>
  <c r="AE261" i="3"/>
  <c r="AA231" i="3"/>
  <c r="AA235" i="3"/>
  <c r="X237" i="3"/>
  <c r="AA237" i="3" s="1"/>
  <c r="AE237" i="3"/>
  <c r="AD237" i="3"/>
  <c r="AA223" i="3"/>
  <c r="AD229" i="3"/>
  <c r="AA222" i="3"/>
  <c r="AA224" i="3"/>
  <c r="AA227" i="3"/>
  <c r="X245" i="3"/>
  <c r="AA245" i="3" s="1"/>
  <c r="AE245" i="3"/>
  <c r="AD245" i="3"/>
  <c r="AA251" i="3"/>
  <c r="X253" i="3"/>
  <c r="AA253" i="3" s="1"/>
  <c r="X221" i="3"/>
  <c r="AA221" i="3" s="1"/>
  <c r="AE221" i="3"/>
  <c r="AD221" i="3"/>
  <c r="AE229" i="3"/>
  <c r="AA249" i="3"/>
  <c r="AA252" i="3"/>
  <c r="AA246" i="3"/>
  <c r="AA234" i="3"/>
  <c r="X56" i="26"/>
  <c r="AC221" i="3"/>
  <c r="Y56" i="26"/>
  <c r="X88" i="26"/>
  <c r="AC253" i="3"/>
  <c r="X34" i="26"/>
  <c r="AB253" i="3"/>
  <c r="Y34" i="26"/>
  <c r="AA248" i="3"/>
  <c r="AA239" i="3"/>
  <c r="AA240" i="3"/>
  <c r="AA243" i="3"/>
  <c r="AA244" i="3"/>
  <c r="X72" i="26"/>
  <c r="AC237" i="3"/>
  <c r="AA230" i="3"/>
  <c r="AA232" i="3"/>
  <c r="Y72" i="26"/>
  <c r="V88" i="26"/>
  <c r="V72" i="26"/>
  <c r="W88" i="26"/>
  <c r="Y88" i="26"/>
  <c r="X26" i="26"/>
  <c r="W10" i="26"/>
  <c r="V26" i="26"/>
  <c r="V34" i="26"/>
  <c r="W26" i="26"/>
  <c r="V10" i="26"/>
  <c r="Y96" i="26"/>
  <c r="X96" i="26"/>
  <c r="W80" i="26"/>
  <c r="V80" i="26"/>
  <c r="W56" i="26"/>
  <c r="V56" i="26"/>
  <c r="W42" i="26"/>
  <c r="V42" i="26"/>
  <c r="Y2" i="26"/>
  <c r="X2" i="26"/>
  <c r="Y64" i="26"/>
  <c r="X64" i="26"/>
  <c r="Y26" i="26"/>
  <c r="W96" i="26"/>
  <c r="V96" i="26"/>
  <c r="Y80" i="26"/>
  <c r="X80" i="26"/>
  <c r="W72" i="26"/>
  <c r="Y42" i="26"/>
  <c r="X42" i="26"/>
  <c r="W34" i="26"/>
  <c r="Y18" i="26"/>
  <c r="X18" i="26"/>
  <c r="W64" i="26"/>
  <c r="V64" i="26"/>
  <c r="AF261" i="3" l="1"/>
  <c r="AD253" i="3"/>
  <c r="AE253" i="3"/>
  <c r="AF229" i="3"/>
  <c r="AG221" i="3"/>
  <c r="AF221" i="3"/>
  <c r="AG237" i="3"/>
  <c r="AF237" i="3"/>
  <c r="AG229" i="3"/>
  <c r="AG253" i="3"/>
  <c r="AF253" i="3"/>
  <c r="AG245" i="3"/>
  <c r="AF245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I174" i="3"/>
  <c r="AH174" i="3"/>
  <c r="AI151" i="3"/>
  <c r="AI152" i="3"/>
  <c r="AI153" i="3"/>
  <c r="AI154" i="3"/>
  <c r="AI155" i="3"/>
  <c r="AI156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I143" i="3"/>
  <c r="AI144" i="3"/>
  <c r="AI145" i="3"/>
  <c r="AI146" i="3"/>
  <c r="AI147" i="3"/>
  <c r="AI148" i="3"/>
  <c r="AI149" i="3"/>
  <c r="AI150" i="3"/>
  <c r="AH143" i="3"/>
  <c r="AH144" i="3"/>
  <c r="AH145" i="3"/>
  <c r="AH146" i="3"/>
  <c r="AH147" i="3"/>
  <c r="AH148" i="3"/>
  <c r="AH149" i="3"/>
  <c r="AH150" i="3"/>
  <c r="AI142" i="3"/>
  <c r="AI136" i="3"/>
  <c r="AI137" i="3"/>
  <c r="AI138" i="3"/>
  <c r="AI139" i="3"/>
  <c r="AI140" i="3"/>
  <c r="AH136" i="3"/>
  <c r="AH137" i="3"/>
  <c r="AH138" i="3"/>
  <c r="AH139" i="3"/>
  <c r="AH140" i="3"/>
  <c r="AH141" i="3"/>
  <c r="AH142" i="3"/>
  <c r="AI141" i="3"/>
  <c r="AI129" i="3"/>
  <c r="AI130" i="3"/>
  <c r="AI131" i="3"/>
  <c r="AI132" i="3"/>
  <c r="AI133" i="3"/>
  <c r="AI134" i="3"/>
  <c r="AI135" i="3"/>
  <c r="AH129" i="3"/>
  <c r="AH130" i="3"/>
  <c r="AH131" i="3"/>
  <c r="AH132" i="3"/>
  <c r="AH133" i="3"/>
  <c r="AH134" i="3"/>
  <c r="AH135" i="3"/>
  <c r="AI128" i="3"/>
  <c r="AH128" i="3"/>
  <c r="AI122" i="3"/>
  <c r="AI123" i="3"/>
  <c r="AI124" i="3"/>
  <c r="AI125" i="3"/>
  <c r="AI126" i="3"/>
  <c r="AI127" i="3"/>
  <c r="AH122" i="3"/>
  <c r="AH123" i="3"/>
  <c r="AH124" i="3"/>
  <c r="AH125" i="3"/>
  <c r="AH126" i="3"/>
  <c r="AH127" i="3"/>
  <c r="AI121" i="3"/>
  <c r="AH121" i="3"/>
  <c r="AI105" i="3"/>
  <c r="AI106" i="3"/>
  <c r="AI107" i="3"/>
  <c r="AI108" i="3"/>
  <c r="AI109" i="3"/>
  <c r="AI110" i="3"/>
  <c r="AI111" i="3"/>
  <c r="AI112" i="3"/>
  <c r="AH105" i="3"/>
  <c r="AH106" i="3"/>
  <c r="AH107" i="3"/>
  <c r="AH108" i="3"/>
  <c r="AH109" i="3"/>
  <c r="AH110" i="3"/>
  <c r="AH111" i="3"/>
  <c r="AH112" i="3"/>
  <c r="AI97" i="3"/>
  <c r="AI98" i="3"/>
  <c r="AI99" i="3"/>
  <c r="AI100" i="3"/>
  <c r="AI101" i="3"/>
  <c r="AI102" i="3"/>
  <c r="AI103" i="3"/>
  <c r="AI104" i="3"/>
  <c r="AH97" i="3"/>
  <c r="AH98" i="3"/>
  <c r="AH99" i="3"/>
  <c r="AH100" i="3"/>
  <c r="AH101" i="3"/>
  <c r="AH102" i="3"/>
  <c r="AH103" i="3"/>
  <c r="AH104" i="3"/>
  <c r="AI89" i="3"/>
  <c r="AI90" i="3"/>
  <c r="AI91" i="3"/>
  <c r="AI92" i="3"/>
  <c r="AI93" i="3"/>
  <c r="AI94" i="3"/>
  <c r="AI95" i="3"/>
  <c r="AI96" i="3"/>
  <c r="AH89" i="3"/>
  <c r="AH90" i="3"/>
  <c r="AH91" i="3"/>
  <c r="AH92" i="3"/>
  <c r="AH93" i="3"/>
  <c r="AH94" i="3"/>
  <c r="AH95" i="3"/>
  <c r="AH96" i="3"/>
  <c r="AI83" i="3"/>
  <c r="AI84" i="3"/>
  <c r="AI85" i="3"/>
  <c r="AI86" i="3"/>
  <c r="AI87" i="3"/>
  <c r="AH83" i="3"/>
  <c r="AH84" i="3"/>
  <c r="AH85" i="3"/>
  <c r="AH86" i="3"/>
  <c r="AH87" i="3"/>
  <c r="AH88" i="3"/>
  <c r="AI82" i="3"/>
  <c r="AH82" i="3"/>
  <c r="AI88" i="3"/>
  <c r="AI74" i="3"/>
  <c r="AI75" i="3"/>
  <c r="AI76" i="3"/>
  <c r="AI77" i="3"/>
  <c r="AI78" i="3"/>
  <c r="AI79" i="3"/>
  <c r="AI80" i="3"/>
  <c r="AI81" i="3"/>
  <c r="AH74" i="3"/>
  <c r="AH75" i="3"/>
  <c r="AH76" i="3"/>
  <c r="AH77" i="3"/>
  <c r="AH78" i="3"/>
  <c r="AH79" i="3"/>
  <c r="AH80" i="3"/>
  <c r="AH81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H73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I50" i="3"/>
  <c r="AI51" i="3"/>
  <c r="AI52" i="3"/>
  <c r="AI53" i="3"/>
  <c r="AI54" i="3"/>
  <c r="AI55" i="3"/>
  <c r="AI56" i="3"/>
  <c r="AI57" i="3"/>
  <c r="AH50" i="3"/>
  <c r="AH51" i="3"/>
  <c r="AH52" i="3"/>
  <c r="AH53" i="3"/>
  <c r="AH54" i="3"/>
  <c r="AH55" i="3"/>
  <c r="AH56" i="3"/>
  <c r="AH57" i="3"/>
  <c r="AI43" i="3"/>
  <c r="AI44" i="3"/>
  <c r="AI45" i="3"/>
  <c r="AI46" i="3"/>
  <c r="AI47" i="3"/>
  <c r="AI48" i="3"/>
  <c r="AI49" i="3"/>
  <c r="AH43" i="3"/>
  <c r="AH44" i="3"/>
  <c r="AH45" i="3"/>
  <c r="AH46" i="3"/>
  <c r="AH47" i="3"/>
  <c r="AH48" i="3"/>
  <c r="AH49" i="3"/>
  <c r="AI42" i="3"/>
  <c r="AH42" i="3"/>
  <c r="AI34" i="3"/>
  <c r="AI35" i="3"/>
  <c r="AI36" i="3"/>
  <c r="AI37" i="3"/>
  <c r="AI38" i="3"/>
  <c r="AI39" i="3"/>
  <c r="AI40" i="3"/>
  <c r="AI41" i="3"/>
  <c r="AH34" i="3"/>
  <c r="AH35" i="3"/>
  <c r="AH36" i="3"/>
  <c r="AH37" i="3"/>
  <c r="AH38" i="3"/>
  <c r="AH39" i="3"/>
  <c r="AH40" i="3"/>
  <c r="AH41" i="3"/>
  <c r="AI26" i="3"/>
  <c r="AI27" i="3"/>
  <c r="AI28" i="3"/>
  <c r="AI29" i="3"/>
  <c r="AI30" i="3"/>
  <c r="AI31" i="3"/>
  <c r="AI32" i="3"/>
  <c r="AI33" i="3"/>
  <c r="AH26" i="3"/>
  <c r="AH27" i="3"/>
  <c r="AH28" i="3"/>
  <c r="AH29" i="3"/>
  <c r="AH30" i="3"/>
  <c r="AH31" i="3"/>
  <c r="AH32" i="3"/>
  <c r="AH33" i="3"/>
  <c r="AI18" i="3"/>
  <c r="AI19" i="3"/>
  <c r="AI20" i="3"/>
  <c r="AI21" i="3"/>
  <c r="AI22" i="3"/>
  <c r="AI23" i="3"/>
  <c r="AI24" i="3"/>
  <c r="AI25" i="3"/>
  <c r="AH18" i="3"/>
  <c r="AH19" i="3"/>
  <c r="AH20" i="3"/>
  <c r="AH21" i="3"/>
  <c r="AH22" i="3"/>
  <c r="AH23" i="3"/>
  <c r="AH24" i="3"/>
  <c r="AH25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2" i="3"/>
  <c r="H2" i="25" l="1"/>
  <c r="F42" i="25"/>
  <c r="F41" i="25"/>
  <c r="F40" i="25"/>
  <c r="F39" i="25"/>
  <c r="F38" i="25"/>
  <c r="F37" i="25"/>
  <c r="F36" i="25"/>
  <c r="F35" i="25"/>
  <c r="E42" i="25"/>
  <c r="E41" i="25"/>
  <c r="E40" i="25"/>
  <c r="E39" i="25"/>
  <c r="E38" i="25"/>
  <c r="E37" i="25"/>
  <c r="E36" i="25"/>
  <c r="E35" i="25"/>
  <c r="F34" i="25"/>
  <c r="F33" i="25"/>
  <c r="F32" i="25"/>
  <c r="F31" i="25"/>
  <c r="F30" i="25"/>
  <c r="F29" i="25"/>
  <c r="F28" i="25"/>
  <c r="F27" i="25"/>
  <c r="E34" i="25"/>
  <c r="E33" i="25"/>
  <c r="E32" i="25"/>
  <c r="E31" i="25"/>
  <c r="E30" i="25"/>
  <c r="E29" i="25"/>
  <c r="E28" i="25"/>
  <c r="E27" i="25"/>
  <c r="F26" i="25"/>
  <c r="F25" i="25"/>
  <c r="F24" i="25"/>
  <c r="F23" i="25"/>
  <c r="F22" i="25"/>
  <c r="F21" i="25"/>
  <c r="F20" i="25"/>
  <c r="F19" i="25"/>
  <c r="E26" i="25"/>
  <c r="E25" i="25"/>
  <c r="E24" i="25"/>
  <c r="E23" i="25"/>
  <c r="E22" i="25"/>
  <c r="E21" i="25"/>
  <c r="E20" i="25"/>
  <c r="E19" i="25"/>
  <c r="D26" i="25"/>
  <c r="D25" i="25"/>
  <c r="D24" i="25"/>
  <c r="D23" i="25"/>
  <c r="D22" i="25"/>
  <c r="D21" i="25"/>
  <c r="D20" i="25"/>
  <c r="D19" i="25"/>
  <c r="F18" i="25"/>
  <c r="F17" i="25"/>
  <c r="F16" i="25"/>
  <c r="F15" i="25"/>
  <c r="F14" i="25"/>
  <c r="F13" i="25"/>
  <c r="F12" i="25"/>
  <c r="F11" i="25"/>
  <c r="E18" i="25"/>
  <c r="E17" i="25"/>
  <c r="E16" i="25"/>
  <c r="E15" i="25"/>
  <c r="E14" i="25"/>
  <c r="E13" i="25"/>
  <c r="E12" i="25"/>
  <c r="E11" i="25"/>
  <c r="D18" i="25"/>
  <c r="D17" i="25"/>
  <c r="D16" i="25"/>
  <c r="D15" i="25"/>
  <c r="D14" i="25"/>
  <c r="D13" i="25"/>
  <c r="D12" i="25"/>
  <c r="D11" i="25"/>
  <c r="F10" i="25"/>
  <c r="E10" i="25"/>
  <c r="D10" i="25"/>
  <c r="F8" i="25"/>
  <c r="F7" i="25"/>
  <c r="F6" i="25"/>
  <c r="F5" i="25"/>
  <c r="F4" i="25"/>
  <c r="F3" i="25"/>
  <c r="F2" i="25"/>
  <c r="E9" i="25"/>
  <c r="E8" i="25"/>
  <c r="E7" i="25"/>
  <c r="E6" i="25"/>
  <c r="E5" i="25"/>
  <c r="E4" i="25"/>
  <c r="E3" i="25"/>
  <c r="E2" i="25"/>
  <c r="K28" i="22" l="1"/>
  <c r="J28" i="22"/>
  <c r="I28" i="22"/>
  <c r="H28" i="22"/>
  <c r="F51" i="13" l="1"/>
  <c r="F50" i="13"/>
  <c r="F48" i="13"/>
  <c r="F47" i="13"/>
  <c r="F46" i="13"/>
  <c r="F45" i="13"/>
  <c r="F44" i="13"/>
  <c r="E51" i="13"/>
  <c r="E49" i="13"/>
  <c r="E48" i="13"/>
  <c r="E47" i="13"/>
  <c r="E46" i="13"/>
  <c r="E45" i="13"/>
  <c r="E44" i="13"/>
  <c r="G44" i="13"/>
  <c r="G45" i="13"/>
  <c r="G46" i="13"/>
  <c r="G47" i="13"/>
  <c r="G48" i="13"/>
  <c r="G49" i="13"/>
  <c r="G50" i="13"/>
  <c r="G51" i="13"/>
  <c r="F49" i="13"/>
  <c r="E50" i="13"/>
  <c r="G167" i="3" l="1"/>
  <c r="G168" i="3"/>
  <c r="G169" i="3"/>
  <c r="G170" i="3"/>
  <c r="G171" i="3"/>
  <c r="G172" i="3"/>
  <c r="G173" i="3"/>
  <c r="H170" i="3"/>
  <c r="H171" i="3"/>
  <c r="H172" i="3"/>
  <c r="H173" i="3"/>
  <c r="H167" i="3"/>
  <c r="H168" i="3"/>
  <c r="H169" i="3"/>
  <c r="S13" i="22"/>
  <c r="S14" i="22"/>
  <c r="S16" i="22"/>
  <c r="S17" i="22"/>
  <c r="S18" i="22"/>
  <c r="R13" i="22"/>
  <c r="R14" i="22"/>
  <c r="R15" i="22"/>
  <c r="S15" i="22" s="1"/>
  <c r="R16" i="22"/>
  <c r="R17" i="22"/>
  <c r="R18" i="22"/>
  <c r="R19" i="22"/>
  <c r="S19" i="22" s="1"/>
  <c r="N19" i="22"/>
  <c r="N13" i="22"/>
  <c r="N14" i="22"/>
  <c r="N15" i="22"/>
  <c r="N16" i="22"/>
  <c r="N17" i="22"/>
  <c r="N18" i="22"/>
  <c r="I13" i="22"/>
  <c r="I14" i="22"/>
  <c r="I15" i="22"/>
  <c r="I16" i="22"/>
  <c r="I17" i="22"/>
  <c r="I18" i="22"/>
  <c r="I19" i="22"/>
  <c r="S3" i="22"/>
  <c r="S4" i="22"/>
  <c r="S6" i="22"/>
  <c r="S7" i="22"/>
  <c r="S8" i="22"/>
  <c r="S9" i="22"/>
  <c r="R3" i="22"/>
  <c r="R4" i="22"/>
  <c r="R5" i="22"/>
  <c r="S5" i="22" s="1"/>
  <c r="R6" i="22"/>
  <c r="R7" i="22"/>
  <c r="R8" i="22"/>
  <c r="R9" i="22"/>
  <c r="N3" i="22"/>
  <c r="N4" i="22"/>
  <c r="N5" i="22"/>
  <c r="N6" i="22"/>
  <c r="N7" i="22"/>
  <c r="N8" i="22"/>
  <c r="N9" i="22"/>
  <c r="I3" i="22"/>
  <c r="I4" i="22"/>
  <c r="I5" i="22"/>
  <c r="I6" i="22"/>
  <c r="I7" i="22"/>
  <c r="I8" i="22"/>
  <c r="I9" i="22"/>
  <c r="R72" i="12" l="1"/>
  <c r="R71" i="12"/>
  <c r="G49" i="25" l="1"/>
  <c r="G47" i="25"/>
  <c r="G45" i="25"/>
  <c r="G42" i="25"/>
  <c r="G40" i="25"/>
  <c r="G38" i="25"/>
  <c r="G35" i="25"/>
  <c r="G33" i="25"/>
  <c r="G31" i="25"/>
  <c r="G29" i="25"/>
  <c r="G28" i="25"/>
  <c r="G26" i="25"/>
  <c r="G24" i="25"/>
  <c r="G21" i="25"/>
  <c r="G18" i="25"/>
  <c r="G16" i="25"/>
  <c r="G14" i="25"/>
  <c r="G11" i="25"/>
  <c r="F9" i="25"/>
  <c r="G9" i="25"/>
  <c r="G8" i="25"/>
  <c r="G7" i="25"/>
  <c r="G6" i="25"/>
  <c r="G5" i="25"/>
  <c r="G4" i="25"/>
  <c r="G3" i="25"/>
  <c r="G2" i="25"/>
  <c r="G10" i="25" l="1"/>
  <c r="G12" i="25"/>
  <c r="G13" i="25"/>
  <c r="G15" i="25"/>
  <c r="G17" i="25"/>
  <c r="G19" i="25"/>
  <c r="G20" i="25"/>
  <c r="G22" i="25"/>
  <c r="G25" i="25"/>
  <c r="G27" i="25"/>
  <c r="G30" i="25"/>
  <c r="G32" i="25"/>
  <c r="G34" i="25"/>
  <c r="G36" i="25"/>
  <c r="G37" i="25"/>
  <c r="G39" i="25"/>
  <c r="G41" i="25"/>
  <c r="G43" i="25"/>
  <c r="G44" i="25"/>
  <c r="G46" i="25"/>
  <c r="G48" i="25"/>
  <c r="G50" i="25"/>
  <c r="AC219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174" i="3"/>
  <c r="L219" i="3"/>
  <c r="J219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174" i="3"/>
  <c r="AC166" i="3"/>
  <c r="AB166" i="3"/>
  <c r="Z164" i="3"/>
  <c r="Z165" i="3"/>
  <c r="Z166" i="3"/>
  <c r="Z167" i="3"/>
  <c r="Z168" i="3"/>
  <c r="Z169" i="3"/>
  <c r="Z170" i="3"/>
  <c r="Z171" i="3"/>
  <c r="U167" i="3"/>
  <c r="U168" i="3"/>
  <c r="U169" i="3"/>
  <c r="U170" i="3"/>
  <c r="U171" i="3"/>
  <c r="U172" i="3"/>
  <c r="U173" i="3"/>
  <c r="U166" i="3"/>
  <c r="T167" i="3"/>
  <c r="T168" i="3"/>
  <c r="T169" i="3"/>
  <c r="T170" i="3"/>
  <c r="T171" i="3"/>
  <c r="T172" i="3"/>
  <c r="T173" i="3"/>
  <c r="T166" i="3"/>
  <c r="S167" i="3"/>
  <c r="S168" i="3"/>
  <c r="S169" i="3"/>
  <c r="S170" i="3"/>
  <c r="S171" i="3"/>
  <c r="S172" i="3"/>
  <c r="S173" i="3"/>
  <c r="S166" i="3"/>
  <c r="R167" i="3"/>
  <c r="R168" i="3"/>
  <c r="R169" i="3"/>
  <c r="R170" i="3"/>
  <c r="R171" i="3"/>
  <c r="R172" i="3"/>
  <c r="R173" i="3"/>
  <c r="R166" i="3"/>
  <c r="Q167" i="3"/>
  <c r="Q168" i="3"/>
  <c r="Q169" i="3"/>
  <c r="Q170" i="3"/>
  <c r="Q171" i="3"/>
  <c r="Q172" i="3"/>
  <c r="Q173" i="3"/>
  <c r="Q166" i="3"/>
  <c r="P167" i="3"/>
  <c r="P168" i="3"/>
  <c r="P169" i="3"/>
  <c r="P170" i="3"/>
  <c r="P171" i="3"/>
  <c r="P172" i="3"/>
  <c r="P173" i="3"/>
  <c r="P166" i="3"/>
  <c r="O167" i="3"/>
  <c r="O168" i="3"/>
  <c r="O169" i="3"/>
  <c r="O170" i="3"/>
  <c r="O171" i="3"/>
  <c r="O172" i="3"/>
  <c r="O173" i="3"/>
  <c r="O166" i="3"/>
  <c r="N167" i="3"/>
  <c r="N168" i="3"/>
  <c r="N169" i="3"/>
  <c r="N170" i="3"/>
  <c r="N171" i="3"/>
  <c r="N172" i="3"/>
  <c r="N173" i="3"/>
  <c r="N166" i="3"/>
  <c r="L166" i="3"/>
  <c r="K166" i="3"/>
  <c r="H166" i="3"/>
  <c r="G166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41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28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41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28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41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28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41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28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41" i="3"/>
  <c r="H137" i="3"/>
  <c r="H138" i="3"/>
  <c r="H139" i="3"/>
  <c r="H140" i="3"/>
  <c r="H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36" i="3"/>
  <c r="H129" i="3"/>
  <c r="H130" i="3"/>
  <c r="H131" i="3"/>
  <c r="H132" i="3"/>
  <c r="H133" i="3"/>
  <c r="H134" i="3"/>
  <c r="H135" i="3"/>
  <c r="H128" i="3"/>
  <c r="G129" i="3"/>
  <c r="G130" i="3"/>
  <c r="G131" i="3"/>
  <c r="G132" i="3"/>
  <c r="G133" i="3"/>
  <c r="G134" i="3"/>
  <c r="G135" i="3"/>
  <c r="G128" i="3"/>
  <c r="Y219" i="3" l="1"/>
  <c r="H43" i="25"/>
  <c r="H36" i="25"/>
  <c r="H28" i="25"/>
  <c r="H12" i="25"/>
  <c r="H19" i="25"/>
  <c r="V166" i="3"/>
  <c r="W166" i="3" s="1"/>
  <c r="X166" i="3" s="1"/>
  <c r="Y166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89" i="3"/>
  <c r="AC88" i="3"/>
  <c r="AC83" i="3"/>
  <c r="AC84" i="3"/>
  <c r="AC85" i="3"/>
  <c r="AC86" i="3"/>
  <c r="AC87" i="3"/>
  <c r="AC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82" i="3"/>
  <c r="Z122" i="3"/>
  <c r="Z123" i="3"/>
  <c r="Z124" i="3"/>
  <c r="Z125" i="3"/>
  <c r="Z126" i="3"/>
  <c r="Z127" i="3"/>
  <c r="Z82" i="3"/>
  <c r="Z83" i="3"/>
  <c r="Z75" i="3"/>
  <c r="Z76" i="3"/>
  <c r="Z77" i="3"/>
  <c r="Z78" i="3"/>
  <c r="Z79" i="3"/>
  <c r="Z80" i="3"/>
  <c r="Z81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8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13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97" i="3"/>
  <c r="U96" i="3"/>
  <c r="U90" i="3"/>
  <c r="U91" i="3"/>
  <c r="U92" i="3"/>
  <c r="U93" i="3"/>
  <c r="U94" i="3"/>
  <c r="U95" i="3"/>
  <c r="U89" i="3"/>
  <c r="U88" i="3"/>
  <c r="U83" i="3"/>
  <c r="U84" i="3"/>
  <c r="U85" i="3"/>
  <c r="U86" i="3"/>
  <c r="U87" i="3"/>
  <c r="U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82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89" i="3"/>
  <c r="S88" i="3"/>
  <c r="S83" i="3"/>
  <c r="S84" i="3"/>
  <c r="S85" i="3"/>
  <c r="S86" i="3"/>
  <c r="S87" i="3"/>
  <c r="S82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89" i="3"/>
  <c r="R88" i="3"/>
  <c r="R83" i="3"/>
  <c r="R84" i="3"/>
  <c r="R85" i="3"/>
  <c r="R86" i="3"/>
  <c r="R87" i="3"/>
  <c r="R82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89" i="3"/>
  <c r="Q88" i="3"/>
  <c r="Q83" i="3"/>
  <c r="Q84" i="3"/>
  <c r="Q85" i="3"/>
  <c r="Q86" i="3"/>
  <c r="Q87" i="3"/>
  <c r="Q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82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89" i="3"/>
  <c r="L88" i="3"/>
  <c r="L83" i="3"/>
  <c r="L84" i="3"/>
  <c r="L85" i="3"/>
  <c r="L86" i="3"/>
  <c r="L87" i="3"/>
  <c r="L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82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89" i="3"/>
  <c r="J88" i="3"/>
  <c r="J83" i="3"/>
  <c r="J84" i="3"/>
  <c r="J85" i="3"/>
  <c r="J86" i="3"/>
  <c r="J87" i="3"/>
  <c r="J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82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89" i="3"/>
  <c r="H88" i="3"/>
  <c r="H83" i="3"/>
  <c r="H84" i="3"/>
  <c r="H85" i="3"/>
  <c r="H86" i="3"/>
  <c r="H87" i="3"/>
  <c r="H82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88" i="3"/>
  <c r="G83" i="3"/>
  <c r="G84" i="3"/>
  <c r="G85" i="3"/>
  <c r="G86" i="3"/>
  <c r="G87" i="3"/>
  <c r="G82" i="3"/>
  <c r="L7" i="9"/>
  <c r="L8" i="9"/>
  <c r="L9" i="9"/>
  <c r="L17" i="24"/>
  <c r="K17" i="24"/>
  <c r="J17" i="24"/>
  <c r="H17" i="24"/>
  <c r="C17" i="24"/>
  <c r="B17" i="24"/>
  <c r="M16" i="24"/>
  <c r="N16" i="24" s="1"/>
  <c r="I16" i="24"/>
  <c r="G16" i="24"/>
  <c r="D16" i="24"/>
  <c r="M15" i="24"/>
  <c r="N15" i="24" s="1"/>
  <c r="I15" i="24"/>
  <c r="G15" i="24"/>
  <c r="D15" i="24"/>
  <c r="M14" i="24"/>
  <c r="N14" i="24" s="1"/>
  <c r="I14" i="24"/>
  <c r="G14" i="24"/>
  <c r="D14" i="24"/>
  <c r="M13" i="24"/>
  <c r="N13" i="24" s="1"/>
  <c r="I13" i="24"/>
  <c r="G13" i="24"/>
  <c r="D13" i="24"/>
  <c r="M12" i="24"/>
  <c r="M17" i="24" s="1"/>
  <c r="I12" i="24"/>
  <c r="G12" i="24"/>
  <c r="D12" i="24"/>
  <c r="L7" i="24"/>
  <c r="K7" i="24"/>
  <c r="J7" i="24"/>
  <c r="H7" i="24"/>
  <c r="C7" i="24"/>
  <c r="B7" i="24"/>
  <c r="M6" i="24"/>
  <c r="N6" i="24" s="1"/>
  <c r="I6" i="24"/>
  <c r="G6" i="24"/>
  <c r="D6" i="24"/>
  <c r="M5" i="24"/>
  <c r="N5" i="24" s="1"/>
  <c r="I5" i="24"/>
  <c r="G5" i="24"/>
  <c r="D5" i="24"/>
  <c r="M4" i="24"/>
  <c r="N4" i="24" s="1"/>
  <c r="I4" i="24"/>
  <c r="G4" i="24"/>
  <c r="D4" i="24"/>
  <c r="M3" i="24"/>
  <c r="N3" i="24" s="1"/>
  <c r="I3" i="24"/>
  <c r="G3" i="24"/>
  <c r="D3" i="24"/>
  <c r="M2" i="24"/>
  <c r="I2" i="24"/>
  <c r="G2" i="24"/>
  <c r="D2" i="24"/>
  <c r="I8" i="9"/>
  <c r="I180" i="3" s="1"/>
  <c r="N8" i="9"/>
  <c r="R8" i="9"/>
  <c r="K180" i="3" s="1"/>
  <c r="V180" i="3" s="1"/>
  <c r="W180" i="3" s="1"/>
  <c r="X180" i="3" s="1"/>
  <c r="H104" i="23"/>
  <c r="H105" i="23" s="1"/>
  <c r="G104" i="23"/>
  <c r="G105" i="23" s="1"/>
  <c r="H103" i="23"/>
  <c r="G103" i="23"/>
  <c r="U102" i="23"/>
  <c r="R102" i="23"/>
  <c r="S102" i="23" s="1"/>
  <c r="N102" i="23"/>
  <c r="L102" i="23"/>
  <c r="I102" i="23"/>
  <c r="R101" i="23"/>
  <c r="S101" i="23" s="1"/>
  <c r="N101" i="23"/>
  <c r="L101" i="23"/>
  <c r="I101" i="23"/>
  <c r="U100" i="23"/>
  <c r="R100" i="23"/>
  <c r="S100" i="23" s="1"/>
  <c r="N100" i="23"/>
  <c r="L100" i="23"/>
  <c r="I100" i="23"/>
  <c r="R99" i="23"/>
  <c r="S99" i="23" s="1"/>
  <c r="N99" i="23"/>
  <c r="L99" i="23"/>
  <c r="I99" i="23"/>
  <c r="U98" i="23"/>
  <c r="R98" i="23"/>
  <c r="S98" i="23" s="1"/>
  <c r="N98" i="23"/>
  <c r="L98" i="23"/>
  <c r="I98" i="23"/>
  <c r="R97" i="23"/>
  <c r="S97" i="23" s="1"/>
  <c r="N97" i="23"/>
  <c r="L97" i="23"/>
  <c r="I97" i="23"/>
  <c r="U96" i="23"/>
  <c r="T96" i="23"/>
  <c r="S96" i="23"/>
  <c r="X96" i="23" s="1"/>
  <c r="R96" i="23"/>
  <c r="N96" i="23"/>
  <c r="L96" i="23"/>
  <c r="I96" i="23"/>
  <c r="S95" i="23"/>
  <c r="R95" i="23"/>
  <c r="U95" i="23" s="1"/>
  <c r="N95" i="23"/>
  <c r="L95" i="23"/>
  <c r="I95" i="23"/>
  <c r="S94" i="23"/>
  <c r="R94" i="23"/>
  <c r="U94" i="23" s="1"/>
  <c r="N94" i="23"/>
  <c r="L94" i="23"/>
  <c r="I94" i="23"/>
  <c r="S93" i="23"/>
  <c r="R93" i="23"/>
  <c r="U93" i="23" s="1"/>
  <c r="N93" i="23"/>
  <c r="L93" i="23"/>
  <c r="I93" i="23"/>
  <c r="S92" i="23"/>
  <c r="R92" i="23"/>
  <c r="U92" i="23" s="1"/>
  <c r="N92" i="23"/>
  <c r="L92" i="23"/>
  <c r="I92" i="23"/>
  <c r="S91" i="23"/>
  <c r="R91" i="23"/>
  <c r="U91" i="23" s="1"/>
  <c r="N91" i="23"/>
  <c r="L91" i="23"/>
  <c r="I91" i="23"/>
  <c r="S90" i="23"/>
  <c r="R90" i="23"/>
  <c r="U90" i="23" s="1"/>
  <c r="N90" i="23"/>
  <c r="L90" i="23"/>
  <c r="I90" i="23"/>
  <c r="S89" i="23"/>
  <c r="R89" i="23"/>
  <c r="U89" i="23" s="1"/>
  <c r="N89" i="23"/>
  <c r="L89" i="23"/>
  <c r="I89" i="23"/>
  <c r="T88" i="23"/>
  <c r="R88" i="23"/>
  <c r="N88" i="23"/>
  <c r="L88" i="23"/>
  <c r="I88" i="23"/>
  <c r="R87" i="23"/>
  <c r="S87" i="23" s="1"/>
  <c r="N87" i="23"/>
  <c r="L87" i="23"/>
  <c r="I87" i="23"/>
  <c r="U86" i="23"/>
  <c r="R86" i="23"/>
  <c r="S86" i="23" s="1"/>
  <c r="N86" i="23"/>
  <c r="L86" i="23"/>
  <c r="I86" i="23"/>
  <c r="R85" i="23"/>
  <c r="S85" i="23" s="1"/>
  <c r="N85" i="23"/>
  <c r="L85" i="23"/>
  <c r="I85" i="23"/>
  <c r="U84" i="23"/>
  <c r="R84" i="23"/>
  <c r="S84" i="23" s="1"/>
  <c r="N84" i="23"/>
  <c r="L84" i="23"/>
  <c r="I84" i="23"/>
  <c r="R83" i="23"/>
  <c r="S83" i="23" s="1"/>
  <c r="N83" i="23"/>
  <c r="L83" i="23"/>
  <c r="I83" i="23"/>
  <c r="U82" i="23"/>
  <c r="R82" i="23"/>
  <c r="S82" i="23" s="1"/>
  <c r="N82" i="23"/>
  <c r="L82" i="23"/>
  <c r="I82" i="23"/>
  <c r="R81" i="23"/>
  <c r="S81" i="23" s="1"/>
  <c r="N81" i="23"/>
  <c r="L81" i="23"/>
  <c r="I81" i="23"/>
  <c r="U80" i="23"/>
  <c r="T80" i="23"/>
  <c r="S80" i="23"/>
  <c r="X80" i="23" s="1"/>
  <c r="R80" i="23"/>
  <c r="N80" i="23"/>
  <c r="L80" i="23"/>
  <c r="I80" i="23"/>
  <c r="S79" i="23"/>
  <c r="R79" i="23"/>
  <c r="U79" i="23" s="1"/>
  <c r="N79" i="23"/>
  <c r="L79" i="23"/>
  <c r="I79" i="23"/>
  <c r="S78" i="23"/>
  <c r="R78" i="23"/>
  <c r="U78" i="23" s="1"/>
  <c r="N78" i="23"/>
  <c r="L78" i="23"/>
  <c r="I78" i="23"/>
  <c r="S77" i="23"/>
  <c r="R77" i="23"/>
  <c r="U77" i="23" s="1"/>
  <c r="N77" i="23"/>
  <c r="L77" i="23"/>
  <c r="I77" i="23"/>
  <c r="S76" i="23"/>
  <c r="R76" i="23"/>
  <c r="U76" i="23" s="1"/>
  <c r="N76" i="23"/>
  <c r="L76" i="23"/>
  <c r="I76" i="23"/>
  <c r="S75" i="23"/>
  <c r="R75" i="23"/>
  <c r="U75" i="23" s="1"/>
  <c r="N75" i="23"/>
  <c r="L75" i="23"/>
  <c r="I75" i="23"/>
  <c r="S74" i="23"/>
  <c r="R74" i="23"/>
  <c r="U74" i="23" s="1"/>
  <c r="N74" i="23"/>
  <c r="L74" i="23"/>
  <c r="I74" i="23"/>
  <c r="S73" i="23"/>
  <c r="R73" i="23"/>
  <c r="U73" i="23" s="1"/>
  <c r="N73" i="23"/>
  <c r="L73" i="23"/>
  <c r="I73" i="23"/>
  <c r="T72" i="23"/>
  <c r="R72" i="23"/>
  <c r="N72" i="23"/>
  <c r="L72" i="23"/>
  <c r="I72" i="23"/>
  <c r="R71" i="23"/>
  <c r="S71" i="23" s="1"/>
  <c r="N71" i="23"/>
  <c r="L71" i="23"/>
  <c r="I71" i="23"/>
  <c r="U70" i="23"/>
  <c r="R70" i="23"/>
  <c r="S70" i="23" s="1"/>
  <c r="N70" i="23"/>
  <c r="L70" i="23"/>
  <c r="I70" i="23"/>
  <c r="R69" i="23"/>
  <c r="S69" i="23" s="1"/>
  <c r="N69" i="23"/>
  <c r="L69" i="23"/>
  <c r="I69" i="23"/>
  <c r="U68" i="23"/>
  <c r="R68" i="23"/>
  <c r="S68" i="23" s="1"/>
  <c r="N68" i="23"/>
  <c r="L68" i="23"/>
  <c r="I68" i="23"/>
  <c r="R67" i="23"/>
  <c r="S67" i="23" s="1"/>
  <c r="N67" i="23"/>
  <c r="L67" i="23"/>
  <c r="I67" i="23"/>
  <c r="U66" i="23"/>
  <c r="R66" i="23"/>
  <c r="S66" i="23" s="1"/>
  <c r="N66" i="23"/>
  <c r="L66" i="23"/>
  <c r="I66" i="23"/>
  <c r="R65" i="23"/>
  <c r="S65" i="23" s="1"/>
  <c r="N65" i="23"/>
  <c r="L65" i="23"/>
  <c r="I65" i="23"/>
  <c r="U64" i="23"/>
  <c r="T64" i="23"/>
  <c r="S64" i="23"/>
  <c r="X64" i="23" s="1"/>
  <c r="R64" i="23"/>
  <c r="N64" i="23"/>
  <c r="L64" i="23"/>
  <c r="I64" i="23"/>
  <c r="S63" i="23"/>
  <c r="R63" i="23"/>
  <c r="U63" i="23" s="1"/>
  <c r="N63" i="23"/>
  <c r="L63" i="23"/>
  <c r="I63" i="23"/>
  <c r="S62" i="23"/>
  <c r="R62" i="23"/>
  <c r="U62" i="23" s="1"/>
  <c r="N62" i="23"/>
  <c r="L62" i="23"/>
  <c r="I62" i="23"/>
  <c r="S61" i="23"/>
  <c r="R61" i="23"/>
  <c r="U61" i="23" s="1"/>
  <c r="N61" i="23"/>
  <c r="L61" i="23"/>
  <c r="I61" i="23"/>
  <c r="S60" i="23"/>
  <c r="R60" i="23"/>
  <c r="U60" i="23" s="1"/>
  <c r="N60" i="23"/>
  <c r="L60" i="23"/>
  <c r="I60" i="23"/>
  <c r="S59" i="23"/>
  <c r="R59" i="23"/>
  <c r="U59" i="23" s="1"/>
  <c r="N59" i="23"/>
  <c r="L59" i="23"/>
  <c r="I59" i="23"/>
  <c r="S58" i="23"/>
  <c r="R58" i="23"/>
  <c r="U58" i="23" s="1"/>
  <c r="N58" i="23"/>
  <c r="L58" i="23"/>
  <c r="I58" i="23"/>
  <c r="S57" i="23"/>
  <c r="R57" i="23"/>
  <c r="U57" i="23" s="1"/>
  <c r="N57" i="23"/>
  <c r="L57" i="23"/>
  <c r="I57" i="23"/>
  <c r="T56" i="23"/>
  <c r="R56" i="23"/>
  <c r="N56" i="23"/>
  <c r="L56" i="23"/>
  <c r="I56" i="23"/>
  <c r="H50" i="23"/>
  <c r="H51" i="23" s="1"/>
  <c r="G50" i="23"/>
  <c r="G51" i="23" s="1"/>
  <c r="H49" i="23"/>
  <c r="H52" i="23" s="1"/>
  <c r="G49" i="23"/>
  <c r="U48" i="23"/>
  <c r="R48" i="23"/>
  <c r="S48" i="23" s="1"/>
  <c r="N48" i="23"/>
  <c r="L48" i="23"/>
  <c r="I48" i="23"/>
  <c r="R47" i="23"/>
  <c r="S47" i="23" s="1"/>
  <c r="N47" i="23"/>
  <c r="L47" i="23"/>
  <c r="I47" i="23"/>
  <c r="U46" i="23"/>
  <c r="R46" i="23"/>
  <c r="S46" i="23" s="1"/>
  <c r="N46" i="23"/>
  <c r="L46" i="23"/>
  <c r="I46" i="23"/>
  <c r="R45" i="23"/>
  <c r="S45" i="23" s="1"/>
  <c r="N45" i="23"/>
  <c r="L45" i="23"/>
  <c r="I45" i="23"/>
  <c r="U44" i="23"/>
  <c r="R44" i="23"/>
  <c r="S44" i="23" s="1"/>
  <c r="N44" i="23"/>
  <c r="L44" i="23"/>
  <c r="I44" i="23"/>
  <c r="R43" i="23"/>
  <c r="S43" i="23" s="1"/>
  <c r="N43" i="23"/>
  <c r="L43" i="23"/>
  <c r="I43" i="23"/>
  <c r="U42" i="23"/>
  <c r="R42" i="23"/>
  <c r="S42" i="23" s="1"/>
  <c r="N42" i="23"/>
  <c r="L42" i="23"/>
  <c r="I42" i="23"/>
  <c r="U41" i="23"/>
  <c r="T41" i="23"/>
  <c r="S41" i="23"/>
  <c r="R41" i="23"/>
  <c r="N41" i="23"/>
  <c r="L41" i="23"/>
  <c r="I41" i="23"/>
  <c r="S40" i="23"/>
  <c r="R40" i="23"/>
  <c r="U40" i="23" s="1"/>
  <c r="N40" i="23"/>
  <c r="L40" i="23"/>
  <c r="I40" i="23"/>
  <c r="S39" i="23"/>
  <c r="R39" i="23"/>
  <c r="U39" i="23" s="1"/>
  <c r="N39" i="23"/>
  <c r="L39" i="23"/>
  <c r="I39" i="23"/>
  <c r="S38" i="23"/>
  <c r="R38" i="23"/>
  <c r="U38" i="23" s="1"/>
  <c r="N38" i="23"/>
  <c r="L38" i="23"/>
  <c r="I38" i="23"/>
  <c r="S37" i="23"/>
  <c r="R37" i="23"/>
  <c r="U37" i="23" s="1"/>
  <c r="N37" i="23"/>
  <c r="L37" i="23"/>
  <c r="I37" i="23"/>
  <c r="S36" i="23"/>
  <c r="R36" i="23"/>
  <c r="U36" i="23" s="1"/>
  <c r="N36" i="23"/>
  <c r="L36" i="23"/>
  <c r="I36" i="23"/>
  <c r="S35" i="23"/>
  <c r="R35" i="23"/>
  <c r="U35" i="23" s="1"/>
  <c r="N35" i="23"/>
  <c r="L35" i="23"/>
  <c r="I35" i="23"/>
  <c r="S34" i="23"/>
  <c r="R34" i="23"/>
  <c r="U34" i="23" s="1"/>
  <c r="N34" i="23"/>
  <c r="L34" i="23"/>
  <c r="I34" i="23"/>
  <c r="T33" i="23"/>
  <c r="R33" i="23"/>
  <c r="N33" i="23"/>
  <c r="L33" i="23"/>
  <c r="I33" i="23"/>
  <c r="R32" i="23"/>
  <c r="U32" i="23" s="1"/>
  <c r="N32" i="23"/>
  <c r="L32" i="23"/>
  <c r="I32" i="23"/>
  <c r="R31" i="23"/>
  <c r="U31" i="23" s="1"/>
  <c r="N31" i="23"/>
  <c r="L31" i="23"/>
  <c r="I31" i="23"/>
  <c r="R30" i="23"/>
  <c r="U30" i="23" s="1"/>
  <c r="N30" i="23"/>
  <c r="L30" i="23"/>
  <c r="I30" i="23"/>
  <c r="R29" i="23"/>
  <c r="U29" i="23" s="1"/>
  <c r="N29" i="23"/>
  <c r="L29" i="23"/>
  <c r="I29" i="23"/>
  <c r="R28" i="23"/>
  <c r="U28" i="23" s="1"/>
  <c r="N28" i="23"/>
  <c r="L28" i="23"/>
  <c r="I28" i="23"/>
  <c r="R27" i="23"/>
  <c r="U27" i="23" s="1"/>
  <c r="N27" i="23"/>
  <c r="L27" i="23"/>
  <c r="I27" i="23"/>
  <c r="R26" i="23"/>
  <c r="U26" i="23" s="1"/>
  <c r="N26" i="23"/>
  <c r="L26" i="23"/>
  <c r="I26" i="23"/>
  <c r="U25" i="23"/>
  <c r="W25" i="23" s="1"/>
  <c r="T25" i="23"/>
  <c r="S25" i="23"/>
  <c r="R25" i="23"/>
  <c r="N25" i="23"/>
  <c r="L25" i="23"/>
  <c r="I25" i="23"/>
  <c r="S24" i="23"/>
  <c r="R24" i="23"/>
  <c r="U24" i="23" s="1"/>
  <c r="N24" i="23"/>
  <c r="L24" i="23"/>
  <c r="I24" i="23"/>
  <c r="S23" i="23"/>
  <c r="R23" i="23"/>
  <c r="U23" i="23" s="1"/>
  <c r="N23" i="23"/>
  <c r="L23" i="23"/>
  <c r="I23" i="23"/>
  <c r="S22" i="23"/>
  <c r="R22" i="23"/>
  <c r="U22" i="23" s="1"/>
  <c r="N22" i="23"/>
  <c r="L22" i="23"/>
  <c r="I22" i="23"/>
  <c r="S21" i="23"/>
  <c r="R21" i="23"/>
  <c r="U21" i="23" s="1"/>
  <c r="N21" i="23"/>
  <c r="L21" i="23"/>
  <c r="I21" i="23"/>
  <c r="S20" i="23"/>
  <c r="R20" i="23"/>
  <c r="U20" i="23" s="1"/>
  <c r="N20" i="23"/>
  <c r="L20" i="23"/>
  <c r="I20" i="23"/>
  <c r="S19" i="23"/>
  <c r="R19" i="23"/>
  <c r="U19" i="23" s="1"/>
  <c r="N19" i="23"/>
  <c r="L19" i="23"/>
  <c r="I19" i="23"/>
  <c r="S18" i="23"/>
  <c r="R18" i="23"/>
  <c r="U18" i="23" s="1"/>
  <c r="N18" i="23"/>
  <c r="L18" i="23"/>
  <c r="I18" i="23"/>
  <c r="T17" i="23"/>
  <c r="R17" i="23"/>
  <c r="U17" i="23" s="1"/>
  <c r="N17" i="23"/>
  <c r="L17" i="23"/>
  <c r="I17" i="23"/>
  <c r="R16" i="23"/>
  <c r="U16" i="23" s="1"/>
  <c r="N16" i="23"/>
  <c r="L16" i="23"/>
  <c r="I16" i="23"/>
  <c r="R15" i="23"/>
  <c r="U15" i="23" s="1"/>
  <c r="N15" i="23"/>
  <c r="L15" i="23"/>
  <c r="I15" i="23"/>
  <c r="R14" i="23"/>
  <c r="S14" i="23" s="1"/>
  <c r="N14" i="23"/>
  <c r="L14" i="23"/>
  <c r="I14" i="23"/>
  <c r="R13" i="23"/>
  <c r="S13" i="23" s="1"/>
  <c r="N13" i="23"/>
  <c r="L13" i="23"/>
  <c r="I13" i="23"/>
  <c r="R12" i="23"/>
  <c r="S12" i="23" s="1"/>
  <c r="N12" i="23"/>
  <c r="L12" i="23"/>
  <c r="I12" i="23"/>
  <c r="R11" i="23"/>
  <c r="S11" i="23" s="1"/>
  <c r="N11" i="23"/>
  <c r="L11" i="23"/>
  <c r="I11" i="23"/>
  <c r="R10" i="23"/>
  <c r="S10" i="23" s="1"/>
  <c r="N10" i="23"/>
  <c r="L10" i="23"/>
  <c r="I10" i="23"/>
  <c r="U9" i="23"/>
  <c r="T9" i="23"/>
  <c r="S9" i="23"/>
  <c r="R9" i="23"/>
  <c r="N9" i="23"/>
  <c r="L9" i="23"/>
  <c r="I9" i="23"/>
  <c r="S8" i="23"/>
  <c r="R8" i="23"/>
  <c r="U8" i="23" s="1"/>
  <c r="N8" i="23"/>
  <c r="L8" i="23"/>
  <c r="I8" i="23"/>
  <c r="S7" i="23"/>
  <c r="R7" i="23"/>
  <c r="U7" i="23" s="1"/>
  <c r="N7" i="23"/>
  <c r="L7" i="23"/>
  <c r="I7" i="23"/>
  <c r="S6" i="23"/>
  <c r="R6" i="23"/>
  <c r="U6" i="23" s="1"/>
  <c r="N6" i="23"/>
  <c r="L6" i="23"/>
  <c r="I6" i="23"/>
  <c r="S5" i="23"/>
  <c r="R5" i="23"/>
  <c r="U5" i="23" s="1"/>
  <c r="N5" i="23"/>
  <c r="L5" i="23"/>
  <c r="I5" i="23"/>
  <c r="S4" i="23"/>
  <c r="R4" i="23"/>
  <c r="U4" i="23" s="1"/>
  <c r="N4" i="23"/>
  <c r="L4" i="23"/>
  <c r="I4" i="23"/>
  <c r="S3" i="23"/>
  <c r="R3" i="23"/>
  <c r="U3" i="23" s="1"/>
  <c r="N3" i="23"/>
  <c r="L3" i="23"/>
  <c r="I3" i="23"/>
  <c r="T2" i="23"/>
  <c r="R2" i="23"/>
  <c r="U2" i="23" s="1"/>
  <c r="N2" i="23"/>
  <c r="L2" i="23"/>
  <c r="I2" i="23"/>
  <c r="Y96" i="3" l="1"/>
  <c r="Y112" i="3"/>
  <c r="Y110" i="3"/>
  <c r="Y108" i="3"/>
  <c r="Y106" i="3"/>
  <c r="Y104" i="3"/>
  <c r="Y102" i="3"/>
  <c r="Y100" i="3"/>
  <c r="Y98" i="3"/>
  <c r="V82" i="3"/>
  <c r="W82" i="3" s="1"/>
  <c r="X82" i="3" s="1"/>
  <c r="V120" i="3"/>
  <c r="W120" i="3" s="1"/>
  <c r="X120" i="3" s="1"/>
  <c r="V118" i="3"/>
  <c r="W118" i="3" s="1"/>
  <c r="X118" i="3" s="1"/>
  <c r="V116" i="3"/>
  <c r="W116" i="3" s="1"/>
  <c r="X116" i="3" s="1"/>
  <c r="V114" i="3"/>
  <c r="W114" i="3" s="1"/>
  <c r="X114" i="3" s="1"/>
  <c r="V112" i="3"/>
  <c r="W112" i="3" s="1"/>
  <c r="X112" i="3" s="1"/>
  <c r="V110" i="3"/>
  <c r="W110" i="3" s="1"/>
  <c r="X110" i="3" s="1"/>
  <c r="AA110" i="3" s="1"/>
  <c r="V108" i="3"/>
  <c r="W108" i="3" s="1"/>
  <c r="X108" i="3" s="1"/>
  <c r="V106" i="3"/>
  <c r="W106" i="3" s="1"/>
  <c r="X106" i="3" s="1"/>
  <c r="AA106" i="3" s="1"/>
  <c r="V104" i="3"/>
  <c r="W104" i="3" s="1"/>
  <c r="X104" i="3" s="1"/>
  <c r="V102" i="3"/>
  <c r="W102" i="3" s="1"/>
  <c r="X102" i="3" s="1"/>
  <c r="AA102" i="3" s="1"/>
  <c r="V100" i="3"/>
  <c r="W100" i="3" s="1"/>
  <c r="X100" i="3" s="1"/>
  <c r="V98" i="3"/>
  <c r="W98" i="3" s="1"/>
  <c r="X98" i="3" s="1"/>
  <c r="AA98" i="3" s="1"/>
  <c r="V96" i="3"/>
  <c r="W96" i="3" s="1"/>
  <c r="X96" i="3" s="1"/>
  <c r="AA96" i="3" s="1"/>
  <c r="V94" i="3"/>
  <c r="W94" i="3" s="1"/>
  <c r="X94" i="3" s="1"/>
  <c r="V92" i="3"/>
  <c r="W92" i="3" s="1"/>
  <c r="X92" i="3" s="1"/>
  <c r="V90" i="3"/>
  <c r="W90" i="3" s="1"/>
  <c r="X90" i="3" s="1"/>
  <c r="V88" i="3"/>
  <c r="W88" i="3" s="1"/>
  <c r="X88" i="3" s="1"/>
  <c r="V86" i="3"/>
  <c r="W86" i="3" s="1"/>
  <c r="X86" i="3" s="1"/>
  <c r="V84" i="3"/>
  <c r="W84" i="3" s="1"/>
  <c r="X84" i="3" s="1"/>
  <c r="Y82" i="3"/>
  <c r="Y86" i="3"/>
  <c r="Y84" i="3"/>
  <c r="Y88" i="3"/>
  <c r="Y95" i="3"/>
  <c r="Y93" i="3"/>
  <c r="Y91" i="3"/>
  <c r="Y127" i="3"/>
  <c r="Y125" i="3"/>
  <c r="Y123" i="3"/>
  <c r="Y121" i="3"/>
  <c r="Y119" i="3"/>
  <c r="Y117" i="3"/>
  <c r="Y115" i="3"/>
  <c r="V121" i="3"/>
  <c r="W121" i="3" s="1"/>
  <c r="X121" i="3" s="1"/>
  <c r="AA121" i="3" s="1"/>
  <c r="V119" i="3"/>
  <c r="W119" i="3" s="1"/>
  <c r="X119" i="3" s="1"/>
  <c r="AA119" i="3" s="1"/>
  <c r="V117" i="3"/>
  <c r="W117" i="3" s="1"/>
  <c r="X117" i="3" s="1"/>
  <c r="AA117" i="3" s="1"/>
  <c r="V115" i="3"/>
  <c r="W115" i="3" s="1"/>
  <c r="X115" i="3" s="1"/>
  <c r="AA115" i="3" s="1"/>
  <c r="V113" i="3"/>
  <c r="W113" i="3" s="1"/>
  <c r="X113" i="3" s="1"/>
  <c r="V111" i="3"/>
  <c r="W111" i="3" s="1"/>
  <c r="X111" i="3" s="1"/>
  <c r="V109" i="3"/>
  <c r="W109" i="3" s="1"/>
  <c r="X109" i="3" s="1"/>
  <c r="V107" i="3"/>
  <c r="W107" i="3" s="1"/>
  <c r="X107" i="3" s="1"/>
  <c r="V105" i="3"/>
  <c r="W105" i="3" s="1"/>
  <c r="X105" i="3" s="1"/>
  <c r="V103" i="3"/>
  <c r="W103" i="3" s="1"/>
  <c r="X103" i="3" s="1"/>
  <c r="V101" i="3"/>
  <c r="W101" i="3" s="1"/>
  <c r="X101" i="3" s="1"/>
  <c r="V99" i="3"/>
  <c r="W99" i="3" s="1"/>
  <c r="X99" i="3" s="1"/>
  <c r="V97" i="3"/>
  <c r="W97" i="3" s="1"/>
  <c r="X97" i="3" s="1"/>
  <c r="V95" i="3"/>
  <c r="W95" i="3" s="1"/>
  <c r="X95" i="3" s="1"/>
  <c r="V93" i="3"/>
  <c r="W93" i="3" s="1"/>
  <c r="X93" i="3" s="1"/>
  <c r="V91" i="3"/>
  <c r="W91" i="3" s="1"/>
  <c r="X91" i="3" s="1"/>
  <c r="V89" i="3"/>
  <c r="W89" i="3" s="1"/>
  <c r="X89" i="3" s="1"/>
  <c r="V87" i="3"/>
  <c r="W87" i="3" s="1"/>
  <c r="X87" i="3" s="1"/>
  <c r="V85" i="3"/>
  <c r="W85" i="3" s="1"/>
  <c r="X85" i="3" s="1"/>
  <c r="V83" i="3"/>
  <c r="W83" i="3" s="1"/>
  <c r="X83" i="3" s="1"/>
  <c r="Y87" i="3"/>
  <c r="Y85" i="3"/>
  <c r="Y83" i="3"/>
  <c r="Y89" i="3"/>
  <c r="Y94" i="3"/>
  <c r="Y92" i="3"/>
  <c r="Y90" i="3"/>
  <c r="Y97" i="3"/>
  <c r="Y111" i="3"/>
  <c r="Y109" i="3"/>
  <c r="Y107" i="3"/>
  <c r="Y105" i="3"/>
  <c r="Y103" i="3"/>
  <c r="Y101" i="3"/>
  <c r="Y99" i="3"/>
  <c r="Y113" i="3"/>
  <c r="Y126" i="3"/>
  <c r="Y124" i="3"/>
  <c r="Y122" i="3"/>
  <c r="Y120" i="3"/>
  <c r="Y118" i="3"/>
  <c r="Y116" i="3"/>
  <c r="Y114" i="3"/>
  <c r="U8" i="9"/>
  <c r="S8" i="9"/>
  <c r="AB180" i="3" s="1"/>
  <c r="V127" i="3"/>
  <c r="W127" i="3" s="1"/>
  <c r="X127" i="3" s="1"/>
  <c r="AA127" i="3" s="1"/>
  <c r="V125" i="3"/>
  <c r="W125" i="3" s="1"/>
  <c r="X125" i="3" s="1"/>
  <c r="AA125" i="3" s="1"/>
  <c r="V123" i="3"/>
  <c r="W123" i="3" s="1"/>
  <c r="X123" i="3" s="1"/>
  <c r="AA123" i="3" s="1"/>
  <c r="V126" i="3"/>
  <c r="W126" i="3" s="1"/>
  <c r="X126" i="3" s="1"/>
  <c r="V124" i="3"/>
  <c r="W124" i="3" s="1"/>
  <c r="X124" i="3" s="1"/>
  <c r="V122" i="3"/>
  <c r="W122" i="3" s="1"/>
  <c r="X122" i="3" s="1"/>
  <c r="AA122" i="3" s="1"/>
  <c r="AA166" i="3"/>
  <c r="AA126" i="3"/>
  <c r="AA124" i="3"/>
  <c r="D17" i="24"/>
  <c r="I17" i="24"/>
  <c r="N12" i="24"/>
  <c r="M7" i="24"/>
  <c r="D7" i="24"/>
  <c r="I7" i="24"/>
  <c r="N17" i="24"/>
  <c r="N2" i="24"/>
  <c r="N7" i="24" s="1"/>
  <c r="V2" i="23"/>
  <c r="W2" i="23"/>
  <c r="V17" i="23"/>
  <c r="W17" i="23"/>
  <c r="U10" i="23"/>
  <c r="W9" i="23" s="1"/>
  <c r="U11" i="23"/>
  <c r="U12" i="23"/>
  <c r="U13" i="23"/>
  <c r="U14" i="23"/>
  <c r="S2" i="23"/>
  <c r="V9" i="23"/>
  <c r="S15" i="23"/>
  <c r="X9" i="23" s="1"/>
  <c r="S16" i="23"/>
  <c r="S17" i="23"/>
  <c r="V25" i="23"/>
  <c r="S26" i="23"/>
  <c r="Y25" i="23" s="1"/>
  <c r="S27" i="23"/>
  <c r="S28" i="23"/>
  <c r="S29" i="23"/>
  <c r="S30" i="23"/>
  <c r="S31" i="23"/>
  <c r="S32" i="23"/>
  <c r="X41" i="23"/>
  <c r="Y41" i="23"/>
  <c r="U43" i="23"/>
  <c r="U45" i="23"/>
  <c r="U47" i="23"/>
  <c r="H53" i="23"/>
  <c r="U56" i="23"/>
  <c r="S56" i="23"/>
  <c r="U65" i="23"/>
  <c r="W64" i="23" s="1"/>
  <c r="U67" i="23"/>
  <c r="V64" i="23" s="1"/>
  <c r="U69" i="23"/>
  <c r="U71" i="23"/>
  <c r="U72" i="23"/>
  <c r="S72" i="23"/>
  <c r="U81" i="23"/>
  <c r="W80" i="23" s="1"/>
  <c r="U83" i="23"/>
  <c r="V80" i="23" s="1"/>
  <c r="U85" i="23"/>
  <c r="U87" i="23"/>
  <c r="U88" i="23"/>
  <c r="S88" i="23"/>
  <c r="U97" i="23"/>
  <c r="W96" i="23" s="1"/>
  <c r="U99" i="23"/>
  <c r="V96" i="23" s="1"/>
  <c r="U101" i="23"/>
  <c r="U33" i="23"/>
  <c r="S33" i="23"/>
  <c r="Y64" i="23"/>
  <c r="Y80" i="23"/>
  <c r="Y96" i="23"/>
  <c r="H106" i="23"/>
  <c r="H107" i="23" s="1"/>
  <c r="G52" i="23"/>
  <c r="G53" i="23" s="1"/>
  <c r="G106" i="23"/>
  <c r="G107" i="23" s="1"/>
  <c r="AA83" i="3" l="1"/>
  <c r="AA87" i="3"/>
  <c r="AA91" i="3"/>
  <c r="AA95" i="3"/>
  <c r="AA100" i="3"/>
  <c r="AA104" i="3"/>
  <c r="AA108" i="3"/>
  <c r="AA112" i="3"/>
  <c r="AA99" i="3"/>
  <c r="AA103" i="3"/>
  <c r="AA107" i="3"/>
  <c r="AA111" i="3"/>
  <c r="AA84" i="3"/>
  <c r="AA88" i="3"/>
  <c r="AA92" i="3"/>
  <c r="AA116" i="3"/>
  <c r="AA120" i="3"/>
  <c r="AA85" i="3"/>
  <c r="AA89" i="3"/>
  <c r="AA93" i="3"/>
  <c r="AA97" i="3"/>
  <c r="AA101" i="3"/>
  <c r="AA105" i="3"/>
  <c r="AA109" i="3"/>
  <c r="AA113" i="3"/>
  <c r="AA86" i="3"/>
  <c r="AA90" i="3"/>
  <c r="AA94" i="3"/>
  <c r="AA114" i="3"/>
  <c r="AA118" i="3"/>
  <c r="AA82" i="3"/>
  <c r="Y33" i="23"/>
  <c r="X33" i="23"/>
  <c r="Y88" i="23"/>
  <c r="X88" i="23"/>
  <c r="Y72" i="23"/>
  <c r="X72" i="23"/>
  <c r="Y56" i="23"/>
  <c r="X56" i="23"/>
  <c r="W41" i="23"/>
  <c r="V41" i="23"/>
  <c r="W33" i="23"/>
  <c r="V33" i="23"/>
  <c r="W88" i="23"/>
  <c r="V88" i="23"/>
  <c r="W72" i="23"/>
  <c r="V72" i="23"/>
  <c r="W56" i="23"/>
  <c r="V56" i="23"/>
  <c r="X25" i="23"/>
  <c r="X17" i="23"/>
  <c r="Y17" i="23"/>
  <c r="Y2" i="23"/>
  <c r="X2" i="23"/>
  <c r="Y9" i="23"/>
  <c r="D42" i="13"/>
  <c r="D41" i="13"/>
  <c r="E42" i="13"/>
  <c r="E41" i="13"/>
  <c r="E40" i="13"/>
  <c r="E39" i="13"/>
  <c r="E38" i="13"/>
  <c r="E37" i="13"/>
  <c r="E36" i="13"/>
  <c r="E35" i="13"/>
  <c r="F34" i="13"/>
  <c r="F33" i="13"/>
  <c r="F32" i="13"/>
  <c r="F31" i="13"/>
  <c r="F30" i="13"/>
  <c r="F29" i="13"/>
  <c r="F28" i="13"/>
  <c r="F27" i="13"/>
  <c r="E34" i="13"/>
  <c r="E33" i="13"/>
  <c r="E32" i="13"/>
  <c r="E31" i="13"/>
  <c r="E30" i="13"/>
  <c r="E29" i="13"/>
  <c r="E28" i="13"/>
  <c r="E27" i="13"/>
  <c r="F26" i="13"/>
  <c r="F25" i="13"/>
  <c r="F24" i="13"/>
  <c r="F23" i="13"/>
  <c r="F22" i="13"/>
  <c r="F21" i="13"/>
  <c r="F20" i="13"/>
  <c r="F19" i="13"/>
  <c r="E26" i="13"/>
  <c r="E25" i="13"/>
  <c r="E24" i="13"/>
  <c r="E23" i="13"/>
  <c r="E22" i="13"/>
  <c r="E21" i="13"/>
  <c r="E20" i="13"/>
  <c r="E19" i="13"/>
  <c r="T12" i="22" l="1"/>
  <c r="T2" i="22"/>
  <c r="L19" i="22" l="1"/>
  <c r="J173" i="3"/>
  <c r="L18" i="22"/>
  <c r="J172" i="3"/>
  <c r="L17" i="22"/>
  <c r="J171" i="3"/>
  <c r="L16" i="22"/>
  <c r="J170" i="3"/>
  <c r="L15" i="22"/>
  <c r="J169" i="3"/>
  <c r="L14" i="22"/>
  <c r="J168" i="3"/>
  <c r="L13" i="22"/>
  <c r="J167" i="3"/>
  <c r="R12" i="22"/>
  <c r="S12" i="22" s="1"/>
  <c r="N12" i="22"/>
  <c r="L12" i="22"/>
  <c r="I12" i="22"/>
  <c r="J166" i="3" s="1"/>
  <c r="L9" i="22"/>
  <c r="I173" i="3"/>
  <c r="L8" i="22"/>
  <c r="I172" i="3"/>
  <c r="L7" i="22"/>
  <c r="I171" i="3"/>
  <c r="L6" i="22"/>
  <c r="I170" i="3"/>
  <c r="L5" i="22"/>
  <c r="I169" i="3"/>
  <c r="L4" i="22"/>
  <c r="I168" i="3"/>
  <c r="L3" i="22"/>
  <c r="I167" i="3"/>
  <c r="S2" i="22"/>
  <c r="R2" i="22"/>
  <c r="N2" i="22"/>
  <c r="L2" i="22"/>
  <c r="I2" i="22"/>
  <c r="I166" i="3" s="1"/>
  <c r="AC167" i="3" l="1"/>
  <c r="L167" i="3"/>
  <c r="Y167" i="3" s="1"/>
  <c r="T13" i="22"/>
  <c r="AC169" i="3"/>
  <c r="L169" i="3"/>
  <c r="Y169" i="3" s="1"/>
  <c r="T15" i="22"/>
  <c r="AC170" i="3"/>
  <c r="L170" i="3"/>
  <c r="Y170" i="3" s="1"/>
  <c r="T16" i="22"/>
  <c r="AC171" i="3"/>
  <c r="L171" i="3"/>
  <c r="Y171" i="3" s="1"/>
  <c r="T17" i="22"/>
  <c r="AC173" i="3"/>
  <c r="L173" i="3"/>
  <c r="Y173" i="3" s="1"/>
  <c r="T19" i="22"/>
  <c r="AB167" i="3"/>
  <c r="K167" i="3"/>
  <c r="V167" i="3" s="1"/>
  <c r="W167" i="3" s="1"/>
  <c r="X167" i="3" s="1"/>
  <c r="T3" i="22"/>
  <c r="AB169" i="3"/>
  <c r="K169" i="3"/>
  <c r="V169" i="3" s="1"/>
  <c r="W169" i="3" s="1"/>
  <c r="X169" i="3" s="1"/>
  <c r="T5" i="22"/>
  <c r="AB170" i="3"/>
  <c r="K170" i="3"/>
  <c r="V170" i="3" s="1"/>
  <c r="W170" i="3" s="1"/>
  <c r="X170" i="3" s="1"/>
  <c r="T6" i="22"/>
  <c r="AB171" i="3"/>
  <c r="K171" i="3"/>
  <c r="V171" i="3" s="1"/>
  <c r="W171" i="3" s="1"/>
  <c r="X171" i="3" s="1"/>
  <c r="T7" i="22"/>
  <c r="AB173" i="3"/>
  <c r="K173" i="3"/>
  <c r="V173" i="3" s="1"/>
  <c r="W173" i="3" s="1"/>
  <c r="X173" i="3" s="1"/>
  <c r="T9" i="22"/>
  <c r="AC172" i="3"/>
  <c r="L172" i="3"/>
  <c r="Y172" i="3" s="1"/>
  <c r="T18" i="22"/>
  <c r="AC168" i="3"/>
  <c r="L168" i="3"/>
  <c r="Y168" i="3" s="1"/>
  <c r="T14" i="22"/>
  <c r="AB172" i="3"/>
  <c r="K172" i="3"/>
  <c r="V172" i="3" s="1"/>
  <c r="W172" i="3" s="1"/>
  <c r="X172" i="3" s="1"/>
  <c r="AA172" i="3" s="1"/>
  <c r="T8" i="22"/>
  <c r="AB168" i="3"/>
  <c r="K168" i="3"/>
  <c r="V168" i="3" s="1"/>
  <c r="W168" i="3" s="1"/>
  <c r="X168" i="3" s="1"/>
  <c r="AA168" i="3" s="1"/>
  <c r="T4" i="22"/>
  <c r="L17" i="14"/>
  <c r="K17" i="14"/>
  <c r="J17" i="14"/>
  <c r="H17" i="14"/>
  <c r="C17" i="14"/>
  <c r="B17" i="14"/>
  <c r="M16" i="14"/>
  <c r="N16" i="14" s="1"/>
  <c r="I16" i="14"/>
  <c r="G16" i="14"/>
  <c r="D16" i="14"/>
  <c r="M15" i="14"/>
  <c r="N15" i="14" s="1"/>
  <c r="I15" i="14"/>
  <c r="G15" i="14"/>
  <c r="D15" i="14"/>
  <c r="M14" i="14"/>
  <c r="N14" i="14" s="1"/>
  <c r="I14" i="14"/>
  <c r="G14" i="14"/>
  <c r="D14" i="14"/>
  <c r="M13" i="14"/>
  <c r="N13" i="14" s="1"/>
  <c r="I13" i="14"/>
  <c r="G13" i="14"/>
  <c r="D13" i="14"/>
  <c r="M12" i="14"/>
  <c r="N12" i="14" s="1"/>
  <c r="I12" i="14"/>
  <c r="G12" i="14"/>
  <c r="D12" i="14"/>
  <c r="L7" i="14"/>
  <c r="K7" i="14"/>
  <c r="J7" i="14"/>
  <c r="H7" i="14"/>
  <c r="C7" i="14"/>
  <c r="B7" i="14"/>
  <c r="M6" i="14"/>
  <c r="N6" i="14" s="1"/>
  <c r="I6" i="14"/>
  <c r="G6" i="14"/>
  <c r="D6" i="14"/>
  <c r="M5" i="14"/>
  <c r="N5" i="14" s="1"/>
  <c r="I5" i="14"/>
  <c r="G5" i="14"/>
  <c r="D5" i="14"/>
  <c r="M4" i="14"/>
  <c r="N4" i="14" s="1"/>
  <c r="I4" i="14"/>
  <c r="G4" i="14"/>
  <c r="D4" i="14"/>
  <c r="M3" i="14"/>
  <c r="N3" i="14" s="1"/>
  <c r="I3" i="14"/>
  <c r="G3" i="14"/>
  <c r="D3" i="14"/>
  <c r="M2" i="14"/>
  <c r="N2" i="14" s="1"/>
  <c r="I2" i="14"/>
  <c r="G2" i="14"/>
  <c r="D2" i="14"/>
  <c r="D7" i="14" s="1"/>
  <c r="I12" i="9"/>
  <c r="I184" i="3" s="1"/>
  <c r="I13" i="9"/>
  <c r="I185" i="3" s="1"/>
  <c r="I14" i="9"/>
  <c r="I186" i="3" s="1"/>
  <c r="I15" i="9"/>
  <c r="F18" i="13"/>
  <c r="F17" i="13"/>
  <c r="F16" i="13"/>
  <c r="F15" i="13"/>
  <c r="F14" i="13"/>
  <c r="F13" i="13"/>
  <c r="F12" i="13"/>
  <c r="F11" i="13"/>
  <c r="E18" i="13"/>
  <c r="E17" i="13"/>
  <c r="E16" i="13"/>
  <c r="E15" i="13"/>
  <c r="E14" i="13"/>
  <c r="E13" i="13"/>
  <c r="E12" i="13"/>
  <c r="E11" i="13"/>
  <c r="D18" i="13"/>
  <c r="D17" i="13"/>
  <c r="D16" i="13"/>
  <c r="D15" i="13"/>
  <c r="D14" i="13"/>
  <c r="D13" i="13"/>
  <c r="D12" i="13"/>
  <c r="D11" i="13"/>
  <c r="F10" i="13"/>
  <c r="F9" i="13"/>
  <c r="F8" i="13"/>
  <c r="F7" i="13"/>
  <c r="F6" i="13"/>
  <c r="F5" i="13"/>
  <c r="F4" i="13"/>
  <c r="F3" i="13"/>
  <c r="F2" i="13"/>
  <c r="E10" i="13"/>
  <c r="E9" i="13"/>
  <c r="E8" i="13"/>
  <c r="E7" i="13"/>
  <c r="E6" i="13"/>
  <c r="E5" i="13"/>
  <c r="E4" i="13"/>
  <c r="E3" i="13"/>
  <c r="E2" i="13"/>
  <c r="F42" i="13"/>
  <c r="G42" i="13" s="1"/>
  <c r="F41" i="13"/>
  <c r="G41" i="13"/>
  <c r="F40" i="13"/>
  <c r="G40" i="13" s="1"/>
  <c r="F39" i="13"/>
  <c r="G39" i="13"/>
  <c r="F38" i="13"/>
  <c r="G38" i="13" s="1"/>
  <c r="F37" i="13"/>
  <c r="G37" i="13"/>
  <c r="F36" i="13"/>
  <c r="G36" i="13" s="1"/>
  <c r="F35" i="13"/>
  <c r="G35" i="13" s="1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H88" i="12"/>
  <c r="H89" i="12" s="1"/>
  <c r="G88" i="12"/>
  <c r="G89" i="12" s="1"/>
  <c r="H87" i="12"/>
  <c r="G87" i="12"/>
  <c r="R86" i="12"/>
  <c r="N86" i="12"/>
  <c r="L86" i="12"/>
  <c r="I86" i="12"/>
  <c r="J165" i="3" s="1"/>
  <c r="R85" i="12"/>
  <c r="N85" i="12"/>
  <c r="L85" i="12"/>
  <c r="I85" i="12"/>
  <c r="J164" i="3" s="1"/>
  <c r="R84" i="12"/>
  <c r="N84" i="12"/>
  <c r="L84" i="12"/>
  <c r="I84" i="12"/>
  <c r="J163" i="3" s="1"/>
  <c r="R83" i="12"/>
  <c r="N83" i="12"/>
  <c r="L83" i="12"/>
  <c r="I83" i="12"/>
  <c r="J162" i="3" s="1"/>
  <c r="R82" i="12"/>
  <c r="N82" i="12"/>
  <c r="L82" i="12"/>
  <c r="I82" i="12"/>
  <c r="J161" i="3" s="1"/>
  <c r="R81" i="12"/>
  <c r="N81" i="12"/>
  <c r="L81" i="12"/>
  <c r="I81" i="12"/>
  <c r="J160" i="3" s="1"/>
  <c r="R80" i="12"/>
  <c r="N80" i="12"/>
  <c r="L80" i="12"/>
  <c r="I80" i="12"/>
  <c r="J159" i="3" s="1"/>
  <c r="T79" i="12"/>
  <c r="R79" i="12"/>
  <c r="L158" i="3" s="1"/>
  <c r="Y158" i="3" s="1"/>
  <c r="N79" i="12"/>
  <c r="L79" i="12"/>
  <c r="I79" i="12"/>
  <c r="J158" i="3" s="1"/>
  <c r="R78" i="12"/>
  <c r="N78" i="12"/>
  <c r="L78" i="12"/>
  <c r="I78" i="12"/>
  <c r="J157" i="3" s="1"/>
  <c r="R77" i="12"/>
  <c r="N77" i="12"/>
  <c r="L77" i="12"/>
  <c r="I77" i="12"/>
  <c r="J156" i="3" s="1"/>
  <c r="R76" i="12"/>
  <c r="N76" i="12"/>
  <c r="L76" i="12"/>
  <c r="I76" i="12"/>
  <c r="R75" i="12"/>
  <c r="N75" i="12"/>
  <c r="L75" i="12"/>
  <c r="I75" i="12"/>
  <c r="J155" i="3" s="1"/>
  <c r="R74" i="12"/>
  <c r="N74" i="12"/>
  <c r="L74" i="12"/>
  <c r="I74" i="12"/>
  <c r="J154" i="3" s="1"/>
  <c r="R73" i="12"/>
  <c r="N73" i="12"/>
  <c r="L73" i="12"/>
  <c r="I73" i="12"/>
  <c r="J153" i="3" s="1"/>
  <c r="N72" i="12"/>
  <c r="L72" i="12"/>
  <c r="I72" i="12"/>
  <c r="J152" i="3" s="1"/>
  <c r="T71" i="12"/>
  <c r="N71" i="12"/>
  <c r="L71" i="12"/>
  <c r="I71" i="12"/>
  <c r="J151" i="3" s="1"/>
  <c r="R70" i="12"/>
  <c r="N70" i="12"/>
  <c r="L70" i="12"/>
  <c r="I70" i="12"/>
  <c r="J150" i="3" s="1"/>
  <c r="R69" i="12"/>
  <c r="N69" i="12"/>
  <c r="L69" i="12"/>
  <c r="I69" i="12"/>
  <c r="J149" i="3" s="1"/>
  <c r="R68" i="12"/>
  <c r="N68" i="12"/>
  <c r="L68" i="12"/>
  <c r="I68" i="12"/>
  <c r="J148" i="3" s="1"/>
  <c r="R67" i="12"/>
  <c r="N67" i="12"/>
  <c r="L67" i="12"/>
  <c r="I67" i="12"/>
  <c r="J147" i="3" s="1"/>
  <c r="R66" i="12"/>
  <c r="N66" i="12"/>
  <c r="L66" i="12"/>
  <c r="I66" i="12"/>
  <c r="J146" i="3" s="1"/>
  <c r="R65" i="12"/>
  <c r="N65" i="12"/>
  <c r="L65" i="12"/>
  <c r="I65" i="12"/>
  <c r="J145" i="3" s="1"/>
  <c r="R64" i="12"/>
  <c r="N64" i="12"/>
  <c r="L64" i="12"/>
  <c r="I64" i="12"/>
  <c r="J144" i="3" s="1"/>
  <c r="T63" i="12"/>
  <c r="R63" i="12"/>
  <c r="L143" i="3" s="1"/>
  <c r="Y143" i="3" s="1"/>
  <c r="N63" i="12"/>
  <c r="L63" i="12"/>
  <c r="I63" i="12"/>
  <c r="J143" i="3" s="1"/>
  <c r="R62" i="12"/>
  <c r="N62" i="12"/>
  <c r="L62" i="12"/>
  <c r="I62" i="12"/>
  <c r="J142" i="3" s="1"/>
  <c r="R61" i="12"/>
  <c r="N61" i="12"/>
  <c r="L61" i="12"/>
  <c r="I61" i="12"/>
  <c r="J141" i="3" s="1"/>
  <c r="R60" i="12"/>
  <c r="S60" i="12" s="1"/>
  <c r="N60" i="12"/>
  <c r="L60" i="12"/>
  <c r="I60" i="12"/>
  <c r="R59" i="12"/>
  <c r="N59" i="12"/>
  <c r="L59" i="12"/>
  <c r="I59" i="12"/>
  <c r="J140" i="3" s="1"/>
  <c r="R58" i="12"/>
  <c r="N58" i="12"/>
  <c r="L58" i="12"/>
  <c r="I58" i="12"/>
  <c r="J139" i="3" s="1"/>
  <c r="R57" i="12"/>
  <c r="N57" i="12"/>
  <c r="L57" i="12"/>
  <c r="I57" i="12"/>
  <c r="J138" i="3" s="1"/>
  <c r="R56" i="12"/>
  <c r="N56" i="12"/>
  <c r="L56" i="12"/>
  <c r="I56" i="12"/>
  <c r="J137" i="3" s="1"/>
  <c r="T55" i="12"/>
  <c r="R55" i="12"/>
  <c r="N55" i="12"/>
  <c r="L55" i="12"/>
  <c r="I55" i="12"/>
  <c r="J136" i="3" s="1"/>
  <c r="R54" i="12"/>
  <c r="N54" i="12"/>
  <c r="L54" i="12"/>
  <c r="I54" i="12"/>
  <c r="J135" i="3" s="1"/>
  <c r="R53" i="12"/>
  <c r="N53" i="12"/>
  <c r="L53" i="12"/>
  <c r="I53" i="12"/>
  <c r="J134" i="3" s="1"/>
  <c r="R52" i="12"/>
  <c r="N52" i="12"/>
  <c r="L52" i="12"/>
  <c r="I52" i="12"/>
  <c r="J133" i="3" s="1"/>
  <c r="R51" i="12"/>
  <c r="N51" i="12"/>
  <c r="L51" i="12"/>
  <c r="I51" i="12"/>
  <c r="J132" i="3" s="1"/>
  <c r="R50" i="12"/>
  <c r="N50" i="12"/>
  <c r="L50" i="12"/>
  <c r="I50" i="12"/>
  <c r="J131" i="3" s="1"/>
  <c r="R49" i="12"/>
  <c r="N49" i="12"/>
  <c r="L49" i="12"/>
  <c r="I49" i="12"/>
  <c r="J130" i="3" s="1"/>
  <c r="R48" i="12"/>
  <c r="N48" i="12"/>
  <c r="L48" i="12"/>
  <c r="I48" i="12"/>
  <c r="J129" i="3" s="1"/>
  <c r="T47" i="12"/>
  <c r="R47" i="12"/>
  <c r="L128" i="3" s="1"/>
  <c r="Y128" i="3" s="1"/>
  <c r="N47" i="12"/>
  <c r="L47" i="12"/>
  <c r="I47" i="12"/>
  <c r="J128" i="3" s="1"/>
  <c r="H41" i="12"/>
  <c r="H42" i="12" s="1"/>
  <c r="H40" i="12"/>
  <c r="G40" i="12"/>
  <c r="R39" i="12"/>
  <c r="N39" i="12"/>
  <c r="L39" i="12"/>
  <c r="I39" i="12"/>
  <c r="I165" i="3" s="1"/>
  <c r="R38" i="12"/>
  <c r="N38" i="12"/>
  <c r="L38" i="12"/>
  <c r="I38" i="12"/>
  <c r="I164" i="3" s="1"/>
  <c r="R37" i="12"/>
  <c r="N37" i="12"/>
  <c r="L37" i="12"/>
  <c r="I37" i="12"/>
  <c r="I163" i="3" s="1"/>
  <c r="R36" i="12"/>
  <c r="N36" i="12"/>
  <c r="L36" i="12"/>
  <c r="I36" i="12"/>
  <c r="I162" i="3" s="1"/>
  <c r="R35" i="12"/>
  <c r="N35" i="12"/>
  <c r="L35" i="12"/>
  <c r="I35" i="12"/>
  <c r="I161" i="3" s="1"/>
  <c r="R34" i="12"/>
  <c r="N34" i="12"/>
  <c r="L34" i="12"/>
  <c r="I34" i="12"/>
  <c r="I160" i="3" s="1"/>
  <c r="R33" i="12"/>
  <c r="N33" i="12"/>
  <c r="L33" i="12"/>
  <c r="I33" i="12"/>
  <c r="I159" i="3" s="1"/>
  <c r="T32" i="12"/>
  <c r="R32" i="12"/>
  <c r="N32" i="12"/>
  <c r="L32" i="12"/>
  <c r="I32" i="12"/>
  <c r="I158" i="3" s="1"/>
  <c r="R31" i="12"/>
  <c r="N31" i="12"/>
  <c r="L31" i="12"/>
  <c r="I31" i="12"/>
  <c r="I157" i="3" s="1"/>
  <c r="R30" i="12"/>
  <c r="N30" i="12"/>
  <c r="L30" i="12"/>
  <c r="I30" i="12"/>
  <c r="I156" i="3" s="1"/>
  <c r="R29" i="12"/>
  <c r="N29" i="12"/>
  <c r="L29" i="12"/>
  <c r="I29" i="12"/>
  <c r="I155" i="3" s="1"/>
  <c r="R28" i="12"/>
  <c r="N28" i="12"/>
  <c r="L28" i="12"/>
  <c r="I28" i="12"/>
  <c r="I154" i="3" s="1"/>
  <c r="R27" i="12"/>
  <c r="N27" i="12"/>
  <c r="L27" i="12"/>
  <c r="I27" i="12"/>
  <c r="I153" i="3" s="1"/>
  <c r="R26" i="12"/>
  <c r="N26" i="12"/>
  <c r="L26" i="12"/>
  <c r="I26" i="12"/>
  <c r="I152" i="3" s="1"/>
  <c r="T25" i="12"/>
  <c r="R25" i="12"/>
  <c r="K151" i="3" s="1"/>
  <c r="W151" i="3" s="1"/>
  <c r="N25" i="12"/>
  <c r="L25" i="12"/>
  <c r="I25" i="12"/>
  <c r="I151" i="3" s="1"/>
  <c r="R24" i="12"/>
  <c r="N24" i="12"/>
  <c r="L24" i="12"/>
  <c r="I24" i="12"/>
  <c r="I150" i="3" s="1"/>
  <c r="R23" i="12"/>
  <c r="N23" i="12"/>
  <c r="L23" i="12"/>
  <c r="I23" i="12"/>
  <c r="I149" i="3" s="1"/>
  <c r="R22" i="12"/>
  <c r="N22" i="12"/>
  <c r="L22" i="12"/>
  <c r="I22" i="12"/>
  <c r="I148" i="3" s="1"/>
  <c r="R21" i="12"/>
  <c r="N21" i="12"/>
  <c r="L21" i="12"/>
  <c r="I21" i="12"/>
  <c r="I147" i="3" s="1"/>
  <c r="R20" i="12"/>
  <c r="N20" i="12"/>
  <c r="L20" i="12"/>
  <c r="I20" i="12"/>
  <c r="I146" i="3" s="1"/>
  <c r="R19" i="12"/>
  <c r="N19" i="12"/>
  <c r="L19" i="12"/>
  <c r="I19" i="12"/>
  <c r="I145" i="3" s="1"/>
  <c r="R18" i="12"/>
  <c r="N18" i="12"/>
  <c r="L18" i="12"/>
  <c r="I18" i="12"/>
  <c r="I144" i="3" s="1"/>
  <c r="T17" i="12"/>
  <c r="R17" i="12"/>
  <c r="N17" i="12"/>
  <c r="L17" i="12"/>
  <c r="I17" i="12"/>
  <c r="I143" i="3" s="1"/>
  <c r="R16" i="12"/>
  <c r="N16" i="12"/>
  <c r="L16" i="12"/>
  <c r="I16" i="12"/>
  <c r="I142" i="3" s="1"/>
  <c r="R15" i="12"/>
  <c r="N15" i="12"/>
  <c r="L15" i="12"/>
  <c r="I15" i="12"/>
  <c r="I141" i="3" s="1"/>
  <c r="R14" i="12"/>
  <c r="N14" i="12"/>
  <c r="L14" i="12"/>
  <c r="I14" i="12"/>
  <c r="I140" i="3" s="1"/>
  <c r="R13" i="12"/>
  <c r="N13" i="12"/>
  <c r="L13" i="12"/>
  <c r="I13" i="12"/>
  <c r="I139" i="3" s="1"/>
  <c r="R12" i="12"/>
  <c r="N12" i="12"/>
  <c r="L12" i="12"/>
  <c r="I12" i="12"/>
  <c r="I138" i="3" s="1"/>
  <c r="R11" i="12"/>
  <c r="N11" i="12"/>
  <c r="L11" i="12"/>
  <c r="I11" i="12"/>
  <c r="I137" i="3" s="1"/>
  <c r="T10" i="12"/>
  <c r="R10" i="12"/>
  <c r="N10" i="12"/>
  <c r="L10" i="12"/>
  <c r="I10" i="12"/>
  <c r="I136" i="3" s="1"/>
  <c r="S9" i="12"/>
  <c r="AB135" i="3" s="1"/>
  <c r="R9" i="12"/>
  <c r="N9" i="12"/>
  <c r="L9" i="12"/>
  <c r="I9" i="12"/>
  <c r="I135" i="3" s="1"/>
  <c r="R8" i="12"/>
  <c r="N8" i="12"/>
  <c r="L8" i="12"/>
  <c r="I8" i="12"/>
  <c r="I134" i="3" s="1"/>
  <c r="R7" i="12"/>
  <c r="N7" i="12"/>
  <c r="L7" i="12"/>
  <c r="I7" i="12"/>
  <c r="I133" i="3" s="1"/>
  <c r="R6" i="12"/>
  <c r="N6" i="12"/>
  <c r="L6" i="12"/>
  <c r="I6" i="12"/>
  <c r="I132" i="3" s="1"/>
  <c r="R5" i="12"/>
  <c r="N5" i="12"/>
  <c r="L5" i="12"/>
  <c r="I5" i="12"/>
  <c r="I131" i="3" s="1"/>
  <c r="R4" i="12"/>
  <c r="N4" i="12"/>
  <c r="L4" i="12"/>
  <c r="I4" i="12"/>
  <c r="I130" i="3" s="1"/>
  <c r="R3" i="12"/>
  <c r="N3" i="12"/>
  <c r="L3" i="12"/>
  <c r="I3" i="12"/>
  <c r="I129" i="3" s="1"/>
  <c r="T2" i="12"/>
  <c r="R2" i="12"/>
  <c r="N2" i="12"/>
  <c r="L2" i="12"/>
  <c r="I2" i="12"/>
  <c r="I128" i="3" s="1"/>
  <c r="AA171" i="3" l="1"/>
  <c r="AA169" i="3"/>
  <c r="X151" i="3"/>
  <c r="AA173" i="3"/>
  <c r="AA170" i="3"/>
  <c r="AA167" i="3"/>
  <c r="U2" i="12"/>
  <c r="W2" i="12" s="1"/>
  <c r="K128" i="3"/>
  <c r="V128" i="3" s="1"/>
  <c r="W128" i="3" s="1"/>
  <c r="U10" i="12"/>
  <c r="W10" i="12" s="1"/>
  <c r="K136" i="3"/>
  <c r="V136" i="3" s="1"/>
  <c r="W136" i="3" s="1"/>
  <c r="S33" i="12"/>
  <c r="AB159" i="3" s="1"/>
  <c r="K159" i="3"/>
  <c r="V159" i="3" s="1"/>
  <c r="W159" i="3" s="1"/>
  <c r="X159" i="3" s="1"/>
  <c r="S34" i="12"/>
  <c r="AB160" i="3" s="1"/>
  <c r="K160" i="3"/>
  <c r="V160" i="3" s="1"/>
  <c r="W160" i="3" s="1"/>
  <c r="X160" i="3" s="1"/>
  <c r="S35" i="12"/>
  <c r="AB161" i="3" s="1"/>
  <c r="K161" i="3"/>
  <c r="V161" i="3" s="1"/>
  <c r="W161" i="3" s="1"/>
  <c r="X161" i="3" s="1"/>
  <c r="S36" i="12"/>
  <c r="AB162" i="3" s="1"/>
  <c r="K162" i="3"/>
  <c r="V162" i="3" s="1"/>
  <c r="W162" i="3" s="1"/>
  <c r="X162" i="3" s="1"/>
  <c r="S37" i="12"/>
  <c r="AB163" i="3" s="1"/>
  <c r="K163" i="3"/>
  <c r="V163" i="3" s="1"/>
  <c r="W163" i="3" s="1"/>
  <c r="X163" i="3" s="1"/>
  <c r="S38" i="12"/>
  <c r="AB164" i="3" s="1"/>
  <c r="K164" i="3"/>
  <c r="V164" i="3" s="1"/>
  <c r="W164" i="3" s="1"/>
  <c r="X164" i="3" s="1"/>
  <c r="S39" i="12"/>
  <c r="AB165" i="3" s="1"/>
  <c r="K165" i="3"/>
  <c r="V165" i="3" s="1"/>
  <c r="W165" i="3" s="1"/>
  <c r="X165" i="3" s="1"/>
  <c r="U48" i="12"/>
  <c r="L129" i="3"/>
  <c r="Y129" i="3" s="1"/>
  <c r="U49" i="12"/>
  <c r="L130" i="3"/>
  <c r="Y130" i="3" s="1"/>
  <c r="U50" i="12"/>
  <c r="L131" i="3"/>
  <c r="Y131" i="3" s="1"/>
  <c r="U51" i="12"/>
  <c r="L132" i="3"/>
  <c r="Y132" i="3" s="1"/>
  <c r="U52" i="12"/>
  <c r="L133" i="3"/>
  <c r="Y133" i="3" s="1"/>
  <c r="U53" i="12"/>
  <c r="L134" i="3"/>
  <c r="Y134" i="3" s="1"/>
  <c r="U54" i="12"/>
  <c r="L135" i="3"/>
  <c r="Y135" i="3" s="1"/>
  <c r="U55" i="12"/>
  <c r="L136" i="3"/>
  <c r="Y136" i="3" s="1"/>
  <c r="U71" i="12"/>
  <c r="L151" i="3"/>
  <c r="Y151" i="3" s="1"/>
  <c r="AA151" i="3" s="1"/>
  <c r="U80" i="12"/>
  <c r="L159" i="3"/>
  <c r="Y159" i="3" s="1"/>
  <c r="U81" i="12"/>
  <c r="L160" i="3"/>
  <c r="Y160" i="3" s="1"/>
  <c r="U82" i="12"/>
  <c r="L161" i="3"/>
  <c r="Y161" i="3" s="1"/>
  <c r="U83" i="12"/>
  <c r="L162" i="3"/>
  <c r="Y162" i="3" s="1"/>
  <c r="U84" i="12"/>
  <c r="L163" i="3"/>
  <c r="Y163" i="3" s="1"/>
  <c r="U85" i="12"/>
  <c r="L164" i="3"/>
  <c r="Y164" i="3" s="1"/>
  <c r="U86" i="12"/>
  <c r="L165" i="3"/>
  <c r="Y165" i="3" s="1"/>
  <c r="U3" i="12"/>
  <c r="K129" i="3"/>
  <c r="V129" i="3" s="1"/>
  <c r="W129" i="3" s="1"/>
  <c r="X129" i="3" s="1"/>
  <c r="AA129" i="3" s="1"/>
  <c r="U4" i="12"/>
  <c r="K130" i="3"/>
  <c r="V130" i="3" s="1"/>
  <c r="W130" i="3" s="1"/>
  <c r="X130" i="3" s="1"/>
  <c r="AA130" i="3" s="1"/>
  <c r="U5" i="12"/>
  <c r="K131" i="3"/>
  <c r="V131" i="3" s="1"/>
  <c r="W131" i="3" s="1"/>
  <c r="X131" i="3" s="1"/>
  <c r="AA131" i="3" s="1"/>
  <c r="U6" i="12"/>
  <c r="K132" i="3"/>
  <c r="V132" i="3" s="1"/>
  <c r="W132" i="3" s="1"/>
  <c r="X132" i="3" s="1"/>
  <c r="AA132" i="3" s="1"/>
  <c r="U7" i="12"/>
  <c r="K133" i="3"/>
  <c r="V133" i="3" s="1"/>
  <c r="W133" i="3" s="1"/>
  <c r="X133" i="3" s="1"/>
  <c r="AA133" i="3" s="1"/>
  <c r="U8" i="12"/>
  <c r="K134" i="3"/>
  <c r="V134" i="3" s="1"/>
  <c r="W134" i="3" s="1"/>
  <c r="X134" i="3" s="1"/>
  <c r="AA134" i="3" s="1"/>
  <c r="U9" i="12"/>
  <c r="K135" i="3"/>
  <c r="V135" i="3" s="1"/>
  <c r="W135" i="3" s="1"/>
  <c r="X135" i="3" s="1"/>
  <c r="AA135" i="3" s="1"/>
  <c r="U11" i="12"/>
  <c r="K137" i="3"/>
  <c r="V137" i="3" s="1"/>
  <c r="W137" i="3" s="1"/>
  <c r="X137" i="3" s="1"/>
  <c r="U12" i="12"/>
  <c r="K138" i="3"/>
  <c r="V138" i="3" s="1"/>
  <c r="W138" i="3" s="1"/>
  <c r="X138" i="3" s="1"/>
  <c r="U13" i="12"/>
  <c r="K139" i="3"/>
  <c r="V139" i="3" s="1"/>
  <c r="W139" i="3" s="1"/>
  <c r="X139" i="3" s="1"/>
  <c r="U14" i="12"/>
  <c r="K140" i="3"/>
  <c r="V140" i="3" s="1"/>
  <c r="W140" i="3" s="1"/>
  <c r="X140" i="3" s="1"/>
  <c r="U15" i="12"/>
  <c r="K141" i="3"/>
  <c r="V141" i="3" s="1"/>
  <c r="W141" i="3" s="1"/>
  <c r="X141" i="3" s="1"/>
  <c r="U16" i="12"/>
  <c r="K142" i="3"/>
  <c r="V142" i="3" s="1"/>
  <c r="W142" i="3" s="1"/>
  <c r="X142" i="3" s="1"/>
  <c r="U26" i="12"/>
  <c r="K152" i="3"/>
  <c r="W152" i="3" s="1"/>
  <c r="X152" i="3" s="1"/>
  <c r="U27" i="12"/>
  <c r="K153" i="3"/>
  <c r="W153" i="3" s="1"/>
  <c r="X153" i="3" s="1"/>
  <c r="U28" i="12"/>
  <c r="K154" i="3"/>
  <c r="W154" i="3" s="1"/>
  <c r="X154" i="3" s="1"/>
  <c r="U29" i="12"/>
  <c r="K155" i="3"/>
  <c r="W155" i="3" s="1"/>
  <c r="X155" i="3" s="1"/>
  <c r="U30" i="12"/>
  <c r="K156" i="3"/>
  <c r="W156" i="3" s="1"/>
  <c r="X156" i="3" s="1"/>
  <c r="U31" i="12"/>
  <c r="K157" i="3"/>
  <c r="W157" i="3" s="1"/>
  <c r="X157" i="3" s="1"/>
  <c r="U32" i="12"/>
  <c r="K158" i="3"/>
  <c r="V158" i="3" s="1"/>
  <c r="W158" i="3" s="1"/>
  <c r="S56" i="12"/>
  <c r="AC137" i="3" s="1"/>
  <c r="L137" i="3"/>
  <c r="Y137" i="3" s="1"/>
  <c r="S57" i="12"/>
  <c r="AC138" i="3" s="1"/>
  <c r="L138" i="3"/>
  <c r="Y138" i="3" s="1"/>
  <c r="S58" i="12"/>
  <c r="AC139" i="3" s="1"/>
  <c r="L139" i="3"/>
  <c r="Y139" i="3" s="1"/>
  <c r="S59" i="12"/>
  <c r="AC140" i="3" s="1"/>
  <c r="L140" i="3"/>
  <c r="Y140" i="3" s="1"/>
  <c r="S61" i="12"/>
  <c r="AC141" i="3" s="1"/>
  <c r="L141" i="3"/>
  <c r="Y141" i="3" s="1"/>
  <c r="S62" i="12"/>
  <c r="AC142" i="3" s="1"/>
  <c r="L142" i="3"/>
  <c r="Y142" i="3" s="1"/>
  <c r="S72" i="12"/>
  <c r="AC152" i="3" s="1"/>
  <c r="L152" i="3"/>
  <c r="Y152" i="3" s="1"/>
  <c r="S73" i="12"/>
  <c r="AC153" i="3" s="1"/>
  <c r="L153" i="3"/>
  <c r="Y153" i="3" s="1"/>
  <c r="S74" i="12"/>
  <c r="AC154" i="3" s="1"/>
  <c r="L154" i="3"/>
  <c r="Y154" i="3" s="1"/>
  <c r="S75" i="12"/>
  <c r="AC155" i="3" s="1"/>
  <c r="L155" i="3"/>
  <c r="Y155" i="3" s="1"/>
  <c r="S76" i="12"/>
  <c r="S77" i="12"/>
  <c r="AC156" i="3" s="1"/>
  <c r="L156" i="3"/>
  <c r="Y156" i="3" s="1"/>
  <c r="S78" i="12"/>
  <c r="AC157" i="3" s="1"/>
  <c r="L157" i="3"/>
  <c r="Y157" i="3" s="1"/>
  <c r="U70" i="12"/>
  <c r="L150" i="3"/>
  <c r="Y150" i="3" s="1"/>
  <c r="U69" i="12"/>
  <c r="L149" i="3"/>
  <c r="Y149" i="3" s="1"/>
  <c r="U68" i="12"/>
  <c r="L148" i="3"/>
  <c r="Y148" i="3" s="1"/>
  <c r="U67" i="12"/>
  <c r="L147" i="3"/>
  <c r="Y147" i="3" s="1"/>
  <c r="U66" i="12"/>
  <c r="L146" i="3"/>
  <c r="Y146" i="3" s="1"/>
  <c r="U65" i="12"/>
  <c r="L145" i="3"/>
  <c r="Y145" i="3" s="1"/>
  <c r="U64" i="12"/>
  <c r="L144" i="3"/>
  <c r="Y144" i="3" s="1"/>
  <c r="S24" i="12"/>
  <c r="AB150" i="3" s="1"/>
  <c r="K150" i="3"/>
  <c r="V150" i="3" s="1"/>
  <c r="W150" i="3" s="1"/>
  <c r="X150" i="3" s="1"/>
  <c r="AA150" i="3" s="1"/>
  <c r="S23" i="12"/>
  <c r="AB149" i="3" s="1"/>
  <c r="K149" i="3"/>
  <c r="V149" i="3" s="1"/>
  <c r="W149" i="3" s="1"/>
  <c r="X149" i="3" s="1"/>
  <c r="AA149" i="3" s="1"/>
  <c r="S22" i="12"/>
  <c r="AB148" i="3" s="1"/>
  <c r="K148" i="3"/>
  <c r="V148" i="3" s="1"/>
  <c r="W148" i="3" s="1"/>
  <c r="X148" i="3" s="1"/>
  <c r="AA148" i="3" s="1"/>
  <c r="S21" i="12"/>
  <c r="AB147" i="3" s="1"/>
  <c r="K147" i="3"/>
  <c r="V147" i="3" s="1"/>
  <c r="W147" i="3" s="1"/>
  <c r="X147" i="3" s="1"/>
  <c r="AA147" i="3" s="1"/>
  <c r="S20" i="12"/>
  <c r="AB146" i="3" s="1"/>
  <c r="K146" i="3"/>
  <c r="V146" i="3" s="1"/>
  <c r="W146" i="3" s="1"/>
  <c r="X146" i="3" s="1"/>
  <c r="AA146" i="3" s="1"/>
  <c r="S19" i="12"/>
  <c r="AB145" i="3" s="1"/>
  <c r="K145" i="3"/>
  <c r="V145" i="3" s="1"/>
  <c r="W145" i="3" s="1"/>
  <c r="X145" i="3" s="1"/>
  <c r="AA145" i="3" s="1"/>
  <c r="S18" i="12"/>
  <c r="AB144" i="3" s="1"/>
  <c r="K144" i="3"/>
  <c r="V144" i="3" s="1"/>
  <c r="W144" i="3" s="1"/>
  <c r="X144" i="3" s="1"/>
  <c r="AA144" i="3" s="1"/>
  <c r="U17" i="12"/>
  <c r="K143" i="3"/>
  <c r="V143" i="3" s="1"/>
  <c r="W143" i="3" s="1"/>
  <c r="S83" i="12"/>
  <c r="AC162" i="3" s="1"/>
  <c r="H27" i="13"/>
  <c r="U24" i="12"/>
  <c r="U37" i="12"/>
  <c r="U58" i="12"/>
  <c r="S66" i="12"/>
  <c r="AC146" i="3" s="1"/>
  <c r="S85" i="12"/>
  <c r="AC164" i="3" s="1"/>
  <c r="S53" i="12"/>
  <c r="AC134" i="3" s="1"/>
  <c r="U72" i="12"/>
  <c r="S26" i="12"/>
  <c r="AB152" i="3" s="1"/>
  <c r="S70" i="12"/>
  <c r="AC150" i="3" s="1"/>
  <c r="I7" i="14"/>
  <c r="M7" i="14"/>
  <c r="D17" i="14"/>
  <c r="I17" i="14"/>
  <c r="N7" i="14"/>
  <c r="N17" i="14"/>
  <c r="M17" i="14"/>
  <c r="S49" i="12"/>
  <c r="AC130" i="3" s="1"/>
  <c r="S5" i="12"/>
  <c r="AB131" i="3" s="1"/>
  <c r="H11" i="13"/>
  <c r="H2" i="13"/>
  <c r="S51" i="12"/>
  <c r="AC132" i="3" s="1"/>
  <c r="S55" i="12"/>
  <c r="U62" i="12"/>
  <c r="S64" i="12"/>
  <c r="AC144" i="3" s="1"/>
  <c r="S68" i="12"/>
  <c r="AC148" i="3" s="1"/>
  <c r="U76" i="12"/>
  <c r="S81" i="12"/>
  <c r="AC160" i="3" s="1"/>
  <c r="S48" i="12"/>
  <c r="AC129" i="3" s="1"/>
  <c r="S50" i="12"/>
  <c r="AC131" i="3" s="1"/>
  <c r="S52" i="12"/>
  <c r="AC133" i="3" s="1"/>
  <c r="S54" i="12"/>
  <c r="AC135" i="3" s="1"/>
  <c r="U56" i="12"/>
  <c r="U60" i="12"/>
  <c r="S65" i="12"/>
  <c r="AC145" i="3" s="1"/>
  <c r="S67" i="12"/>
  <c r="AC147" i="3" s="1"/>
  <c r="S69" i="12"/>
  <c r="AC149" i="3" s="1"/>
  <c r="S71" i="12"/>
  <c r="U74" i="12"/>
  <c r="U78" i="12"/>
  <c r="S80" i="12"/>
  <c r="AC159" i="3" s="1"/>
  <c r="S82" i="12"/>
  <c r="AC161" i="3" s="1"/>
  <c r="S84" i="12"/>
  <c r="AC163" i="3" s="1"/>
  <c r="S86" i="12"/>
  <c r="AC165" i="3" s="1"/>
  <c r="S3" i="12"/>
  <c r="AB129" i="3" s="1"/>
  <c r="S7" i="12"/>
  <c r="AB133" i="3" s="1"/>
  <c r="U20" i="12"/>
  <c r="S28" i="12"/>
  <c r="AB154" i="3" s="1"/>
  <c r="S31" i="12"/>
  <c r="AB157" i="3" s="1"/>
  <c r="U33" i="12"/>
  <c r="S4" i="12"/>
  <c r="AB130" i="3" s="1"/>
  <c r="S6" i="12"/>
  <c r="AB132" i="3" s="1"/>
  <c r="S8" i="12"/>
  <c r="AB134" i="3" s="1"/>
  <c r="S10" i="12"/>
  <c r="AB136" i="3" s="1"/>
  <c r="U18" i="12"/>
  <c r="U22" i="12"/>
  <c r="S27" i="12"/>
  <c r="AB153" i="3" s="1"/>
  <c r="S29" i="12"/>
  <c r="AB155" i="3" s="1"/>
  <c r="S30" i="12"/>
  <c r="AB156" i="3" s="1"/>
  <c r="S32" i="12"/>
  <c r="U35" i="12"/>
  <c r="U39" i="12"/>
  <c r="H19" i="13"/>
  <c r="H35" i="13"/>
  <c r="V2" i="12"/>
  <c r="S2" i="12"/>
  <c r="AB128" i="3" s="1"/>
  <c r="V10" i="12"/>
  <c r="S11" i="12"/>
  <c r="AB137" i="3" s="1"/>
  <c r="S12" i="12"/>
  <c r="AB138" i="3" s="1"/>
  <c r="S13" i="12"/>
  <c r="AB139" i="3" s="1"/>
  <c r="S14" i="12"/>
  <c r="AB140" i="3" s="1"/>
  <c r="S15" i="12"/>
  <c r="AB141" i="3" s="1"/>
  <c r="S16" i="12"/>
  <c r="AB142" i="3" s="1"/>
  <c r="S17" i="12"/>
  <c r="AB143" i="3" s="1"/>
  <c r="U19" i="12"/>
  <c r="U21" i="12"/>
  <c r="U23" i="12"/>
  <c r="U34" i="12"/>
  <c r="U36" i="12"/>
  <c r="U38" i="12"/>
  <c r="H43" i="12"/>
  <c r="H44" i="12" s="1"/>
  <c r="U57" i="12"/>
  <c r="U59" i="12"/>
  <c r="U61" i="12"/>
  <c r="U73" i="12"/>
  <c r="U75" i="12"/>
  <c r="U77" i="12"/>
  <c r="G90" i="12"/>
  <c r="G91" i="12" s="1"/>
  <c r="U25" i="12"/>
  <c r="S25" i="12"/>
  <c r="AB151" i="3" s="1"/>
  <c r="U47" i="12"/>
  <c r="S47" i="12"/>
  <c r="AC128" i="3" s="1"/>
  <c r="U63" i="12"/>
  <c r="S63" i="12"/>
  <c r="AC143" i="3" s="1"/>
  <c r="U79" i="12"/>
  <c r="S79" i="12"/>
  <c r="AC158" i="3" s="1"/>
  <c r="G41" i="12"/>
  <c r="G42" i="12" s="1"/>
  <c r="G43" i="12" s="1"/>
  <c r="G44" i="12" s="1"/>
  <c r="H90" i="12"/>
  <c r="H91" i="12" s="1"/>
  <c r="T96" i="9"/>
  <c r="T42" i="9"/>
  <c r="X158" i="3" l="1"/>
  <c r="AA158" i="3" s="1"/>
  <c r="AE158" i="3"/>
  <c r="AD158" i="3"/>
  <c r="AE151" i="3"/>
  <c r="X143" i="3"/>
  <c r="AA143" i="3" s="1"/>
  <c r="AE143" i="3"/>
  <c r="AD143" i="3"/>
  <c r="AD151" i="3"/>
  <c r="X71" i="12"/>
  <c r="Y32" i="12"/>
  <c r="AB158" i="3"/>
  <c r="Y71" i="12"/>
  <c r="AC151" i="3"/>
  <c r="AA157" i="3"/>
  <c r="AA156" i="3"/>
  <c r="AA155" i="3"/>
  <c r="AA154" i="3"/>
  <c r="AA153" i="3"/>
  <c r="AA152" i="3"/>
  <c r="AA142" i="3"/>
  <c r="AA141" i="3"/>
  <c r="AA140" i="3"/>
  <c r="AA139" i="3"/>
  <c r="AA138" i="3"/>
  <c r="AA137" i="3"/>
  <c r="AA165" i="3"/>
  <c r="AA164" i="3"/>
  <c r="AA163" i="3"/>
  <c r="AA162" i="3"/>
  <c r="AA161" i="3"/>
  <c r="AA160" i="3"/>
  <c r="AA159" i="3"/>
  <c r="Y55" i="12"/>
  <c r="AC136" i="3"/>
  <c r="AD136" i="3"/>
  <c r="AE136" i="3"/>
  <c r="X136" i="3"/>
  <c r="AA136" i="3" s="1"/>
  <c r="AE128" i="3"/>
  <c r="X128" i="3"/>
  <c r="AA128" i="3" s="1"/>
  <c r="AD128" i="3"/>
  <c r="X32" i="12"/>
  <c r="X55" i="12"/>
  <c r="V17" i="12"/>
  <c r="X10" i="12"/>
  <c r="Y79" i="12"/>
  <c r="X79" i="12"/>
  <c r="Y63" i="12"/>
  <c r="X63" i="12"/>
  <c r="Y47" i="12"/>
  <c r="X47" i="12"/>
  <c r="Y25" i="12"/>
  <c r="X25" i="12"/>
  <c r="W71" i="12"/>
  <c r="V71" i="12"/>
  <c r="W55" i="12"/>
  <c r="V55" i="12"/>
  <c r="W32" i="12"/>
  <c r="V32" i="12"/>
  <c r="Y10" i="12"/>
  <c r="W17" i="12"/>
  <c r="W79" i="12"/>
  <c r="V79" i="12"/>
  <c r="W63" i="12"/>
  <c r="V63" i="12"/>
  <c r="W47" i="12"/>
  <c r="V47" i="12"/>
  <c r="W25" i="12"/>
  <c r="V25" i="12"/>
  <c r="X17" i="12"/>
  <c r="Y17" i="12"/>
  <c r="X2" i="12"/>
  <c r="Y2" i="12"/>
  <c r="I13" i="11"/>
  <c r="I14" i="11"/>
  <c r="I15" i="11"/>
  <c r="I16" i="11"/>
  <c r="I12" i="11"/>
  <c r="L17" i="11"/>
  <c r="K17" i="11"/>
  <c r="J17" i="11"/>
  <c r="H17" i="11"/>
  <c r="C17" i="11"/>
  <c r="B17" i="11"/>
  <c r="M16" i="11"/>
  <c r="N16" i="11" s="1"/>
  <c r="G16" i="11"/>
  <c r="D16" i="11"/>
  <c r="M15" i="11"/>
  <c r="N15" i="11" s="1"/>
  <c r="G15" i="11"/>
  <c r="D15" i="11"/>
  <c r="M14" i="11"/>
  <c r="N14" i="11" s="1"/>
  <c r="G14" i="11"/>
  <c r="D14" i="11"/>
  <c r="M13" i="11"/>
  <c r="N13" i="11" s="1"/>
  <c r="G13" i="11"/>
  <c r="D13" i="11"/>
  <c r="M12" i="11"/>
  <c r="N12" i="11" s="1"/>
  <c r="I17" i="11"/>
  <c r="G12" i="11"/>
  <c r="D12" i="11"/>
  <c r="L7" i="11"/>
  <c r="K7" i="11"/>
  <c r="J7" i="11"/>
  <c r="H7" i="11"/>
  <c r="C7" i="11"/>
  <c r="B7" i="11"/>
  <c r="M6" i="11"/>
  <c r="N6" i="11" s="1"/>
  <c r="I6" i="11"/>
  <c r="G6" i="11"/>
  <c r="D6" i="11"/>
  <c r="M5" i="11"/>
  <c r="N5" i="11" s="1"/>
  <c r="I5" i="11"/>
  <c r="G5" i="11"/>
  <c r="D5" i="11"/>
  <c r="M4" i="11"/>
  <c r="N4" i="11" s="1"/>
  <c r="I4" i="11"/>
  <c r="G4" i="11"/>
  <c r="D4" i="11"/>
  <c r="M3" i="11"/>
  <c r="N3" i="11" s="1"/>
  <c r="I3" i="11"/>
  <c r="G3" i="11"/>
  <c r="D3" i="11"/>
  <c r="M2" i="11"/>
  <c r="I2" i="11"/>
  <c r="G2" i="11"/>
  <c r="D2" i="11"/>
  <c r="H43" i="10"/>
  <c r="F50" i="10"/>
  <c r="F49" i="10"/>
  <c r="F48" i="10"/>
  <c r="F47" i="10"/>
  <c r="F46" i="10"/>
  <c r="F45" i="10"/>
  <c r="F44" i="10"/>
  <c r="F43" i="10"/>
  <c r="E50" i="10"/>
  <c r="E49" i="10"/>
  <c r="E48" i="10"/>
  <c r="E47" i="10"/>
  <c r="E46" i="10"/>
  <c r="E45" i="10"/>
  <c r="E44" i="10"/>
  <c r="E43" i="10"/>
  <c r="G44" i="10"/>
  <c r="G45" i="10"/>
  <c r="G46" i="10"/>
  <c r="G47" i="10"/>
  <c r="G48" i="10"/>
  <c r="G49" i="10"/>
  <c r="G50" i="10"/>
  <c r="F42" i="10"/>
  <c r="F41" i="10"/>
  <c r="F40" i="10"/>
  <c r="F39" i="10"/>
  <c r="F38" i="10"/>
  <c r="F35" i="10"/>
  <c r="E42" i="10"/>
  <c r="E41" i="10"/>
  <c r="E40" i="10"/>
  <c r="E39" i="10"/>
  <c r="E38" i="10"/>
  <c r="E37" i="10"/>
  <c r="E36" i="10"/>
  <c r="E35" i="10"/>
  <c r="D42" i="10"/>
  <c r="D41" i="10"/>
  <c r="D40" i="10"/>
  <c r="D39" i="10"/>
  <c r="D38" i="10"/>
  <c r="D37" i="10"/>
  <c r="D36" i="10"/>
  <c r="D35" i="10"/>
  <c r="F34" i="10"/>
  <c r="F33" i="10"/>
  <c r="F32" i="10"/>
  <c r="F31" i="10"/>
  <c r="F29" i="10"/>
  <c r="F28" i="10"/>
  <c r="F27" i="10"/>
  <c r="E34" i="10"/>
  <c r="E33" i="10"/>
  <c r="E32" i="10"/>
  <c r="E31" i="10"/>
  <c r="E30" i="10"/>
  <c r="E29" i="10"/>
  <c r="E28" i="10"/>
  <c r="E27" i="10"/>
  <c r="H20" i="10"/>
  <c r="H12" i="10"/>
  <c r="F26" i="10"/>
  <c r="F25" i="10"/>
  <c r="F24" i="10"/>
  <c r="F23" i="10"/>
  <c r="F22" i="10"/>
  <c r="F21" i="10"/>
  <c r="F20" i="10"/>
  <c r="F19" i="10"/>
  <c r="E26" i="10"/>
  <c r="E25" i="10"/>
  <c r="E24" i="10"/>
  <c r="E23" i="10"/>
  <c r="E22" i="10"/>
  <c r="E21" i="10"/>
  <c r="E20" i="10"/>
  <c r="E19" i="10"/>
  <c r="F18" i="10"/>
  <c r="F17" i="10"/>
  <c r="F16" i="10"/>
  <c r="F15" i="10"/>
  <c r="F14" i="10"/>
  <c r="F13" i="10"/>
  <c r="E18" i="10"/>
  <c r="E17" i="10"/>
  <c r="E16" i="10"/>
  <c r="E15" i="10"/>
  <c r="E14" i="10"/>
  <c r="E13" i="10"/>
  <c r="E12" i="10"/>
  <c r="E11" i="10"/>
  <c r="H2" i="10"/>
  <c r="G3" i="10"/>
  <c r="G4" i="10"/>
  <c r="G5" i="10"/>
  <c r="G6" i="10"/>
  <c r="G7" i="10"/>
  <c r="G8" i="10"/>
  <c r="G9" i="10"/>
  <c r="G10" i="10"/>
  <c r="F10" i="10"/>
  <c r="F9" i="10"/>
  <c r="F8" i="10"/>
  <c r="F7" i="10"/>
  <c r="F6" i="10"/>
  <c r="F5" i="10"/>
  <c r="F4" i="10"/>
  <c r="F3" i="10"/>
  <c r="F2" i="10"/>
  <c r="E10" i="10"/>
  <c r="E9" i="10"/>
  <c r="E8" i="10"/>
  <c r="E7" i="10"/>
  <c r="E6" i="10"/>
  <c r="E5" i="10"/>
  <c r="E4" i="10"/>
  <c r="E3" i="10"/>
  <c r="E2" i="10"/>
  <c r="D10" i="10"/>
  <c r="D9" i="10"/>
  <c r="D8" i="10"/>
  <c r="D7" i="10"/>
  <c r="D6" i="10"/>
  <c r="D5" i="10"/>
  <c r="D4" i="10"/>
  <c r="D3" i="10"/>
  <c r="D2" i="10"/>
  <c r="AG151" i="3" l="1"/>
  <c r="AF151" i="3"/>
  <c r="AG143" i="3"/>
  <c r="AF143" i="3"/>
  <c r="AG158" i="3"/>
  <c r="AF158" i="3"/>
  <c r="AG128" i="3"/>
  <c r="AF128" i="3"/>
  <c r="AF136" i="3"/>
  <c r="AG136" i="3"/>
  <c r="D17" i="11"/>
  <c r="M7" i="11"/>
  <c r="I7" i="11"/>
  <c r="N2" i="11"/>
  <c r="D7" i="11"/>
  <c r="N7" i="11"/>
  <c r="N17" i="11"/>
  <c r="M17" i="11"/>
  <c r="G43" i="10" l="1"/>
  <c r="G42" i="10"/>
  <c r="G41" i="10"/>
  <c r="G40" i="10"/>
  <c r="G39" i="10"/>
  <c r="G38" i="10"/>
  <c r="F37" i="10"/>
  <c r="G37" i="10" s="1"/>
  <c r="F36" i="10"/>
  <c r="G36" i="10" s="1"/>
  <c r="G35" i="10"/>
  <c r="G34" i="10"/>
  <c r="G33" i="10"/>
  <c r="G32" i="10"/>
  <c r="G31" i="10"/>
  <c r="F30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F12" i="10"/>
  <c r="G12" i="10" s="1"/>
  <c r="F11" i="10"/>
  <c r="G11" i="10" s="1"/>
  <c r="G2" i="10"/>
  <c r="H36" i="10" l="1"/>
  <c r="H28" i="10"/>
  <c r="H104" i="9"/>
  <c r="H105" i="9"/>
  <c r="H106" i="9" s="1"/>
  <c r="H50" i="9"/>
  <c r="H51" i="9"/>
  <c r="G51" i="9"/>
  <c r="G52" i="9" s="1"/>
  <c r="G50" i="9"/>
  <c r="G105" i="9"/>
  <c r="G106" i="9" s="1"/>
  <c r="G104" i="9"/>
  <c r="R95" i="9"/>
  <c r="R96" i="9"/>
  <c r="L213" i="3" s="1"/>
  <c r="Y213" i="3" s="1"/>
  <c r="R97" i="9"/>
  <c r="L214" i="3" s="1"/>
  <c r="Y214" i="3" s="1"/>
  <c r="R98" i="9"/>
  <c r="L215" i="3" s="1"/>
  <c r="Y215" i="3" s="1"/>
  <c r="R99" i="9"/>
  <c r="L216" i="3" s="1"/>
  <c r="Y216" i="3" s="1"/>
  <c r="R100" i="9"/>
  <c r="L217" i="3" s="1"/>
  <c r="Y217" i="3" s="1"/>
  <c r="R101" i="9"/>
  <c r="L218" i="3" s="1"/>
  <c r="Y218" i="3" s="1"/>
  <c r="R103" i="9"/>
  <c r="L220" i="3" s="1"/>
  <c r="Y220" i="3" s="1"/>
  <c r="N95" i="9"/>
  <c r="N96" i="9"/>
  <c r="N97" i="9"/>
  <c r="N98" i="9"/>
  <c r="N99" i="9"/>
  <c r="N100" i="9"/>
  <c r="N101" i="9"/>
  <c r="N103" i="9"/>
  <c r="L95" i="9"/>
  <c r="L96" i="9"/>
  <c r="L97" i="9"/>
  <c r="L98" i="9"/>
  <c r="L99" i="9"/>
  <c r="L100" i="9"/>
  <c r="L101" i="9"/>
  <c r="L103" i="9"/>
  <c r="I94" i="9"/>
  <c r="J211" i="3" s="1"/>
  <c r="I95" i="9"/>
  <c r="J212" i="3" s="1"/>
  <c r="I96" i="9"/>
  <c r="J213" i="3" s="1"/>
  <c r="I97" i="9"/>
  <c r="J214" i="3" s="1"/>
  <c r="I98" i="9"/>
  <c r="J215" i="3" s="1"/>
  <c r="I99" i="9"/>
  <c r="J216" i="3" s="1"/>
  <c r="I100" i="9"/>
  <c r="J217" i="3" s="1"/>
  <c r="I101" i="9"/>
  <c r="J218" i="3" s="1"/>
  <c r="I103" i="9"/>
  <c r="J220" i="3" s="1"/>
  <c r="R41" i="9"/>
  <c r="R42" i="9"/>
  <c r="K213" i="3" s="1"/>
  <c r="V213" i="3" s="1"/>
  <c r="W213" i="3" s="1"/>
  <c r="R43" i="9"/>
  <c r="K214" i="3" s="1"/>
  <c r="V214" i="3" s="1"/>
  <c r="W214" i="3" s="1"/>
  <c r="X214" i="3" s="1"/>
  <c r="R44" i="9"/>
  <c r="K215" i="3" s="1"/>
  <c r="V215" i="3" s="1"/>
  <c r="W215" i="3" s="1"/>
  <c r="X215" i="3" s="1"/>
  <c r="R45" i="9"/>
  <c r="K216" i="3" s="1"/>
  <c r="V216" i="3" s="1"/>
  <c r="W216" i="3" s="1"/>
  <c r="X216" i="3" s="1"/>
  <c r="R46" i="9"/>
  <c r="K217" i="3" s="1"/>
  <c r="V217" i="3" s="1"/>
  <c r="W217" i="3" s="1"/>
  <c r="X217" i="3" s="1"/>
  <c r="R47" i="9"/>
  <c r="K218" i="3" s="1"/>
  <c r="V218" i="3" s="1"/>
  <c r="W218" i="3" s="1"/>
  <c r="X218" i="3" s="1"/>
  <c r="R48" i="9"/>
  <c r="K219" i="3" s="1"/>
  <c r="V219" i="3" s="1"/>
  <c r="W219" i="3" s="1"/>
  <c r="X219" i="3" s="1"/>
  <c r="AA219" i="3" s="1"/>
  <c r="R49" i="9"/>
  <c r="K220" i="3" s="1"/>
  <c r="V220" i="3" s="1"/>
  <c r="W220" i="3" s="1"/>
  <c r="X220" i="3" s="1"/>
  <c r="AA220" i="3" s="1"/>
  <c r="N41" i="9"/>
  <c r="N42" i="9"/>
  <c r="N43" i="9"/>
  <c r="N44" i="9"/>
  <c r="N45" i="9"/>
  <c r="N46" i="9"/>
  <c r="N47" i="9"/>
  <c r="N48" i="9"/>
  <c r="N49" i="9"/>
  <c r="L41" i="9"/>
  <c r="L42" i="9"/>
  <c r="L43" i="9"/>
  <c r="L44" i="9"/>
  <c r="L45" i="9"/>
  <c r="L46" i="9"/>
  <c r="L47" i="9"/>
  <c r="L48" i="9"/>
  <c r="L49" i="9"/>
  <c r="I37" i="9"/>
  <c r="I208" i="3" s="1"/>
  <c r="I38" i="9"/>
  <c r="I209" i="3" s="1"/>
  <c r="I39" i="9"/>
  <c r="I210" i="3" s="1"/>
  <c r="I40" i="9"/>
  <c r="I211" i="3" s="1"/>
  <c r="I41" i="9"/>
  <c r="I212" i="3" s="1"/>
  <c r="I213" i="3"/>
  <c r="I43" i="9"/>
  <c r="I214" i="3" s="1"/>
  <c r="I44" i="9"/>
  <c r="I215" i="3" s="1"/>
  <c r="I45" i="9"/>
  <c r="I216" i="3" s="1"/>
  <c r="I46" i="9"/>
  <c r="I217" i="3" s="1"/>
  <c r="I47" i="9"/>
  <c r="I218" i="3" s="1"/>
  <c r="I48" i="9"/>
  <c r="I219" i="3" s="1"/>
  <c r="I49" i="9"/>
  <c r="I220" i="3" s="1"/>
  <c r="R94" i="9"/>
  <c r="N94" i="9"/>
  <c r="L94" i="9"/>
  <c r="R93" i="9"/>
  <c r="N93" i="9"/>
  <c r="L93" i="9"/>
  <c r="I93" i="9"/>
  <c r="J210" i="3" s="1"/>
  <c r="R92" i="9"/>
  <c r="N92" i="9"/>
  <c r="L92" i="9"/>
  <c r="I92" i="9"/>
  <c r="J209" i="3" s="1"/>
  <c r="R91" i="9"/>
  <c r="N91" i="9"/>
  <c r="L91" i="9"/>
  <c r="I91" i="9"/>
  <c r="J208" i="3" s="1"/>
  <c r="R90" i="9"/>
  <c r="N90" i="9"/>
  <c r="L90" i="9"/>
  <c r="I90" i="9"/>
  <c r="J207" i="3" s="1"/>
  <c r="R89" i="9"/>
  <c r="N89" i="9"/>
  <c r="L89" i="9"/>
  <c r="I89" i="9"/>
  <c r="J206" i="3" s="1"/>
  <c r="T88" i="9"/>
  <c r="R88" i="9"/>
  <c r="N88" i="9"/>
  <c r="L88" i="9"/>
  <c r="I88" i="9"/>
  <c r="J205" i="3" s="1"/>
  <c r="R87" i="9"/>
  <c r="L204" i="3" s="1"/>
  <c r="Y204" i="3" s="1"/>
  <c r="N87" i="9"/>
  <c r="L87" i="9"/>
  <c r="I87" i="9"/>
  <c r="J204" i="3" s="1"/>
  <c r="R86" i="9"/>
  <c r="L203" i="3" s="1"/>
  <c r="Y203" i="3" s="1"/>
  <c r="N86" i="9"/>
  <c r="L86" i="9"/>
  <c r="I86" i="9"/>
  <c r="J203" i="3" s="1"/>
  <c r="R85" i="9"/>
  <c r="L202" i="3" s="1"/>
  <c r="Y202" i="3" s="1"/>
  <c r="N85" i="9"/>
  <c r="L85" i="9"/>
  <c r="I85" i="9"/>
  <c r="J202" i="3" s="1"/>
  <c r="R84" i="9"/>
  <c r="L201" i="3" s="1"/>
  <c r="Y201" i="3" s="1"/>
  <c r="N84" i="9"/>
  <c r="L84" i="9"/>
  <c r="I84" i="9"/>
  <c r="J201" i="3" s="1"/>
  <c r="R83" i="9"/>
  <c r="L200" i="3" s="1"/>
  <c r="Y200" i="3" s="1"/>
  <c r="N83" i="9"/>
  <c r="L83" i="9"/>
  <c r="I83" i="9"/>
  <c r="J200" i="3" s="1"/>
  <c r="R82" i="9"/>
  <c r="L199" i="3" s="1"/>
  <c r="Y199" i="3" s="1"/>
  <c r="N82" i="9"/>
  <c r="L82" i="9"/>
  <c r="I82" i="9"/>
  <c r="J199" i="3" s="1"/>
  <c r="R81" i="9"/>
  <c r="L198" i="3" s="1"/>
  <c r="Y198" i="3" s="1"/>
  <c r="N81" i="9"/>
  <c r="L81" i="9"/>
  <c r="I81" i="9"/>
  <c r="J198" i="3" s="1"/>
  <c r="T80" i="9"/>
  <c r="R80" i="9"/>
  <c r="L197" i="3" s="1"/>
  <c r="Y197" i="3" s="1"/>
  <c r="N80" i="9"/>
  <c r="L80" i="9"/>
  <c r="I80" i="9"/>
  <c r="J197" i="3" s="1"/>
  <c r="R79" i="9"/>
  <c r="L196" i="3" s="1"/>
  <c r="Y196" i="3" s="1"/>
  <c r="N79" i="9"/>
  <c r="L79" i="9"/>
  <c r="I79" i="9"/>
  <c r="J196" i="3" s="1"/>
  <c r="R78" i="9"/>
  <c r="L195" i="3" s="1"/>
  <c r="Y195" i="3" s="1"/>
  <c r="N78" i="9"/>
  <c r="L78" i="9"/>
  <c r="I78" i="9"/>
  <c r="J195" i="3" s="1"/>
  <c r="R77" i="9"/>
  <c r="L194" i="3" s="1"/>
  <c r="Y194" i="3" s="1"/>
  <c r="N77" i="9"/>
  <c r="L77" i="9"/>
  <c r="I77" i="9"/>
  <c r="J194" i="3" s="1"/>
  <c r="R76" i="9"/>
  <c r="L193" i="3" s="1"/>
  <c r="Y193" i="3" s="1"/>
  <c r="N76" i="9"/>
  <c r="L76" i="9"/>
  <c r="I76" i="9"/>
  <c r="J193" i="3" s="1"/>
  <c r="R75" i="9"/>
  <c r="L192" i="3" s="1"/>
  <c r="Y192" i="3" s="1"/>
  <c r="N75" i="9"/>
  <c r="L75" i="9"/>
  <c r="I75" i="9"/>
  <c r="J192" i="3" s="1"/>
  <c r="R74" i="9"/>
  <c r="L191" i="3" s="1"/>
  <c r="Y191" i="3" s="1"/>
  <c r="N74" i="9"/>
  <c r="L74" i="9"/>
  <c r="I74" i="9"/>
  <c r="J191" i="3" s="1"/>
  <c r="R73" i="9"/>
  <c r="L190" i="3" s="1"/>
  <c r="Y190" i="3" s="1"/>
  <c r="N73" i="9"/>
  <c r="L73" i="9"/>
  <c r="I73" i="9"/>
  <c r="J190" i="3" s="1"/>
  <c r="T72" i="9"/>
  <c r="R72" i="9"/>
  <c r="L189" i="3" s="1"/>
  <c r="Y189" i="3" s="1"/>
  <c r="N72" i="9"/>
  <c r="L72" i="9"/>
  <c r="I72" i="9"/>
  <c r="J189" i="3" s="1"/>
  <c r="R71" i="9"/>
  <c r="L188" i="3" s="1"/>
  <c r="Y188" i="3" s="1"/>
  <c r="N71" i="9"/>
  <c r="L71" i="9"/>
  <c r="I71" i="9"/>
  <c r="J188" i="3" s="1"/>
  <c r="R70" i="9"/>
  <c r="L187" i="3" s="1"/>
  <c r="Y187" i="3" s="1"/>
  <c r="N70" i="9"/>
  <c r="L70" i="9"/>
  <c r="I70" i="9"/>
  <c r="J187" i="3" s="1"/>
  <c r="R69" i="9"/>
  <c r="L186" i="3" s="1"/>
  <c r="Y186" i="3" s="1"/>
  <c r="N69" i="9"/>
  <c r="L69" i="9"/>
  <c r="I69" i="9"/>
  <c r="J186" i="3" s="1"/>
  <c r="R68" i="9"/>
  <c r="L185" i="3" s="1"/>
  <c r="Y185" i="3" s="1"/>
  <c r="N68" i="9"/>
  <c r="L68" i="9"/>
  <c r="I68" i="9"/>
  <c r="J185" i="3" s="1"/>
  <c r="R67" i="9"/>
  <c r="L184" i="3" s="1"/>
  <c r="Y184" i="3" s="1"/>
  <c r="N67" i="9"/>
  <c r="L67" i="9"/>
  <c r="I67" i="9"/>
  <c r="J184" i="3" s="1"/>
  <c r="R66" i="9"/>
  <c r="L183" i="3" s="1"/>
  <c r="Y183" i="3" s="1"/>
  <c r="N66" i="9"/>
  <c r="L66" i="9"/>
  <c r="I66" i="9"/>
  <c r="J183" i="3" s="1"/>
  <c r="T65" i="9"/>
  <c r="R65" i="9"/>
  <c r="L182" i="3" s="1"/>
  <c r="Y182" i="3" s="1"/>
  <c r="N65" i="9"/>
  <c r="L65" i="9"/>
  <c r="I65" i="9"/>
  <c r="J182" i="3" s="1"/>
  <c r="R64" i="9"/>
  <c r="L181" i="3" s="1"/>
  <c r="Y181" i="3" s="1"/>
  <c r="N64" i="9"/>
  <c r="L64" i="9"/>
  <c r="I64" i="9"/>
  <c r="J181" i="3" s="1"/>
  <c r="R63" i="9"/>
  <c r="L180" i="3" s="1"/>
  <c r="Y180" i="3" s="1"/>
  <c r="AA180" i="3" s="1"/>
  <c r="N63" i="9"/>
  <c r="L63" i="9"/>
  <c r="I63" i="9"/>
  <c r="J180" i="3" s="1"/>
  <c r="R62" i="9"/>
  <c r="L179" i="3" s="1"/>
  <c r="Y179" i="3" s="1"/>
  <c r="N62" i="9"/>
  <c r="L62" i="9"/>
  <c r="I62" i="9"/>
  <c r="J179" i="3" s="1"/>
  <c r="R61" i="9"/>
  <c r="L178" i="3" s="1"/>
  <c r="Y178" i="3" s="1"/>
  <c r="N61" i="9"/>
  <c r="L61" i="9"/>
  <c r="I61" i="9"/>
  <c r="J178" i="3" s="1"/>
  <c r="R60" i="9"/>
  <c r="L177" i="3" s="1"/>
  <c r="Y177" i="3" s="1"/>
  <c r="N60" i="9"/>
  <c r="L60" i="9"/>
  <c r="I60" i="9"/>
  <c r="J177" i="3" s="1"/>
  <c r="R59" i="9"/>
  <c r="L176" i="3" s="1"/>
  <c r="Y176" i="3" s="1"/>
  <c r="N59" i="9"/>
  <c r="L59" i="9"/>
  <c r="I59" i="9"/>
  <c r="J176" i="3" s="1"/>
  <c r="R58" i="9"/>
  <c r="L175" i="3" s="1"/>
  <c r="Y175" i="3" s="1"/>
  <c r="N58" i="9"/>
  <c r="L58" i="9"/>
  <c r="I58" i="9"/>
  <c r="J175" i="3" s="1"/>
  <c r="T57" i="9"/>
  <c r="R57" i="9"/>
  <c r="L174" i="3" s="1"/>
  <c r="Y174" i="3" s="1"/>
  <c r="N57" i="9"/>
  <c r="L57" i="9"/>
  <c r="I57" i="9"/>
  <c r="J174" i="3" s="1"/>
  <c r="H52" i="9"/>
  <c r="R40" i="9"/>
  <c r="N40" i="9"/>
  <c r="L40" i="9"/>
  <c r="R39" i="9"/>
  <c r="N39" i="9"/>
  <c r="L39" i="9"/>
  <c r="R38" i="9"/>
  <c r="N38" i="9"/>
  <c r="L38" i="9"/>
  <c r="R37" i="9"/>
  <c r="N37" i="9"/>
  <c r="L37" i="9"/>
  <c r="R36" i="9"/>
  <c r="N36" i="9"/>
  <c r="L36" i="9"/>
  <c r="I36" i="9"/>
  <c r="I207" i="3" s="1"/>
  <c r="R35" i="9"/>
  <c r="N35" i="9"/>
  <c r="L35" i="9"/>
  <c r="I35" i="9"/>
  <c r="I206" i="3" s="1"/>
  <c r="T34" i="9"/>
  <c r="R34" i="9"/>
  <c r="K205" i="3" s="1"/>
  <c r="V205" i="3" s="1"/>
  <c r="W205" i="3" s="1"/>
  <c r="N34" i="9"/>
  <c r="L34" i="9"/>
  <c r="I34" i="9"/>
  <c r="I205" i="3" s="1"/>
  <c r="R33" i="9"/>
  <c r="K204" i="3" s="1"/>
  <c r="V204" i="3" s="1"/>
  <c r="W204" i="3" s="1"/>
  <c r="X204" i="3" s="1"/>
  <c r="AA204" i="3" s="1"/>
  <c r="N33" i="9"/>
  <c r="L33" i="9"/>
  <c r="I33" i="9"/>
  <c r="I204" i="3" s="1"/>
  <c r="R32" i="9"/>
  <c r="K203" i="3" s="1"/>
  <c r="V203" i="3" s="1"/>
  <c r="W203" i="3" s="1"/>
  <c r="X203" i="3" s="1"/>
  <c r="AA203" i="3" s="1"/>
  <c r="N32" i="9"/>
  <c r="L32" i="9"/>
  <c r="I32" i="9"/>
  <c r="I203" i="3" s="1"/>
  <c r="R31" i="9"/>
  <c r="K202" i="3" s="1"/>
  <c r="V202" i="3" s="1"/>
  <c r="W202" i="3" s="1"/>
  <c r="X202" i="3" s="1"/>
  <c r="AA202" i="3" s="1"/>
  <c r="N31" i="9"/>
  <c r="L31" i="9"/>
  <c r="I31" i="9"/>
  <c r="I202" i="3" s="1"/>
  <c r="R30" i="9"/>
  <c r="K201" i="3" s="1"/>
  <c r="V201" i="3" s="1"/>
  <c r="W201" i="3" s="1"/>
  <c r="X201" i="3" s="1"/>
  <c r="AA201" i="3" s="1"/>
  <c r="N30" i="9"/>
  <c r="L30" i="9"/>
  <c r="I30" i="9"/>
  <c r="I201" i="3" s="1"/>
  <c r="R29" i="9"/>
  <c r="K200" i="3" s="1"/>
  <c r="V200" i="3" s="1"/>
  <c r="W200" i="3" s="1"/>
  <c r="X200" i="3" s="1"/>
  <c r="AA200" i="3" s="1"/>
  <c r="N29" i="9"/>
  <c r="L29" i="9"/>
  <c r="I29" i="9"/>
  <c r="I200" i="3" s="1"/>
  <c r="R28" i="9"/>
  <c r="K199" i="3" s="1"/>
  <c r="V199" i="3" s="1"/>
  <c r="W199" i="3" s="1"/>
  <c r="X199" i="3" s="1"/>
  <c r="AA199" i="3" s="1"/>
  <c r="N28" i="9"/>
  <c r="L28" i="9"/>
  <c r="I28" i="9"/>
  <c r="I199" i="3" s="1"/>
  <c r="R27" i="9"/>
  <c r="K198" i="3" s="1"/>
  <c r="V198" i="3" s="1"/>
  <c r="W198" i="3" s="1"/>
  <c r="X198" i="3" s="1"/>
  <c r="AA198" i="3" s="1"/>
  <c r="N27" i="9"/>
  <c r="L27" i="9"/>
  <c r="I27" i="9"/>
  <c r="I198" i="3" s="1"/>
  <c r="T26" i="9"/>
  <c r="R26" i="9"/>
  <c r="K197" i="3" s="1"/>
  <c r="V197" i="3" s="1"/>
  <c r="W197" i="3" s="1"/>
  <c r="N26" i="9"/>
  <c r="L26" i="9"/>
  <c r="I26" i="9"/>
  <c r="I197" i="3" s="1"/>
  <c r="R25" i="9"/>
  <c r="K196" i="3" s="1"/>
  <c r="V196" i="3" s="1"/>
  <c r="W196" i="3" s="1"/>
  <c r="X196" i="3" s="1"/>
  <c r="AA196" i="3" s="1"/>
  <c r="N25" i="9"/>
  <c r="L25" i="9"/>
  <c r="I25" i="9"/>
  <c r="I196" i="3" s="1"/>
  <c r="R24" i="9"/>
  <c r="K195" i="3" s="1"/>
  <c r="V195" i="3" s="1"/>
  <c r="W195" i="3" s="1"/>
  <c r="X195" i="3" s="1"/>
  <c r="AA195" i="3" s="1"/>
  <c r="N24" i="9"/>
  <c r="L24" i="9"/>
  <c r="I24" i="9"/>
  <c r="I195" i="3" s="1"/>
  <c r="R23" i="9"/>
  <c r="K194" i="3" s="1"/>
  <c r="V194" i="3" s="1"/>
  <c r="W194" i="3" s="1"/>
  <c r="X194" i="3" s="1"/>
  <c r="AA194" i="3" s="1"/>
  <c r="N23" i="9"/>
  <c r="L23" i="9"/>
  <c r="I23" i="9"/>
  <c r="I194" i="3" s="1"/>
  <c r="R22" i="9"/>
  <c r="K193" i="3" s="1"/>
  <c r="V193" i="3" s="1"/>
  <c r="W193" i="3" s="1"/>
  <c r="X193" i="3" s="1"/>
  <c r="AA193" i="3" s="1"/>
  <c r="N22" i="9"/>
  <c r="L22" i="9"/>
  <c r="I22" i="9"/>
  <c r="I193" i="3" s="1"/>
  <c r="R21" i="9"/>
  <c r="K192" i="3" s="1"/>
  <c r="V192" i="3" s="1"/>
  <c r="W192" i="3" s="1"/>
  <c r="X192" i="3" s="1"/>
  <c r="N21" i="9"/>
  <c r="L21" i="9"/>
  <c r="I21" i="9"/>
  <c r="I192" i="3" s="1"/>
  <c r="R20" i="9"/>
  <c r="K191" i="3" s="1"/>
  <c r="V191" i="3" s="1"/>
  <c r="W191" i="3" s="1"/>
  <c r="X191" i="3" s="1"/>
  <c r="AA191" i="3" s="1"/>
  <c r="N20" i="9"/>
  <c r="L20" i="9"/>
  <c r="I20" i="9"/>
  <c r="I191" i="3" s="1"/>
  <c r="R19" i="9"/>
  <c r="K190" i="3" s="1"/>
  <c r="V190" i="3" s="1"/>
  <c r="W190" i="3" s="1"/>
  <c r="X190" i="3" s="1"/>
  <c r="N19" i="9"/>
  <c r="L19" i="9"/>
  <c r="I19" i="9"/>
  <c r="I190" i="3" s="1"/>
  <c r="T18" i="9"/>
  <c r="R18" i="9"/>
  <c r="K189" i="3" s="1"/>
  <c r="V189" i="3" s="1"/>
  <c r="W189" i="3" s="1"/>
  <c r="N18" i="9"/>
  <c r="L18" i="9"/>
  <c r="I18" i="9"/>
  <c r="I189" i="3" s="1"/>
  <c r="R17" i="9"/>
  <c r="K188" i="3" s="1"/>
  <c r="V188" i="3" s="1"/>
  <c r="W188" i="3" s="1"/>
  <c r="X188" i="3" s="1"/>
  <c r="AA188" i="3" s="1"/>
  <c r="N17" i="9"/>
  <c r="L17" i="9"/>
  <c r="I17" i="9"/>
  <c r="I188" i="3" s="1"/>
  <c r="R16" i="9"/>
  <c r="K187" i="3" s="1"/>
  <c r="V187" i="3" s="1"/>
  <c r="W187" i="3" s="1"/>
  <c r="X187" i="3" s="1"/>
  <c r="AA187" i="3" s="1"/>
  <c r="N16" i="9"/>
  <c r="L16" i="9"/>
  <c r="I16" i="9"/>
  <c r="I187" i="3" s="1"/>
  <c r="R15" i="9"/>
  <c r="N15" i="9"/>
  <c r="L15" i="9"/>
  <c r="R14" i="9"/>
  <c r="K186" i="3" s="1"/>
  <c r="V186" i="3" s="1"/>
  <c r="W186" i="3" s="1"/>
  <c r="X186" i="3" s="1"/>
  <c r="N14" i="9"/>
  <c r="L14" i="9"/>
  <c r="R13" i="9"/>
  <c r="K185" i="3" s="1"/>
  <c r="V185" i="3" s="1"/>
  <c r="W185" i="3" s="1"/>
  <c r="X185" i="3" s="1"/>
  <c r="AA185" i="3" s="1"/>
  <c r="N13" i="9"/>
  <c r="L13" i="9"/>
  <c r="R12" i="9"/>
  <c r="K184" i="3" s="1"/>
  <c r="V184" i="3" s="1"/>
  <c r="W184" i="3" s="1"/>
  <c r="X184" i="3" s="1"/>
  <c r="N12" i="9"/>
  <c r="L12" i="9"/>
  <c r="R11" i="9"/>
  <c r="K183" i="3" s="1"/>
  <c r="V183" i="3" s="1"/>
  <c r="W183" i="3" s="1"/>
  <c r="X183" i="3" s="1"/>
  <c r="AA183" i="3" s="1"/>
  <c r="N11" i="9"/>
  <c r="L11" i="9"/>
  <c r="I11" i="9"/>
  <c r="I183" i="3" s="1"/>
  <c r="T10" i="9"/>
  <c r="R10" i="9"/>
  <c r="K182" i="3" s="1"/>
  <c r="V182" i="3" s="1"/>
  <c r="W182" i="3" s="1"/>
  <c r="N10" i="9"/>
  <c r="L10" i="9"/>
  <c r="I10" i="9"/>
  <c r="I182" i="3" s="1"/>
  <c r="R9" i="9"/>
  <c r="K181" i="3" s="1"/>
  <c r="V181" i="3" s="1"/>
  <c r="W181" i="3" s="1"/>
  <c r="X181" i="3" s="1"/>
  <c r="AA181" i="3" s="1"/>
  <c r="N9" i="9"/>
  <c r="I9" i="9"/>
  <c r="I181" i="3" s="1"/>
  <c r="R7" i="9"/>
  <c r="K179" i="3" s="1"/>
  <c r="V179" i="3" s="1"/>
  <c r="W179" i="3" s="1"/>
  <c r="X179" i="3" s="1"/>
  <c r="N7" i="9"/>
  <c r="I7" i="9"/>
  <c r="I179" i="3" s="1"/>
  <c r="R6" i="9"/>
  <c r="K178" i="3" s="1"/>
  <c r="V178" i="3" s="1"/>
  <c r="W178" i="3" s="1"/>
  <c r="X178" i="3" s="1"/>
  <c r="AA178" i="3" s="1"/>
  <c r="N6" i="9"/>
  <c r="L6" i="9"/>
  <c r="I6" i="9"/>
  <c r="I178" i="3" s="1"/>
  <c r="R5" i="9"/>
  <c r="K177" i="3" s="1"/>
  <c r="V177" i="3" s="1"/>
  <c r="W177" i="3" s="1"/>
  <c r="X177" i="3" s="1"/>
  <c r="AA177" i="3" s="1"/>
  <c r="N5" i="9"/>
  <c r="L5" i="9"/>
  <c r="I5" i="9"/>
  <c r="I177" i="3" s="1"/>
  <c r="R4" i="9"/>
  <c r="K176" i="3" s="1"/>
  <c r="V176" i="3" s="1"/>
  <c r="W176" i="3" s="1"/>
  <c r="X176" i="3" s="1"/>
  <c r="AA176" i="3" s="1"/>
  <c r="N4" i="9"/>
  <c r="L4" i="9"/>
  <c r="I4" i="9"/>
  <c r="I176" i="3" s="1"/>
  <c r="R3" i="9"/>
  <c r="K175" i="3" s="1"/>
  <c r="V175" i="3" s="1"/>
  <c r="W175" i="3" s="1"/>
  <c r="X175" i="3" s="1"/>
  <c r="AA175" i="3" s="1"/>
  <c r="N3" i="9"/>
  <c r="L3" i="9"/>
  <c r="I3" i="9"/>
  <c r="I175" i="3" s="1"/>
  <c r="T2" i="9"/>
  <c r="R2" i="9"/>
  <c r="K174" i="3" s="1"/>
  <c r="V174" i="3" s="1"/>
  <c r="W174" i="3" s="1"/>
  <c r="N2" i="9"/>
  <c r="L2" i="9"/>
  <c r="I2" i="9"/>
  <c r="I174" i="3" s="1"/>
  <c r="X213" i="3" l="1"/>
  <c r="AD213" i="3"/>
  <c r="AE213" i="3"/>
  <c r="AA215" i="3"/>
  <c r="AA218" i="3"/>
  <c r="AA217" i="3"/>
  <c r="AA216" i="3"/>
  <c r="AA214" i="3"/>
  <c r="AA213" i="3"/>
  <c r="X189" i="3"/>
  <c r="AA189" i="3" s="1"/>
  <c r="AE189" i="3"/>
  <c r="AD189" i="3"/>
  <c r="X205" i="3"/>
  <c r="X182" i="3"/>
  <c r="AA182" i="3" s="1"/>
  <c r="AE182" i="3"/>
  <c r="AD182" i="3"/>
  <c r="X197" i="3"/>
  <c r="AA197" i="3" s="1"/>
  <c r="AD197" i="3"/>
  <c r="AE197" i="3"/>
  <c r="AA190" i="3"/>
  <c r="AA192" i="3"/>
  <c r="X174" i="3"/>
  <c r="AA174" i="3" s="1"/>
  <c r="AE174" i="3"/>
  <c r="AD174" i="3"/>
  <c r="AA186" i="3"/>
  <c r="AA184" i="3"/>
  <c r="AA179" i="3"/>
  <c r="S95" i="9"/>
  <c r="AC212" i="3" s="1"/>
  <c r="L212" i="3"/>
  <c r="Y212" i="3" s="1"/>
  <c r="S94" i="9"/>
  <c r="AC211" i="3" s="1"/>
  <c r="L211" i="3"/>
  <c r="Y211" i="3" s="1"/>
  <c r="S93" i="9"/>
  <c r="AC210" i="3" s="1"/>
  <c r="L210" i="3"/>
  <c r="Y210" i="3" s="1"/>
  <c r="S92" i="9"/>
  <c r="AC209" i="3" s="1"/>
  <c r="L209" i="3"/>
  <c r="Y209" i="3" s="1"/>
  <c r="S91" i="9"/>
  <c r="AC208" i="3" s="1"/>
  <c r="L208" i="3"/>
  <c r="Y208" i="3" s="1"/>
  <c r="S90" i="9"/>
  <c r="AC207" i="3" s="1"/>
  <c r="L207" i="3"/>
  <c r="Y207" i="3" s="1"/>
  <c r="S89" i="9"/>
  <c r="AC206" i="3" s="1"/>
  <c r="L206" i="3"/>
  <c r="Y206" i="3" s="1"/>
  <c r="U88" i="9"/>
  <c r="L205" i="3"/>
  <c r="Y205" i="3" s="1"/>
  <c r="S41" i="9"/>
  <c r="AB212" i="3" s="1"/>
  <c r="K212" i="3"/>
  <c r="V212" i="3" s="1"/>
  <c r="W212" i="3" s="1"/>
  <c r="X212" i="3" s="1"/>
  <c r="AA212" i="3" s="1"/>
  <c r="U40" i="9"/>
  <c r="K211" i="3"/>
  <c r="U39" i="9"/>
  <c r="K210" i="3"/>
  <c r="U38" i="9"/>
  <c r="K209" i="3"/>
  <c r="U37" i="9"/>
  <c r="K208" i="3"/>
  <c r="V208" i="3" s="1"/>
  <c r="W208" i="3" s="1"/>
  <c r="X208" i="3" s="1"/>
  <c r="AA208" i="3" s="1"/>
  <c r="U36" i="9"/>
  <c r="K207" i="3"/>
  <c r="V207" i="3" s="1"/>
  <c r="W207" i="3" s="1"/>
  <c r="X207" i="3" s="1"/>
  <c r="AA207" i="3" s="1"/>
  <c r="U35" i="9"/>
  <c r="K206" i="3"/>
  <c r="V206" i="3" s="1"/>
  <c r="W206" i="3" s="1"/>
  <c r="X206" i="3" s="1"/>
  <c r="AA206" i="3" s="1"/>
  <c r="S103" i="9"/>
  <c r="AC220" i="3" s="1"/>
  <c r="U103" i="9"/>
  <c r="S100" i="9"/>
  <c r="AC217" i="3" s="1"/>
  <c r="U100" i="9"/>
  <c r="S98" i="9"/>
  <c r="AC215" i="3" s="1"/>
  <c r="U98" i="9"/>
  <c r="S96" i="9"/>
  <c r="AC213" i="3" s="1"/>
  <c r="U96" i="9"/>
  <c r="S101" i="9"/>
  <c r="AC218" i="3" s="1"/>
  <c r="U101" i="9"/>
  <c r="S99" i="9"/>
  <c r="AC216" i="3" s="1"/>
  <c r="U99" i="9"/>
  <c r="S97" i="9"/>
  <c r="AC214" i="3" s="1"/>
  <c r="U97" i="9"/>
  <c r="S49" i="9"/>
  <c r="AB220" i="3" s="1"/>
  <c r="U49" i="9"/>
  <c r="S47" i="9"/>
  <c r="AB218" i="3" s="1"/>
  <c r="U47" i="9"/>
  <c r="S45" i="9"/>
  <c r="AB216" i="3" s="1"/>
  <c r="U45" i="9"/>
  <c r="S43" i="9"/>
  <c r="AB214" i="3" s="1"/>
  <c r="U43" i="9"/>
  <c r="S48" i="9"/>
  <c r="AB219" i="3" s="1"/>
  <c r="U48" i="9"/>
  <c r="S46" i="9"/>
  <c r="AB217" i="3" s="1"/>
  <c r="U46" i="9"/>
  <c r="S44" i="9"/>
  <c r="AB215" i="3" s="1"/>
  <c r="U44" i="9"/>
  <c r="S42" i="9"/>
  <c r="AB213" i="3" s="1"/>
  <c r="U42" i="9"/>
  <c r="U11" i="9"/>
  <c r="U12" i="9"/>
  <c r="U13" i="9"/>
  <c r="U14" i="9"/>
  <c r="U15" i="9"/>
  <c r="U16" i="9"/>
  <c r="U17" i="9"/>
  <c r="U18" i="9"/>
  <c r="S27" i="9"/>
  <c r="AB198" i="3" s="1"/>
  <c r="S28" i="9"/>
  <c r="AB199" i="3" s="1"/>
  <c r="S29" i="9"/>
  <c r="AB200" i="3" s="1"/>
  <c r="S30" i="9"/>
  <c r="AB201" i="3" s="1"/>
  <c r="S31" i="9"/>
  <c r="AB202" i="3" s="1"/>
  <c r="S32" i="9"/>
  <c r="AB203" i="3" s="1"/>
  <c r="S33" i="9"/>
  <c r="AB204" i="3" s="1"/>
  <c r="U57" i="9"/>
  <c r="U66" i="9"/>
  <c r="U67" i="9"/>
  <c r="U68" i="9"/>
  <c r="U69" i="9"/>
  <c r="U70" i="9"/>
  <c r="U71" i="9"/>
  <c r="U72" i="9"/>
  <c r="U81" i="9"/>
  <c r="U82" i="9"/>
  <c r="U83" i="9"/>
  <c r="U84" i="9"/>
  <c r="U85" i="9"/>
  <c r="U86" i="9"/>
  <c r="U87" i="9"/>
  <c r="S2" i="9"/>
  <c r="AB174" i="3" s="1"/>
  <c r="U2" i="9"/>
  <c r="S3" i="9"/>
  <c r="AB175" i="3" s="1"/>
  <c r="S4" i="9"/>
  <c r="AB176" i="3" s="1"/>
  <c r="S5" i="9"/>
  <c r="AB177" i="3" s="1"/>
  <c r="S6" i="9"/>
  <c r="AB178" i="3" s="1"/>
  <c r="S7" i="9"/>
  <c r="AB179" i="3" s="1"/>
  <c r="S9" i="9"/>
  <c r="AB181" i="3" s="1"/>
  <c r="U10" i="9"/>
  <c r="U19" i="9"/>
  <c r="U20" i="9"/>
  <c r="U21" i="9"/>
  <c r="U22" i="9"/>
  <c r="U23" i="9"/>
  <c r="U24" i="9"/>
  <c r="U25" i="9"/>
  <c r="U26" i="9"/>
  <c r="S58" i="9"/>
  <c r="AC175" i="3" s="1"/>
  <c r="S59" i="9"/>
  <c r="AC176" i="3" s="1"/>
  <c r="S60" i="9"/>
  <c r="AC177" i="3" s="1"/>
  <c r="S61" i="9"/>
  <c r="AC178" i="3" s="1"/>
  <c r="S62" i="9"/>
  <c r="AC179" i="3" s="1"/>
  <c r="S63" i="9"/>
  <c r="AC180" i="3" s="1"/>
  <c r="S64" i="9"/>
  <c r="AC181" i="3" s="1"/>
  <c r="S73" i="9"/>
  <c r="AC190" i="3" s="1"/>
  <c r="S74" i="9"/>
  <c r="AC191" i="3" s="1"/>
  <c r="S75" i="9"/>
  <c r="AC192" i="3" s="1"/>
  <c r="S76" i="9"/>
  <c r="AC193" i="3" s="1"/>
  <c r="S77" i="9"/>
  <c r="AC194" i="3" s="1"/>
  <c r="S78" i="9"/>
  <c r="AC195" i="3" s="1"/>
  <c r="S79" i="9"/>
  <c r="AC196" i="3" s="1"/>
  <c r="S81" i="9"/>
  <c r="AC198" i="3" s="1"/>
  <c r="U75" i="9"/>
  <c r="S70" i="9"/>
  <c r="AC187" i="3" s="1"/>
  <c r="S13" i="9"/>
  <c r="AB185" i="3" s="1"/>
  <c r="S25" i="9"/>
  <c r="AB196" i="3" s="1"/>
  <c r="U27" i="9"/>
  <c r="S38" i="9"/>
  <c r="AB209" i="3" s="1"/>
  <c r="U41" i="9"/>
  <c r="S17" i="9"/>
  <c r="AB188" i="3" s="1"/>
  <c r="S21" i="9"/>
  <c r="AB192" i="3" s="1"/>
  <c r="U62" i="9"/>
  <c r="S67" i="9"/>
  <c r="AC184" i="3" s="1"/>
  <c r="S85" i="9"/>
  <c r="AC202" i="3" s="1"/>
  <c r="U89" i="9"/>
  <c r="U58" i="9"/>
  <c r="S69" i="9"/>
  <c r="AC186" i="3" s="1"/>
  <c r="S72" i="9"/>
  <c r="AC189" i="3" s="1"/>
  <c r="U79" i="9"/>
  <c r="S83" i="9"/>
  <c r="AC200" i="3" s="1"/>
  <c r="S87" i="9"/>
  <c r="AC204" i="3" s="1"/>
  <c r="U93" i="9"/>
  <c r="S57" i="9"/>
  <c r="AC174" i="3" s="1"/>
  <c r="U60" i="9"/>
  <c r="U64" i="9"/>
  <c r="S66" i="9"/>
  <c r="AC183" i="3" s="1"/>
  <c r="S68" i="9"/>
  <c r="AC185" i="3" s="1"/>
  <c r="S71" i="9"/>
  <c r="AC188" i="3" s="1"/>
  <c r="U73" i="9"/>
  <c r="U77" i="9"/>
  <c r="S82" i="9"/>
  <c r="AC199" i="3" s="1"/>
  <c r="S84" i="9"/>
  <c r="AC201" i="3" s="1"/>
  <c r="S86" i="9"/>
  <c r="AC203" i="3" s="1"/>
  <c r="S88" i="9"/>
  <c r="AC205" i="3" s="1"/>
  <c r="U91" i="9"/>
  <c r="U95" i="9"/>
  <c r="S11" i="9"/>
  <c r="AB183" i="3" s="1"/>
  <c r="S15" i="9"/>
  <c r="S19" i="9"/>
  <c r="AB190" i="3" s="1"/>
  <c r="S23" i="9"/>
  <c r="AB194" i="3" s="1"/>
  <c r="U31" i="9"/>
  <c r="S36" i="9"/>
  <c r="AB207" i="3" s="1"/>
  <c r="S40" i="9"/>
  <c r="AB211" i="3" s="1"/>
  <c r="S12" i="9"/>
  <c r="AB184" i="3" s="1"/>
  <c r="S14" i="9"/>
  <c r="AB186" i="3" s="1"/>
  <c r="S16" i="9"/>
  <c r="AB187" i="3" s="1"/>
  <c r="S18" i="9"/>
  <c r="AB189" i="3" s="1"/>
  <c r="S20" i="9"/>
  <c r="AB191" i="3" s="1"/>
  <c r="S22" i="9"/>
  <c r="AB193" i="3" s="1"/>
  <c r="S24" i="9"/>
  <c r="AB195" i="3" s="1"/>
  <c r="S26" i="9"/>
  <c r="AB197" i="3" s="1"/>
  <c r="U29" i="9"/>
  <c r="U33" i="9"/>
  <c r="S35" i="9"/>
  <c r="AB206" i="3" s="1"/>
  <c r="S37" i="9"/>
  <c r="AB208" i="3" s="1"/>
  <c r="S39" i="9"/>
  <c r="AB210" i="3" s="1"/>
  <c r="U3" i="9"/>
  <c r="U4" i="9"/>
  <c r="U5" i="9"/>
  <c r="U6" i="9"/>
  <c r="U7" i="9"/>
  <c r="U9" i="9"/>
  <c r="U34" i="9"/>
  <c r="S34" i="9"/>
  <c r="AB205" i="3" s="1"/>
  <c r="U59" i="9"/>
  <c r="U61" i="9"/>
  <c r="U63" i="9"/>
  <c r="U74" i="9"/>
  <c r="U76" i="9"/>
  <c r="U78" i="9"/>
  <c r="U90" i="9"/>
  <c r="U92" i="9"/>
  <c r="U94" i="9"/>
  <c r="S10" i="9"/>
  <c r="AB182" i="3" s="1"/>
  <c r="U28" i="9"/>
  <c r="U30" i="9"/>
  <c r="U32" i="9"/>
  <c r="G53" i="9"/>
  <c r="G54" i="9" s="1"/>
  <c r="U65" i="9"/>
  <c r="S65" i="9"/>
  <c r="AC182" i="3" s="1"/>
  <c r="U80" i="9"/>
  <c r="S80" i="9"/>
  <c r="AC197" i="3" s="1"/>
  <c r="H107" i="9"/>
  <c r="H108" i="9" s="1"/>
  <c r="H53" i="9"/>
  <c r="H54" i="9" s="1"/>
  <c r="G107" i="9"/>
  <c r="G108" i="9" s="1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4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4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2" i="3"/>
  <c r="AF213" i="3" l="1"/>
  <c r="AG213" i="3"/>
  <c r="V209" i="3"/>
  <c r="W209" i="3" s="1"/>
  <c r="V210" i="3"/>
  <c r="W210" i="3" s="1"/>
  <c r="X210" i="3" s="1"/>
  <c r="AA210" i="3" s="1"/>
  <c r="V211" i="3"/>
  <c r="W211" i="3" s="1"/>
  <c r="X211" i="3" s="1"/>
  <c r="AA211" i="3" s="1"/>
  <c r="AG182" i="3"/>
  <c r="AF182" i="3"/>
  <c r="AG189" i="3"/>
  <c r="AF189" i="3"/>
  <c r="AF197" i="3"/>
  <c r="AG197" i="3"/>
  <c r="AA205" i="3"/>
  <c r="AG174" i="3"/>
  <c r="AF174" i="3"/>
  <c r="W10" i="9"/>
  <c r="Y2" i="9"/>
  <c r="X2" i="9"/>
  <c r="X72" i="9"/>
  <c r="V18" i="9"/>
  <c r="W18" i="9"/>
  <c r="V10" i="9"/>
  <c r="X88" i="9"/>
  <c r="V96" i="9"/>
  <c r="W96" i="9"/>
  <c r="X96" i="9"/>
  <c r="Y96" i="9"/>
  <c r="AD121" i="3"/>
  <c r="AE121" i="3"/>
  <c r="V42" i="9"/>
  <c r="W42" i="9"/>
  <c r="X42" i="9"/>
  <c r="Y42" i="9"/>
  <c r="AE82" i="3"/>
  <c r="AD82" i="3"/>
  <c r="Y26" i="9"/>
  <c r="X57" i="9"/>
  <c r="AE105" i="3"/>
  <c r="AD105" i="3"/>
  <c r="AE89" i="3"/>
  <c r="AD89" i="3"/>
  <c r="AE97" i="3"/>
  <c r="AD97" i="3"/>
  <c r="Y72" i="9"/>
  <c r="X26" i="9"/>
  <c r="X18" i="9"/>
  <c r="Y88" i="9"/>
  <c r="Y57" i="9"/>
  <c r="Y18" i="9"/>
  <c r="V2" i="9"/>
  <c r="W80" i="9"/>
  <c r="V80" i="9"/>
  <c r="W65" i="9"/>
  <c r="V65" i="9"/>
  <c r="W26" i="9"/>
  <c r="V26" i="9"/>
  <c r="W72" i="9"/>
  <c r="V72" i="9"/>
  <c r="W57" i="9"/>
  <c r="V57" i="9"/>
  <c r="W34" i="9"/>
  <c r="V34" i="9"/>
  <c r="Y80" i="9"/>
  <c r="X80" i="9"/>
  <c r="Y65" i="9"/>
  <c r="X65" i="9"/>
  <c r="Y10" i="9"/>
  <c r="X10" i="9"/>
  <c r="W88" i="9"/>
  <c r="V88" i="9"/>
  <c r="Y34" i="9"/>
  <c r="X34" i="9"/>
  <c r="W2" i="9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4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4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3" i="3"/>
  <c r="G4" i="3"/>
  <c r="G5" i="3"/>
  <c r="G6" i="3"/>
  <c r="G7" i="3"/>
  <c r="G8" i="3"/>
  <c r="G2" i="3"/>
  <c r="X209" i="3" l="1"/>
  <c r="AA209" i="3" s="1"/>
  <c r="AF205" i="3" s="1"/>
  <c r="AD205" i="3"/>
  <c r="AE205" i="3"/>
  <c r="AG205" i="3"/>
  <c r="Y81" i="3"/>
  <c r="Y79" i="3"/>
  <c r="Y77" i="3"/>
  <c r="Y75" i="3"/>
  <c r="Y80" i="3"/>
  <c r="Y78" i="3"/>
  <c r="Y76" i="3"/>
  <c r="AF121" i="3"/>
  <c r="AG121" i="3"/>
  <c r="AG82" i="3"/>
  <c r="AF82" i="3"/>
  <c r="V80" i="3"/>
  <c r="W80" i="3" s="1"/>
  <c r="X80" i="3" s="1"/>
  <c r="V78" i="3"/>
  <c r="W78" i="3" s="1"/>
  <c r="X78" i="3" s="1"/>
  <c r="V76" i="3"/>
  <c r="W76" i="3" s="1"/>
  <c r="X76" i="3" s="1"/>
  <c r="V74" i="3"/>
  <c r="W74" i="3" s="1"/>
  <c r="X74" i="3" s="1"/>
  <c r="W72" i="3"/>
  <c r="X72" i="3" s="1"/>
  <c r="W70" i="3"/>
  <c r="X70" i="3" s="1"/>
  <c r="W68" i="3"/>
  <c r="X68" i="3" s="1"/>
  <c r="W66" i="3"/>
  <c r="X66" i="3" s="1"/>
  <c r="V64" i="3"/>
  <c r="W64" i="3" s="1"/>
  <c r="X64" i="3" s="1"/>
  <c r="V62" i="3"/>
  <c r="W62" i="3" s="1"/>
  <c r="X62" i="3" s="1"/>
  <c r="V60" i="3"/>
  <c r="W60" i="3" s="1"/>
  <c r="X60" i="3" s="1"/>
  <c r="V58" i="3"/>
  <c r="W58" i="3" s="1"/>
  <c r="X58" i="3" s="1"/>
  <c r="V56" i="3"/>
  <c r="W56" i="3" s="1"/>
  <c r="X56" i="3" s="1"/>
  <c r="V54" i="3"/>
  <c r="W54" i="3" s="1"/>
  <c r="X54" i="3" s="1"/>
  <c r="V52" i="3"/>
  <c r="W52" i="3" s="1"/>
  <c r="X52" i="3" s="1"/>
  <c r="V50" i="3"/>
  <c r="W50" i="3" s="1"/>
  <c r="X50" i="3" s="1"/>
  <c r="Y74" i="3"/>
  <c r="Y72" i="3"/>
  <c r="Y70" i="3"/>
  <c r="Y68" i="3"/>
  <c r="Y66" i="3"/>
  <c r="Y64" i="3"/>
  <c r="Y62" i="3"/>
  <c r="Y60" i="3"/>
  <c r="Y58" i="3"/>
  <c r="Y56" i="3"/>
  <c r="Y54" i="3"/>
  <c r="Y52" i="3"/>
  <c r="Y50" i="3"/>
  <c r="V81" i="3"/>
  <c r="W81" i="3" s="1"/>
  <c r="X81" i="3" s="1"/>
  <c r="V79" i="3"/>
  <c r="W79" i="3" s="1"/>
  <c r="X79" i="3" s="1"/>
  <c r="V77" i="3"/>
  <c r="W77" i="3" s="1"/>
  <c r="X77" i="3" s="1"/>
  <c r="V75" i="3"/>
  <c r="W75" i="3" s="1"/>
  <c r="X75" i="3" s="1"/>
  <c r="W73" i="3"/>
  <c r="X73" i="3" s="1"/>
  <c r="W71" i="3"/>
  <c r="X71" i="3" s="1"/>
  <c r="W69" i="3"/>
  <c r="X69" i="3" s="1"/>
  <c r="W67" i="3"/>
  <c r="X67" i="3" s="1"/>
  <c r="V65" i="3"/>
  <c r="W65" i="3" s="1"/>
  <c r="X65" i="3" s="1"/>
  <c r="V63" i="3"/>
  <c r="W63" i="3" s="1"/>
  <c r="X63" i="3" s="1"/>
  <c r="V61" i="3"/>
  <c r="W61" i="3" s="1"/>
  <c r="X61" i="3" s="1"/>
  <c r="V59" i="3"/>
  <c r="W59" i="3" s="1"/>
  <c r="X59" i="3" s="1"/>
  <c r="V57" i="3"/>
  <c r="W57" i="3" s="1"/>
  <c r="X57" i="3" s="1"/>
  <c r="V55" i="3"/>
  <c r="W55" i="3" s="1"/>
  <c r="X55" i="3" s="1"/>
  <c r="V53" i="3"/>
  <c r="W53" i="3" s="1"/>
  <c r="X53" i="3" s="1"/>
  <c r="V51" i="3"/>
  <c r="W51" i="3" s="1"/>
  <c r="X51" i="3" s="1"/>
  <c r="V49" i="3"/>
  <c r="W49" i="3" s="1"/>
  <c r="X49" i="3" s="1"/>
  <c r="Y73" i="3"/>
  <c r="Y71" i="3"/>
  <c r="Y69" i="3"/>
  <c r="Y67" i="3"/>
  <c r="Y65" i="3"/>
  <c r="Y63" i="3"/>
  <c r="Y61" i="3"/>
  <c r="Y59" i="3"/>
  <c r="Y57" i="3"/>
  <c r="Y55" i="3"/>
  <c r="Y53" i="3"/>
  <c r="Y51" i="3"/>
  <c r="Y49" i="3"/>
  <c r="AG97" i="3"/>
  <c r="AF97" i="3"/>
  <c r="AG89" i="3"/>
  <c r="AF89" i="3"/>
  <c r="AG105" i="3"/>
  <c r="AF105" i="3"/>
  <c r="V25" i="3"/>
  <c r="V17" i="3"/>
  <c r="V15" i="3"/>
  <c r="V13" i="3"/>
  <c r="V11" i="3"/>
  <c r="V9" i="3"/>
  <c r="V7" i="3"/>
  <c r="V5" i="3"/>
  <c r="V3" i="3"/>
  <c r="V23" i="3"/>
  <c r="V21" i="3"/>
  <c r="V19" i="3"/>
  <c r="V26" i="3"/>
  <c r="V24" i="3"/>
  <c r="V22" i="3"/>
  <c r="V20" i="3"/>
  <c r="V18" i="3"/>
  <c r="V16" i="3"/>
  <c r="V14" i="3"/>
  <c r="V12" i="3"/>
  <c r="V10" i="3"/>
  <c r="V8" i="3"/>
  <c r="V6" i="3"/>
  <c r="V4" i="3"/>
  <c r="Z74" i="3"/>
  <c r="AA75" i="3" l="1"/>
  <c r="AA79" i="3"/>
  <c r="AA74" i="3"/>
  <c r="AA78" i="3"/>
  <c r="AA77" i="3"/>
  <c r="AA81" i="3"/>
  <c r="AA76" i="3"/>
  <c r="AA80" i="3"/>
  <c r="AE74" i="3"/>
  <c r="AD74" i="3"/>
  <c r="Z66" i="3"/>
  <c r="AA66" i="3" s="1"/>
  <c r="Z67" i="3"/>
  <c r="AA67" i="3" s="1"/>
  <c r="Z68" i="3"/>
  <c r="AA68" i="3" s="1"/>
  <c r="Z69" i="3"/>
  <c r="AA69" i="3" s="1"/>
  <c r="Z70" i="3"/>
  <c r="AA70" i="3" s="1"/>
  <c r="Z71" i="3"/>
  <c r="AA71" i="3" s="1"/>
  <c r="Z72" i="3"/>
  <c r="AA72" i="3" s="1"/>
  <c r="Z73" i="3"/>
  <c r="AA73" i="3" s="1"/>
  <c r="AE66" i="3" l="1"/>
  <c r="AG74" i="3"/>
  <c r="AF74" i="3"/>
  <c r="AD66" i="3"/>
  <c r="I17" i="6"/>
  <c r="J17" i="6"/>
  <c r="K17" i="6"/>
  <c r="L17" i="6"/>
  <c r="M17" i="6"/>
  <c r="N17" i="6"/>
  <c r="H17" i="6"/>
  <c r="C17" i="6"/>
  <c r="D17" i="6"/>
  <c r="B17" i="6"/>
  <c r="J7" i="6"/>
  <c r="K7" i="6"/>
  <c r="L7" i="6"/>
  <c r="M7" i="6"/>
  <c r="N7" i="6"/>
  <c r="I7" i="6"/>
  <c r="H7" i="6"/>
  <c r="D7" i="6"/>
  <c r="C7" i="6"/>
  <c r="B7" i="6"/>
  <c r="P5" i="4"/>
  <c r="P2" i="4"/>
  <c r="O5" i="4"/>
  <c r="O2" i="4"/>
  <c r="AG66" i="3" l="1"/>
  <c r="AF66" i="3"/>
  <c r="H34" i="2"/>
  <c r="H26" i="2"/>
  <c r="H18" i="2"/>
  <c r="H10" i="2"/>
  <c r="H2" i="2"/>
  <c r="H35" i="8"/>
  <c r="H27" i="8"/>
  <c r="H19" i="8"/>
  <c r="H11" i="8"/>
  <c r="H2" i="8"/>
  <c r="Z42" i="3"/>
  <c r="Z43" i="3"/>
  <c r="Z44" i="3"/>
  <c r="Z45" i="3"/>
  <c r="Z46" i="3"/>
  <c r="Z47" i="3"/>
  <c r="Z48" i="3"/>
  <c r="Z49" i="3"/>
  <c r="AA49" i="3" s="1"/>
  <c r="Z50" i="3"/>
  <c r="AA50" i="3" s="1"/>
  <c r="Z51" i="3"/>
  <c r="AA51" i="3" s="1"/>
  <c r="Z52" i="3"/>
  <c r="AA52" i="3" s="1"/>
  <c r="Z53" i="3"/>
  <c r="AA53" i="3" s="1"/>
  <c r="Z54" i="3"/>
  <c r="AA54" i="3" s="1"/>
  <c r="Z55" i="3"/>
  <c r="AA55" i="3" s="1"/>
  <c r="Z56" i="3"/>
  <c r="AA56" i="3" s="1"/>
  <c r="Z57" i="3"/>
  <c r="AA57" i="3" s="1"/>
  <c r="Z58" i="3"/>
  <c r="AA58" i="3" s="1"/>
  <c r="Z59" i="3"/>
  <c r="AA59" i="3" s="1"/>
  <c r="Z60" i="3"/>
  <c r="AA60" i="3" s="1"/>
  <c r="Z61" i="3"/>
  <c r="AA61" i="3" s="1"/>
  <c r="Z62" i="3"/>
  <c r="AA62" i="3" s="1"/>
  <c r="Z63" i="3"/>
  <c r="AA63" i="3" s="1"/>
  <c r="Z64" i="3"/>
  <c r="AA64" i="3" s="1"/>
  <c r="Z65" i="3"/>
  <c r="AA65" i="3" s="1"/>
  <c r="Z40" i="3"/>
  <c r="Z41" i="3"/>
  <c r="Y42" i="3"/>
  <c r="Y43" i="3"/>
  <c r="Y44" i="3"/>
  <c r="Y45" i="3"/>
  <c r="Y46" i="3"/>
  <c r="Y47" i="3"/>
  <c r="Y48" i="3"/>
  <c r="V42" i="3"/>
  <c r="W42" i="3" s="1"/>
  <c r="V43" i="3"/>
  <c r="W43" i="3" s="1"/>
  <c r="X43" i="3" s="1"/>
  <c r="V44" i="3"/>
  <c r="W44" i="3" s="1"/>
  <c r="X44" i="3" s="1"/>
  <c r="V45" i="3"/>
  <c r="W45" i="3" s="1"/>
  <c r="X45" i="3" s="1"/>
  <c r="V46" i="3"/>
  <c r="W46" i="3" s="1"/>
  <c r="X46" i="3" s="1"/>
  <c r="V47" i="3"/>
  <c r="W47" i="3" s="1"/>
  <c r="X47" i="3" s="1"/>
  <c r="V48" i="3"/>
  <c r="W48" i="3" s="1"/>
  <c r="X48" i="3" s="1"/>
  <c r="W3" i="3"/>
  <c r="W4" i="3"/>
  <c r="W5" i="3"/>
  <c r="V27" i="3"/>
  <c r="V28" i="3"/>
  <c r="V29" i="3"/>
  <c r="V30" i="3"/>
  <c r="V31" i="3"/>
  <c r="V32" i="3"/>
  <c r="V33" i="3"/>
  <c r="W41" i="3"/>
  <c r="X41" i="3" s="1"/>
  <c r="AA47" i="3" l="1"/>
  <c r="AA45" i="3"/>
  <c r="AA43" i="3"/>
  <c r="AA41" i="3"/>
  <c r="AA48" i="3"/>
  <c r="AA46" i="3"/>
  <c r="AA44" i="3"/>
  <c r="AD58" i="3"/>
  <c r="AE58" i="3"/>
  <c r="AD50" i="3"/>
  <c r="AE50" i="3"/>
  <c r="AG58" i="3"/>
  <c r="AD42" i="3"/>
  <c r="AE42" i="3"/>
  <c r="X42" i="3"/>
  <c r="AA42" i="3" s="1"/>
  <c r="E42" i="8"/>
  <c r="E41" i="8"/>
  <c r="E40" i="8"/>
  <c r="E39" i="8"/>
  <c r="E38" i="8"/>
  <c r="E37" i="8"/>
  <c r="E36" i="8"/>
  <c r="E35" i="8"/>
  <c r="AG50" i="3" l="1"/>
  <c r="AF50" i="3"/>
  <c r="AF58" i="3"/>
  <c r="AF42" i="3"/>
  <c r="AG42" i="3"/>
  <c r="F34" i="8"/>
  <c r="F33" i="8"/>
  <c r="F32" i="8"/>
  <c r="F31" i="8"/>
  <c r="F30" i="8"/>
  <c r="F29" i="8"/>
  <c r="F28" i="8"/>
  <c r="F27" i="8"/>
  <c r="E34" i="8"/>
  <c r="E33" i="8"/>
  <c r="E32" i="8"/>
  <c r="E31" i="8"/>
  <c r="E30" i="8"/>
  <c r="E29" i="8"/>
  <c r="E28" i="8"/>
  <c r="E27" i="8"/>
  <c r="D34" i="8"/>
  <c r="D33" i="8"/>
  <c r="D32" i="8"/>
  <c r="D31" i="8"/>
  <c r="D30" i="8"/>
  <c r="D29" i="8"/>
  <c r="D28" i="8"/>
  <c r="D27" i="8"/>
  <c r="E26" i="8" l="1"/>
  <c r="E25" i="8"/>
  <c r="E24" i="8"/>
  <c r="E23" i="8"/>
  <c r="E22" i="8"/>
  <c r="E21" i="8"/>
  <c r="E20" i="8"/>
  <c r="D26" i="8"/>
  <c r="D24" i="8"/>
  <c r="D23" i="8"/>
  <c r="D22" i="8"/>
  <c r="D21" i="8"/>
  <c r="D20" i="8"/>
  <c r="D19" i="8"/>
  <c r="F26" i="8"/>
  <c r="F25" i="8"/>
  <c r="F24" i="8"/>
  <c r="F23" i="8"/>
  <c r="F22" i="8"/>
  <c r="F21" i="8"/>
  <c r="F20" i="8"/>
  <c r="F19" i="8"/>
  <c r="E18" i="8"/>
  <c r="E17" i="8"/>
  <c r="E16" i="8"/>
  <c r="E15" i="8"/>
  <c r="E14" i="8"/>
  <c r="E13" i="8"/>
  <c r="E12" i="8"/>
  <c r="E11" i="8"/>
  <c r="D18" i="8"/>
  <c r="D17" i="8"/>
  <c r="D16" i="8"/>
  <c r="D15" i="8"/>
  <c r="D14" i="8"/>
  <c r="D13" i="8"/>
  <c r="D12" i="8"/>
  <c r="D11" i="8"/>
  <c r="F18" i="8"/>
  <c r="F17" i="8"/>
  <c r="F16" i="8"/>
  <c r="F15" i="8"/>
  <c r="F14" i="8"/>
  <c r="F13" i="8"/>
  <c r="F12" i="8"/>
  <c r="E10" i="8" l="1"/>
  <c r="E9" i="8"/>
  <c r="E8" i="8"/>
  <c r="E7" i="8"/>
  <c r="E6" i="8"/>
  <c r="E5" i="8"/>
  <c r="E4" i="8"/>
  <c r="E3" i="8"/>
  <c r="E2" i="8"/>
  <c r="F10" i="8"/>
  <c r="G10" i="8"/>
  <c r="F9" i="8"/>
  <c r="F8" i="8"/>
  <c r="F7" i="8"/>
  <c r="F6" i="8"/>
  <c r="F5" i="8"/>
  <c r="G5" i="8" s="1"/>
  <c r="F4" i="8"/>
  <c r="F3" i="8"/>
  <c r="F2" i="8"/>
  <c r="F42" i="8"/>
  <c r="G42" i="8" s="1"/>
  <c r="F41" i="8"/>
  <c r="G41" i="8" s="1"/>
  <c r="F40" i="8"/>
  <c r="G40" i="8" s="1"/>
  <c r="F39" i="8"/>
  <c r="G39" i="8" s="1"/>
  <c r="F38" i="8"/>
  <c r="G38" i="8" s="1"/>
  <c r="F37" i="8"/>
  <c r="G37" i="8" s="1"/>
  <c r="F36" i="8"/>
  <c r="G36" i="8" s="1"/>
  <c r="F35" i="8"/>
  <c r="G35" i="8" s="1"/>
  <c r="G34" i="8"/>
  <c r="G33" i="8"/>
  <c r="G32" i="8"/>
  <c r="G31" i="8"/>
  <c r="G30" i="8"/>
  <c r="G29" i="8"/>
  <c r="G28" i="8"/>
  <c r="G27" i="8"/>
  <c r="G26" i="8"/>
  <c r="G25" i="8"/>
  <c r="D25" i="8"/>
  <c r="G24" i="8"/>
  <c r="G23" i="8"/>
  <c r="G22" i="8"/>
  <c r="G21" i="8"/>
  <c r="G20" i="8"/>
  <c r="G19" i="8"/>
  <c r="E19" i="8"/>
  <c r="G18" i="8"/>
  <c r="G17" i="8"/>
  <c r="G16" i="8"/>
  <c r="G15" i="8"/>
  <c r="G14" i="8"/>
  <c r="G13" i="8"/>
  <c r="G12" i="8"/>
  <c r="F11" i="8"/>
  <c r="G11" i="8" s="1"/>
  <c r="G9" i="8"/>
  <c r="G8" i="8"/>
  <c r="G7" i="8"/>
  <c r="G6" i="8"/>
  <c r="G4" i="8"/>
  <c r="G3" i="8"/>
  <c r="G2" i="8" l="1"/>
  <c r="M16" i="6"/>
  <c r="N16" i="6" s="1"/>
  <c r="I16" i="6"/>
  <c r="G16" i="6"/>
  <c r="D16" i="6"/>
  <c r="M15" i="6"/>
  <c r="N15" i="6" s="1"/>
  <c r="I15" i="6"/>
  <c r="G15" i="6"/>
  <c r="D15" i="6"/>
  <c r="M14" i="6"/>
  <c r="N14" i="6" s="1"/>
  <c r="I14" i="6"/>
  <c r="G14" i="6"/>
  <c r="D14" i="6"/>
  <c r="M13" i="6"/>
  <c r="N13" i="6" s="1"/>
  <c r="I13" i="6"/>
  <c r="G13" i="6"/>
  <c r="D13" i="6"/>
  <c r="M12" i="6"/>
  <c r="N12" i="6" s="1"/>
  <c r="I12" i="6"/>
  <c r="G12" i="6"/>
  <c r="D12" i="6"/>
  <c r="M6" i="6"/>
  <c r="N6" i="6" s="1"/>
  <c r="I6" i="6"/>
  <c r="G6" i="6"/>
  <c r="D6" i="6"/>
  <c r="M5" i="6"/>
  <c r="N5" i="6" s="1"/>
  <c r="I5" i="6"/>
  <c r="G5" i="6"/>
  <c r="D5" i="6"/>
  <c r="M4" i="6"/>
  <c r="N4" i="6" s="1"/>
  <c r="I4" i="6"/>
  <c r="G4" i="6"/>
  <c r="D4" i="6"/>
  <c r="M3" i="6"/>
  <c r="N3" i="6" s="1"/>
  <c r="I3" i="6"/>
  <c r="G3" i="6"/>
  <c r="D3" i="6"/>
  <c r="M2" i="6"/>
  <c r="N2" i="6" s="1"/>
  <c r="I2" i="6"/>
  <c r="G2" i="6"/>
  <c r="D2" i="6"/>
  <c r="H90" i="5" l="1"/>
  <c r="H91" i="5" s="1"/>
  <c r="G90" i="5"/>
  <c r="G91" i="5" s="1"/>
  <c r="H89" i="5"/>
  <c r="G89" i="5"/>
  <c r="R88" i="5"/>
  <c r="S88" i="5" s="1"/>
  <c r="N88" i="5"/>
  <c r="L88" i="5"/>
  <c r="I88" i="5"/>
  <c r="R87" i="5"/>
  <c r="S87" i="5" s="1"/>
  <c r="N87" i="5"/>
  <c r="L87" i="5"/>
  <c r="I87" i="5"/>
  <c r="U86" i="5"/>
  <c r="R86" i="5"/>
  <c r="S86" i="5" s="1"/>
  <c r="N86" i="5"/>
  <c r="L86" i="5"/>
  <c r="I86" i="5"/>
  <c r="R85" i="5"/>
  <c r="S85" i="5" s="1"/>
  <c r="N85" i="5"/>
  <c r="L85" i="5"/>
  <c r="I85" i="5"/>
  <c r="R84" i="5"/>
  <c r="S84" i="5" s="1"/>
  <c r="N84" i="5"/>
  <c r="L84" i="5"/>
  <c r="I84" i="5"/>
  <c r="R83" i="5"/>
  <c r="S83" i="5" s="1"/>
  <c r="N83" i="5"/>
  <c r="L83" i="5"/>
  <c r="I83" i="5"/>
  <c r="R82" i="5"/>
  <c r="S82" i="5" s="1"/>
  <c r="N82" i="5"/>
  <c r="L82" i="5"/>
  <c r="I82" i="5"/>
  <c r="T81" i="5"/>
  <c r="R81" i="5"/>
  <c r="U81" i="5" s="1"/>
  <c r="N81" i="5"/>
  <c r="L81" i="5"/>
  <c r="I81" i="5"/>
  <c r="R80" i="5"/>
  <c r="U80" i="5" s="1"/>
  <c r="N80" i="5"/>
  <c r="L80" i="5"/>
  <c r="I80" i="5"/>
  <c r="R79" i="5"/>
  <c r="U79" i="5" s="1"/>
  <c r="N79" i="5"/>
  <c r="L79" i="5"/>
  <c r="I79" i="5"/>
  <c r="R78" i="5"/>
  <c r="U78" i="5" s="1"/>
  <c r="N78" i="5"/>
  <c r="L78" i="5"/>
  <c r="I78" i="5"/>
  <c r="R77" i="5"/>
  <c r="U77" i="5" s="1"/>
  <c r="N77" i="5"/>
  <c r="L77" i="5"/>
  <c r="I77" i="5"/>
  <c r="R76" i="5"/>
  <c r="U76" i="5" s="1"/>
  <c r="N76" i="5"/>
  <c r="L76" i="5"/>
  <c r="I76" i="5"/>
  <c r="R75" i="5"/>
  <c r="U75" i="5" s="1"/>
  <c r="N75" i="5"/>
  <c r="L75" i="5"/>
  <c r="I75" i="5"/>
  <c r="R74" i="5"/>
  <c r="U74" i="5" s="1"/>
  <c r="N74" i="5"/>
  <c r="L74" i="5"/>
  <c r="I74" i="5"/>
  <c r="T73" i="5"/>
  <c r="R73" i="5"/>
  <c r="N73" i="5"/>
  <c r="L73" i="5"/>
  <c r="I73" i="5"/>
  <c r="R72" i="5"/>
  <c r="S72" i="5" s="1"/>
  <c r="N72" i="5"/>
  <c r="L72" i="5"/>
  <c r="I72" i="5"/>
  <c r="R71" i="5"/>
  <c r="S71" i="5" s="1"/>
  <c r="N71" i="5"/>
  <c r="L71" i="5"/>
  <c r="I71" i="5"/>
  <c r="R70" i="5"/>
  <c r="S70" i="5" s="1"/>
  <c r="N70" i="5"/>
  <c r="L70" i="5"/>
  <c r="I70" i="5"/>
  <c r="R69" i="5"/>
  <c r="S69" i="5" s="1"/>
  <c r="N69" i="5"/>
  <c r="L69" i="5"/>
  <c r="I69" i="5"/>
  <c r="R68" i="5"/>
  <c r="S68" i="5" s="1"/>
  <c r="N68" i="5"/>
  <c r="L68" i="5"/>
  <c r="I68" i="5"/>
  <c r="R67" i="5"/>
  <c r="S67" i="5" s="1"/>
  <c r="N67" i="5"/>
  <c r="L67" i="5"/>
  <c r="I67" i="5"/>
  <c r="R66" i="5"/>
  <c r="S66" i="5" s="1"/>
  <c r="N66" i="5"/>
  <c r="L66" i="5"/>
  <c r="I66" i="5"/>
  <c r="T65" i="5"/>
  <c r="R65" i="5"/>
  <c r="U65" i="5" s="1"/>
  <c r="N65" i="5"/>
  <c r="L65" i="5"/>
  <c r="I65" i="5"/>
  <c r="R64" i="5"/>
  <c r="U64" i="5" s="1"/>
  <c r="N64" i="5"/>
  <c r="L64" i="5"/>
  <c r="I64" i="5"/>
  <c r="R63" i="5"/>
  <c r="U63" i="5" s="1"/>
  <c r="N63" i="5"/>
  <c r="L63" i="5"/>
  <c r="I63" i="5"/>
  <c r="R62" i="5"/>
  <c r="U62" i="5" s="1"/>
  <c r="N62" i="5"/>
  <c r="L62" i="5"/>
  <c r="I62" i="5"/>
  <c r="R61" i="5"/>
  <c r="U61" i="5" s="1"/>
  <c r="N61" i="5"/>
  <c r="L61" i="5"/>
  <c r="I61" i="5"/>
  <c r="R60" i="5"/>
  <c r="U60" i="5" s="1"/>
  <c r="N60" i="5"/>
  <c r="L60" i="5"/>
  <c r="I60" i="5"/>
  <c r="R59" i="5"/>
  <c r="U59" i="5" s="1"/>
  <c r="N59" i="5"/>
  <c r="L59" i="5"/>
  <c r="I59" i="5"/>
  <c r="R58" i="5"/>
  <c r="U58" i="5" s="1"/>
  <c r="N58" i="5"/>
  <c r="L58" i="5"/>
  <c r="I58" i="5"/>
  <c r="T57" i="5"/>
  <c r="R57" i="5"/>
  <c r="N57" i="5"/>
  <c r="L57" i="5"/>
  <c r="I57" i="5"/>
  <c r="R56" i="5"/>
  <c r="S56" i="5" s="1"/>
  <c r="N56" i="5"/>
  <c r="L56" i="5"/>
  <c r="I56" i="5"/>
  <c r="R55" i="5"/>
  <c r="S55" i="5" s="1"/>
  <c r="N55" i="5"/>
  <c r="L55" i="5"/>
  <c r="I55" i="5"/>
  <c r="R54" i="5"/>
  <c r="S54" i="5" s="1"/>
  <c r="N54" i="5"/>
  <c r="L54" i="5"/>
  <c r="I54" i="5"/>
  <c r="R53" i="5"/>
  <c r="S53" i="5" s="1"/>
  <c r="N53" i="5"/>
  <c r="L53" i="5"/>
  <c r="I53" i="5"/>
  <c r="R52" i="5"/>
  <c r="S52" i="5" s="1"/>
  <c r="N52" i="5"/>
  <c r="L52" i="5"/>
  <c r="I52" i="5"/>
  <c r="R51" i="5"/>
  <c r="S51" i="5" s="1"/>
  <c r="N51" i="5"/>
  <c r="L51" i="5"/>
  <c r="I51" i="5"/>
  <c r="R50" i="5"/>
  <c r="S50" i="5" s="1"/>
  <c r="N50" i="5"/>
  <c r="L50" i="5"/>
  <c r="I50" i="5"/>
  <c r="T49" i="5"/>
  <c r="R49" i="5"/>
  <c r="U49" i="5" s="1"/>
  <c r="N49" i="5"/>
  <c r="L49" i="5"/>
  <c r="I49" i="5"/>
  <c r="H43" i="5"/>
  <c r="H44" i="5" s="1"/>
  <c r="H42" i="5"/>
  <c r="G42" i="5"/>
  <c r="R41" i="5"/>
  <c r="U41" i="5" s="1"/>
  <c r="N41" i="5"/>
  <c r="L41" i="5"/>
  <c r="I41" i="5"/>
  <c r="R40" i="5"/>
  <c r="U40" i="5" s="1"/>
  <c r="N40" i="5"/>
  <c r="L40" i="5"/>
  <c r="I40" i="5"/>
  <c r="R39" i="5"/>
  <c r="U39" i="5" s="1"/>
  <c r="N39" i="5"/>
  <c r="L39" i="5"/>
  <c r="I39" i="5"/>
  <c r="R38" i="5"/>
  <c r="U38" i="5" s="1"/>
  <c r="N38" i="5"/>
  <c r="L38" i="5"/>
  <c r="I38" i="5"/>
  <c r="R37" i="5"/>
  <c r="U37" i="5" s="1"/>
  <c r="N37" i="5"/>
  <c r="L37" i="5"/>
  <c r="I37" i="5"/>
  <c r="R36" i="5"/>
  <c r="U36" i="5" s="1"/>
  <c r="N36" i="5"/>
  <c r="L36" i="5"/>
  <c r="I36" i="5"/>
  <c r="R35" i="5"/>
  <c r="U35" i="5" s="1"/>
  <c r="N35" i="5"/>
  <c r="L35" i="5"/>
  <c r="I35" i="5"/>
  <c r="T34" i="5"/>
  <c r="R34" i="5"/>
  <c r="N34" i="5"/>
  <c r="L34" i="5"/>
  <c r="I34" i="5"/>
  <c r="R33" i="5"/>
  <c r="S33" i="5" s="1"/>
  <c r="N33" i="5"/>
  <c r="L33" i="5"/>
  <c r="I33" i="5"/>
  <c r="R32" i="5"/>
  <c r="S32" i="5" s="1"/>
  <c r="N32" i="5"/>
  <c r="L32" i="5"/>
  <c r="I32" i="5"/>
  <c r="R31" i="5"/>
  <c r="S31" i="5" s="1"/>
  <c r="N31" i="5"/>
  <c r="L31" i="5"/>
  <c r="I31" i="5"/>
  <c r="R30" i="5"/>
  <c r="S30" i="5" s="1"/>
  <c r="N30" i="5"/>
  <c r="L30" i="5"/>
  <c r="I30" i="5"/>
  <c r="R29" i="5"/>
  <c r="S29" i="5" s="1"/>
  <c r="N29" i="5"/>
  <c r="L29" i="5"/>
  <c r="I29" i="5"/>
  <c r="R28" i="5"/>
  <c r="S28" i="5" s="1"/>
  <c r="N28" i="5"/>
  <c r="L28" i="5"/>
  <c r="I28" i="5"/>
  <c r="R27" i="5"/>
  <c r="S27" i="5" s="1"/>
  <c r="N27" i="5"/>
  <c r="L27" i="5"/>
  <c r="I27" i="5"/>
  <c r="T26" i="5"/>
  <c r="R26" i="5"/>
  <c r="U26" i="5" s="1"/>
  <c r="N26" i="5"/>
  <c r="L26" i="5"/>
  <c r="I26" i="5"/>
  <c r="R25" i="5"/>
  <c r="U25" i="5" s="1"/>
  <c r="N25" i="5"/>
  <c r="L25" i="5"/>
  <c r="I25" i="5"/>
  <c r="R24" i="5"/>
  <c r="U24" i="5" s="1"/>
  <c r="N24" i="5"/>
  <c r="L24" i="5"/>
  <c r="I24" i="5"/>
  <c r="R23" i="5"/>
  <c r="U23" i="5" s="1"/>
  <c r="N23" i="5"/>
  <c r="L23" i="5"/>
  <c r="I23" i="5"/>
  <c r="R22" i="5"/>
  <c r="U22" i="5" s="1"/>
  <c r="N22" i="5"/>
  <c r="L22" i="5"/>
  <c r="I22" i="5"/>
  <c r="R21" i="5"/>
  <c r="U21" i="5" s="1"/>
  <c r="N21" i="5"/>
  <c r="L21" i="5"/>
  <c r="I21" i="5"/>
  <c r="R20" i="5"/>
  <c r="U20" i="5" s="1"/>
  <c r="N20" i="5"/>
  <c r="L20" i="5"/>
  <c r="I20" i="5"/>
  <c r="R19" i="5"/>
  <c r="U19" i="5" s="1"/>
  <c r="N19" i="5"/>
  <c r="L19" i="5"/>
  <c r="I19" i="5"/>
  <c r="T18" i="5"/>
  <c r="R18" i="5"/>
  <c r="U18" i="5" s="1"/>
  <c r="N18" i="5"/>
  <c r="L18" i="5"/>
  <c r="I18" i="5"/>
  <c r="R17" i="5"/>
  <c r="S17" i="5" s="1"/>
  <c r="N17" i="5"/>
  <c r="L17" i="5"/>
  <c r="I17" i="5"/>
  <c r="R16" i="5"/>
  <c r="S16" i="5" s="1"/>
  <c r="N16" i="5"/>
  <c r="L16" i="5"/>
  <c r="I16" i="5"/>
  <c r="R15" i="5"/>
  <c r="S15" i="5" s="1"/>
  <c r="N15" i="5"/>
  <c r="L15" i="5"/>
  <c r="I15" i="5"/>
  <c r="R14" i="5"/>
  <c r="S14" i="5" s="1"/>
  <c r="N14" i="5"/>
  <c r="L14" i="5"/>
  <c r="I14" i="5"/>
  <c r="R13" i="5"/>
  <c r="S13" i="5" s="1"/>
  <c r="N13" i="5"/>
  <c r="L13" i="5"/>
  <c r="I13" i="5"/>
  <c r="R12" i="5"/>
  <c r="S12" i="5" s="1"/>
  <c r="N12" i="5"/>
  <c r="L12" i="5"/>
  <c r="I12" i="5"/>
  <c r="R11" i="5"/>
  <c r="S11" i="5" s="1"/>
  <c r="N11" i="5"/>
  <c r="L11" i="5"/>
  <c r="I11" i="5"/>
  <c r="T10" i="5"/>
  <c r="R10" i="5"/>
  <c r="U10" i="5" s="1"/>
  <c r="N10" i="5"/>
  <c r="L10" i="5"/>
  <c r="I10" i="5"/>
  <c r="R9" i="5"/>
  <c r="U9" i="5" s="1"/>
  <c r="N9" i="5"/>
  <c r="L9" i="5"/>
  <c r="I9" i="5"/>
  <c r="R8" i="5"/>
  <c r="U8" i="5" s="1"/>
  <c r="N8" i="5"/>
  <c r="L8" i="5"/>
  <c r="I8" i="5"/>
  <c r="R7" i="5"/>
  <c r="U7" i="5" s="1"/>
  <c r="N7" i="5"/>
  <c r="L7" i="5"/>
  <c r="I7" i="5"/>
  <c r="R6" i="5"/>
  <c r="U6" i="5" s="1"/>
  <c r="N6" i="5"/>
  <c r="L6" i="5"/>
  <c r="I6" i="5"/>
  <c r="S5" i="5"/>
  <c r="R5" i="5"/>
  <c r="U5" i="5" s="1"/>
  <c r="N5" i="5"/>
  <c r="L5" i="5"/>
  <c r="I5" i="5"/>
  <c r="R4" i="5"/>
  <c r="U4" i="5" s="1"/>
  <c r="N4" i="5"/>
  <c r="L4" i="5"/>
  <c r="I4" i="5"/>
  <c r="R3" i="5"/>
  <c r="U3" i="5" s="1"/>
  <c r="N3" i="5"/>
  <c r="L3" i="5"/>
  <c r="I3" i="5"/>
  <c r="T2" i="5"/>
  <c r="R2" i="5"/>
  <c r="U2" i="5" s="1"/>
  <c r="N2" i="5"/>
  <c r="L2" i="5"/>
  <c r="I2" i="5"/>
  <c r="U82" i="5" l="1"/>
  <c r="S80" i="5"/>
  <c r="S74" i="5"/>
  <c r="S22" i="5"/>
  <c r="S63" i="5"/>
  <c r="S59" i="5"/>
  <c r="U54" i="5"/>
  <c r="S38" i="5"/>
  <c r="S26" i="5"/>
  <c r="X26" i="5" s="1"/>
  <c r="U68" i="5"/>
  <c r="S9" i="5"/>
  <c r="S76" i="5"/>
  <c r="U50" i="5"/>
  <c r="S61" i="5"/>
  <c r="S65" i="5"/>
  <c r="X65" i="5" s="1"/>
  <c r="U72" i="5"/>
  <c r="S78" i="5"/>
  <c r="S49" i="5"/>
  <c r="X49" i="5" s="1"/>
  <c r="U52" i="5"/>
  <c r="U56" i="5"/>
  <c r="S58" i="5"/>
  <c r="S60" i="5"/>
  <c r="S62" i="5"/>
  <c r="S64" i="5"/>
  <c r="U66" i="5"/>
  <c r="U70" i="5"/>
  <c r="S75" i="5"/>
  <c r="S77" i="5"/>
  <c r="S79" i="5"/>
  <c r="S81" i="5"/>
  <c r="X81" i="5" s="1"/>
  <c r="U84" i="5"/>
  <c r="U88" i="5"/>
  <c r="S3" i="5"/>
  <c r="S7" i="5"/>
  <c r="S20" i="5"/>
  <c r="S24" i="5"/>
  <c r="U30" i="5"/>
  <c r="S36" i="5"/>
  <c r="S40" i="5"/>
  <c r="S4" i="5"/>
  <c r="S6" i="5"/>
  <c r="S8" i="5"/>
  <c r="S10" i="5"/>
  <c r="X10" i="5" s="1"/>
  <c r="W18" i="5"/>
  <c r="S19" i="5"/>
  <c r="S21" i="5"/>
  <c r="S23" i="5"/>
  <c r="S25" i="5"/>
  <c r="U28" i="5"/>
  <c r="U32" i="5"/>
  <c r="S35" i="5"/>
  <c r="S37" i="5"/>
  <c r="S39" i="5"/>
  <c r="S41" i="5"/>
  <c r="W2" i="5"/>
  <c r="V2" i="5"/>
  <c r="Y10" i="5"/>
  <c r="U11" i="5"/>
  <c r="U12" i="5"/>
  <c r="U13" i="5"/>
  <c r="U14" i="5"/>
  <c r="U15" i="5"/>
  <c r="U16" i="5"/>
  <c r="U17" i="5"/>
  <c r="Y26" i="5"/>
  <c r="G43" i="5"/>
  <c r="G44" i="5" s="1"/>
  <c r="G45" i="5" s="1"/>
  <c r="G46" i="5" s="1"/>
  <c r="U57" i="5"/>
  <c r="S57" i="5"/>
  <c r="U73" i="5"/>
  <c r="S73" i="5"/>
  <c r="H92" i="5"/>
  <c r="H93" i="5" s="1"/>
  <c r="S2" i="5"/>
  <c r="S18" i="5"/>
  <c r="V18" i="5"/>
  <c r="U27" i="5"/>
  <c r="U29" i="5"/>
  <c r="U31" i="5"/>
  <c r="U33" i="5"/>
  <c r="U34" i="5"/>
  <c r="S34" i="5"/>
  <c r="U51" i="5"/>
  <c r="U53" i="5"/>
  <c r="U55" i="5"/>
  <c r="U67" i="5"/>
  <c r="U69" i="5"/>
  <c r="U71" i="5"/>
  <c r="Y81" i="5"/>
  <c r="U83" i="5"/>
  <c r="U85" i="5"/>
  <c r="U87" i="5"/>
  <c r="H45" i="5"/>
  <c r="H46" i="5" s="1"/>
  <c r="G92" i="5"/>
  <c r="G93" i="5" s="1"/>
  <c r="T81" i="1"/>
  <c r="T73" i="1"/>
  <c r="T65" i="1"/>
  <c r="T57" i="1"/>
  <c r="T49" i="1"/>
  <c r="T34" i="1"/>
  <c r="T26" i="1"/>
  <c r="T18" i="1"/>
  <c r="T10" i="1"/>
  <c r="T2" i="1"/>
  <c r="Y49" i="5" l="1"/>
  <c r="Y65" i="5"/>
  <c r="V26" i="5"/>
  <c r="V10" i="5"/>
  <c r="W81" i="5"/>
  <c r="V81" i="5"/>
  <c r="W65" i="5"/>
  <c r="V65" i="5"/>
  <c r="W49" i="5"/>
  <c r="V49" i="5"/>
  <c r="W34" i="5"/>
  <c r="V34" i="5"/>
  <c r="Y2" i="5"/>
  <c r="X2" i="5"/>
  <c r="Y73" i="5"/>
  <c r="X73" i="5"/>
  <c r="Y57" i="5"/>
  <c r="X57" i="5"/>
  <c r="W10" i="5"/>
  <c r="Y34" i="5"/>
  <c r="X34" i="5"/>
  <c r="W26" i="5"/>
  <c r="Y18" i="5"/>
  <c r="X18" i="5"/>
  <c r="W73" i="5"/>
  <c r="V73" i="5"/>
  <c r="W57" i="5"/>
  <c r="V57" i="5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W10" i="3"/>
  <c r="W18" i="3"/>
  <c r="X3" i="3"/>
  <c r="X4" i="3"/>
  <c r="X5" i="3"/>
  <c r="W6" i="3"/>
  <c r="X6" i="3" s="1"/>
  <c r="W7" i="3"/>
  <c r="X7" i="3" s="1"/>
  <c r="W8" i="3"/>
  <c r="X8" i="3" s="1"/>
  <c r="W9" i="3"/>
  <c r="X9" i="3" s="1"/>
  <c r="W11" i="3"/>
  <c r="X11" i="3" s="1"/>
  <c r="W12" i="3"/>
  <c r="X12" i="3" s="1"/>
  <c r="W13" i="3"/>
  <c r="X13" i="3" s="1"/>
  <c r="W14" i="3"/>
  <c r="X14" i="3" s="1"/>
  <c r="W15" i="3"/>
  <c r="X15" i="3" s="1"/>
  <c r="W16" i="3"/>
  <c r="X16" i="3" s="1"/>
  <c r="W17" i="3"/>
  <c r="X17" i="3" s="1"/>
  <c r="W19" i="3"/>
  <c r="X19" i="3" s="1"/>
  <c r="W20" i="3"/>
  <c r="X20" i="3" s="1"/>
  <c r="W21" i="3"/>
  <c r="X21" i="3" s="1"/>
  <c r="W22" i="3"/>
  <c r="X22" i="3" s="1"/>
  <c r="W23" i="3"/>
  <c r="X23" i="3" s="1"/>
  <c r="W24" i="3"/>
  <c r="X24" i="3" s="1"/>
  <c r="W25" i="3"/>
  <c r="X25" i="3" s="1"/>
  <c r="W26" i="3"/>
  <c r="W27" i="3"/>
  <c r="X27" i="3" s="1"/>
  <c r="W28" i="3"/>
  <c r="X28" i="3" s="1"/>
  <c r="W29" i="3"/>
  <c r="X29" i="3" s="1"/>
  <c r="W30" i="3"/>
  <c r="X30" i="3" s="1"/>
  <c r="W31" i="3"/>
  <c r="X31" i="3" s="1"/>
  <c r="W32" i="3"/>
  <c r="X32" i="3" s="1"/>
  <c r="W33" i="3"/>
  <c r="X33" i="3" s="1"/>
  <c r="W34" i="3"/>
  <c r="X35" i="3"/>
  <c r="X36" i="3"/>
  <c r="X37" i="3"/>
  <c r="W38" i="3"/>
  <c r="X38" i="3" s="1"/>
  <c r="W39" i="3"/>
  <c r="X39" i="3" s="1"/>
  <c r="W40" i="3"/>
  <c r="X40" i="3" s="1"/>
  <c r="AA40" i="3" s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5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M3" i="4"/>
  <c r="M4" i="4"/>
  <c r="M5" i="4"/>
  <c r="M6" i="4"/>
  <c r="M7" i="4"/>
  <c r="M2" i="4"/>
  <c r="I3" i="4"/>
  <c r="I4" i="4"/>
  <c r="I5" i="4"/>
  <c r="I6" i="4"/>
  <c r="I7" i="4"/>
  <c r="I2" i="4"/>
  <c r="G3" i="4"/>
  <c r="G4" i="4"/>
  <c r="G5" i="4"/>
  <c r="G6" i="4"/>
  <c r="G7" i="4"/>
  <c r="G2" i="4"/>
  <c r="D3" i="4"/>
  <c r="D4" i="4"/>
  <c r="D5" i="4"/>
  <c r="D6" i="4"/>
  <c r="D7" i="4"/>
  <c r="D2" i="4"/>
  <c r="X34" i="3" l="1"/>
  <c r="AD34" i="3"/>
  <c r="AE34" i="3"/>
  <c r="X26" i="3"/>
  <c r="AE26" i="3"/>
  <c r="AD26" i="3"/>
  <c r="X18" i="3"/>
  <c r="AE18" i="3"/>
  <c r="AD18" i="3"/>
  <c r="X10" i="3"/>
  <c r="AE10" i="3"/>
  <c r="AD10" i="3"/>
  <c r="Z3" i="3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Z27" i="3"/>
  <c r="AA27" i="3" s="1"/>
  <c r="Z28" i="3"/>
  <c r="AA28" i="3" s="1"/>
  <c r="Z29" i="3"/>
  <c r="AA29" i="3" s="1"/>
  <c r="Z30" i="3"/>
  <c r="AA30" i="3" s="1"/>
  <c r="Z31" i="3"/>
  <c r="AA31" i="3" s="1"/>
  <c r="Z32" i="3"/>
  <c r="AA32" i="3" s="1"/>
  <c r="Z33" i="3"/>
  <c r="AA33" i="3" s="1"/>
  <c r="Z34" i="3"/>
  <c r="Z35" i="3"/>
  <c r="AA35" i="3" s="1"/>
  <c r="Z36" i="3"/>
  <c r="AA36" i="3" s="1"/>
  <c r="Z37" i="3"/>
  <c r="AA37" i="3" s="1"/>
  <c r="Z38" i="3"/>
  <c r="AA38" i="3" s="1"/>
  <c r="Z39" i="3"/>
  <c r="AA39" i="3" s="1"/>
  <c r="Z2" i="3"/>
  <c r="Y2" i="3"/>
  <c r="W2" i="3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U78" i="1" s="1"/>
  <c r="R79" i="1"/>
  <c r="U79" i="1" s="1"/>
  <c r="R80" i="1"/>
  <c r="U80" i="1" s="1"/>
  <c r="R81" i="1"/>
  <c r="U81" i="1" s="1"/>
  <c r="R82" i="1"/>
  <c r="U82" i="1" s="1"/>
  <c r="R83" i="1"/>
  <c r="U83" i="1" s="1"/>
  <c r="R84" i="1"/>
  <c r="U84" i="1" s="1"/>
  <c r="R85" i="1"/>
  <c r="U85" i="1" s="1"/>
  <c r="R86" i="1"/>
  <c r="U86" i="1" s="1"/>
  <c r="R87" i="1"/>
  <c r="U87" i="1" s="1"/>
  <c r="R88" i="1"/>
  <c r="U88" i="1" s="1"/>
  <c r="R49" i="1"/>
  <c r="U49" i="1" s="1"/>
  <c r="R3" i="1"/>
  <c r="U3" i="1" s="1"/>
  <c r="R4" i="1"/>
  <c r="U4" i="1" s="1"/>
  <c r="R5" i="1"/>
  <c r="U5" i="1" s="1"/>
  <c r="R6" i="1"/>
  <c r="U6" i="1" s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2" i="1"/>
  <c r="U2" i="1" s="1"/>
  <c r="AA34" i="3" l="1"/>
  <c r="AA18" i="3"/>
  <c r="AF18" i="3" s="1"/>
  <c r="AG34" i="3"/>
  <c r="AA10" i="3"/>
  <c r="AF10" i="3" s="1"/>
  <c r="AA26" i="3"/>
  <c r="AG26" i="3" s="1"/>
  <c r="AG10" i="3"/>
  <c r="X2" i="3"/>
  <c r="AA2" i="3" s="1"/>
  <c r="AD2" i="3"/>
  <c r="AE2" i="3"/>
  <c r="W2" i="1"/>
  <c r="V2" i="1"/>
  <c r="W34" i="1"/>
  <c r="V34" i="1"/>
  <c r="V26" i="1"/>
  <c r="W26" i="1"/>
  <c r="W18" i="1"/>
  <c r="V18" i="1"/>
  <c r="V10" i="1"/>
  <c r="W10" i="1"/>
  <c r="W49" i="1"/>
  <c r="V49" i="1"/>
  <c r="W81" i="1"/>
  <c r="V81" i="1"/>
  <c r="W73" i="1"/>
  <c r="V73" i="1"/>
  <c r="W65" i="1"/>
  <c r="V65" i="1"/>
  <c r="V57" i="1"/>
  <c r="W57" i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AG18" i="3" l="1"/>
  <c r="AF34" i="3"/>
  <c r="AF26" i="3"/>
  <c r="AG2" i="3"/>
  <c r="AF2" i="3"/>
  <c r="H90" i="1"/>
  <c r="H91" i="1" s="1"/>
  <c r="H92" i="1" s="1"/>
  <c r="H89" i="1"/>
  <c r="G90" i="1"/>
  <c r="G91" i="1" s="1"/>
  <c r="G89" i="1"/>
  <c r="S4" i="1"/>
  <c r="H93" i="1" l="1"/>
  <c r="G92" i="1"/>
  <c r="G93" i="1" s="1"/>
  <c r="S49" i="1"/>
  <c r="S85" i="1"/>
  <c r="S81" i="1"/>
  <c r="S77" i="1"/>
  <c r="S73" i="1"/>
  <c r="S69" i="1"/>
  <c r="S65" i="1"/>
  <c r="S61" i="1"/>
  <c r="S57" i="1"/>
  <c r="S53" i="1"/>
  <c r="S87" i="1"/>
  <c r="S83" i="1"/>
  <c r="S79" i="1"/>
  <c r="S75" i="1"/>
  <c r="S71" i="1"/>
  <c r="S67" i="1"/>
  <c r="S63" i="1"/>
  <c r="S59" i="1"/>
  <c r="S55" i="1"/>
  <c r="S51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S3" i="1"/>
  <c r="S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Y34" i="1" l="1"/>
  <c r="X34" i="1"/>
  <c r="Y2" i="1"/>
  <c r="X2" i="1"/>
  <c r="Y57" i="1"/>
  <c r="X57" i="1"/>
  <c r="Y65" i="1"/>
  <c r="X65" i="1"/>
  <c r="X73" i="1"/>
  <c r="Y73" i="1"/>
  <c r="X81" i="1"/>
  <c r="Y81" i="1"/>
  <c r="X49" i="1"/>
  <c r="Y49" i="1"/>
  <c r="X10" i="1"/>
  <c r="Y10" i="1"/>
  <c r="Y18" i="1"/>
  <c r="X18" i="1"/>
  <c r="X26" i="1"/>
  <c r="Y26" i="1"/>
  <c r="H43" i="1"/>
  <c r="H44" i="1" s="1"/>
  <c r="H45" i="1" s="1"/>
  <c r="H46" i="1" s="1"/>
  <c r="H42" i="1"/>
  <c r="G42" i="1"/>
  <c r="G43" i="1" s="1"/>
  <c r="G44" i="1" s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9" i="1"/>
  <c r="N2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G45" i="1" l="1"/>
  <c r="G46" i="1" s="1"/>
  <c r="E40" i="2" l="1"/>
  <c r="E41" i="2"/>
  <c r="D41" i="2"/>
  <c r="D40" i="2"/>
  <c r="L34" i="1" l="1"/>
  <c r="L35" i="1"/>
  <c r="L36" i="1"/>
  <c r="L37" i="1"/>
  <c r="L38" i="1"/>
  <c r="L39" i="1"/>
  <c r="L40" i="1"/>
  <c r="L41" i="1"/>
  <c r="F9" i="2"/>
  <c r="F8" i="2"/>
  <c r="F7" i="2"/>
  <c r="F6" i="2"/>
  <c r="F5" i="2"/>
  <c r="F4" i="2"/>
  <c r="F3" i="2"/>
  <c r="F2" i="2"/>
  <c r="E39" i="2"/>
  <c r="E38" i="2"/>
  <c r="E37" i="2"/>
  <c r="E36" i="2"/>
  <c r="E35" i="2"/>
  <c r="E34" i="2"/>
  <c r="D39" i="2"/>
  <c r="D38" i="2"/>
  <c r="D37" i="2"/>
  <c r="D36" i="2"/>
  <c r="D35" i="2"/>
  <c r="D34" i="2"/>
  <c r="E33" i="2"/>
  <c r="E32" i="2"/>
  <c r="E31" i="2"/>
  <c r="E30" i="2"/>
  <c r="E29" i="2"/>
  <c r="E28" i="2"/>
  <c r="E27" i="2"/>
  <c r="E26" i="2"/>
  <c r="E25" i="2"/>
  <c r="D25" i="2"/>
  <c r="E24" i="2"/>
  <c r="G24" i="2" s="1"/>
  <c r="D24" i="2"/>
  <c r="E23" i="2"/>
  <c r="G23" i="2" s="1"/>
  <c r="D23" i="2"/>
  <c r="E22" i="2"/>
  <c r="G22" i="2" s="1"/>
  <c r="D22" i="2"/>
  <c r="E21" i="2"/>
  <c r="G21" i="2" s="1"/>
  <c r="D21" i="2"/>
  <c r="E20" i="2"/>
  <c r="G20" i="2" s="1"/>
  <c r="D20" i="2"/>
  <c r="E19" i="2"/>
  <c r="G19" i="2" s="1"/>
  <c r="D19" i="2"/>
  <c r="E18" i="2"/>
  <c r="G18" i="2" s="1"/>
  <c r="D18" i="2"/>
  <c r="E17" i="2"/>
  <c r="G17" i="2" s="1"/>
  <c r="D17" i="2"/>
  <c r="E16" i="2"/>
  <c r="G16" i="2" s="1"/>
  <c r="D16" i="2"/>
  <c r="E15" i="2"/>
  <c r="G15" i="2" s="1"/>
  <c r="D15" i="2"/>
  <c r="E14" i="2"/>
  <c r="G14" i="2" s="1"/>
  <c r="D14" i="2"/>
  <c r="E13" i="2"/>
  <c r="G13" i="2" s="1"/>
  <c r="D13" i="2"/>
  <c r="E12" i="2"/>
  <c r="G12" i="2" s="1"/>
  <c r="D12" i="2"/>
  <c r="E11" i="2"/>
  <c r="G11" i="2" s="1"/>
  <c r="D11" i="2"/>
  <c r="E10" i="2"/>
  <c r="G10" i="2" s="1"/>
  <c r="D10" i="2"/>
  <c r="E9" i="2"/>
  <c r="E8" i="2"/>
  <c r="E7" i="2"/>
  <c r="E6" i="2"/>
  <c r="E5" i="2"/>
  <c r="E4" i="2"/>
  <c r="E3" i="2"/>
  <c r="E2" i="2"/>
  <c r="G3" i="2" l="1"/>
  <c r="G5" i="2"/>
  <c r="G7" i="2"/>
  <c r="G9" i="2"/>
  <c r="G2" i="2"/>
  <c r="G4" i="2"/>
  <c r="G6" i="2"/>
  <c r="G8" i="2"/>
  <c r="I41" i="1"/>
  <c r="I40" i="1"/>
  <c r="I39" i="1"/>
  <c r="I38" i="1"/>
  <c r="I37" i="1"/>
  <c r="I36" i="1"/>
  <c r="I35" i="1"/>
  <c r="I34" i="1"/>
  <c r="L27" i="1" l="1"/>
  <c r="L28" i="1"/>
  <c r="L29" i="1"/>
  <c r="L30" i="1"/>
  <c r="L31" i="1"/>
  <c r="L32" i="1"/>
  <c r="L33" i="1"/>
  <c r="L26" i="1"/>
  <c r="L19" i="1"/>
  <c r="L20" i="1"/>
  <c r="L21" i="1"/>
  <c r="L22" i="1"/>
  <c r="L23" i="1"/>
  <c r="L24" i="1"/>
  <c r="L25" i="1"/>
  <c r="L18" i="1"/>
  <c r="L11" i="1"/>
  <c r="L12" i="1"/>
  <c r="L13" i="1"/>
  <c r="L14" i="1"/>
  <c r="L15" i="1"/>
  <c r="L16" i="1"/>
  <c r="L17" i="1"/>
  <c r="L10" i="1"/>
  <c r="L3" i="1"/>
  <c r="L4" i="1"/>
  <c r="L5" i="1"/>
  <c r="L6" i="1"/>
  <c r="L7" i="1"/>
  <c r="L8" i="1"/>
  <c r="L9" i="1"/>
  <c r="L2" i="1" l="1"/>
  <c r="I27" i="1" l="1"/>
  <c r="I28" i="1"/>
  <c r="I29" i="1"/>
  <c r="I30" i="1"/>
  <c r="I31" i="1"/>
  <c r="I32" i="1"/>
  <c r="I33" i="1"/>
  <c r="I26" i="1"/>
  <c r="I18" i="1"/>
  <c r="I19" i="1"/>
  <c r="I20" i="1"/>
  <c r="I21" i="1"/>
  <c r="I22" i="1"/>
  <c r="I23" i="1"/>
  <c r="I24" i="1"/>
  <c r="I25" i="1"/>
  <c r="I10" i="1"/>
  <c r="I11" i="1"/>
  <c r="I12" i="1"/>
  <c r="I13" i="1"/>
  <c r="I14" i="1"/>
  <c r="I15" i="1"/>
  <c r="I16" i="1"/>
  <c r="I17" i="1"/>
  <c r="I3" i="1" l="1"/>
  <c r="I4" i="1"/>
  <c r="I5" i="1"/>
  <c r="I6" i="1"/>
  <c r="I7" i="1"/>
  <c r="I8" i="1"/>
  <c r="I9" i="1"/>
  <c r="I2" i="1"/>
</calcChain>
</file>

<file path=xl/comments1.xml><?xml version="1.0" encoding="utf-8"?>
<comments xmlns="http://schemas.openxmlformats.org/spreadsheetml/2006/main">
  <authors>
    <author>tc={C1C5EDED-9B84-4B47-B49A-BB98E0AF218D}</author>
  </authors>
  <commentList>
    <comment ref="R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R4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10.xml><?xml version="1.0" encoding="utf-8"?>
<comments xmlns="http://schemas.openxmlformats.org/spreadsheetml/2006/main">
  <authors>
    <author>tc={C1C5EDED-9B84-4B47-B49A-BB98E0AF218D}</author>
  </authors>
  <commentList>
    <comment ref="M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M1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11.xml><?xml version="1.0" encoding="utf-8"?>
<comments xmlns="http://schemas.openxmlformats.org/spreadsheetml/2006/main">
  <authors>
    <author>tc={C1C5EDED-9B84-4B47-B49A-BB98E0AF218D}</author>
  </authors>
  <commentList>
    <comment ref="R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R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12.xml><?xml version="1.0" encoding="utf-8"?>
<comments xmlns="http://schemas.openxmlformats.org/spreadsheetml/2006/main">
  <authors>
    <author>tc={C1C5EDED-9B84-4B47-B49A-BB98E0AF218D}</author>
  </authors>
  <commentList>
    <comment ref="M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M1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13.xml><?xml version="1.0" encoding="utf-8"?>
<comments xmlns="http://schemas.openxmlformats.org/spreadsheetml/2006/main">
  <authors>
    <author>tc={C1C5EDED-9B84-4B47-B49A-BB98E0AF218D}</author>
  </authors>
  <commentList>
    <comment ref="M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2.xml><?xml version="1.0" encoding="utf-8"?>
<comments xmlns="http://schemas.openxmlformats.org/spreadsheetml/2006/main">
  <authors>
    <author>tc={C1C5EDED-9B84-4B47-B49A-BB98E0AF218D}</author>
  </authors>
  <commentList>
    <comment ref="R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R4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3.xml><?xml version="1.0" encoding="utf-8"?>
<comments xmlns="http://schemas.openxmlformats.org/spreadsheetml/2006/main">
  <authors>
    <author>tc={C1C5EDED-9B84-4B47-B49A-BB98E0AF218D}</author>
  </authors>
  <commentList>
    <comment ref="M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M1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4.xml><?xml version="1.0" encoding="utf-8"?>
<comments xmlns="http://schemas.openxmlformats.org/spreadsheetml/2006/main">
  <authors>
    <author>tc={C1C5EDED-9B84-4B47-B49A-BB98E0AF218D}</author>
  </authors>
  <commentList>
    <comment ref="R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R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5.xml><?xml version="1.0" encoding="utf-8"?>
<comments xmlns="http://schemas.openxmlformats.org/spreadsheetml/2006/main">
  <authors>
    <author>tc={C1C5EDED-9B84-4B47-B49A-BB98E0AF218D}</author>
  </authors>
  <commentList>
    <comment ref="M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M1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6.xml><?xml version="1.0" encoding="utf-8"?>
<comments xmlns="http://schemas.openxmlformats.org/spreadsheetml/2006/main">
  <authors>
    <author>tc={C1C5EDED-9B84-4B47-B49A-BB98E0AF218D}</author>
  </authors>
  <commentList>
    <comment ref="R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R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7.xml><?xml version="1.0" encoding="utf-8"?>
<comments xmlns="http://schemas.openxmlformats.org/spreadsheetml/2006/main">
  <authors>
    <author>tc={C1C5EDED-9B84-4B47-B49A-BB98E0AF218D}</author>
  </authors>
  <commentList>
    <comment ref="M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M1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8.xml><?xml version="1.0" encoding="utf-8"?>
<comments xmlns="http://schemas.openxmlformats.org/spreadsheetml/2006/main">
  <authors>
    <author>tc={C1C5EDED-9B84-4B47-B49A-BB98E0AF218D}</author>
  </authors>
  <commentList>
    <comment ref="R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R1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comments9.xml><?xml version="1.0" encoding="utf-8"?>
<comments xmlns="http://schemas.openxmlformats.org/spreadsheetml/2006/main">
  <authors>
    <author>tc={C1C5EDED-9B84-4B47-B49A-BB98E0AF218D}</author>
  </authors>
  <commentList>
    <comment ref="R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  <comment ref="R5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Formula: Peso inicial con todo - (peso bolsa + peso cordon y tag)</t>
        </r>
      </text>
    </comment>
  </commentList>
</comments>
</file>

<file path=xl/sharedStrings.xml><?xml version="1.0" encoding="utf-8"?>
<sst xmlns="http://schemas.openxmlformats.org/spreadsheetml/2006/main" count="5631" uniqueCount="939">
  <si>
    <t>ID</t>
  </si>
  <si>
    <t xml:space="preserve">Site </t>
  </si>
  <si>
    <t>Insertion Date</t>
  </si>
  <si>
    <t>Initial weight with string, tag, bag (g)</t>
  </si>
  <si>
    <t>Removal Date</t>
  </si>
  <si>
    <t>Incubation Time (days)</t>
  </si>
  <si>
    <t>Weight difference</t>
  </si>
  <si>
    <t>Bag weight (g)</t>
  </si>
  <si>
    <t>Weight string and tag (g)</t>
  </si>
  <si>
    <t>Fresh weight leaves (g)</t>
  </si>
  <si>
    <t>% Loss</t>
  </si>
  <si>
    <t>Weight after drying 48 h with string, tag, bag (g)</t>
  </si>
  <si>
    <t>Matrix</t>
  </si>
  <si>
    <t>Transect</t>
  </si>
  <si>
    <t>S1</t>
  </si>
  <si>
    <t>S</t>
  </si>
  <si>
    <t>R</t>
  </si>
  <si>
    <t>A</t>
  </si>
  <si>
    <t>B</t>
  </si>
  <si>
    <t>C</t>
  </si>
  <si>
    <t>D</t>
  </si>
  <si>
    <t>S-0001</t>
  </si>
  <si>
    <t>R-0001</t>
  </si>
  <si>
    <t>S-0002</t>
  </si>
  <si>
    <t>S-0003</t>
  </si>
  <si>
    <t>S-0004</t>
  </si>
  <si>
    <t>S-0005</t>
  </si>
  <si>
    <t>S-0006</t>
  </si>
  <si>
    <t>S-0007</t>
  </si>
  <si>
    <t>S-0008</t>
  </si>
  <si>
    <t>R-0002</t>
  </si>
  <si>
    <t>R-0003</t>
  </si>
  <si>
    <t>R-0004</t>
  </si>
  <si>
    <t>R-0005</t>
  </si>
  <si>
    <t>R-0006</t>
  </si>
  <si>
    <t>R-0007</t>
  </si>
  <si>
    <t>R-0008</t>
  </si>
  <si>
    <t>Weight after drying with string tag bag (g)</t>
  </si>
  <si>
    <t>Weight after drying (leaves with no bag) (g)</t>
  </si>
  <si>
    <t>Site name</t>
  </si>
  <si>
    <t>Sub-replicate</t>
  </si>
  <si>
    <t>Manati</t>
  </si>
  <si>
    <t>Humidity (%)</t>
  </si>
  <si>
    <t>S-0009</t>
  </si>
  <si>
    <t>S-0010</t>
  </si>
  <si>
    <t>S-0011</t>
  </si>
  <si>
    <t>S-0012</t>
  </si>
  <si>
    <t>S-0013</t>
  </si>
  <si>
    <t>S-0014</t>
  </si>
  <si>
    <t>S-0015</t>
  </si>
  <si>
    <t>S-0016</t>
  </si>
  <si>
    <t>R-0009</t>
  </si>
  <si>
    <t>R-0010</t>
  </si>
  <si>
    <t>R-0011</t>
  </si>
  <si>
    <t>R-0012</t>
  </si>
  <si>
    <t>R-0013</t>
  </si>
  <si>
    <t>R-0014</t>
  </si>
  <si>
    <t>R-0015</t>
  </si>
  <si>
    <t>R-0016</t>
  </si>
  <si>
    <t>S2</t>
  </si>
  <si>
    <t>Vega Baja</t>
  </si>
  <si>
    <t>N/A</t>
  </si>
  <si>
    <t>S3</t>
  </si>
  <si>
    <t>Loiza</t>
  </si>
  <si>
    <t>S-0017</t>
  </si>
  <si>
    <t>R-0017</t>
  </si>
  <si>
    <t>S-0018</t>
  </si>
  <si>
    <t>S-0019</t>
  </si>
  <si>
    <t>S-0020</t>
  </si>
  <si>
    <t>S-0021</t>
  </si>
  <si>
    <t>S-0022</t>
  </si>
  <si>
    <t>S-0023</t>
  </si>
  <si>
    <t>S-0024</t>
  </si>
  <si>
    <t>R-0018</t>
  </si>
  <si>
    <t>R-0019</t>
  </si>
  <si>
    <t>R-0020</t>
  </si>
  <si>
    <t>R-0021</t>
  </si>
  <si>
    <t>R-0022</t>
  </si>
  <si>
    <t>R-0023</t>
  </si>
  <si>
    <t>R-0024</t>
  </si>
  <si>
    <t>Arroyo</t>
  </si>
  <si>
    <t>S-0025</t>
  </si>
  <si>
    <t>R-0025</t>
  </si>
  <si>
    <t>S-0026</t>
  </si>
  <si>
    <t>S-0027</t>
  </si>
  <si>
    <t>S-0028</t>
  </si>
  <si>
    <t>S-0029</t>
  </si>
  <si>
    <t>S-0030</t>
  </si>
  <si>
    <t>S-0031</t>
  </si>
  <si>
    <t>S-0032</t>
  </si>
  <si>
    <t>R-0026</t>
  </si>
  <si>
    <t>R-0027</t>
  </si>
  <si>
    <t>R-0028</t>
  </si>
  <si>
    <t>R-0029</t>
  </si>
  <si>
    <t>R-0030</t>
  </si>
  <si>
    <t>R-0031</t>
  </si>
  <si>
    <t>R-0032</t>
  </si>
  <si>
    <t>Depth to water (cm)</t>
  </si>
  <si>
    <t>Depth to sediment (cm)</t>
  </si>
  <si>
    <t>S5</t>
  </si>
  <si>
    <t>Humacao</t>
  </si>
  <si>
    <t>S-0033</t>
  </si>
  <si>
    <t>R-0033</t>
  </si>
  <si>
    <t>S-0034</t>
  </si>
  <si>
    <t>S-0035</t>
  </si>
  <si>
    <t>S-0036</t>
  </si>
  <si>
    <t>S-0037</t>
  </si>
  <si>
    <t>S-0038</t>
  </si>
  <si>
    <t>S-0039</t>
  </si>
  <si>
    <t>S-0040</t>
  </si>
  <si>
    <t>R-0034</t>
  </si>
  <si>
    <t>R-0035</t>
  </si>
  <si>
    <t>R-0036</t>
  </si>
  <si>
    <t>R-0037</t>
  </si>
  <si>
    <t>R-0038</t>
  </si>
  <si>
    <t>R-0039</t>
  </si>
  <si>
    <t>R-0040</t>
  </si>
  <si>
    <t>Tube (cm)</t>
  </si>
  <si>
    <t>Depth (cm)</t>
  </si>
  <si>
    <t>mean</t>
  </si>
  <si>
    <t>stdev</t>
  </si>
  <si>
    <t>95%CI</t>
  </si>
  <si>
    <t xml:space="preserve">  -95%CI</t>
  </si>
  <si>
    <t xml:space="preserve">  +95%CI</t>
  </si>
  <si>
    <t>Sample ID</t>
  </si>
  <si>
    <t>Location</t>
  </si>
  <si>
    <t>Treatment</t>
  </si>
  <si>
    <t>Replicate</t>
  </si>
  <si>
    <r>
      <t>D</t>
    </r>
    <r>
      <rPr>
        <sz val="11"/>
        <rFont val="Calibri"/>
        <family val="2"/>
      </rPr>
      <t>ate of burial</t>
    </r>
  </si>
  <si>
    <r>
      <t xml:space="preserve">Initial weight </t>
    </r>
    <r>
      <rPr>
        <sz val="11"/>
        <color indexed="17"/>
        <rFont val="Calibri"/>
        <family val="2"/>
      </rPr>
      <t xml:space="preserve">green tea </t>
    </r>
    <r>
      <rPr>
        <sz val="11"/>
        <color theme="1"/>
        <rFont val="Calibri"/>
        <family val="2"/>
        <scheme val="minor"/>
      </rPr>
      <t>including bag, cord and label</t>
    </r>
  </si>
  <si>
    <r>
      <t xml:space="preserve">Initial weight </t>
    </r>
    <r>
      <rPr>
        <sz val="11"/>
        <color indexed="10"/>
        <rFont val="Calibri"/>
        <family val="2"/>
      </rPr>
      <t xml:space="preserve">red tea </t>
    </r>
    <r>
      <rPr>
        <sz val="11"/>
        <color theme="1"/>
        <rFont val="Calibri"/>
        <family val="2"/>
        <scheme val="minor"/>
      </rPr>
      <t>including bag, cord, and label</t>
    </r>
  </si>
  <si>
    <r>
      <t xml:space="preserve">Initial weight </t>
    </r>
    <r>
      <rPr>
        <sz val="11"/>
        <color indexed="17"/>
        <rFont val="Calibri"/>
        <family val="2"/>
      </rPr>
      <t>green tea</t>
    </r>
    <r>
      <rPr>
        <sz val="11"/>
        <color theme="1"/>
        <rFont val="Calibri"/>
        <family val="2"/>
        <scheme val="minor"/>
      </rPr>
      <t xml:space="preserve"> tea only</t>
    </r>
  </si>
  <si>
    <r>
      <t xml:space="preserve">Initial weight </t>
    </r>
    <r>
      <rPr>
        <sz val="11"/>
        <color indexed="10"/>
        <rFont val="Calibri"/>
        <family val="2"/>
      </rPr>
      <t xml:space="preserve">red tea </t>
    </r>
    <r>
      <rPr>
        <sz val="11"/>
        <color theme="1"/>
        <rFont val="Calibri"/>
        <family val="2"/>
        <scheme val="minor"/>
      </rPr>
      <t>tea only</t>
    </r>
  </si>
  <si>
    <t>Recovery date</t>
  </si>
  <si>
    <r>
      <t xml:space="preserve">Final weight </t>
    </r>
    <r>
      <rPr>
        <sz val="11"/>
        <color indexed="17"/>
        <rFont val="Calibri"/>
        <family val="2"/>
      </rPr>
      <t xml:space="preserve">green tea </t>
    </r>
    <r>
      <rPr>
        <sz val="11"/>
        <color theme="1"/>
        <rFont val="Calibri"/>
        <family val="2"/>
        <scheme val="minor"/>
      </rPr>
      <t>including bag and cord, no label</t>
    </r>
  </si>
  <si>
    <r>
      <t>Final weight</t>
    </r>
    <r>
      <rPr>
        <sz val="11"/>
        <color indexed="10"/>
        <rFont val="Calibri"/>
        <family val="2"/>
      </rPr>
      <t xml:space="preserve"> red tea </t>
    </r>
    <r>
      <rPr>
        <sz val="11"/>
        <color theme="1"/>
        <rFont val="Calibri"/>
        <family val="2"/>
        <scheme val="minor"/>
      </rPr>
      <t>including bag and cord, no label</t>
    </r>
  </si>
  <si>
    <r>
      <t xml:space="preserve">Final weight </t>
    </r>
    <r>
      <rPr>
        <sz val="11"/>
        <color indexed="17"/>
        <rFont val="Calibri"/>
        <family val="2"/>
      </rPr>
      <t xml:space="preserve">green tea </t>
    </r>
    <r>
      <rPr>
        <sz val="11"/>
        <color theme="1"/>
        <rFont val="Calibri"/>
        <family val="2"/>
        <scheme val="minor"/>
      </rPr>
      <t>tea only</t>
    </r>
  </si>
  <si>
    <r>
      <t xml:space="preserve">Final weight </t>
    </r>
    <r>
      <rPr>
        <sz val="11"/>
        <color indexed="10"/>
        <rFont val="Calibri"/>
        <family val="2"/>
      </rPr>
      <t xml:space="preserve">red tea </t>
    </r>
    <r>
      <rPr>
        <sz val="11"/>
        <color theme="1"/>
        <rFont val="Calibri"/>
        <family val="2"/>
        <scheme val="minor"/>
      </rPr>
      <t>tea only</t>
    </r>
  </si>
  <si>
    <t>Fraction decomposed green tea (ag)</t>
  </si>
  <si>
    <t>Predicted labile fraction red tea (ar)</t>
  </si>
  <si>
    <t xml:space="preserve"> Fraction remaining      red tea (Wt)</t>
  </si>
  <si>
    <t>incubation time      red and green tea (t)</t>
  </si>
  <si>
    <t>k</t>
  </si>
  <si>
    <t>Event 2</t>
  </si>
  <si>
    <t>S/R-0001</t>
  </si>
  <si>
    <t>S/R-0002</t>
  </si>
  <si>
    <t>S/R-0003</t>
  </si>
  <si>
    <t>S/R-0004</t>
  </si>
  <si>
    <t>S/R-0005</t>
  </si>
  <si>
    <t>S/R-0006</t>
  </si>
  <si>
    <t>S/R-0007</t>
  </si>
  <si>
    <t>S/R-0008</t>
  </si>
  <si>
    <t>S/R-0009</t>
  </si>
  <si>
    <t>S/R-0010</t>
  </si>
  <si>
    <t>S/R-0011</t>
  </si>
  <si>
    <t>S/R-0012</t>
  </si>
  <si>
    <t>S/R-0013</t>
  </si>
  <si>
    <t>S/R-0014</t>
  </si>
  <si>
    <t>S/R-0015</t>
  </si>
  <si>
    <t>S/R-0016</t>
  </si>
  <si>
    <t>S/R-0017</t>
  </si>
  <si>
    <t>S/R-0018</t>
  </si>
  <si>
    <t>S/R-0019</t>
  </si>
  <si>
    <t>S/R-0020</t>
  </si>
  <si>
    <t>S/R-0021</t>
  </si>
  <si>
    <t>S/R-0022</t>
  </si>
  <si>
    <t>S/R-0023</t>
  </si>
  <si>
    <t>S/R-0024</t>
  </si>
  <si>
    <t>S/R-0025</t>
  </si>
  <si>
    <t>S/R-0026</t>
  </si>
  <si>
    <t>S/R-0027</t>
  </si>
  <si>
    <t>S/R-0028</t>
  </si>
  <si>
    <t>S/R-0029</t>
  </si>
  <si>
    <t>S/R-0030</t>
  </si>
  <si>
    <t>S/R-0031</t>
  </si>
  <si>
    <t>S/R-0032</t>
  </si>
  <si>
    <t>S/R-0033</t>
  </si>
  <si>
    <t>S/R-0034</t>
  </si>
  <si>
    <t>S/R-0035</t>
  </si>
  <si>
    <t>S/R-0036</t>
  </si>
  <si>
    <t>S/R-0037</t>
  </si>
  <si>
    <t>S/R-0038</t>
  </si>
  <si>
    <t>S/R-0039</t>
  </si>
  <si>
    <t>S/R-0040</t>
  </si>
  <si>
    <t>CS1</t>
  </si>
  <si>
    <t>CS2</t>
  </si>
  <si>
    <t>CS3</t>
  </si>
  <si>
    <t>CR1</t>
  </si>
  <si>
    <t>CR2</t>
  </si>
  <si>
    <t>CR3</t>
  </si>
  <si>
    <t>Peso seco de hojas sin bolsa (g)</t>
  </si>
  <si>
    <t>% remaining</t>
  </si>
  <si>
    <t>sdev</t>
  </si>
  <si>
    <t>S-0041</t>
  </si>
  <si>
    <t>S-0042</t>
  </si>
  <si>
    <t>S-0043</t>
  </si>
  <si>
    <t>S-0044</t>
  </si>
  <si>
    <t>S-0045</t>
  </si>
  <si>
    <t>S-0046</t>
  </si>
  <si>
    <t>S-0047</t>
  </si>
  <si>
    <t>S-0048</t>
  </si>
  <si>
    <t>S-0049</t>
  </si>
  <si>
    <t>S-0050</t>
  </si>
  <si>
    <t>S-0051</t>
  </si>
  <si>
    <t>S-0052</t>
  </si>
  <si>
    <t>S-0053</t>
  </si>
  <si>
    <t>S-0054</t>
  </si>
  <si>
    <t>S-0055</t>
  </si>
  <si>
    <t>S-0056</t>
  </si>
  <si>
    <t>S-0057</t>
  </si>
  <si>
    <t>S-0058</t>
  </si>
  <si>
    <t>S-0059</t>
  </si>
  <si>
    <t>S-0060</t>
  </si>
  <si>
    <t>S-0061</t>
  </si>
  <si>
    <t>S-0062</t>
  </si>
  <si>
    <t>S-0063</t>
  </si>
  <si>
    <t>S-0064</t>
  </si>
  <si>
    <t>S-0065</t>
  </si>
  <si>
    <t>S-0066</t>
  </si>
  <si>
    <t>S-0067</t>
  </si>
  <si>
    <t>S-0068</t>
  </si>
  <si>
    <t>S-0069</t>
  </si>
  <si>
    <t>S-0070</t>
  </si>
  <si>
    <t>S-0071</t>
  </si>
  <si>
    <t>S-0072</t>
  </si>
  <si>
    <t>S-0073</t>
  </si>
  <si>
    <t>S-0074</t>
  </si>
  <si>
    <t>S-0075</t>
  </si>
  <si>
    <t>S-0076</t>
  </si>
  <si>
    <t>S-0077</t>
  </si>
  <si>
    <t>S-0078</t>
  </si>
  <si>
    <t>S-0079</t>
  </si>
  <si>
    <t>S-0080</t>
  </si>
  <si>
    <t>R-0041</t>
  </si>
  <si>
    <t>R-0042</t>
  </si>
  <si>
    <t>R-0043</t>
  </si>
  <si>
    <t>R-0044</t>
  </si>
  <si>
    <t>R-0045</t>
  </si>
  <si>
    <t>R-0046</t>
  </si>
  <si>
    <t>R-0047</t>
  </si>
  <si>
    <t>R-0048</t>
  </si>
  <si>
    <t>R-0049</t>
  </si>
  <si>
    <t>R-0050</t>
  </si>
  <si>
    <t>R-0051</t>
  </si>
  <si>
    <t>R-0052</t>
  </si>
  <si>
    <t>R-0053</t>
  </si>
  <si>
    <t>R-0054</t>
  </si>
  <si>
    <t>R-0055</t>
  </si>
  <si>
    <t>R-0056</t>
  </si>
  <si>
    <t>R-0057</t>
  </si>
  <si>
    <t>R-0058</t>
  </si>
  <si>
    <t>R-0059</t>
  </si>
  <si>
    <t>R-0060</t>
  </si>
  <si>
    <t>R-0061</t>
  </si>
  <si>
    <t>R-0062</t>
  </si>
  <si>
    <t>R-0063</t>
  </si>
  <si>
    <t>R-0064</t>
  </si>
  <si>
    <t>R-0065</t>
  </si>
  <si>
    <t>R-0066</t>
  </si>
  <si>
    <t>R-0067</t>
  </si>
  <si>
    <t>R-0068</t>
  </si>
  <si>
    <t>R-0069</t>
  </si>
  <si>
    <t>R-0070</t>
  </si>
  <si>
    <t>R-0071</t>
  </si>
  <si>
    <t>R-0072</t>
  </si>
  <si>
    <t>R-0073</t>
  </si>
  <si>
    <t>R-0074</t>
  </si>
  <si>
    <t>R-0075</t>
  </si>
  <si>
    <t>R-0076</t>
  </si>
  <si>
    <t>R-0077</t>
  </si>
  <si>
    <t>R-0078</t>
  </si>
  <si>
    <t>R-0079</t>
  </si>
  <si>
    <t>R-0080</t>
  </si>
  <si>
    <t>Control S</t>
  </si>
  <si>
    <t>Control R</t>
  </si>
  <si>
    <t>S/R-0041</t>
  </si>
  <si>
    <t>S/R-0042</t>
  </si>
  <si>
    <t>S/R-0043</t>
  </si>
  <si>
    <t>S/R-0044</t>
  </si>
  <si>
    <t>S/R-0045</t>
  </si>
  <si>
    <t>S/R-0046</t>
  </si>
  <si>
    <t>S/R-0047</t>
  </si>
  <si>
    <t>S/R-0048</t>
  </si>
  <si>
    <t>CONTROL</t>
  </si>
  <si>
    <t>S/R-0049</t>
  </si>
  <si>
    <t>S/R-0050</t>
  </si>
  <si>
    <t>S/R-0051</t>
  </si>
  <si>
    <t>S/R-0052</t>
  </si>
  <si>
    <t>S/R-0053</t>
  </si>
  <si>
    <t>S/R-0054</t>
  </si>
  <si>
    <t>S/R-0055</t>
  </si>
  <si>
    <t>S/R-0056</t>
  </si>
  <si>
    <t>S/R-0057</t>
  </si>
  <si>
    <t>S/R-0058</t>
  </si>
  <si>
    <t>S/R-0059</t>
  </si>
  <si>
    <t>S/R-0060</t>
  </si>
  <si>
    <t>S/R-0061</t>
  </si>
  <si>
    <t>S/R-0062</t>
  </si>
  <si>
    <t>S/R-0063</t>
  </si>
  <si>
    <t>S/R-0064</t>
  </si>
  <si>
    <t>S6</t>
  </si>
  <si>
    <t>S/R-0065</t>
  </si>
  <si>
    <t>S/R-0066</t>
  </si>
  <si>
    <t>S/R-0067</t>
  </si>
  <si>
    <t>S/R-0068</t>
  </si>
  <si>
    <t>S/R-0069</t>
  </si>
  <si>
    <t>S/R-0070</t>
  </si>
  <si>
    <t>S/R-0071</t>
  </si>
  <si>
    <t>S/R-0072</t>
  </si>
  <si>
    <t>S/R-0073</t>
  </si>
  <si>
    <t>S/R-0074</t>
  </si>
  <si>
    <t>S/R-0075</t>
  </si>
  <si>
    <t>S/R-0076</t>
  </si>
  <si>
    <t>S/R-0077</t>
  </si>
  <si>
    <t>S/R-0078</t>
  </si>
  <si>
    <t>S/R-0079</t>
  </si>
  <si>
    <t>S/R-0080</t>
  </si>
  <si>
    <t>Event 3</t>
  </si>
  <si>
    <t>Promedio de profundidades (cm)</t>
  </si>
  <si>
    <t xml:space="preserve">Mean </t>
  </si>
  <si>
    <t>Desvt.</t>
  </si>
  <si>
    <t xml:space="preserve"> Tea Green </t>
  </si>
  <si>
    <t>Tea Red</t>
  </si>
  <si>
    <r>
      <t xml:space="preserve">Bag weight </t>
    </r>
    <r>
      <rPr>
        <sz val="11"/>
        <color theme="9" tint="-0.249977111117893"/>
        <rFont val="Calibri"/>
        <family val="2"/>
        <scheme val="minor"/>
      </rPr>
      <t>green tea</t>
    </r>
    <r>
      <rPr>
        <sz val="11"/>
        <color theme="1"/>
        <rFont val="Calibri"/>
        <family val="2"/>
        <scheme val="minor"/>
      </rPr>
      <t xml:space="preserve"> (g)</t>
    </r>
  </si>
  <si>
    <r>
      <t xml:space="preserve">Weight string and tag </t>
    </r>
    <r>
      <rPr>
        <sz val="11"/>
        <color theme="9" tint="-0.249977111117893"/>
        <rFont val="Calibri"/>
        <family val="2"/>
        <scheme val="minor"/>
      </rPr>
      <t>green tea</t>
    </r>
    <r>
      <rPr>
        <sz val="11"/>
        <color theme="1"/>
        <rFont val="Calibri"/>
        <family val="2"/>
        <scheme val="minor"/>
      </rPr>
      <t>(g)</t>
    </r>
  </si>
  <si>
    <r>
      <t xml:space="preserve">Bag weight 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red tea </t>
    </r>
    <r>
      <rPr>
        <sz val="11"/>
        <color theme="1"/>
        <rFont val="Calibri"/>
        <family val="2"/>
        <scheme val="minor"/>
      </rPr>
      <t xml:space="preserve"> (g)</t>
    </r>
  </si>
  <si>
    <r>
      <t xml:space="preserve">Weight string and tag </t>
    </r>
    <r>
      <rPr>
        <sz val="11"/>
        <color rgb="FFFF0000"/>
        <rFont val="Calibri"/>
        <family val="2"/>
        <scheme val="minor"/>
      </rPr>
      <t>red tea</t>
    </r>
    <r>
      <rPr>
        <sz val="11"/>
        <color theme="1"/>
        <rFont val="Calibri"/>
        <family val="2"/>
        <scheme val="minor"/>
      </rPr>
      <t>(g)</t>
    </r>
  </si>
  <si>
    <t>Rio Grande</t>
  </si>
  <si>
    <t>Lag.Tortuguero</t>
  </si>
  <si>
    <t>Canovanas</t>
  </si>
  <si>
    <t>Luquillo PR#3</t>
  </si>
  <si>
    <t xml:space="preserve">Lag. Cartagena </t>
  </si>
  <si>
    <t>S-0081</t>
  </si>
  <si>
    <t>S-0082</t>
  </si>
  <si>
    <t>S-0083</t>
  </si>
  <si>
    <t>S-0084</t>
  </si>
  <si>
    <t>S-0085</t>
  </si>
  <si>
    <t>S-0086</t>
  </si>
  <si>
    <t>S-0088</t>
  </si>
  <si>
    <t>S-0089</t>
  </si>
  <si>
    <t>S-0090</t>
  </si>
  <si>
    <t>S-0091</t>
  </si>
  <si>
    <t>S-0092</t>
  </si>
  <si>
    <t>S-0093</t>
  </si>
  <si>
    <t>S-0094</t>
  </si>
  <si>
    <t>S-0095</t>
  </si>
  <si>
    <t>S-0096</t>
  </si>
  <si>
    <t>S-0097</t>
  </si>
  <si>
    <t>S-0098</t>
  </si>
  <si>
    <t>S-0099</t>
  </si>
  <si>
    <t>S-0100</t>
  </si>
  <si>
    <t>S-0101</t>
  </si>
  <si>
    <t>S-0102</t>
  </si>
  <si>
    <t>S-0103</t>
  </si>
  <si>
    <t>S-0104</t>
  </si>
  <si>
    <t>S-0105</t>
  </si>
  <si>
    <t>S-0106</t>
  </si>
  <si>
    <t>S-0107</t>
  </si>
  <si>
    <t>S-0108</t>
  </si>
  <si>
    <t>S-0109</t>
  </si>
  <si>
    <t>S-0110</t>
  </si>
  <si>
    <t>S-0111</t>
  </si>
  <si>
    <t>S-0112</t>
  </si>
  <si>
    <t>S-0113</t>
  </si>
  <si>
    <t>S-0114</t>
  </si>
  <si>
    <t>S-0115</t>
  </si>
  <si>
    <t>S-0116</t>
  </si>
  <si>
    <t>S-0117</t>
  </si>
  <si>
    <t>S-0118</t>
  </si>
  <si>
    <t>S-0119</t>
  </si>
  <si>
    <t>S-0120</t>
  </si>
  <si>
    <t>S-0121</t>
  </si>
  <si>
    <t>S-0122</t>
  </si>
  <si>
    <t>S-0123</t>
  </si>
  <si>
    <t>S-0124</t>
  </si>
  <si>
    <t>S-0125</t>
  </si>
  <si>
    <t>S-0126</t>
  </si>
  <si>
    <t>S-0127</t>
  </si>
  <si>
    <t>S-0128</t>
  </si>
  <si>
    <t>R-0081</t>
  </si>
  <si>
    <t>R-0082</t>
  </si>
  <si>
    <t>R-0083</t>
  </si>
  <si>
    <t>R-0084</t>
  </si>
  <si>
    <t>R-0085</t>
  </si>
  <si>
    <t>R-0086</t>
  </si>
  <si>
    <t>R-0087</t>
  </si>
  <si>
    <t>R-0088</t>
  </si>
  <si>
    <t>R-0089</t>
  </si>
  <si>
    <t>R-0090</t>
  </si>
  <si>
    <t>R-0091</t>
  </si>
  <si>
    <t>R-0092</t>
  </si>
  <si>
    <t>R-0093</t>
  </si>
  <si>
    <t>R-0094</t>
  </si>
  <si>
    <t>R-0095</t>
  </si>
  <si>
    <t>R-0096</t>
  </si>
  <si>
    <t>R-0097</t>
  </si>
  <si>
    <t>R-0098</t>
  </si>
  <si>
    <t>R-0099</t>
  </si>
  <si>
    <t>R-0100</t>
  </si>
  <si>
    <t>R-0101</t>
  </si>
  <si>
    <t>R-0102</t>
  </si>
  <si>
    <t>R-0103</t>
  </si>
  <si>
    <t>R-0104</t>
  </si>
  <si>
    <t>R-0105</t>
  </si>
  <si>
    <t>R-0106</t>
  </si>
  <si>
    <t>R-0107</t>
  </si>
  <si>
    <t>R-0108</t>
  </si>
  <si>
    <t>R-0109</t>
  </si>
  <si>
    <t>R-0110</t>
  </si>
  <si>
    <t>R-0111</t>
  </si>
  <si>
    <t>R-0112</t>
  </si>
  <si>
    <t>R-0113</t>
  </si>
  <si>
    <t>R-0114</t>
  </si>
  <si>
    <t>R-0115</t>
  </si>
  <si>
    <t>R-0116</t>
  </si>
  <si>
    <t>R-0117</t>
  </si>
  <si>
    <t>R-0118</t>
  </si>
  <si>
    <t>R-0119</t>
  </si>
  <si>
    <t>R-0120</t>
  </si>
  <si>
    <t>R-0121</t>
  </si>
  <si>
    <t>R-0122</t>
  </si>
  <si>
    <t>R-0123</t>
  </si>
  <si>
    <t>R-0125</t>
  </si>
  <si>
    <t>R-0126</t>
  </si>
  <si>
    <t>R-0127</t>
  </si>
  <si>
    <t>R-0128</t>
  </si>
  <si>
    <t>S/R-0088</t>
  </si>
  <si>
    <t>S/R-0089</t>
  </si>
  <si>
    <t>S/R-0090</t>
  </si>
  <si>
    <t>S/R-0091</t>
  </si>
  <si>
    <t>S/R-0092</t>
  </si>
  <si>
    <t>S/R-0093</t>
  </si>
  <si>
    <t>S/R-0094</t>
  </si>
  <si>
    <t>S/R-0095</t>
  </si>
  <si>
    <t>S/R-0081</t>
  </si>
  <si>
    <t>S/R-0082</t>
  </si>
  <si>
    <t>S/R-0083</t>
  </si>
  <si>
    <t>S/R-0084</t>
  </si>
  <si>
    <t>S/R-0085</t>
  </si>
  <si>
    <t>S/R-0086</t>
  </si>
  <si>
    <t>S/R-0087</t>
  </si>
  <si>
    <t>S/R-0096</t>
  </si>
  <si>
    <t>S/R-0097</t>
  </si>
  <si>
    <t>S/R-0098</t>
  </si>
  <si>
    <t>S/R-0099</t>
  </si>
  <si>
    <t>S/R-0100</t>
  </si>
  <si>
    <t>S/R-0101</t>
  </si>
  <si>
    <t>S/R-0102</t>
  </si>
  <si>
    <t>S/R-0103</t>
  </si>
  <si>
    <t>S/R-0104</t>
  </si>
  <si>
    <t>S/R-0105</t>
  </si>
  <si>
    <t>S/R-0106</t>
  </si>
  <si>
    <t>S/R-0107</t>
  </si>
  <si>
    <t>S/R-0108</t>
  </si>
  <si>
    <t>S/R-0109</t>
  </si>
  <si>
    <t>S/R-0110</t>
  </si>
  <si>
    <t>S/R-0111</t>
  </si>
  <si>
    <t>S/R-0112</t>
  </si>
  <si>
    <t>S/R-0113</t>
  </si>
  <si>
    <t>S/R-0114</t>
  </si>
  <si>
    <t>S/R-0115</t>
  </si>
  <si>
    <t>S/R-0116</t>
  </si>
  <si>
    <t>S/R-0117</t>
  </si>
  <si>
    <t>S/R-0118</t>
  </si>
  <si>
    <t>S/R-0119</t>
  </si>
  <si>
    <t>S/R-0120</t>
  </si>
  <si>
    <t>S/R-0121</t>
  </si>
  <si>
    <t>S/R-0122</t>
  </si>
  <si>
    <t>S/R-0123</t>
  </si>
  <si>
    <t>S/R-0124</t>
  </si>
  <si>
    <t>S/R-0125</t>
  </si>
  <si>
    <t>S/R-0126</t>
  </si>
  <si>
    <t>S/R-0127</t>
  </si>
  <si>
    <t>S/R-0128</t>
  </si>
  <si>
    <t>S9</t>
  </si>
  <si>
    <t>S8</t>
  </si>
  <si>
    <t>S7</t>
  </si>
  <si>
    <t>S11</t>
  </si>
  <si>
    <t>S10</t>
  </si>
  <si>
    <t>S12</t>
  </si>
  <si>
    <t>S-0129</t>
  </si>
  <si>
    <t>S-0130</t>
  </si>
  <si>
    <t>S-0131</t>
  </si>
  <si>
    <t>S-0132</t>
  </si>
  <si>
    <t>S-0133</t>
  </si>
  <si>
    <t>S-0134</t>
  </si>
  <si>
    <t>S-0135</t>
  </si>
  <si>
    <t>S-0136</t>
  </si>
  <si>
    <t>S-0137</t>
  </si>
  <si>
    <t>S-0138</t>
  </si>
  <si>
    <t>S-0139</t>
  </si>
  <si>
    <t>S-0140</t>
  </si>
  <si>
    <t>S-0141</t>
  </si>
  <si>
    <t>S-0143</t>
  </si>
  <si>
    <t>S-0144</t>
  </si>
  <si>
    <t>S-0145</t>
  </si>
  <si>
    <t>S-0146</t>
  </si>
  <si>
    <t>S-0147</t>
  </si>
  <si>
    <t>S-0148</t>
  </si>
  <si>
    <t>S-0149</t>
  </si>
  <si>
    <t>S-0150</t>
  </si>
  <si>
    <t>S-0151</t>
  </si>
  <si>
    <t>S-0152</t>
  </si>
  <si>
    <t>S-0153</t>
  </si>
  <si>
    <t>S-0154</t>
  </si>
  <si>
    <t>S-0155</t>
  </si>
  <si>
    <t>S-0156</t>
  </si>
  <si>
    <t>S-0157</t>
  </si>
  <si>
    <t>S-0159</t>
  </si>
  <si>
    <t>S-0160</t>
  </si>
  <si>
    <t>S-0161</t>
  </si>
  <si>
    <t>S-0162</t>
  </si>
  <si>
    <t>S-0163</t>
  </si>
  <si>
    <t>S-0164</t>
  </si>
  <si>
    <t>S-0165</t>
  </si>
  <si>
    <t>S-0166</t>
  </si>
  <si>
    <t>S-0167</t>
  </si>
  <si>
    <t>S-0168</t>
  </si>
  <si>
    <t>R-0129</t>
  </si>
  <si>
    <t>R-0130</t>
  </si>
  <si>
    <t>R-0131</t>
  </si>
  <si>
    <t>R-0132</t>
  </si>
  <si>
    <t>R-0133</t>
  </si>
  <si>
    <t>R-0134</t>
  </si>
  <si>
    <t>R-0135</t>
  </si>
  <si>
    <t>R-0136</t>
  </si>
  <si>
    <t>R-0137</t>
  </si>
  <si>
    <t>R-0138</t>
  </si>
  <si>
    <t>R-0139</t>
  </si>
  <si>
    <t>R-0140</t>
  </si>
  <si>
    <t>R-0141</t>
  </si>
  <si>
    <t>R-0142</t>
  </si>
  <si>
    <t>R-0143</t>
  </si>
  <si>
    <t>R-0144</t>
  </si>
  <si>
    <t>R-0145</t>
  </si>
  <si>
    <t>R-0146</t>
  </si>
  <si>
    <t>R-0147</t>
  </si>
  <si>
    <t>R-0148</t>
  </si>
  <si>
    <t>R-0149</t>
  </si>
  <si>
    <t>R-0150</t>
  </si>
  <si>
    <t>R-0151</t>
  </si>
  <si>
    <t>R-0152</t>
  </si>
  <si>
    <t>R-0153</t>
  </si>
  <si>
    <t>R-0154</t>
  </si>
  <si>
    <t>R-0155</t>
  </si>
  <si>
    <t>R-0156</t>
  </si>
  <si>
    <t>R-0157</t>
  </si>
  <si>
    <t>R-0158</t>
  </si>
  <si>
    <t>R-0159</t>
  </si>
  <si>
    <t>R-0160</t>
  </si>
  <si>
    <t>R-0161</t>
  </si>
  <si>
    <t>R-0162</t>
  </si>
  <si>
    <t>R-0163</t>
  </si>
  <si>
    <t>R-0164</t>
  </si>
  <si>
    <t>R-0165</t>
  </si>
  <si>
    <t>R-0166</t>
  </si>
  <si>
    <t>R-0167</t>
  </si>
  <si>
    <t>R-0168</t>
  </si>
  <si>
    <t>S/R-0129</t>
  </si>
  <si>
    <t>S/R-0130</t>
  </si>
  <si>
    <t>S/R-0131</t>
  </si>
  <si>
    <t>S/R-0132</t>
  </si>
  <si>
    <t>S/R-0133</t>
  </si>
  <si>
    <t>S/R-0134</t>
  </si>
  <si>
    <t>S/R-0135</t>
  </si>
  <si>
    <t>S/R-0136</t>
  </si>
  <si>
    <t>S/R-0137</t>
  </si>
  <si>
    <t>S/R-0138</t>
  </si>
  <si>
    <t>S/R-0139</t>
  </si>
  <si>
    <t>S/R-0140</t>
  </si>
  <si>
    <t>S/R-0141</t>
  </si>
  <si>
    <t>S/R-0142</t>
  </si>
  <si>
    <t>S/R-0143</t>
  </si>
  <si>
    <t>S/R-0144</t>
  </si>
  <si>
    <t>S/R-0145</t>
  </si>
  <si>
    <t>S/R-0146</t>
  </si>
  <si>
    <t>S/R-0147</t>
  </si>
  <si>
    <t>S/R-0148</t>
  </si>
  <si>
    <t>S/R-0149</t>
  </si>
  <si>
    <t>S/R-0150</t>
  </si>
  <si>
    <t>S/R-0151</t>
  </si>
  <si>
    <t>S/R-0152</t>
  </si>
  <si>
    <t>S/R-0153</t>
  </si>
  <si>
    <t>S/R-0154</t>
  </si>
  <si>
    <t>S/R-0155</t>
  </si>
  <si>
    <t>S/R-0156</t>
  </si>
  <si>
    <t>S/R-0157</t>
  </si>
  <si>
    <t>S/R-0158</t>
  </si>
  <si>
    <t>S/R-0159</t>
  </si>
  <si>
    <t>S/R-0160</t>
  </si>
  <si>
    <t>S/R-0161</t>
  </si>
  <si>
    <t>S/R-0162</t>
  </si>
  <si>
    <t>S/R-0163</t>
  </si>
  <si>
    <t>S/R-0164</t>
  </si>
  <si>
    <t>S/R-0165</t>
  </si>
  <si>
    <t>S/R-0166</t>
  </si>
  <si>
    <t>S/R-0167</t>
  </si>
  <si>
    <t>S/R-0168</t>
  </si>
  <si>
    <t>S-0169</t>
  </si>
  <si>
    <t>S-0170</t>
  </si>
  <si>
    <t>S-0171</t>
  </si>
  <si>
    <t>S-0172</t>
  </si>
  <si>
    <t>S-0173</t>
  </si>
  <si>
    <t>S-0174</t>
  </si>
  <si>
    <t>S-0175</t>
  </si>
  <si>
    <t>S-0176</t>
  </si>
  <si>
    <t>R-0169</t>
  </si>
  <si>
    <t>R-0170</t>
  </si>
  <si>
    <t>R-0171</t>
  </si>
  <si>
    <t>R-0172</t>
  </si>
  <si>
    <t>R-0173</t>
  </si>
  <si>
    <t>R-0174</t>
  </si>
  <si>
    <t>R-0175</t>
  </si>
  <si>
    <t>R-0176</t>
  </si>
  <si>
    <t>Tiempo</t>
  </si>
  <si>
    <t xml:space="preserve">Perdida de Masa </t>
  </si>
  <si>
    <t>Transecto A Verde</t>
  </si>
  <si>
    <t>Transecto C Verde</t>
  </si>
  <si>
    <t>Transecto A Rojo</t>
  </si>
  <si>
    <t>Transecto C Rojo</t>
  </si>
  <si>
    <t>INUNDADO</t>
  </si>
  <si>
    <t>Event 4</t>
  </si>
  <si>
    <t xml:space="preserve">Humacao </t>
  </si>
  <si>
    <t>Lag. Tortuguero</t>
  </si>
  <si>
    <t>S-0177</t>
  </si>
  <si>
    <t>S-0178</t>
  </si>
  <si>
    <t>S-0179</t>
  </si>
  <si>
    <t>S-0180</t>
  </si>
  <si>
    <t>S-0181</t>
  </si>
  <si>
    <t>S-0182</t>
  </si>
  <si>
    <t>S-0183</t>
  </si>
  <si>
    <t>S-0184</t>
  </si>
  <si>
    <t>S-0185</t>
  </si>
  <si>
    <t>S-0186</t>
  </si>
  <si>
    <t>S-0187</t>
  </si>
  <si>
    <t>S-0188</t>
  </si>
  <si>
    <t>S-0189</t>
  </si>
  <si>
    <t>S-0190</t>
  </si>
  <si>
    <t>S-0191</t>
  </si>
  <si>
    <t>S-0192</t>
  </si>
  <si>
    <t>S-0193</t>
  </si>
  <si>
    <t>S-0194</t>
  </si>
  <si>
    <t>S-0195</t>
  </si>
  <si>
    <t>S-0196</t>
  </si>
  <si>
    <t>S-0197</t>
  </si>
  <si>
    <t>S-0198</t>
  </si>
  <si>
    <t>S-0199</t>
  </si>
  <si>
    <t>S-0200</t>
  </si>
  <si>
    <t>S-0201</t>
  </si>
  <si>
    <t>S-0202</t>
  </si>
  <si>
    <t>S-0203</t>
  </si>
  <si>
    <t>S-0204</t>
  </si>
  <si>
    <t>S-0205</t>
  </si>
  <si>
    <t>S-0206</t>
  </si>
  <si>
    <t>S-0207</t>
  </si>
  <si>
    <t>S-0208</t>
  </si>
  <si>
    <t>S-0209</t>
  </si>
  <si>
    <t>S-0210</t>
  </si>
  <si>
    <t>S-0211</t>
  </si>
  <si>
    <t>S-0212</t>
  </si>
  <si>
    <t>S-0213</t>
  </si>
  <si>
    <t>S-0214</t>
  </si>
  <si>
    <t>S-0215</t>
  </si>
  <si>
    <t>S-0216</t>
  </si>
  <si>
    <t>S-0217</t>
  </si>
  <si>
    <t>S-0218</t>
  </si>
  <si>
    <t>S-0219</t>
  </si>
  <si>
    <t>S-0220</t>
  </si>
  <si>
    <t>S-0221</t>
  </si>
  <si>
    <t>S-0222</t>
  </si>
  <si>
    <t>S-0223</t>
  </si>
  <si>
    <t>S-0224</t>
  </si>
  <si>
    <t>S/R-0169</t>
  </si>
  <si>
    <t>S/R-0170</t>
  </si>
  <si>
    <t>S/R-0171</t>
  </si>
  <si>
    <t>S/R-0172</t>
  </si>
  <si>
    <t>S/R-0173</t>
  </si>
  <si>
    <t>S/R-0174</t>
  </si>
  <si>
    <t>S/R-0175</t>
  </si>
  <si>
    <t>S/R-0176</t>
  </si>
  <si>
    <t>Arroyo - A- 9</t>
  </si>
  <si>
    <t>Arroyo - A- 14</t>
  </si>
  <si>
    <t>Arroyo - A -35</t>
  </si>
  <si>
    <t>Arroyo - A- 44</t>
  </si>
  <si>
    <t>Arroyo - C- 9</t>
  </si>
  <si>
    <t>Arroyo - C- 14</t>
  </si>
  <si>
    <t>Arroyo - C -35</t>
  </si>
  <si>
    <t>Arroyo - C- 44</t>
  </si>
  <si>
    <t>S/R-0177</t>
  </si>
  <si>
    <t>S/R-0178</t>
  </si>
  <si>
    <t>S/R-0179</t>
  </si>
  <si>
    <t>S/R-0180</t>
  </si>
  <si>
    <t>S/R-0181</t>
  </si>
  <si>
    <t>S/R-0182</t>
  </si>
  <si>
    <t>S/R-0183</t>
  </si>
  <si>
    <t>S/R-0184</t>
  </si>
  <si>
    <t>S/R-0185</t>
  </si>
  <si>
    <t>S/R-0186</t>
  </si>
  <si>
    <t>S/R-0187</t>
  </si>
  <si>
    <t>S/R-0188</t>
  </si>
  <si>
    <t>S/R-0189</t>
  </si>
  <si>
    <t>S/R-0190</t>
  </si>
  <si>
    <t>S/R-0191</t>
  </si>
  <si>
    <t>S/R-0192</t>
  </si>
  <si>
    <t>S/R-0193</t>
  </si>
  <si>
    <t>S/R-0194</t>
  </si>
  <si>
    <t>S/R-0195</t>
  </si>
  <si>
    <t>S/R-0196</t>
  </si>
  <si>
    <t>S/R-0197</t>
  </si>
  <si>
    <t>S/R-0198</t>
  </si>
  <si>
    <t>S/R-0199</t>
  </si>
  <si>
    <t>S/R-0200</t>
  </si>
  <si>
    <t>S/R-0201</t>
  </si>
  <si>
    <t>S/R-0202</t>
  </si>
  <si>
    <t>S/R-0203</t>
  </si>
  <si>
    <t>S/R-0204</t>
  </si>
  <si>
    <t>S/R-0205</t>
  </si>
  <si>
    <t>S/R-0206</t>
  </si>
  <si>
    <t>S/R-0207</t>
  </si>
  <si>
    <t>S/R-0208</t>
  </si>
  <si>
    <t>S/R-0209</t>
  </si>
  <si>
    <t>S/R-0210</t>
  </si>
  <si>
    <t>S/R-0211</t>
  </si>
  <si>
    <t>S/R-0212</t>
  </si>
  <si>
    <t>S/R-0213</t>
  </si>
  <si>
    <t>S/R-0214</t>
  </si>
  <si>
    <t>S/R-0215</t>
  </si>
  <si>
    <t>S/R-0216</t>
  </si>
  <si>
    <t>S/R-0217</t>
  </si>
  <si>
    <t>S/R-0218</t>
  </si>
  <si>
    <t>S/R-0219</t>
  </si>
  <si>
    <t>S/R-0220</t>
  </si>
  <si>
    <t>S/R-0221</t>
  </si>
  <si>
    <t>S/R-0222</t>
  </si>
  <si>
    <t>S/R-0223</t>
  </si>
  <si>
    <t>S/R-0224</t>
  </si>
  <si>
    <t>R-0177</t>
  </si>
  <si>
    <t>R-0178</t>
  </si>
  <si>
    <t>R-0179</t>
  </si>
  <si>
    <t>R-0180</t>
  </si>
  <si>
    <t>R-0181</t>
  </si>
  <si>
    <t>R-0182</t>
  </si>
  <si>
    <t>R-0183</t>
  </si>
  <si>
    <t>R-0184</t>
  </si>
  <si>
    <t>R-0185</t>
  </si>
  <si>
    <t>R-0186</t>
  </si>
  <si>
    <t>R-0187</t>
  </si>
  <si>
    <t>R-0188</t>
  </si>
  <si>
    <t>R-0189</t>
  </si>
  <si>
    <t>R-0191</t>
  </si>
  <si>
    <t>R-0192</t>
  </si>
  <si>
    <t>R-0193</t>
  </si>
  <si>
    <t>R-0194</t>
  </si>
  <si>
    <t>R-0195</t>
  </si>
  <si>
    <t>R-0196</t>
  </si>
  <si>
    <t>R-0197</t>
  </si>
  <si>
    <t>R-0198</t>
  </si>
  <si>
    <t>R-0199</t>
  </si>
  <si>
    <t>R-0200</t>
  </si>
  <si>
    <t>R-0201</t>
  </si>
  <si>
    <t>R-0202</t>
  </si>
  <si>
    <t>R-0203</t>
  </si>
  <si>
    <t>R-0204</t>
  </si>
  <si>
    <t>R-0205</t>
  </si>
  <si>
    <t>R-0206</t>
  </si>
  <si>
    <t>R-0207</t>
  </si>
  <si>
    <t>R-0208</t>
  </si>
  <si>
    <t>R-0209</t>
  </si>
  <si>
    <t>R-0210</t>
  </si>
  <si>
    <t>R-0211</t>
  </si>
  <si>
    <t>R-0212</t>
  </si>
  <si>
    <t>R-0213</t>
  </si>
  <si>
    <t>R-0214</t>
  </si>
  <si>
    <t>R-0215</t>
  </si>
  <si>
    <t>R-0216</t>
  </si>
  <si>
    <t>R-0217</t>
  </si>
  <si>
    <t>R-0218</t>
  </si>
  <si>
    <t>R-0219</t>
  </si>
  <si>
    <t>R-0220</t>
  </si>
  <si>
    <t>R-0221</t>
  </si>
  <si>
    <t>R-0222</t>
  </si>
  <si>
    <t>R-0223</t>
  </si>
  <si>
    <t>R-0224</t>
  </si>
  <si>
    <t>Laguna Cartagena</t>
  </si>
  <si>
    <t>CONTROL C</t>
  </si>
  <si>
    <t>S-0225</t>
  </si>
  <si>
    <t>S-0226</t>
  </si>
  <si>
    <t>S-0227</t>
  </si>
  <si>
    <t>S-0228</t>
  </si>
  <si>
    <t>S-0229</t>
  </si>
  <si>
    <t>S-0230</t>
  </si>
  <si>
    <t>S-0231</t>
  </si>
  <si>
    <t>S-0232</t>
  </si>
  <si>
    <t>S-0233</t>
  </si>
  <si>
    <t>S-0234</t>
  </si>
  <si>
    <t>S-0235</t>
  </si>
  <si>
    <t>S-0236</t>
  </si>
  <si>
    <t>S-0237</t>
  </si>
  <si>
    <t>S-0238</t>
  </si>
  <si>
    <t>S-0239</t>
  </si>
  <si>
    <t>S-0240</t>
  </si>
  <si>
    <t>S-0241</t>
  </si>
  <si>
    <t>S-0242</t>
  </si>
  <si>
    <t>S-0243</t>
  </si>
  <si>
    <t>S-0244</t>
  </si>
  <si>
    <t>S-0245</t>
  </si>
  <si>
    <t>S-0246</t>
  </si>
  <si>
    <t>S-0247</t>
  </si>
  <si>
    <t>S-0248</t>
  </si>
  <si>
    <t>S-0249</t>
  </si>
  <si>
    <t>S-0250</t>
  </si>
  <si>
    <t>S-0251</t>
  </si>
  <si>
    <t>S-0252</t>
  </si>
  <si>
    <t>S-0253</t>
  </si>
  <si>
    <t>S-0254</t>
  </si>
  <si>
    <t>S-0255</t>
  </si>
  <si>
    <t>S-0256</t>
  </si>
  <si>
    <t>R-0225</t>
  </si>
  <si>
    <t>R-0226</t>
  </si>
  <si>
    <t>R-0227</t>
  </si>
  <si>
    <t>R-0228</t>
  </si>
  <si>
    <t>R-0229</t>
  </si>
  <si>
    <t>R-0230</t>
  </si>
  <si>
    <t>R-0231</t>
  </si>
  <si>
    <t>R-0232</t>
  </si>
  <si>
    <t>R-0233</t>
  </si>
  <si>
    <t>R-0234</t>
  </si>
  <si>
    <t>R-0235</t>
  </si>
  <si>
    <t>R-0236</t>
  </si>
  <si>
    <t>R-0237</t>
  </si>
  <si>
    <t>R-0238</t>
  </si>
  <si>
    <t>R-0239</t>
  </si>
  <si>
    <t>R-0240</t>
  </si>
  <si>
    <t>R-0241</t>
  </si>
  <si>
    <t>R-0242</t>
  </si>
  <si>
    <t>R-0243</t>
  </si>
  <si>
    <t>R-0244</t>
  </si>
  <si>
    <t>R-0245</t>
  </si>
  <si>
    <t>R-0246</t>
  </si>
  <si>
    <t>R-0247</t>
  </si>
  <si>
    <t>R-0248</t>
  </si>
  <si>
    <t>R-0249</t>
  </si>
  <si>
    <t>R-0250</t>
  </si>
  <si>
    <t>R-0251</t>
  </si>
  <si>
    <t>R-0252</t>
  </si>
  <si>
    <t>R-0253</t>
  </si>
  <si>
    <t>R-0254</t>
  </si>
  <si>
    <t>R-0255</t>
  </si>
  <si>
    <t>R-0256</t>
  </si>
  <si>
    <t>S/R-0225</t>
  </si>
  <si>
    <t>S/R-0226</t>
  </si>
  <si>
    <t>S/R-0227</t>
  </si>
  <si>
    <t>S/R-0228</t>
  </si>
  <si>
    <t>S/R-0229</t>
  </si>
  <si>
    <t>S/R-0230</t>
  </si>
  <si>
    <t>S/R-0231</t>
  </si>
  <si>
    <t>S/R-0232</t>
  </si>
  <si>
    <t>S/R-0233</t>
  </si>
  <si>
    <t>S/R-0234</t>
  </si>
  <si>
    <t>S/R-0235</t>
  </si>
  <si>
    <t>S/R-0236</t>
  </si>
  <si>
    <t>S/R-0237</t>
  </si>
  <si>
    <t>S/R-0238</t>
  </si>
  <si>
    <t>S/R-0239</t>
  </si>
  <si>
    <t>S/R-0240</t>
  </si>
  <si>
    <t>S/R-0241</t>
  </si>
  <si>
    <t>S/R-0242</t>
  </si>
  <si>
    <t>S/R-0243</t>
  </si>
  <si>
    <t>S/R-0244</t>
  </si>
  <si>
    <t>S/R-0245</t>
  </si>
  <si>
    <t>S/R-0246</t>
  </si>
  <si>
    <t>S/R-0247</t>
  </si>
  <si>
    <t>S/R-0248</t>
  </si>
  <si>
    <t>S/R-0249</t>
  </si>
  <si>
    <t>S/R-0250</t>
  </si>
  <si>
    <t>S/R-0251</t>
  </si>
  <si>
    <t>S/R-0252</t>
  </si>
  <si>
    <t>S/R-0253</t>
  </si>
  <si>
    <t>S/R-0254</t>
  </si>
  <si>
    <t>S/R-0255</t>
  </si>
  <si>
    <t>S/R-0256</t>
  </si>
  <si>
    <t>CONTROL D</t>
  </si>
  <si>
    <t>S/R-0257</t>
  </si>
  <si>
    <t>S/R-0258</t>
  </si>
  <si>
    <t>S/R-0259</t>
  </si>
  <si>
    <t>S/R-0260</t>
  </si>
  <si>
    <t>S/R-0261</t>
  </si>
  <si>
    <t>S/R-0262</t>
  </si>
  <si>
    <t>S/R-0263</t>
  </si>
  <si>
    <t>S/R-0264</t>
  </si>
  <si>
    <t>NA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</si>
  <si>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</si>
  <si>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</si>
  <si>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</si>
  <si>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</si>
  <si>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</si>
  <si>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</si>
  <si>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</si>
  <si>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</si>
  <si>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R-257</t>
  </si>
  <si>
    <t>R-258</t>
  </si>
  <si>
    <t>R-259</t>
  </si>
  <si>
    <t>R-260</t>
  </si>
  <si>
    <t>R-261</t>
  </si>
  <si>
    <t>R-262</t>
  </si>
  <si>
    <t>R-263</t>
  </si>
  <si>
    <t>R-264</t>
  </si>
  <si>
    <t>S/R-0265</t>
  </si>
  <si>
    <t>S/R-0266</t>
  </si>
  <si>
    <t>S/R-0267</t>
  </si>
  <si>
    <t>S/R-0268</t>
  </si>
  <si>
    <t>S/R-0269</t>
  </si>
  <si>
    <t>S/R-0270</t>
  </si>
  <si>
    <t>S/R-0271</t>
  </si>
  <si>
    <t>S/R-0272</t>
  </si>
  <si>
    <t>S-0265</t>
  </si>
  <si>
    <t>S-0266</t>
  </si>
  <si>
    <t>S-0267</t>
  </si>
  <si>
    <t>S-0268</t>
  </si>
  <si>
    <t>S-0269</t>
  </si>
  <si>
    <t>S-0271</t>
  </si>
  <si>
    <t>S-0272</t>
  </si>
  <si>
    <t>R-0265</t>
  </si>
  <si>
    <t>R-0266</t>
  </si>
  <si>
    <t>R-0267</t>
  </si>
  <si>
    <t>R-0268</t>
  </si>
  <si>
    <t>R-0269</t>
  </si>
  <si>
    <t>R-0271</t>
  </si>
  <si>
    <t>R-0272</t>
  </si>
  <si>
    <t>Sencha</t>
  </si>
  <si>
    <t>Rooibos</t>
  </si>
  <si>
    <t>Mean</t>
  </si>
  <si>
    <t>SD</t>
  </si>
  <si>
    <t>Total Mass (g)</t>
  </si>
  <si>
    <t>Water soluble Fractionn (g/g)</t>
  </si>
  <si>
    <t>Empty Bag Mass (g)</t>
  </si>
  <si>
    <t>Tea mass (g)</t>
  </si>
  <si>
    <t>Humacao-R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</si>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</sst>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[$-409]d\-mmm\-yy;@"/>
    <numFmt numFmtId="166" formatCode="dd/mm/yyyy;@"/>
    <numFmt numFmtId="167" formatCode="[$-809]dd\ mmmm\ yyyy;@"/>
    <numFmt numFmtId="168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7553D"/>
        <bgColor indexed="64"/>
      </patternFill>
    </fill>
    <fill>
      <patternFill patternType="solid">
        <fgColor theme="7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/>
      <right style="thin">
        <color rgb="FF00B050"/>
      </right>
      <top/>
      <bottom/>
      <diagonal/>
    </border>
    <border>
      <left style="thin">
        <color theme="9" tint="-0.499984740745262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auto="1"/>
      </left>
      <right/>
      <top style="medium">
        <color auto="1"/>
      </top>
      <bottom style="thin">
        <color rgb="FF00B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B050"/>
      </bottom>
      <diagonal/>
    </border>
    <border>
      <left/>
      <right style="thin">
        <color auto="1"/>
      </right>
      <top style="medium">
        <color auto="1"/>
      </top>
      <bottom style="thin">
        <color rgb="FF00B050"/>
      </bottom>
      <diagonal/>
    </border>
    <border>
      <left/>
      <right/>
      <top style="medium">
        <color auto="1"/>
      </top>
      <bottom style="thin">
        <color rgb="FF00B05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B050"/>
      </bottom>
      <diagonal/>
    </border>
    <border>
      <left/>
      <right style="thin">
        <color theme="5"/>
      </right>
      <top style="thin">
        <color rgb="FF00B050"/>
      </top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5"/>
      </top>
      <bottom/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indexed="64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 style="thin">
        <color theme="4" tint="-0.249977111117893"/>
      </top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 style="thin">
        <color rgb="FF0070C0"/>
      </top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7"/>
      </right>
      <top/>
      <bottom style="thin">
        <color theme="7"/>
      </bottom>
      <diagonal/>
    </border>
    <border>
      <left/>
      <right style="thin">
        <color rgb="FF00B050"/>
      </right>
      <top style="thin">
        <color theme="7"/>
      </top>
      <bottom/>
      <diagonal/>
    </border>
    <border>
      <left/>
      <right style="thin">
        <color theme="7"/>
      </right>
      <top style="thin">
        <color theme="4" tint="-0.249977111117893"/>
      </top>
      <bottom/>
      <diagonal/>
    </border>
    <border>
      <left/>
      <right/>
      <top/>
      <bottom style="thin">
        <color rgb="FF7030A0"/>
      </bottom>
      <diagonal/>
    </border>
    <border>
      <left/>
      <right style="thin">
        <color rgb="FF7030A0"/>
      </right>
      <top style="thin">
        <color theme="7"/>
      </top>
      <bottom/>
      <diagonal/>
    </border>
    <border>
      <left/>
      <right style="thin">
        <color rgb="FF7030A0"/>
      </right>
      <top/>
      <bottom/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/>
      <right style="thin">
        <color theme="9" tint="-0.499984740745262"/>
      </right>
      <top style="thin">
        <color rgb="FF7030A0"/>
      </top>
      <bottom/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9" tint="-0.499984740745262"/>
      </top>
      <bottom/>
      <diagonal/>
    </border>
    <border>
      <left/>
      <right style="thin">
        <color theme="8" tint="-0.249977111117893"/>
      </right>
      <top/>
      <bottom/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8" tint="-0.249977111117893"/>
      </top>
      <bottom/>
      <diagonal/>
    </border>
    <border>
      <left/>
      <right style="thin">
        <color theme="5" tint="-0.249977111117893"/>
      </right>
      <top/>
      <bottom/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rgb="FF7030A0"/>
      </right>
      <top style="thin">
        <color theme="5" tint="-0.249977111117893"/>
      </top>
      <bottom/>
      <diagonal/>
    </border>
    <border>
      <left/>
      <right style="thin">
        <color theme="5" tint="-0.249977111117893"/>
      </right>
      <top style="thin">
        <color rgb="FF7030A0"/>
      </top>
      <bottom/>
      <diagonal/>
    </border>
    <border>
      <left/>
      <right/>
      <top/>
      <bottom style="thin">
        <color rgb="FFFFFF00"/>
      </bottom>
      <diagonal/>
    </border>
    <border>
      <left/>
      <right style="thin">
        <color rgb="FFFFFF00"/>
      </right>
      <top style="thin">
        <color theme="5" tint="-0.249977111117893"/>
      </top>
      <bottom/>
      <diagonal/>
    </border>
    <border>
      <left/>
      <right style="thin">
        <color rgb="FFFFFF00"/>
      </right>
      <top/>
      <bottom/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rgb="FFFFFF00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thin">
        <color rgb="FF7030A0"/>
      </right>
      <top style="thin">
        <color theme="4" tint="-0.249977111117893"/>
      </top>
      <bottom/>
      <diagonal/>
    </border>
    <border>
      <left/>
      <right style="thin">
        <color rgb="FFFFFF00"/>
      </right>
      <top style="thin">
        <color theme="9" tint="-0.249977111117893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2" fontId="0" fillId="0" borderId="0" xfId="0" applyNumberFormat="1"/>
    <xf numFmtId="15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/>
    </xf>
    <xf numFmtId="165" fontId="1" fillId="2" borderId="1" xfId="0" applyNumberFormat="1" applyFont="1" applyFill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8" fontId="7" fillId="0" borderId="0" xfId="0" applyNumberFormat="1" applyFont="1" applyFill="1" applyBorder="1" applyAlignment="1" applyProtection="1">
      <alignment horizontal="center"/>
    </xf>
    <xf numFmtId="168" fontId="7" fillId="3" borderId="0" xfId="0" applyNumberFormat="1" applyFont="1" applyFill="1" applyBorder="1" applyAlignment="1" applyProtection="1">
      <alignment horizontal="center"/>
    </xf>
    <xf numFmtId="168" fontId="3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4" borderId="0" xfId="0" applyFill="1"/>
    <xf numFmtId="2" fontId="0" fillId="4" borderId="0" xfId="0" applyNumberFormat="1" applyFill="1"/>
    <xf numFmtId="15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15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15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5" fontId="0" fillId="7" borderId="0" xfId="0" applyNumberFormat="1" applyFill="1"/>
    <xf numFmtId="164" fontId="0" fillId="7" borderId="0" xfId="0" applyNumberFormat="1" applyFill="1"/>
    <xf numFmtId="0" fontId="0" fillId="2" borderId="0" xfId="0" applyFill="1"/>
    <xf numFmtId="2" fontId="0" fillId="2" borderId="0" xfId="0" applyNumberFormat="1" applyFill="1"/>
    <xf numFmtId="15" fontId="0" fillId="2" borderId="0" xfId="0" applyNumberFormat="1" applyFill="1"/>
    <xf numFmtId="164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2" fontId="0" fillId="8" borderId="0" xfId="0" applyNumberFormat="1" applyFill="1"/>
    <xf numFmtId="15" fontId="0" fillId="8" borderId="0" xfId="0" applyNumberFormat="1" applyFill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1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9" borderId="0" xfId="0" applyFill="1"/>
    <xf numFmtId="2" fontId="0" fillId="9" borderId="0" xfId="0" applyNumberFormat="1" applyFill="1"/>
    <xf numFmtId="15" fontId="0" fillId="9" borderId="0" xfId="0" applyNumberFormat="1" applyFill="1"/>
    <xf numFmtId="164" fontId="0" fillId="9" borderId="0" xfId="0" applyNumberFormat="1" applyFill="1"/>
    <xf numFmtId="15" fontId="1" fillId="9" borderId="0" xfId="0" applyNumberFormat="1" applyFont="1" applyFill="1" applyAlignment="1">
      <alignment horizontal="center"/>
    </xf>
    <xf numFmtId="15" fontId="1" fillId="4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/>
    <xf numFmtId="2" fontId="0" fillId="0" borderId="0" xfId="0" applyNumberFormat="1" applyFill="1" applyBorder="1" applyAlignment="1" applyProtection="1">
      <alignment horizontal="center"/>
    </xf>
    <xf numFmtId="2" fontId="0" fillId="0" borderId="0" xfId="0" applyNumberFormat="1" applyFill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5" fontId="1" fillId="0" borderId="0" xfId="0" applyNumberFormat="1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10" borderId="0" xfId="0" applyFill="1"/>
    <xf numFmtId="2" fontId="0" fillId="10" borderId="0" xfId="0" applyNumberFormat="1" applyFill="1"/>
    <xf numFmtId="15" fontId="0" fillId="10" borderId="0" xfId="0" applyNumberFormat="1" applyFill="1"/>
    <xf numFmtId="164" fontId="0" fillId="10" borderId="0" xfId="0" applyNumberFormat="1" applyFill="1"/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/>
    <xf numFmtId="2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15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8" fontId="7" fillId="0" borderId="12" xfId="0" applyNumberFormat="1" applyFont="1" applyFill="1" applyBorder="1" applyAlignment="1" applyProtection="1">
      <alignment horizontal="center"/>
    </xf>
    <xf numFmtId="168" fontId="3" fillId="0" borderId="12" xfId="0" applyNumberFormat="1" applyFont="1" applyFill="1" applyBorder="1" applyAlignment="1" applyProtection="1">
      <alignment horizontal="center"/>
    </xf>
    <xf numFmtId="2" fontId="0" fillId="0" borderId="12" xfId="0" applyNumberFormat="1" applyFill="1" applyBorder="1" applyAlignment="1" applyProtection="1">
      <alignment horizontal="center"/>
    </xf>
    <xf numFmtId="0" fontId="0" fillId="0" borderId="13" xfId="0" applyBorder="1"/>
    <xf numFmtId="168" fontId="0" fillId="0" borderId="0" xfId="0" applyNumberFormat="1" applyBorder="1"/>
    <xf numFmtId="164" fontId="0" fillId="0" borderId="0" xfId="0" applyNumberFormat="1" applyBorder="1"/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5" xfId="0" applyFont="1" applyFill="1" applyBorder="1" applyAlignment="1" applyProtection="1">
      <alignment horizontal="center" vertical="center" wrapText="1"/>
    </xf>
    <xf numFmtId="0" fontId="0" fillId="0" borderId="16" xfId="0" applyFont="1" applyFill="1" applyBorder="1" applyAlignment="1" applyProtection="1">
      <alignment horizontal="center" vertical="center" wrapText="1"/>
    </xf>
    <xf numFmtId="166" fontId="0" fillId="0" borderId="15" xfId="0" applyNumberFormat="1" applyFont="1" applyFill="1" applyBorder="1" applyAlignment="1" applyProtection="1">
      <alignment horizontal="center" vertical="center" wrapText="1"/>
    </xf>
    <xf numFmtId="167" fontId="0" fillId="0" borderId="15" xfId="0" applyNumberFormat="1" applyFont="1" applyFill="1" applyBorder="1" applyAlignment="1" applyProtection="1">
      <alignment horizontal="center" vertical="center" wrapText="1"/>
    </xf>
    <xf numFmtId="0" fontId="11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164" fontId="0" fillId="0" borderId="15" xfId="0" applyNumberFormat="1" applyFont="1" applyFill="1" applyBorder="1" applyAlignment="1" applyProtection="1">
      <alignment horizontal="center" vertical="center" wrapText="1"/>
    </xf>
    <xf numFmtId="0" fontId="0" fillId="0" borderId="12" xfId="0" applyFont="1" applyBorder="1" applyAlignment="1">
      <alignment horizontal="left" vertical="center" wrapText="1"/>
    </xf>
    <xf numFmtId="0" fontId="7" fillId="0" borderId="17" xfId="0" applyFont="1" applyFill="1" applyBorder="1" applyAlignment="1" applyProtection="1">
      <alignment horizontal="center" vertical="center" wrapText="1"/>
    </xf>
    <xf numFmtId="0" fontId="3" fillId="0" borderId="17" xfId="0" applyFont="1" applyFill="1" applyBorder="1" applyAlignment="1" applyProtection="1">
      <alignment horizontal="center" vertical="center" wrapText="1"/>
    </xf>
    <xf numFmtId="0" fontId="0" fillId="0" borderId="1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  <protection locked="0"/>
    </xf>
    <xf numFmtId="0" fontId="9" fillId="0" borderId="12" xfId="0" applyFont="1" applyFill="1" applyBorder="1" applyAlignment="1">
      <alignment horizontal="left" wrapText="1"/>
    </xf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2" xfId="0" applyBorder="1"/>
    <xf numFmtId="15" fontId="0" fillId="0" borderId="22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8" fontId="7" fillId="0" borderId="22" xfId="0" applyNumberFormat="1" applyFont="1" applyFill="1" applyBorder="1" applyAlignment="1" applyProtection="1">
      <alignment horizontal="center"/>
    </xf>
    <xf numFmtId="168" fontId="3" fillId="0" borderId="22" xfId="0" applyNumberFormat="1" applyFont="1" applyFill="1" applyBorder="1" applyAlignment="1" applyProtection="1">
      <alignment horizontal="center"/>
    </xf>
    <xf numFmtId="2" fontId="0" fillId="0" borderId="22" xfId="0" applyNumberFormat="1" applyFill="1" applyBorder="1" applyAlignment="1" applyProtection="1">
      <alignment horizontal="center"/>
    </xf>
    <xf numFmtId="0" fontId="0" fillId="0" borderId="21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15" fontId="0" fillId="0" borderId="23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8" fontId="7" fillId="0" borderId="23" xfId="0" applyNumberFormat="1" applyFont="1" applyFill="1" applyBorder="1" applyAlignment="1" applyProtection="1">
      <alignment horizontal="center"/>
    </xf>
    <xf numFmtId="168" fontId="3" fillId="0" borderId="23" xfId="0" applyNumberFormat="1" applyFont="1" applyFill="1" applyBorder="1" applyAlignment="1" applyProtection="1">
      <alignment horizontal="center"/>
    </xf>
    <xf numFmtId="2" fontId="0" fillId="0" borderId="23" xfId="0" applyNumberFormat="1" applyFill="1" applyBorder="1" applyAlignment="1" applyProtection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15" fontId="0" fillId="0" borderId="28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168" fontId="7" fillId="0" borderId="28" xfId="0" applyNumberFormat="1" applyFont="1" applyFill="1" applyBorder="1" applyAlignment="1" applyProtection="1">
      <alignment horizontal="center"/>
    </xf>
    <xf numFmtId="168" fontId="7" fillId="3" borderId="28" xfId="0" applyNumberFormat="1" applyFont="1" applyFill="1" applyBorder="1" applyAlignment="1" applyProtection="1">
      <alignment horizontal="center"/>
    </xf>
    <xf numFmtId="168" fontId="3" fillId="0" borderId="28" xfId="0" applyNumberFormat="1" applyFont="1" applyFill="1" applyBorder="1" applyAlignment="1" applyProtection="1">
      <alignment horizontal="center"/>
    </xf>
    <xf numFmtId="2" fontId="0" fillId="0" borderId="28" xfId="0" applyNumberFormat="1" applyFill="1" applyBorder="1" applyAlignment="1" applyProtection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2" xfId="0" applyBorder="1"/>
    <xf numFmtId="15" fontId="0" fillId="0" borderId="32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168" fontId="7" fillId="0" borderId="32" xfId="0" applyNumberFormat="1" applyFont="1" applyFill="1" applyBorder="1" applyAlignment="1" applyProtection="1">
      <alignment horizontal="center"/>
    </xf>
    <xf numFmtId="168" fontId="3" fillId="0" borderId="32" xfId="0" applyNumberFormat="1" applyFont="1" applyFill="1" applyBorder="1" applyAlignment="1" applyProtection="1">
      <alignment horizontal="center"/>
    </xf>
    <xf numFmtId="2" fontId="0" fillId="0" borderId="32" xfId="0" applyNumberFormat="1" applyFill="1" applyBorder="1" applyAlignment="1" applyProtection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2" xfId="0" applyFill="1" applyBorder="1" applyAlignment="1">
      <alignment horizontal="center"/>
    </xf>
    <xf numFmtId="15" fontId="1" fillId="0" borderId="12" xfId="0" applyNumberFormat="1" applyFon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15" fontId="0" fillId="0" borderId="12" xfId="0" applyNumberFormat="1" applyFill="1" applyBorder="1" applyAlignment="1">
      <alignment horizontal="center"/>
    </xf>
    <xf numFmtId="0" fontId="0" fillId="0" borderId="36" xfId="0" applyBorder="1"/>
    <xf numFmtId="0" fontId="0" fillId="0" borderId="22" xfId="0" applyFill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5" fontId="1" fillId="0" borderId="23" xfId="0" applyNumberFormat="1" applyFont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15" fontId="0" fillId="0" borderId="23" xfId="0" applyNumberForma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5" fontId="1" fillId="0" borderId="32" xfId="0" applyNumberFormat="1" applyFont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2" fontId="0" fillId="0" borderId="32" xfId="0" applyNumberFormat="1" applyFill="1" applyBorder="1" applyAlignment="1">
      <alignment horizontal="center"/>
    </xf>
    <xf numFmtId="15" fontId="0" fillId="0" borderId="32" xfId="0" applyNumberFormat="1" applyFill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8" xfId="0" applyFill="1" applyBorder="1" applyAlignment="1">
      <alignment horizontal="center"/>
    </xf>
    <xf numFmtId="0" fontId="0" fillId="0" borderId="38" xfId="0" applyBorder="1" applyAlignment="1">
      <alignment horizontal="center"/>
    </xf>
    <xf numFmtId="15" fontId="1" fillId="0" borderId="38" xfId="0" applyNumberFormat="1" applyFont="1" applyBorder="1" applyAlignment="1">
      <alignment horizontal="center"/>
    </xf>
    <xf numFmtId="164" fontId="0" fillId="0" borderId="38" xfId="0" applyNumberFormat="1" applyFill="1" applyBorder="1" applyAlignment="1">
      <alignment horizontal="center"/>
    </xf>
    <xf numFmtId="2" fontId="0" fillId="0" borderId="38" xfId="0" applyNumberForma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5" fontId="0" fillId="0" borderId="38" xfId="0" applyNumberFormat="1" applyFill="1" applyBorder="1" applyAlignment="1">
      <alignment horizontal="center"/>
    </xf>
    <xf numFmtId="168" fontId="7" fillId="0" borderId="38" xfId="0" applyNumberFormat="1" applyFont="1" applyFill="1" applyBorder="1" applyAlignment="1" applyProtection="1">
      <alignment horizontal="center"/>
    </xf>
    <xf numFmtId="2" fontId="0" fillId="0" borderId="38" xfId="0" applyNumberFormat="1" applyFill="1" applyBorder="1" applyAlignment="1" applyProtection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8" xfId="0" applyFill="1" applyBorder="1"/>
    <xf numFmtId="165" fontId="1" fillId="0" borderId="8" xfId="0" applyNumberFormat="1" applyFont="1" applyBorder="1" applyAlignment="1">
      <alignment horizontal="center"/>
    </xf>
    <xf numFmtId="0" fontId="0" fillId="0" borderId="42" xfId="0" applyBorder="1"/>
    <xf numFmtId="0" fontId="0" fillId="0" borderId="43" xfId="0" applyBorder="1" applyAlignment="1">
      <alignment horizontal="center"/>
    </xf>
    <xf numFmtId="0" fontId="0" fillId="0" borderId="43" xfId="0" applyFill="1" applyBorder="1"/>
    <xf numFmtId="15" fontId="1" fillId="0" borderId="43" xfId="0" applyNumberFormat="1" applyFon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7" xfId="0" applyFill="1" applyBorder="1"/>
    <xf numFmtId="15" fontId="1" fillId="0" borderId="47" xfId="0" applyNumberFormat="1" applyFont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8" xfId="0" applyFill="1" applyBorder="1"/>
    <xf numFmtId="0" fontId="0" fillId="0" borderId="51" xfId="0" applyBorder="1"/>
    <xf numFmtId="0" fontId="0" fillId="0" borderId="53" xfId="0" applyBorder="1" applyAlignment="1">
      <alignment horizontal="center"/>
    </xf>
    <xf numFmtId="0" fontId="0" fillId="0" borderId="53" xfId="0" applyFill="1" applyBorder="1"/>
    <xf numFmtId="0" fontId="0" fillId="0" borderId="53" xfId="0" applyFill="1" applyBorder="1" applyAlignment="1">
      <alignment horizontal="center"/>
    </xf>
    <xf numFmtId="15" fontId="1" fillId="0" borderId="53" xfId="0" applyNumberFormat="1" applyFont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15" fontId="1" fillId="2" borderId="0" xfId="0" applyNumberFormat="1" applyFont="1" applyFill="1" applyAlignment="1">
      <alignment horizontal="center"/>
    </xf>
    <xf numFmtId="15" fontId="12" fillId="2" borderId="0" xfId="0" applyNumberFormat="1" applyFont="1" applyFill="1"/>
    <xf numFmtId="0" fontId="0" fillId="0" borderId="58" xfId="0" applyBorder="1" applyAlignment="1">
      <alignment horizontal="center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168" fontId="0" fillId="0" borderId="0" xfId="0" applyNumberFormat="1" applyAlignment="1">
      <alignment horizontal="center"/>
    </xf>
    <xf numFmtId="168" fontId="7" fillId="3" borderId="38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164" fontId="3" fillId="0" borderId="12" xfId="0" applyNumberFormat="1" applyFont="1" applyFill="1" applyBorder="1" applyAlignment="1" applyProtection="1">
      <alignment horizontal="center"/>
    </xf>
    <xf numFmtId="164" fontId="3" fillId="0" borderId="22" xfId="0" applyNumberFormat="1" applyFont="1" applyFill="1" applyBorder="1" applyAlignment="1" applyProtection="1">
      <alignment horizontal="center"/>
    </xf>
    <xf numFmtId="164" fontId="3" fillId="0" borderId="23" xfId="0" applyNumberFormat="1" applyFont="1" applyFill="1" applyBorder="1" applyAlignment="1" applyProtection="1">
      <alignment horizontal="center"/>
    </xf>
    <xf numFmtId="164" fontId="3" fillId="0" borderId="28" xfId="0" applyNumberFormat="1" applyFont="1" applyFill="1" applyBorder="1" applyAlignment="1" applyProtection="1">
      <alignment horizontal="center"/>
    </xf>
    <xf numFmtId="164" fontId="3" fillId="0" borderId="32" xfId="0" applyNumberFormat="1" applyFont="1" applyFill="1" applyBorder="1" applyAlignment="1" applyProtection="1">
      <alignment horizontal="center"/>
    </xf>
    <xf numFmtId="164" fontId="3" fillId="0" borderId="38" xfId="0" applyNumberFormat="1" applyFont="1" applyFill="1" applyBorder="1" applyAlignment="1" applyProtection="1">
      <alignment horizontal="center"/>
    </xf>
    <xf numFmtId="15" fontId="1" fillId="0" borderId="0" xfId="0" applyNumberFormat="1" applyFont="1" applyFill="1" applyAlignment="1">
      <alignment horizontal="center"/>
    </xf>
    <xf numFmtId="0" fontId="0" fillId="0" borderId="64" xfId="0" applyBorder="1" applyAlignment="1">
      <alignment horizontal="center"/>
    </xf>
    <xf numFmtId="0" fontId="0" fillId="0" borderId="64" xfId="0" applyBorder="1"/>
    <xf numFmtId="0" fontId="0" fillId="0" borderId="64" xfId="0" applyFill="1" applyBorder="1" applyAlignment="1">
      <alignment horizontal="center"/>
    </xf>
    <xf numFmtId="15" fontId="1" fillId="0" borderId="64" xfId="0" applyNumberFormat="1" applyFont="1" applyFill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15" fontId="0" fillId="0" borderId="64" xfId="0" applyNumberFormat="1" applyFill="1" applyBorder="1" applyAlignment="1">
      <alignment horizontal="center"/>
    </xf>
    <xf numFmtId="0" fontId="0" fillId="0" borderId="66" xfId="0" applyBorder="1"/>
    <xf numFmtId="0" fontId="0" fillId="0" borderId="65" xfId="0" applyBorder="1"/>
    <xf numFmtId="164" fontId="0" fillId="2" borderId="68" xfId="0" applyNumberFormat="1" applyFill="1" applyBorder="1" applyAlignment="1">
      <alignment horizontal="center"/>
    </xf>
    <xf numFmtId="165" fontId="1" fillId="2" borderId="69" xfId="0" applyNumberFormat="1" applyFont="1" applyFill="1" applyBorder="1" applyAlignment="1">
      <alignment horizontal="left"/>
    </xf>
    <xf numFmtId="0" fontId="0" fillId="2" borderId="67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2" fontId="0" fillId="3" borderId="0" xfId="0" applyNumberFormat="1" applyFill="1"/>
    <xf numFmtId="0" fontId="0" fillId="3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8" borderId="0" xfId="0" applyFill="1" applyBorder="1" applyAlignment="1">
      <alignment horizontal="center"/>
    </xf>
    <xf numFmtId="15" fontId="1" fillId="8" borderId="0" xfId="0" applyNumberFormat="1" applyFont="1" applyFill="1" applyAlignment="1">
      <alignment horizontal="center"/>
    </xf>
    <xf numFmtId="0" fontId="0" fillId="8" borderId="8" xfId="0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15" fontId="0" fillId="8" borderId="0" xfId="0" applyNumberFormat="1" applyFill="1" applyAlignment="1">
      <alignment horizontal="center"/>
    </xf>
    <xf numFmtId="168" fontId="7" fillId="8" borderId="38" xfId="0" applyNumberFormat="1" applyFont="1" applyFill="1" applyBorder="1" applyAlignment="1" applyProtection="1">
      <alignment horizontal="center"/>
    </xf>
    <xf numFmtId="168" fontId="3" fillId="8" borderId="0" xfId="0" applyNumberFormat="1" applyFont="1" applyFill="1" applyBorder="1" applyAlignment="1" applyProtection="1">
      <alignment horizontal="center"/>
    </xf>
    <xf numFmtId="164" fontId="3" fillId="8" borderId="38" xfId="0" applyNumberFormat="1" applyFont="1" applyFill="1" applyBorder="1" applyAlignment="1" applyProtection="1">
      <alignment horizontal="center"/>
    </xf>
    <xf numFmtId="0" fontId="0" fillId="8" borderId="52" xfId="0" applyFill="1" applyBorder="1"/>
    <xf numFmtId="0" fontId="0" fillId="8" borderId="49" xfId="0" applyFill="1" applyBorder="1"/>
    <xf numFmtId="0" fontId="0" fillId="8" borderId="47" xfId="0" applyFill="1" applyBorder="1" applyAlignment="1">
      <alignment horizontal="center"/>
    </xf>
    <xf numFmtId="0" fontId="0" fillId="8" borderId="47" xfId="0" applyFill="1" applyBorder="1"/>
    <xf numFmtId="15" fontId="1" fillId="8" borderId="47" xfId="0" applyNumberFormat="1" applyFont="1" applyFill="1" applyBorder="1" applyAlignment="1">
      <alignment horizontal="center"/>
    </xf>
    <xf numFmtId="0" fontId="0" fillId="8" borderId="50" xfId="0" applyFill="1" applyBorder="1"/>
    <xf numFmtId="0" fontId="0" fillId="0" borderId="0" xfId="0" applyAlignment="1">
      <alignment wrapText="1"/>
    </xf>
    <xf numFmtId="164" fontId="3" fillId="3" borderId="38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6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CC3300"/>
      <color rgb="FFE755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65186524160233"/>
          <c:y val="0.13517716535433072"/>
          <c:w val="0.77695450863608617"/>
          <c:h val="0.7166746864975212"/>
        </c:manualLayout>
      </c:layout>
      <c:scatterChart>
        <c:scatterStyle val="smoothMarker"/>
        <c:varyColors val="0"/>
        <c:ser>
          <c:idx val="0"/>
          <c:order val="0"/>
          <c:tx>
            <c:v>Trasecto A Verde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'Muestreo Exploratorio'!$G$23:$G$28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35</c:v>
                </c:pt>
                <c:pt idx="4">
                  <c:v>44</c:v>
                </c:pt>
                <c:pt idx="5">
                  <c:v>60</c:v>
                </c:pt>
              </c:numCache>
            </c:numRef>
          </c:xVal>
          <c:yVal>
            <c:numRef>
              <c:f>'Muestreo Exploratorio'!$H$23:$H$28</c:f>
              <c:numCache>
                <c:formatCode>0.0000</c:formatCode>
                <c:ptCount val="6"/>
                <c:pt idx="0" formatCode="General">
                  <c:v>0</c:v>
                </c:pt>
                <c:pt idx="1">
                  <c:v>64.650928619377936</c:v>
                </c:pt>
                <c:pt idx="2">
                  <c:v>70.733944954128432</c:v>
                </c:pt>
                <c:pt idx="3">
                  <c:v>75.982933678980331</c:v>
                </c:pt>
                <c:pt idx="4">
                  <c:v>81.792655398337274</c:v>
                </c:pt>
                <c:pt idx="5">
                  <c:v>84.650839247180997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7-4948-8957-950E84ABB836}"/>
            </c:ext>
          </c:extLst>
        </c:ser>
        <c:ser>
          <c:idx val="1"/>
          <c:order val="1"/>
          <c:tx>
            <c:v>Transecto C Verde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'Muestreo Exploratorio'!$G$23:$G$28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35</c:v>
                </c:pt>
                <c:pt idx="4">
                  <c:v>44</c:v>
                </c:pt>
                <c:pt idx="5">
                  <c:v>60</c:v>
                </c:pt>
              </c:numCache>
            </c:numRef>
          </c:xVal>
          <c:yVal>
            <c:numRef>
              <c:f>'Muestreo Exploratorio'!$I$23:$I$28</c:f>
              <c:numCache>
                <c:formatCode>0.0000</c:formatCode>
                <c:ptCount val="6"/>
                <c:pt idx="0" formatCode="General">
                  <c:v>0</c:v>
                </c:pt>
                <c:pt idx="1">
                  <c:v>60.74695566043232</c:v>
                </c:pt>
                <c:pt idx="2">
                  <c:v>61.422002915778847</c:v>
                </c:pt>
                <c:pt idx="3">
                  <c:v>71.315012491483074</c:v>
                </c:pt>
                <c:pt idx="4">
                  <c:v>81.409916126977393</c:v>
                </c:pt>
                <c:pt idx="5">
                  <c:v>84.183848958306697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A7-4948-8957-950E84ABB836}"/>
            </c:ext>
          </c:extLst>
        </c:ser>
        <c:ser>
          <c:idx val="2"/>
          <c:order val="2"/>
          <c:tx>
            <c:v>Transecto A Rojo 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'Muestreo Exploratorio'!$G$23:$G$28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35</c:v>
                </c:pt>
                <c:pt idx="4">
                  <c:v>44</c:v>
                </c:pt>
                <c:pt idx="5">
                  <c:v>60</c:v>
                </c:pt>
              </c:numCache>
            </c:numRef>
          </c:xVal>
          <c:yVal>
            <c:numRef>
              <c:f>'Muestreo Exploratorio'!$J$23:$J$28</c:f>
              <c:numCache>
                <c:formatCode>0.0000</c:formatCode>
                <c:ptCount val="6"/>
                <c:pt idx="0" formatCode="General">
                  <c:v>0</c:v>
                </c:pt>
                <c:pt idx="1">
                  <c:v>24.045165990217502</c:v>
                </c:pt>
                <c:pt idx="2">
                  <c:v>26.965947438388397</c:v>
                </c:pt>
                <c:pt idx="3">
                  <c:v>29.907001919008025</c:v>
                </c:pt>
                <c:pt idx="4">
                  <c:v>35.590473852197405</c:v>
                </c:pt>
                <c:pt idx="5">
                  <c:v>36.456201002796988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A7-4948-8957-950E84ABB836}"/>
            </c:ext>
          </c:extLst>
        </c:ser>
        <c:ser>
          <c:idx val="3"/>
          <c:order val="3"/>
          <c:tx>
            <c:v>Transecto C Rojo 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'Muestreo Exploratorio'!$G$23:$G$28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35</c:v>
                </c:pt>
                <c:pt idx="4">
                  <c:v>44</c:v>
                </c:pt>
                <c:pt idx="5">
                  <c:v>60</c:v>
                </c:pt>
              </c:numCache>
            </c:numRef>
          </c:xVal>
          <c:yVal>
            <c:numRef>
              <c:f>'Muestreo Exploratorio'!$K$23:$K$28</c:f>
              <c:numCache>
                <c:formatCode>0.0000</c:formatCode>
                <c:ptCount val="6"/>
                <c:pt idx="0" formatCode="General">
                  <c:v>0</c:v>
                </c:pt>
                <c:pt idx="1">
                  <c:v>22.152222905142395</c:v>
                </c:pt>
                <c:pt idx="2">
                  <c:v>21.350641478937259</c:v>
                </c:pt>
                <c:pt idx="3">
                  <c:v>26.210768053074755</c:v>
                </c:pt>
                <c:pt idx="4">
                  <c:v>31.616278484833249</c:v>
                </c:pt>
                <c:pt idx="5">
                  <c:v>36.460222410773817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A7-4948-8957-950E84AB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67920"/>
        <c:axId val="848864592"/>
      </c:scatterChart>
      <c:valAx>
        <c:axId val="848867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(dias)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64592"/>
        <c:crosses val="autoZero"/>
        <c:crossBetween val="midCat"/>
      </c:valAx>
      <c:valAx>
        <c:axId val="8488645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%Perdoda</a:t>
                </a:r>
                <a:r>
                  <a:rPr lang="en-US" baseline="0"/>
                  <a:t> de Masa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67920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898070</xdr:colOff>
      <xdr:row>0</xdr:row>
      <xdr:rowOff>13607</xdr:rowOff>
    </xdr:from>
    <xdr:to>
      <xdr:col>22</xdr:col>
      <xdr:colOff>612320</xdr:colOff>
      <xdr:row>0</xdr:row>
      <xdr:rowOff>381000</xdr:rowOff>
    </xdr:to>
    <xdr:sp macro="" textlink="">
      <xdr:nvSpPr>
        <xdr:cNvPr id="2" name="CuadroTexto 1"/>
        <xdr:cNvSpPr txBox="1"/>
      </xdr:nvSpPr>
      <xdr:spPr>
        <a:xfrm>
          <a:off x="20492356" y="13607"/>
          <a:ext cx="1224643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0</xdr:row>
      <xdr:rowOff>2721</xdr:rowOff>
    </xdr:from>
    <xdr:to>
      <xdr:col>25</xdr:col>
      <xdr:colOff>16328</xdr:colOff>
      <xdr:row>0</xdr:row>
      <xdr:rowOff>370114</xdr:rowOff>
    </xdr:to>
    <xdr:sp macro="" textlink="">
      <xdr:nvSpPr>
        <xdr:cNvPr id="3" name="CuadroTexto 2"/>
        <xdr:cNvSpPr txBox="1"/>
      </xdr:nvSpPr>
      <xdr:spPr>
        <a:xfrm>
          <a:off x="21733328" y="2721"/>
          <a:ext cx="1224643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  <xdr:twoCellAnchor>
    <xdr:from>
      <xdr:col>20</xdr:col>
      <xdr:colOff>898070</xdr:colOff>
      <xdr:row>47</xdr:row>
      <xdr:rowOff>13607</xdr:rowOff>
    </xdr:from>
    <xdr:to>
      <xdr:col>22</xdr:col>
      <xdr:colOff>612320</xdr:colOff>
      <xdr:row>47</xdr:row>
      <xdr:rowOff>381000</xdr:rowOff>
    </xdr:to>
    <xdr:sp macro="" textlink="">
      <xdr:nvSpPr>
        <xdr:cNvPr id="4" name="CuadroTexto 3"/>
        <xdr:cNvSpPr txBox="1"/>
      </xdr:nvSpPr>
      <xdr:spPr>
        <a:xfrm>
          <a:off x="20492356" y="13607"/>
          <a:ext cx="1224643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47</xdr:row>
      <xdr:rowOff>2721</xdr:rowOff>
    </xdr:from>
    <xdr:to>
      <xdr:col>25</xdr:col>
      <xdr:colOff>16328</xdr:colOff>
      <xdr:row>47</xdr:row>
      <xdr:rowOff>370114</xdr:rowOff>
    </xdr:to>
    <xdr:sp macro="" textlink="">
      <xdr:nvSpPr>
        <xdr:cNvPr id="5" name="CuadroTexto 4"/>
        <xdr:cNvSpPr txBox="1"/>
      </xdr:nvSpPr>
      <xdr:spPr>
        <a:xfrm>
          <a:off x="21733328" y="2721"/>
          <a:ext cx="1224643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898070</xdr:colOff>
      <xdr:row>0</xdr:row>
      <xdr:rowOff>13607</xdr:rowOff>
    </xdr:from>
    <xdr:to>
      <xdr:col>22</xdr:col>
      <xdr:colOff>612320</xdr:colOff>
      <xdr:row>0</xdr:row>
      <xdr:rowOff>381000</xdr:rowOff>
    </xdr:to>
    <xdr:sp macro="" textlink="">
      <xdr:nvSpPr>
        <xdr:cNvPr id="2" name="CuadroTexto 1"/>
        <xdr:cNvSpPr txBox="1"/>
      </xdr:nvSpPr>
      <xdr:spPr>
        <a:xfrm>
          <a:off x="20490995" y="13607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0</xdr:row>
      <xdr:rowOff>2721</xdr:rowOff>
    </xdr:from>
    <xdr:to>
      <xdr:col>25</xdr:col>
      <xdr:colOff>16328</xdr:colOff>
      <xdr:row>0</xdr:row>
      <xdr:rowOff>370114</xdr:rowOff>
    </xdr:to>
    <xdr:sp macro="" textlink="">
      <xdr:nvSpPr>
        <xdr:cNvPr id="3" name="CuadroTexto 2"/>
        <xdr:cNvSpPr txBox="1"/>
      </xdr:nvSpPr>
      <xdr:spPr>
        <a:xfrm>
          <a:off x="21723803" y="2721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  <xdr:twoCellAnchor>
    <xdr:from>
      <xdr:col>20</xdr:col>
      <xdr:colOff>898070</xdr:colOff>
      <xdr:row>47</xdr:row>
      <xdr:rowOff>13607</xdr:rowOff>
    </xdr:from>
    <xdr:to>
      <xdr:col>22</xdr:col>
      <xdr:colOff>612320</xdr:colOff>
      <xdr:row>47</xdr:row>
      <xdr:rowOff>381000</xdr:rowOff>
    </xdr:to>
    <xdr:sp macro="" textlink="">
      <xdr:nvSpPr>
        <xdr:cNvPr id="4" name="CuadroTexto 3"/>
        <xdr:cNvSpPr txBox="1"/>
      </xdr:nvSpPr>
      <xdr:spPr>
        <a:xfrm>
          <a:off x="20490995" y="9538607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47</xdr:row>
      <xdr:rowOff>2721</xdr:rowOff>
    </xdr:from>
    <xdr:to>
      <xdr:col>25</xdr:col>
      <xdr:colOff>16328</xdr:colOff>
      <xdr:row>47</xdr:row>
      <xdr:rowOff>370114</xdr:rowOff>
    </xdr:to>
    <xdr:sp macro="" textlink="">
      <xdr:nvSpPr>
        <xdr:cNvPr id="5" name="CuadroTexto 4"/>
        <xdr:cNvSpPr txBox="1"/>
      </xdr:nvSpPr>
      <xdr:spPr>
        <a:xfrm>
          <a:off x="21723803" y="9527721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898070</xdr:colOff>
      <xdr:row>0</xdr:row>
      <xdr:rowOff>13607</xdr:rowOff>
    </xdr:from>
    <xdr:to>
      <xdr:col>22</xdr:col>
      <xdr:colOff>612320</xdr:colOff>
      <xdr:row>0</xdr:row>
      <xdr:rowOff>381000</xdr:rowOff>
    </xdr:to>
    <xdr:sp macro="" textlink="">
      <xdr:nvSpPr>
        <xdr:cNvPr id="2" name="CuadroTexto 1"/>
        <xdr:cNvSpPr txBox="1"/>
      </xdr:nvSpPr>
      <xdr:spPr>
        <a:xfrm>
          <a:off x="20490995" y="13607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0</xdr:row>
      <xdr:rowOff>2721</xdr:rowOff>
    </xdr:from>
    <xdr:to>
      <xdr:col>25</xdr:col>
      <xdr:colOff>16328</xdr:colOff>
      <xdr:row>0</xdr:row>
      <xdr:rowOff>370114</xdr:rowOff>
    </xdr:to>
    <xdr:sp macro="" textlink="">
      <xdr:nvSpPr>
        <xdr:cNvPr id="3" name="CuadroTexto 2"/>
        <xdr:cNvSpPr txBox="1"/>
      </xdr:nvSpPr>
      <xdr:spPr>
        <a:xfrm>
          <a:off x="21723803" y="2721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  <xdr:twoCellAnchor>
    <xdr:from>
      <xdr:col>20</xdr:col>
      <xdr:colOff>898070</xdr:colOff>
      <xdr:row>54</xdr:row>
      <xdr:rowOff>13607</xdr:rowOff>
    </xdr:from>
    <xdr:to>
      <xdr:col>22</xdr:col>
      <xdr:colOff>612320</xdr:colOff>
      <xdr:row>54</xdr:row>
      <xdr:rowOff>381000</xdr:rowOff>
    </xdr:to>
    <xdr:sp macro="" textlink="">
      <xdr:nvSpPr>
        <xdr:cNvPr id="4" name="CuadroTexto 3"/>
        <xdr:cNvSpPr txBox="1"/>
      </xdr:nvSpPr>
      <xdr:spPr>
        <a:xfrm>
          <a:off x="20490995" y="10872107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54</xdr:row>
      <xdr:rowOff>2721</xdr:rowOff>
    </xdr:from>
    <xdr:to>
      <xdr:col>25</xdr:col>
      <xdr:colOff>16328</xdr:colOff>
      <xdr:row>54</xdr:row>
      <xdr:rowOff>370114</xdr:rowOff>
    </xdr:to>
    <xdr:sp macro="" textlink="">
      <xdr:nvSpPr>
        <xdr:cNvPr id="5" name="CuadroTexto 4"/>
        <xdr:cNvSpPr txBox="1"/>
      </xdr:nvSpPr>
      <xdr:spPr>
        <a:xfrm>
          <a:off x="21723803" y="10861221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898070</xdr:colOff>
      <xdr:row>0</xdr:row>
      <xdr:rowOff>13607</xdr:rowOff>
    </xdr:from>
    <xdr:to>
      <xdr:col>22</xdr:col>
      <xdr:colOff>612320</xdr:colOff>
      <xdr:row>0</xdr:row>
      <xdr:rowOff>381000</xdr:rowOff>
    </xdr:to>
    <xdr:sp macro="" textlink="">
      <xdr:nvSpPr>
        <xdr:cNvPr id="2" name="CuadroTexto 1"/>
        <xdr:cNvSpPr txBox="1"/>
      </xdr:nvSpPr>
      <xdr:spPr>
        <a:xfrm>
          <a:off x="20490995" y="13607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0</xdr:row>
      <xdr:rowOff>2721</xdr:rowOff>
    </xdr:from>
    <xdr:to>
      <xdr:col>25</xdr:col>
      <xdr:colOff>16328</xdr:colOff>
      <xdr:row>0</xdr:row>
      <xdr:rowOff>370114</xdr:rowOff>
    </xdr:to>
    <xdr:sp macro="" textlink="">
      <xdr:nvSpPr>
        <xdr:cNvPr id="3" name="CuadroTexto 2"/>
        <xdr:cNvSpPr txBox="1"/>
      </xdr:nvSpPr>
      <xdr:spPr>
        <a:xfrm>
          <a:off x="21723803" y="2721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  <xdr:twoCellAnchor>
    <xdr:from>
      <xdr:col>20</xdr:col>
      <xdr:colOff>898070</xdr:colOff>
      <xdr:row>45</xdr:row>
      <xdr:rowOff>13607</xdr:rowOff>
    </xdr:from>
    <xdr:to>
      <xdr:col>22</xdr:col>
      <xdr:colOff>612320</xdr:colOff>
      <xdr:row>45</xdr:row>
      <xdr:rowOff>381000</xdr:rowOff>
    </xdr:to>
    <xdr:sp macro="" textlink="">
      <xdr:nvSpPr>
        <xdr:cNvPr id="4" name="CuadroTexto 3"/>
        <xdr:cNvSpPr txBox="1"/>
      </xdr:nvSpPr>
      <xdr:spPr>
        <a:xfrm>
          <a:off x="20490995" y="9538607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45</xdr:row>
      <xdr:rowOff>2721</xdr:rowOff>
    </xdr:from>
    <xdr:to>
      <xdr:col>25</xdr:col>
      <xdr:colOff>16328</xdr:colOff>
      <xdr:row>45</xdr:row>
      <xdr:rowOff>370114</xdr:rowOff>
    </xdr:to>
    <xdr:sp macro="" textlink="">
      <xdr:nvSpPr>
        <xdr:cNvPr id="5" name="CuadroTexto 4"/>
        <xdr:cNvSpPr txBox="1"/>
      </xdr:nvSpPr>
      <xdr:spPr>
        <a:xfrm>
          <a:off x="21723803" y="9527721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185736</xdr:colOff>
      <xdr:row>20</xdr:row>
      <xdr:rowOff>21168</xdr:rowOff>
    </xdr:from>
    <xdr:to>
      <xdr:col>20</xdr:col>
      <xdr:colOff>31750</xdr:colOff>
      <xdr:row>37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898070</xdr:colOff>
      <xdr:row>0</xdr:row>
      <xdr:rowOff>13607</xdr:rowOff>
    </xdr:from>
    <xdr:to>
      <xdr:col>22</xdr:col>
      <xdr:colOff>612320</xdr:colOff>
      <xdr:row>0</xdr:row>
      <xdr:rowOff>381000</xdr:rowOff>
    </xdr:to>
    <xdr:sp macro="" textlink="">
      <xdr:nvSpPr>
        <xdr:cNvPr id="2" name="CuadroTexto 1"/>
        <xdr:cNvSpPr txBox="1"/>
      </xdr:nvSpPr>
      <xdr:spPr>
        <a:xfrm>
          <a:off x="20490995" y="13607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0</xdr:row>
      <xdr:rowOff>2721</xdr:rowOff>
    </xdr:from>
    <xdr:to>
      <xdr:col>25</xdr:col>
      <xdr:colOff>16328</xdr:colOff>
      <xdr:row>0</xdr:row>
      <xdr:rowOff>370114</xdr:rowOff>
    </xdr:to>
    <xdr:sp macro="" textlink="">
      <xdr:nvSpPr>
        <xdr:cNvPr id="3" name="CuadroTexto 2"/>
        <xdr:cNvSpPr txBox="1"/>
      </xdr:nvSpPr>
      <xdr:spPr>
        <a:xfrm>
          <a:off x="21723803" y="2721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  <xdr:twoCellAnchor>
    <xdr:from>
      <xdr:col>20</xdr:col>
      <xdr:colOff>898070</xdr:colOff>
      <xdr:row>55</xdr:row>
      <xdr:rowOff>13607</xdr:rowOff>
    </xdr:from>
    <xdr:to>
      <xdr:col>22</xdr:col>
      <xdr:colOff>612320</xdr:colOff>
      <xdr:row>55</xdr:row>
      <xdr:rowOff>381000</xdr:rowOff>
    </xdr:to>
    <xdr:sp macro="" textlink="">
      <xdr:nvSpPr>
        <xdr:cNvPr id="4" name="CuadroTexto 3"/>
        <xdr:cNvSpPr txBox="1"/>
      </xdr:nvSpPr>
      <xdr:spPr>
        <a:xfrm>
          <a:off x="20490995" y="9538607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55</xdr:row>
      <xdr:rowOff>2721</xdr:rowOff>
    </xdr:from>
    <xdr:to>
      <xdr:col>25</xdr:col>
      <xdr:colOff>16328</xdr:colOff>
      <xdr:row>55</xdr:row>
      <xdr:rowOff>370114</xdr:rowOff>
    </xdr:to>
    <xdr:sp macro="" textlink="">
      <xdr:nvSpPr>
        <xdr:cNvPr id="5" name="CuadroTexto 4"/>
        <xdr:cNvSpPr txBox="1"/>
      </xdr:nvSpPr>
      <xdr:spPr>
        <a:xfrm>
          <a:off x="21723803" y="9527721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898070</xdr:colOff>
      <xdr:row>0</xdr:row>
      <xdr:rowOff>13607</xdr:rowOff>
    </xdr:from>
    <xdr:to>
      <xdr:col>22</xdr:col>
      <xdr:colOff>612320</xdr:colOff>
      <xdr:row>0</xdr:row>
      <xdr:rowOff>381000</xdr:rowOff>
    </xdr:to>
    <xdr:sp macro="" textlink="">
      <xdr:nvSpPr>
        <xdr:cNvPr id="2" name="CuadroTexto 1"/>
        <xdr:cNvSpPr txBox="1"/>
      </xdr:nvSpPr>
      <xdr:spPr>
        <a:xfrm>
          <a:off x="20643395" y="13607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0</xdr:row>
      <xdr:rowOff>2721</xdr:rowOff>
    </xdr:from>
    <xdr:to>
      <xdr:col>25</xdr:col>
      <xdr:colOff>16328</xdr:colOff>
      <xdr:row>0</xdr:row>
      <xdr:rowOff>370114</xdr:rowOff>
    </xdr:to>
    <xdr:sp macro="" textlink="">
      <xdr:nvSpPr>
        <xdr:cNvPr id="3" name="CuadroTexto 2"/>
        <xdr:cNvSpPr txBox="1"/>
      </xdr:nvSpPr>
      <xdr:spPr>
        <a:xfrm>
          <a:off x="21876203" y="2721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  <xdr:twoCellAnchor>
    <xdr:from>
      <xdr:col>20</xdr:col>
      <xdr:colOff>898070</xdr:colOff>
      <xdr:row>54</xdr:row>
      <xdr:rowOff>13607</xdr:rowOff>
    </xdr:from>
    <xdr:to>
      <xdr:col>22</xdr:col>
      <xdr:colOff>612320</xdr:colOff>
      <xdr:row>54</xdr:row>
      <xdr:rowOff>381000</xdr:rowOff>
    </xdr:to>
    <xdr:sp macro="" textlink="">
      <xdr:nvSpPr>
        <xdr:cNvPr id="4" name="CuadroTexto 3"/>
        <xdr:cNvSpPr txBox="1"/>
      </xdr:nvSpPr>
      <xdr:spPr>
        <a:xfrm>
          <a:off x="20643395" y="11062607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Remaining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16328</xdr:colOff>
      <xdr:row>54</xdr:row>
      <xdr:rowOff>2721</xdr:rowOff>
    </xdr:from>
    <xdr:to>
      <xdr:col>25</xdr:col>
      <xdr:colOff>16328</xdr:colOff>
      <xdr:row>54</xdr:row>
      <xdr:rowOff>370114</xdr:rowOff>
    </xdr:to>
    <xdr:sp macro="" textlink="">
      <xdr:nvSpPr>
        <xdr:cNvPr id="5" name="CuadroTexto 4"/>
        <xdr:cNvSpPr txBox="1"/>
      </xdr:nvSpPr>
      <xdr:spPr>
        <a:xfrm>
          <a:off x="21876203" y="11051721"/>
          <a:ext cx="1219200" cy="367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Lost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34469</xdr:colOff>
      <xdr:row>0</xdr:row>
      <xdr:rowOff>27215</xdr:rowOff>
    </xdr:from>
    <xdr:to>
      <xdr:col>31</xdr:col>
      <xdr:colOff>22224</xdr:colOff>
      <xdr:row>0</xdr:row>
      <xdr:rowOff>299357</xdr:rowOff>
    </xdr:to>
    <xdr:sp macro="" textlink="">
      <xdr:nvSpPr>
        <xdr:cNvPr id="2" name="CuadroTexto 1"/>
        <xdr:cNvSpPr txBox="1"/>
      </xdr:nvSpPr>
      <xdr:spPr>
        <a:xfrm>
          <a:off x="25926594" y="27215"/>
          <a:ext cx="1511755" cy="2721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</a:t>
          </a:r>
        </a:p>
      </xdr:txBody>
    </xdr:sp>
    <xdr:clientData/>
  </xdr:twoCellAnchor>
  <xdr:twoCellAnchor>
    <xdr:from>
      <xdr:col>31</xdr:col>
      <xdr:colOff>16328</xdr:colOff>
      <xdr:row>0</xdr:row>
      <xdr:rowOff>18596</xdr:rowOff>
    </xdr:from>
    <xdr:to>
      <xdr:col>33</xdr:col>
      <xdr:colOff>0</xdr:colOff>
      <xdr:row>0</xdr:row>
      <xdr:rowOff>311150</xdr:rowOff>
    </xdr:to>
    <xdr:sp macro="" textlink="">
      <xdr:nvSpPr>
        <xdr:cNvPr id="3" name="CuadroTexto 2"/>
        <xdr:cNvSpPr txBox="1"/>
      </xdr:nvSpPr>
      <xdr:spPr>
        <a:xfrm>
          <a:off x="27432453" y="18596"/>
          <a:ext cx="1507672" cy="29255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K</a:t>
          </a:r>
        </a:p>
      </xdr:txBody>
    </xdr:sp>
    <xdr:clientData/>
  </xdr:twoCellAnchor>
  <xdr:twoCellAnchor>
    <xdr:from>
      <xdr:col>27</xdr:col>
      <xdr:colOff>19048</xdr:colOff>
      <xdr:row>0</xdr:row>
      <xdr:rowOff>29936</xdr:rowOff>
    </xdr:from>
    <xdr:to>
      <xdr:col>29</xdr:col>
      <xdr:colOff>6803</xdr:colOff>
      <xdr:row>0</xdr:row>
      <xdr:rowOff>302078</xdr:rowOff>
    </xdr:to>
    <xdr:sp macro="" textlink="">
      <xdr:nvSpPr>
        <xdr:cNvPr id="5" name="CuadroTexto 4"/>
        <xdr:cNvSpPr txBox="1"/>
      </xdr:nvSpPr>
      <xdr:spPr>
        <a:xfrm>
          <a:off x="24226155" y="29936"/>
          <a:ext cx="1511755" cy="2721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%Loss</a:t>
          </a:r>
        </a:p>
      </xdr:txBody>
    </xdr:sp>
    <xdr:clientData/>
  </xdr:twoCellAnchor>
  <xdr:twoCellAnchor>
    <xdr:from>
      <xdr:col>8</xdr:col>
      <xdr:colOff>79375</xdr:colOff>
      <xdr:row>0</xdr:row>
      <xdr:rowOff>0</xdr:rowOff>
    </xdr:from>
    <xdr:to>
      <xdr:col>9</xdr:col>
      <xdr:colOff>1111250</xdr:colOff>
      <xdr:row>0</xdr:row>
      <xdr:rowOff>301625</xdr:rowOff>
    </xdr:to>
    <xdr:sp macro="" textlink="">
      <xdr:nvSpPr>
        <xdr:cNvPr id="6" name="CuadroTexto 5"/>
        <xdr:cNvSpPr txBox="1"/>
      </xdr:nvSpPr>
      <xdr:spPr>
        <a:xfrm>
          <a:off x="7524750" y="0"/>
          <a:ext cx="2238375" cy="30162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Humidity %</a:t>
          </a:r>
        </a:p>
      </xdr:txBody>
    </xdr:sp>
    <xdr:clientData/>
  </xdr:twoCellAnchor>
  <xdr:twoCellAnchor>
    <xdr:from>
      <xdr:col>33</xdr:col>
      <xdr:colOff>19048</xdr:colOff>
      <xdr:row>0</xdr:row>
      <xdr:rowOff>29936</xdr:rowOff>
    </xdr:from>
    <xdr:to>
      <xdr:col>35</xdr:col>
      <xdr:colOff>6803</xdr:colOff>
      <xdr:row>0</xdr:row>
      <xdr:rowOff>302078</xdr:rowOff>
    </xdr:to>
    <xdr:sp macro="" textlink="">
      <xdr:nvSpPr>
        <xdr:cNvPr id="8" name="CuadroTexto 7"/>
        <xdr:cNvSpPr txBox="1"/>
      </xdr:nvSpPr>
      <xdr:spPr>
        <a:xfrm>
          <a:off x="32951736" y="29936"/>
          <a:ext cx="1702255" cy="2721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%Remaining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xandra.lugo1@upr.edu" id="{95379E0A-9A0E-4BB0-8C9B-29FC12EA1AE3}" userId="alexandra.lugo1@upr.ed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1-01-27T17:34:20.40" personId="{95379E0A-9A0E-4BB0-8C9B-29FC12EA1AE3}" id="{C1C5EDED-9B84-4B47-B49A-BB98E0AF218D}">
    <text>Formula: Peso inicial con todo - (peso bolsa + peso cordon y tag)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3"/>
  <sheetViews>
    <sheetView topLeftCell="A58" zoomScale="70" zoomScaleNormal="70" zoomScaleSheetLayoutView="80" workbookViewId="0">
      <selection activeCell="A49" sqref="A49:A88"/>
    </sheetView>
  </sheetViews>
  <sheetFormatPr baseColWidth="10" defaultColWidth="9.140625" defaultRowHeight="15" x14ac:dyDescent="0.25"/>
  <cols>
    <col min="1" max="1" width="11.28515625" customWidth="1"/>
    <col min="2" max="2" width="17" customWidth="1"/>
    <col min="3" max="4" width="11.28515625" customWidth="1"/>
    <col min="5" max="5" width="14.7109375" customWidth="1"/>
    <col min="6" max="6" width="12.140625" customWidth="1"/>
    <col min="7" max="7" width="19.42578125" customWidth="1"/>
    <col min="8" max="9" width="20.140625" customWidth="1"/>
    <col min="10" max="10" width="14.7109375" customWidth="1"/>
    <col min="11" max="11" width="12.7109375" customWidth="1"/>
    <col min="12" max="12" width="13.7109375" customWidth="1"/>
    <col min="13" max="13" width="15.140625" customWidth="1"/>
    <col min="14" max="14" width="13.85546875" customWidth="1"/>
    <col min="15" max="15" width="17.85546875" customWidth="1"/>
    <col min="16" max="16" width="14.28515625" customWidth="1"/>
    <col min="17" max="17" width="13.5703125" customWidth="1"/>
    <col min="18" max="18" width="13.28515625" customWidth="1"/>
    <col min="20" max="20" width="18.140625" customWidth="1"/>
    <col min="21" max="21" width="13.42578125" customWidth="1"/>
  </cols>
  <sheetData>
    <row r="1" spans="1:25" ht="60" x14ac:dyDescent="0.25">
      <c r="A1" t="s">
        <v>1</v>
      </c>
      <c r="B1" t="s">
        <v>39</v>
      </c>
      <c r="C1" t="s">
        <v>12</v>
      </c>
      <c r="D1" t="s">
        <v>13</v>
      </c>
      <c r="E1" t="s">
        <v>40</v>
      </c>
      <c r="F1" s="1" t="s">
        <v>0</v>
      </c>
      <c r="G1" s="2" t="s">
        <v>3</v>
      </c>
      <c r="H1" s="2" t="s">
        <v>11</v>
      </c>
      <c r="I1" s="2" t="s">
        <v>42</v>
      </c>
      <c r="J1" s="3" t="s">
        <v>2</v>
      </c>
      <c r="K1" s="1" t="s">
        <v>4</v>
      </c>
      <c r="L1" s="2" t="s">
        <v>5</v>
      </c>
      <c r="M1" s="3" t="s">
        <v>37</v>
      </c>
      <c r="N1" s="2" t="s">
        <v>6</v>
      </c>
      <c r="O1" s="3" t="s">
        <v>38</v>
      </c>
      <c r="P1" s="2" t="s">
        <v>7</v>
      </c>
      <c r="Q1" s="2" t="s">
        <v>8</v>
      </c>
      <c r="R1" s="2" t="s">
        <v>9</v>
      </c>
      <c r="S1" s="2" t="s">
        <v>10</v>
      </c>
      <c r="T1" s="51" t="s">
        <v>190</v>
      </c>
      <c r="U1" s="52" t="s">
        <v>191</v>
      </c>
      <c r="V1" s="52" t="s">
        <v>119</v>
      </c>
      <c r="W1" s="52" t="s">
        <v>192</v>
      </c>
      <c r="X1" s="52" t="s">
        <v>119</v>
      </c>
      <c r="Y1" s="52" t="s">
        <v>192</v>
      </c>
    </row>
    <row r="2" spans="1:25" x14ac:dyDescent="0.25">
      <c r="A2" s="27" t="s">
        <v>59</v>
      </c>
      <c r="B2" s="27" t="s">
        <v>41</v>
      </c>
      <c r="C2" s="27" t="s">
        <v>15</v>
      </c>
      <c r="D2" s="27" t="s">
        <v>17</v>
      </c>
      <c r="E2" s="27">
        <v>1</v>
      </c>
      <c r="F2" s="27" t="s">
        <v>21</v>
      </c>
      <c r="G2" s="27">
        <v>2.0299999999999998</v>
      </c>
      <c r="H2" s="28">
        <v>1.96</v>
      </c>
      <c r="I2" s="28">
        <f t="shared" ref="I2:I17" si="0">((G2-H2)/H2)*100</f>
        <v>3.5714285714285636</v>
      </c>
      <c r="J2" s="29">
        <v>44228</v>
      </c>
      <c r="K2" s="29">
        <v>44286</v>
      </c>
      <c r="L2" s="27">
        <f t="shared" ref="L2:L17" si="1">K2-J2</f>
        <v>58</v>
      </c>
      <c r="M2" s="27">
        <v>0.4955</v>
      </c>
      <c r="N2" s="30">
        <f>H2-M2</f>
        <v>1.4644999999999999</v>
      </c>
      <c r="O2" s="27">
        <v>0.29659999999999997</v>
      </c>
      <c r="P2" s="27">
        <v>0.1356</v>
      </c>
      <c r="Q2" s="27">
        <v>6.3299999999999995E-2</v>
      </c>
      <c r="R2" s="30">
        <f>H2-(P2+Q2)</f>
        <v>1.7610999999999999</v>
      </c>
      <c r="S2" s="27">
        <f>((R2-O2)/R2)*100</f>
        <v>83.158253364374531</v>
      </c>
      <c r="T2">
        <f>AVERAGE(O2:O9)</f>
        <v>0.28684999999999999</v>
      </c>
      <c r="U2" s="18">
        <f>(O2/R2)*100</f>
        <v>16.841746635625459</v>
      </c>
      <c r="V2" s="7">
        <f>AVERAGE(U2:U9)</f>
        <v>15.748605953896529</v>
      </c>
      <c r="W2">
        <f>STDEV(U2:U9)</f>
        <v>1.2781261724306872</v>
      </c>
      <c r="X2">
        <f>AVERAGE(S2:S9)</f>
        <v>84.251394046103471</v>
      </c>
      <c r="Y2">
        <f>STDEV(S2:S9)</f>
        <v>1.278126172430688</v>
      </c>
    </row>
    <row r="3" spans="1:25" x14ac:dyDescent="0.25">
      <c r="A3" s="27" t="s">
        <v>59</v>
      </c>
      <c r="B3" s="27" t="s">
        <v>41</v>
      </c>
      <c r="C3" s="27" t="s">
        <v>15</v>
      </c>
      <c r="D3" s="27" t="s">
        <v>17</v>
      </c>
      <c r="E3" s="27">
        <v>2</v>
      </c>
      <c r="F3" s="27" t="s">
        <v>23</v>
      </c>
      <c r="G3" s="27">
        <v>2.06</v>
      </c>
      <c r="H3" s="27">
        <v>1.99</v>
      </c>
      <c r="I3" s="28">
        <f t="shared" si="0"/>
        <v>3.5175879396984957</v>
      </c>
      <c r="J3" s="29">
        <v>44228</v>
      </c>
      <c r="K3" s="29">
        <v>44286</v>
      </c>
      <c r="L3" s="27">
        <f t="shared" si="1"/>
        <v>58</v>
      </c>
      <c r="M3" s="27">
        <v>0.4798</v>
      </c>
      <c r="N3" s="30">
        <f t="shared" ref="N3:N41" si="2">H3-M3</f>
        <v>1.5102</v>
      </c>
      <c r="O3" s="27">
        <v>0.28249999999999997</v>
      </c>
      <c r="P3" s="27">
        <v>0.13489999999999999</v>
      </c>
      <c r="Q3" s="27">
        <v>6.1499999999999999E-2</v>
      </c>
      <c r="R3" s="30">
        <f t="shared" ref="R3:R41" si="3">H3-(P3+Q3)</f>
        <v>1.7936000000000001</v>
      </c>
      <c r="S3" s="27">
        <f t="shared" ref="S3:S41" si="4">((R3-O3)/R3)*100</f>
        <v>84.249553969669947</v>
      </c>
      <c r="U3" s="18">
        <f t="shared" ref="U3:U41" si="5">(O3/R3)*100</f>
        <v>15.750446030330059</v>
      </c>
    </row>
    <row r="4" spans="1:25" x14ac:dyDescent="0.25">
      <c r="A4" s="27" t="s">
        <v>59</v>
      </c>
      <c r="B4" s="27" t="s">
        <v>41</v>
      </c>
      <c r="C4" s="27" t="s">
        <v>15</v>
      </c>
      <c r="D4" s="27" t="s">
        <v>18</v>
      </c>
      <c r="E4" s="27">
        <v>1</v>
      </c>
      <c r="F4" s="27" t="s">
        <v>24</v>
      </c>
      <c r="G4" s="27">
        <v>2.15</v>
      </c>
      <c r="H4" s="28">
        <v>2.08</v>
      </c>
      <c r="I4" s="28">
        <f t="shared" si="0"/>
        <v>3.3653846153846074</v>
      </c>
      <c r="J4" s="29">
        <v>44228</v>
      </c>
      <c r="K4" s="29">
        <v>44286</v>
      </c>
      <c r="L4" s="27">
        <f t="shared" si="1"/>
        <v>58</v>
      </c>
      <c r="M4" s="27">
        <v>0.45079999999999998</v>
      </c>
      <c r="N4" s="30">
        <f t="shared" si="2"/>
        <v>1.6292</v>
      </c>
      <c r="O4" s="27">
        <v>0.25609999999999999</v>
      </c>
      <c r="P4" s="27">
        <v>0.13739999999999999</v>
      </c>
      <c r="Q4" s="27">
        <v>5.6899999999999999E-2</v>
      </c>
      <c r="R4" s="30">
        <f t="shared" si="3"/>
        <v>1.8857000000000002</v>
      </c>
      <c r="S4" s="27">
        <f t="shared" si="4"/>
        <v>86.418836506337172</v>
      </c>
      <c r="U4" s="18">
        <f t="shared" si="5"/>
        <v>13.581163493662828</v>
      </c>
    </row>
    <row r="5" spans="1:25" x14ac:dyDescent="0.25">
      <c r="A5" s="27" t="s">
        <v>59</v>
      </c>
      <c r="B5" s="27" t="s">
        <v>41</v>
      </c>
      <c r="C5" s="27" t="s">
        <v>15</v>
      </c>
      <c r="D5" s="27" t="s">
        <v>18</v>
      </c>
      <c r="E5" s="27">
        <v>2</v>
      </c>
      <c r="F5" s="27" t="s">
        <v>25</v>
      </c>
      <c r="G5" s="27">
        <v>2.08</v>
      </c>
      <c r="H5" s="28">
        <v>2</v>
      </c>
      <c r="I5" s="28">
        <f t="shared" si="0"/>
        <v>4.0000000000000036</v>
      </c>
      <c r="J5" s="29">
        <v>44228</v>
      </c>
      <c r="K5" s="29">
        <v>44286</v>
      </c>
      <c r="L5" s="27">
        <f t="shared" si="1"/>
        <v>58</v>
      </c>
      <c r="M5" s="27">
        <v>0.45619999999999999</v>
      </c>
      <c r="N5" s="30">
        <f t="shared" si="2"/>
        <v>1.5438000000000001</v>
      </c>
      <c r="O5" s="27">
        <v>0.27139999999999997</v>
      </c>
      <c r="P5" s="27">
        <v>0.1275</v>
      </c>
      <c r="Q5" s="27">
        <v>5.7099999999999998E-2</v>
      </c>
      <c r="R5" s="30">
        <f t="shared" si="3"/>
        <v>1.8153999999999999</v>
      </c>
      <c r="S5" s="27">
        <f t="shared" si="4"/>
        <v>85.050126693841591</v>
      </c>
      <c r="U5" s="18">
        <f t="shared" si="5"/>
        <v>14.94987330615842</v>
      </c>
    </row>
    <row r="6" spans="1:25" x14ac:dyDescent="0.25">
      <c r="A6" s="27" t="s">
        <v>59</v>
      </c>
      <c r="B6" s="27" t="s">
        <v>41</v>
      </c>
      <c r="C6" s="27" t="s">
        <v>15</v>
      </c>
      <c r="D6" s="27" t="s">
        <v>19</v>
      </c>
      <c r="E6" s="27">
        <v>1</v>
      </c>
      <c r="F6" s="27" t="s">
        <v>26</v>
      </c>
      <c r="G6" s="27">
        <v>2.04</v>
      </c>
      <c r="H6" s="27">
        <v>1.97</v>
      </c>
      <c r="I6" s="28">
        <f t="shared" si="0"/>
        <v>3.5532994923857899</v>
      </c>
      <c r="J6" s="29">
        <v>44228</v>
      </c>
      <c r="K6" s="29">
        <v>44286</v>
      </c>
      <c r="L6" s="27">
        <f t="shared" si="1"/>
        <v>58</v>
      </c>
      <c r="M6" s="27">
        <v>0.45579999999999998</v>
      </c>
      <c r="N6" s="30">
        <f t="shared" si="2"/>
        <v>1.5142</v>
      </c>
      <c r="O6" s="27">
        <v>0.26219999999999999</v>
      </c>
      <c r="P6" s="27">
        <v>0.13550000000000001</v>
      </c>
      <c r="Q6" s="27">
        <v>5.7099999999999998E-2</v>
      </c>
      <c r="R6" s="30">
        <f t="shared" si="3"/>
        <v>1.7774000000000001</v>
      </c>
      <c r="S6" s="27">
        <f t="shared" si="4"/>
        <v>85.248115224485204</v>
      </c>
      <c r="U6" s="18">
        <f t="shared" si="5"/>
        <v>14.751884775514796</v>
      </c>
    </row>
    <row r="7" spans="1:25" x14ac:dyDescent="0.25">
      <c r="A7" s="27" t="s">
        <v>59</v>
      </c>
      <c r="B7" s="27" t="s">
        <v>41</v>
      </c>
      <c r="C7" s="27" t="s">
        <v>15</v>
      </c>
      <c r="D7" s="27" t="s">
        <v>19</v>
      </c>
      <c r="E7" s="27">
        <v>2</v>
      </c>
      <c r="F7" s="27" t="s">
        <v>27</v>
      </c>
      <c r="G7" s="27">
        <v>2.11</v>
      </c>
      <c r="H7" s="27">
        <v>2.0499999999999998</v>
      </c>
      <c r="I7" s="28">
        <f t="shared" si="0"/>
        <v>2.926829268292686</v>
      </c>
      <c r="J7" s="29">
        <v>44228</v>
      </c>
      <c r="K7" s="29">
        <v>44286</v>
      </c>
      <c r="L7" s="27">
        <f t="shared" si="1"/>
        <v>58</v>
      </c>
      <c r="M7" s="27">
        <v>0.50370000000000004</v>
      </c>
      <c r="N7" s="30">
        <f t="shared" si="2"/>
        <v>1.5462999999999998</v>
      </c>
      <c r="O7" s="27">
        <v>0.30730000000000002</v>
      </c>
      <c r="P7" s="27">
        <v>0.13689999999999999</v>
      </c>
      <c r="Q7" s="27">
        <v>5.79E-2</v>
      </c>
      <c r="R7" s="30">
        <f t="shared" si="3"/>
        <v>1.8551999999999997</v>
      </c>
      <c r="S7" s="27">
        <f t="shared" si="4"/>
        <v>83.435748167313491</v>
      </c>
      <c r="U7" s="18">
        <f t="shared" si="5"/>
        <v>16.564251832686505</v>
      </c>
    </row>
    <row r="8" spans="1:25" x14ac:dyDescent="0.25">
      <c r="A8" s="27" t="s">
        <v>59</v>
      </c>
      <c r="B8" s="27" t="s">
        <v>41</v>
      </c>
      <c r="C8" s="27" t="s">
        <v>15</v>
      </c>
      <c r="D8" s="27" t="s">
        <v>20</v>
      </c>
      <c r="E8" s="27">
        <v>1</v>
      </c>
      <c r="F8" s="27" t="s">
        <v>28</v>
      </c>
      <c r="G8" s="28">
        <v>2.2000000000000002</v>
      </c>
      <c r="H8" s="28">
        <v>2.1</v>
      </c>
      <c r="I8" s="28">
        <f t="shared" si="0"/>
        <v>4.7619047619047654</v>
      </c>
      <c r="J8" s="29">
        <v>44228</v>
      </c>
      <c r="K8" s="29">
        <v>44286</v>
      </c>
      <c r="L8" s="27">
        <f t="shared" si="1"/>
        <v>58</v>
      </c>
      <c r="M8" s="27">
        <v>0.50660000000000005</v>
      </c>
      <c r="N8" s="30">
        <f t="shared" si="2"/>
        <v>1.5933999999999999</v>
      </c>
      <c r="O8" s="27">
        <v>0.30420000000000003</v>
      </c>
      <c r="P8" s="27">
        <v>0.14399999999999999</v>
      </c>
      <c r="Q8" s="27">
        <v>5.7099999999999998E-2</v>
      </c>
      <c r="R8" s="30">
        <f t="shared" si="3"/>
        <v>1.8989</v>
      </c>
      <c r="S8" s="27">
        <f t="shared" si="4"/>
        <v>83.980199062615199</v>
      </c>
      <c r="U8" s="18">
        <f t="shared" si="5"/>
        <v>16.019800937384804</v>
      </c>
    </row>
    <row r="9" spans="1:25" x14ac:dyDescent="0.25">
      <c r="A9" s="27" t="s">
        <v>59</v>
      </c>
      <c r="B9" s="27" t="s">
        <v>41</v>
      </c>
      <c r="C9" s="27" t="s">
        <v>15</v>
      </c>
      <c r="D9" s="27" t="s">
        <v>20</v>
      </c>
      <c r="E9" s="27">
        <v>2</v>
      </c>
      <c r="F9" s="27" t="s">
        <v>29</v>
      </c>
      <c r="G9" s="27">
        <v>2.08</v>
      </c>
      <c r="H9" s="27">
        <v>1.99</v>
      </c>
      <c r="I9" s="28">
        <f t="shared" si="0"/>
        <v>4.5226130653266372</v>
      </c>
      <c r="J9" s="29">
        <v>44228</v>
      </c>
      <c r="K9" s="29">
        <v>44286</v>
      </c>
      <c r="L9" s="27">
        <f t="shared" si="1"/>
        <v>58</v>
      </c>
      <c r="M9" s="27">
        <v>0.51090000000000002</v>
      </c>
      <c r="N9" s="30">
        <f t="shared" si="2"/>
        <v>1.4790999999999999</v>
      </c>
      <c r="O9" s="27">
        <v>0.3145</v>
      </c>
      <c r="P9" s="27">
        <v>0.13400000000000001</v>
      </c>
      <c r="Q9" s="27">
        <v>6.1899999999999997E-2</v>
      </c>
      <c r="R9" s="30">
        <f t="shared" si="3"/>
        <v>1.7941</v>
      </c>
      <c r="S9" s="27">
        <f t="shared" si="4"/>
        <v>82.470319380190631</v>
      </c>
      <c r="U9" s="18">
        <f t="shared" si="5"/>
        <v>17.529680619809376</v>
      </c>
    </row>
    <row r="10" spans="1:25" x14ac:dyDescent="0.25">
      <c r="A10" s="31" t="s">
        <v>14</v>
      </c>
      <c r="B10" s="31" t="s">
        <v>60</v>
      </c>
      <c r="C10" s="31" t="s">
        <v>15</v>
      </c>
      <c r="D10" s="31" t="s">
        <v>17</v>
      </c>
      <c r="E10" s="31">
        <v>1</v>
      </c>
      <c r="F10" s="31" t="s">
        <v>43</v>
      </c>
      <c r="G10" s="31">
        <v>2.1133000000000002</v>
      </c>
      <c r="H10" s="31">
        <v>2.0365000000000002</v>
      </c>
      <c r="I10" s="32">
        <f t="shared" si="0"/>
        <v>3.771176037318928</v>
      </c>
      <c r="J10" s="33">
        <v>44235</v>
      </c>
      <c r="K10" s="33">
        <v>44295</v>
      </c>
      <c r="L10" s="31">
        <f t="shared" si="1"/>
        <v>60</v>
      </c>
      <c r="M10" s="31">
        <v>0.49109999999999998</v>
      </c>
      <c r="N10" s="34">
        <f t="shared" si="2"/>
        <v>1.5454000000000003</v>
      </c>
      <c r="O10" s="31">
        <v>0.30280000000000001</v>
      </c>
      <c r="P10" s="31">
        <v>0.1221</v>
      </c>
      <c r="Q10" s="31">
        <v>6.6100000000000006E-2</v>
      </c>
      <c r="R10" s="34">
        <f t="shared" si="3"/>
        <v>1.8483000000000003</v>
      </c>
      <c r="S10" s="31">
        <f t="shared" si="4"/>
        <v>83.617378131255748</v>
      </c>
      <c r="T10">
        <f>AVERAGE(O10:O17)</f>
        <v>0.29366249999999999</v>
      </c>
      <c r="U10" s="18">
        <f t="shared" si="5"/>
        <v>16.382621868744248</v>
      </c>
      <c r="V10" s="7">
        <f>AVERAGE(U10:U17)</f>
        <v>16.191842509203155</v>
      </c>
      <c r="W10">
        <f>STDEV(U10:U17)</f>
        <v>0.64854901872743331</v>
      </c>
      <c r="X10">
        <f>AVERAGE(S10:S17)</f>
        <v>83.80815749079683</v>
      </c>
      <c r="Y10">
        <f>STDEV(S10:S17)</f>
        <v>0.64854901872743109</v>
      </c>
    </row>
    <row r="11" spans="1:25" x14ac:dyDescent="0.25">
      <c r="A11" s="31" t="s">
        <v>14</v>
      </c>
      <c r="B11" s="31" t="s">
        <v>60</v>
      </c>
      <c r="C11" s="31" t="s">
        <v>15</v>
      </c>
      <c r="D11" s="31" t="s">
        <v>17</v>
      </c>
      <c r="E11" s="31">
        <v>2</v>
      </c>
      <c r="F11" s="31" t="s">
        <v>44</v>
      </c>
      <c r="G11" s="31">
        <v>2.1303999999999998</v>
      </c>
      <c r="H11" s="31">
        <v>2.0531000000000001</v>
      </c>
      <c r="I11" s="32">
        <f t="shared" si="0"/>
        <v>3.7650382348643365</v>
      </c>
      <c r="J11" s="33">
        <v>44235</v>
      </c>
      <c r="K11" s="33">
        <v>44295</v>
      </c>
      <c r="L11" s="31">
        <f t="shared" si="1"/>
        <v>60</v>
      </c>
      <c r="M11" s="31">
        <v>0.52359999999999995</v>
      </c>
      <c r="N11" s="34">
        <f t="shared" si="2"/>
        <v>1.5295000000000001</v>
      </c>
      <c r="O11" s="31">
        <v>0.31840000000000002</v>
      </c>
      <c r="P11" s="31">
        <v>0.1366</v>
      </c>
      <c r="Q11" s="31">
        <v>6.7799999999999999E-2</v>
      </c>
      <c r="R11" s="34">
        <f t="shared" si="3"/>
        <v>1.8487000000000002</v>
      </c>
      <c r="S11" s="31">
        <f t="shared" si="4"/>
        <v>82.777086601395581</v>
      </c>
      <c r="U11" s="18">
        <f t="shared" si="5"/>
        <v>17.222913398604422</v>
      </c>
    </row>
    <row r="12" spans="1:25" x14ac:dyDescent="0.25">
      <c r="A12" s="31" t="s">
        <v>14</v>
      </c>
      <c r="B12" s="31" t="s">
        <v>60</v>
      </c>
      <c r="C12" s="31" t="s">
        <v>15</v>
      </c>
      <c r="D12" s="31" t="s">
        <v>18</v>
      </c>
      <c r="E12" s="31">
        <v>1</v>
      </c>
      <c r="F12" s="31" t="s">
        <v>45</v>
      </c>
      <c r="G12" s="31">
        <v>2.0255000000000001</v>
      </c>
      <c r="H12" s="34">
        <v>1.9510000000000001</v>
      </c>
      <c r="I12" s="32">
        <f t="shared" si="0"/>
        <v>3.8185545873910822</v>
      </c>
      <c r="J12" s="33">
        <v>44235</v>
      </c>
      <c r="K12" s="33">
        <v>44295</v>
      </c>
      <c r="L12" s="31">
        <f t="shared" si="1"/>
        <v>60</v>
      </c>
      <c r="M12" s="31">
        <v>0.4748</v>
      </c>
      <c r="N12" s="34">
        <f t="shared" si="2"/>
        <v>1.4762</v>
      </c>
      <c r="O12" s="31">
        <v>0.27789999999999998</v>
      </c>
      <c r="P12" s="31">
        <v>0.1268</v>
      </c>
      <c r="Q12" s="34">
        <v>7.0099999999999996E-2</v>
      </c>
      <c r="R12" s="34">
        <f t="shared" si="3"/>
        <v>1.7541</v>
      </c>
      <c r="S12" s="31">
        <f t="shared" si="4"/>
        <v>84.157117610170445</v>
      </c>
      <c r="U12" s="18">
        <f t="shared" si="5"/>
        <v>15.842882389829541</v>
      </c>
    </row>
    <row r="13" spans="1:25" x14ac:dyDescent="0.25">
      <c r="A13" s="31" t="s">
        <v>14</v>
      </c>
      <c r="B13" s="31" t="s">
        <v>60</v>
      </c>
      <c r="C13" s="31" t="s">
        <v>15</v>
      </c>
      <c r="D13" s="31" t="s">
        <v>18</v>
      </c>
      <c r="E13" s="31">
        <v>2</v>
      </c>
      <c r="F13" s="31" t="s">
        <v>46</v>
      </c>
      <c r="G13" s="31">
        <v>2.0724999999999998</v>
      </c>
      <c r="H13" s="31">
        <v>1.9981</v>
      </c>
      <c r="I13" s="32">
        <f t="shared" si="0"/>
        <v>3.723537360492458</v>
      </c>
      <c r="J13" s="33">
        <v>44235</v>
      </c>
      <c r="K13" s="33">
        <v>44295</v>
      </c>
      <c r="L13" s="31">
        <f t="shared" si="1"/>
        <v>60</v>
      </c>
      <c r="M13" s="31">
        <v>0.49149999999999999</v>
      </c>
      <c r="N13" s="34">
        <f t="shared" si="2"/>
        <v>1.5065999999999999</v>
      </c>
      <c r="O13" s="31">
        <v>0.29110000000000003</v>
      </c>
      <c r="P13" s="31">
        <v>0.1361</v>
      </c>
      <c r="Q13" s="31">
        <v>6.3200000000000006E-2</v>
      </c>
      <c r="R13" s="34">
        <f t="shared" si="3"/>
        <v>1.7988</v>
      </c>
      <c r="S13" s="31">
        <f t="shared" si="4"/>
        <v>83.816989103847007</v>
      </c>
      <c r="U13" s="18">
        <f t="shared" si="5"/>
        <v>16.183010896152993</v>
      </c>
    </row>
    <row r="14" spans="1:25" x14ac:dyDescent="0.25">
      <c r="A14" s="31" t="s">
        <v>14</v>
      </c>
      <c r="B14" s="31" t="s">
        <v>60</v>
      </c>
      <c r="C14" s="31" t="s">
        <v>15</v>
      </c>
      <c r="D14" s="31" t="s">
        <v>19</v>
      </c>
      <c r="E14" s="31">
        <v>1</v>
      </c>
      <c r="F14" s="31" t="s">
        <v>47</v>
      </c>
      <c r="G14" s="34">
        <v>2.0979999999999999</v>
      </c>
      <c r="H14" s="31">
        <v>2.0202</v>
      </c>
      <c r="I14" s="32">
        <f t="shared" si="0"/>
        <v>3.8511038511038445</v>
      </c>
      <c r="J14" s="33">
        <v>44235</v>
      </c>
      <c r="K14" s="33">
        <v>44295</v>
      </c>
      <c r="L14" s="31">
        <f t="shared" si="1"/>
        <v>60</v>
      </c>
      <c r="M14" s="31">
        <v>0.51549999999999996</v>
      </c>
      <c r="N14" s="34">
        <f t="shared" si="2"/>
        <v>1.5047000000000001</v>
      </c>
      <c r="O14" s="31">
        <v>0.30819999999999997</v>
      </c>
      <c r="P14" s="31">
        <v>0.1452</v>
      </c>
      <c r="Q14" s="31">
        <v>6.1699999999999998E-2</v>
      </c>
      <c r="R14" s="34">
        <f t="shared" si="3"/>
        <v>1.8132999999999999</v>
      </c>
      <c r="S14" s="31">
        <f t="shared" si="4"/>
        <v>83.003364032427058</v>
      </c>
      <c r="U14" s="18">
        <f t="shared" si="5"/>
        <v>16.996635967572931</v>
      </c>
    </row>
    <row r="15" spans="1:25" x14ac:dyDescent="0.25">
      <c r="A15" s="31" t="s">
        <v>14</v>
      </c>
      <c r="B15" s="31" t="s">
        <v>60</v>
      </c>
      <c r="C15" s="31" t="s">
        <v>15</v>
      </c>
      <c r="D15" s="31" t="s">
        <v>19</v>
      </c>
      <c r="E15" s="31">
        <v>2</v>
      </c>
      <c r="F15" s="31" t="s">
        <v>48</v>
      </c>
      <c r="G15" s="31">
        <v>2.0951</v>
      </c>
      <c r="H15" s="31">
        <v>2.0177</v>
      </c>
      <c r="I15" s="32">
        <f t="shared" si="0"/>
        <v>3.8360509491004566</v>
      </c>
      <c r="J15" s="33">
        <v>44235</v>
      </c>
      <c r="K15" s="33">
        <v>44295</v>
      </c>
      <c r="L15" s="31">
        <f t="shared" si="1"/>
        <v>60</v>
      </c>
      <c r="M15" s="31">
        <v>0.48299999999999998</v>
      </c>
      <c r="N15" s="34">
        <f t="shared" si="2"/>
        <v>1.5347</v>
      </c>
      <c r="O15" s="31">
        <v>0.28610000000000002</v>
      </c>
      <c r="P15" s="31">
        <v>0.1343</v>
      </c>
      <c r="Q15" s="31">
        <v>6.2600000000000003E-2</v>
      </c>
      <c r="R15" s="34">
        <f t="shared" si="3"/>
        <v>1.8208</v>
      </c>
      <c r="S15" s="31">
        <f t="shared" si="4"/>
        <v>84.287126537785582</v>
      </c>
      <c r="U15" s="18">
        <f t="shared" si="5"/>
        <v>15.712873462214413</v>
      </c>
    </row>
    <row r="16" spans="1:25" x14ac:dyDescent="0.25">
      <c r="A16" s="31" t="s">
        <v>14</v>
      </c>
      <c r="B16" s="31" t="s">
        <v>60</v>
      </c>
      <c r="C16" s="31" t="s">
        <v>15</v>
      </c>
      <c r="D16" s="31" t="s">
        <v>20</v>
      </c>
      <c r="E16" s="31">
        <v>1</v>
      </c>
      <c r="F16" s="31" t="s">
        <v>49</v>
      </c>
      <c r="G16" s="31">
        <v>2.0962000000000001</v>
      </c>
      <c r="H16" s="31">
        <v>2.0270000000000001</v>
      </c>
      <c r="I16" s="32">
        <f t="shared" si="0"/>
        <v>3.413912185495803</v>
      </c>
      <c r="J16" s="33">
        <v>44235</v>
      </c>
      <c r="K16" s="33">
        <v>44295</v>
      </c>
      <c r="L16" s="31">
        <f t="shared" si="1"/>
        <v>60</v>
      </c>
      <c r="M16" s="31">
        <v>0.47470000000000001</v>
      </c>
      <c r="N16" s="34">
        <f t="shared" si="2"/>
        <v>1.5523000000000002</v>
      </c>
      <c r="O16" s="31">
        <v>0.28120000000000001</v>
      </c>
      <c r="P16" s="31">
        <v>0.12920000000000001</v>
      </c>
      <c r="Q16" s="31">
        <v>6.4000000000000001E-2</v>
      </c>
      <c r="R16" s="34">
        <f t="shared" si="3"/>
        <v>1.8338000000000001</v>
      </c>
      <c r="S16" s="31">
        <f t="shared" si="4"/>
        <v>84.665721452721115</v>
      </c>
      <c r="U16" s="18">
        <f t="shared" si="5"/>
        <v>15.334278547278874</v>
      </c>
    </row>
    <row r="17" spans="1:25" x14ac:dyDescent="0.25">
      <c r="A17" s="31" t="s">
        <v>14</v>
      </c>
      <c r="B17" s="31" t="s">
        <v>60</v>
      </c>
      <c r="C17" s="31" t="s">
        <v>15</v>
      </c>
      <c r="D17" s="31" t="s">
        <v>20</v>
      </c>
      <c r="E17" s="31">
        <v>2</v>
      </c>
      <c r="F17" s="31" t="s">
        <v>50</v>
      </c>
      <c r="G17" s="31">
        <v>2.0648</v>
      </c>
      <c r="H17" s="31">
        <v>1.9905999999999999</v>
      </c>
      <c r="I17" s="32">
        <f t="shared" si="0"/>
        <v>3.7275193409022433</v>
      </c>
      <c r="J17" s="33">
        <v>44235</v>
      </c>
      <c r="K17" s="33">
        <v>44295</v>
      </c>
      <c r="L17" s="31">
        <f t="shared" si="1"/>
        <v>60</v>
      </c>
      <c r="M17" s="31">
        <v>0.48620000000000002</v>
      </c>
      <c r="N17" s="34">
        <f t="shared" si="2"/>
        <v>1.5044</v>
      </c>
      <c r="O17" s="31">
        <v>0.28360000000000002</v>
      </c>
      <c r="P17" s="31">
        <v>0.1381</v>
      </c>
      <c r="Q17" s="31">
        <v>6.4299999999999996E-2</v>
      </c>
      <c r="R17" s="34">
        <f t="shared" si="3"/>
        <v>1.7882</v>
      </c>
      <c r="S17" s="31">
        <f t="shared" si="4"/>
        <v>84.140476456772177</v>
      </c>
      <c r="U17" s="18">
        <f t="shared" si="5"/>
        <v>15.859523543227827</v>
      </c>
    </row>
    <row r="18" spans="1:25" x14ac:dyDescent="0.25">
      <c r="A18" s="39" t="s">
        <v>62</v>
      </c>
      <c r="B18" s="39" t="s">
        <v>63</v>
      </c>
      <c r="C18" s="39" t="s">
        <v>15</v>
      </c>
      <c r="D18" s="39" t="s">
        <v>17</v>
      </c>
      <c r="E18" s="39">
        <v>1</v>
      </c>
      <c r="F18" s="39" t="s">
        <v>64</v>
      </c>
      <c r="G18" s="39">
        <v>2.1594000000000002</v>
      </c>
      <c r="H18" s="39">
        <v>2.0802999999999998</v>
      </c>
      <c r="I18" s="40">
        <f t="shared" ref="I18:I33" si="6">((G18-H18)/H18)*100</f>
        <v>3.8023362015094166</v>
      </c>
      <c r="J18" s="41">
        <v>44242</v>
      </c>
      <c r="K18" s="41">
        <v>44302</v>
      </c>
      <c r="L18" s="39">
        <f t="shared" ref="L18:L33" si="7">K18-J18</f>
        <v>60</v>
      </c>
      <c r="M18" s="39">
        <v>0.57579999999999998</v>
      </c>
      <c r="N18" s="42">
        <f t="shared" si="2"/>
        <v>1.5044999999999997</v>
      </c>
      <c r="O18" s="39">
        <v>0.39179999999999998</v>
      </c>
      <c r="P18" s="39">
        <v>0.12790000000000001</v>
      </c>
      <c r="Q18" s="39">
        <v>5.6399999999999999E-2</v>
      </c>
      <c r="R18" s="42">
        <f t="shared" si="3"/>
        <v>1.8959999999999999</v>
      </c>
      <c r="S18" s="39">
        <f t="shared" si="4"/>
        <v>79.335443037974684</v>
      </c>
      <c r="T18">
        <f>AVERAGE(O18:O25)</f>
        <v>0.37312500000000004</v>
      </c>
      <c r="U18" s="18">
        <f t="shared" si="5"/>
        <v>20.664556962025316</v>
      </c>
      <c r="V18" s="7">
        <f>AVERAGE(U18:U25)</f>
        <v>20.369696551867897</v>
      </c>
      <c r="W18">
        <f>STDEV(U18:U25)</f>
        <v>1.4029192130699797</v>
      </c>
      <c r="X18">
        <f>AVERAGE(S18:S25)</f>
        <v>79.630303448132096</v>
      </c>
      <c r="Y18">
        <f>STDEV(S18:S25)</f>
        <v>1.4029192130699799</v>
      </c>
    </row>
    <row r="19" spans="1:25" x14ac:dyDescent="0.25">
      <c r="A19" s="39" t="s">
        <v>62</v>
      </c>
      <c r="B19" s="39" t="s">
        <v>63</v>
      </c>
      <c r="C19" s="39" t="s">
        <v>15</v>
      </c>
      <c r="D19" s="39" t="s">
        <v>17</v>
      </c>
      <c r="E19" s="39">
        <v>2</v>
      </c>
      <c r="F19" s="39" t="s">
        <v>66</v>
      </c>
      <c r="G19" s="39">
        <v>2.1162999999999998</v>
      </c>
      <c r="H19" s="39">
        <v>2.0394000000000001</v>
      </c>
      <c r="I19" s="40">
        <f t="shared" si="6"/>
        <v>3.7707168775129816</v>
      </c>
      <c r="J19" s="41">
        <v>44242</v>
      </c>
      <c r="K19" s="41">
        <v>44302</v>
      </c>
      <c r="L19" s="39">
        <f t="shared" si="7"/>
        <v>60</v>
      </c>
      <c r="M19" s="39">
        <v>0.52259999999999995</v>
      </c>
      <c r="N19" s="42">
        <f t="shared" si="2"/>
        <v>1.5168000000000001</v>
      </c>
      <c r="O19" s="39">
        <v>0.33650000000000002</v>
      </c>
      <c r="P19" s="39">
        <v>0.12709999999999999</v>
      </c>
      <c r="Q19" s="39">
        <v>5.8599999999999999E-2</v>
      </c>
      <c r="R19" s="42">
        <f t="shared" si="3"/>
        <v>1.8537000000000001</v>
      </c>
      <c r="S19" s="39">
        <f t="shared" si="4"/>
        <v>81.847116577655498</v>
      </c>
      <c r="U19" s="18">
        <f t="shared" si="5"/>
        <v>18.152883422344502</v>
      </c>
    </row>
    <row r="20" spans="1:25" x14ac:dyDescent="0.25">
      <c r="A20" s="39" t="s">
        <v>62</v>
      </c>
      <c r="B20" s="39" t="s">
        <v>63</v>
      </c>
      <c r="C20" s="39" t="s">
        <v>15</v>
      </c>
      <c r="D20" s="39" t="s">
        <v>18</v>
      </c>
      <c r="E20" s="39">
        <v>1</v>
      </c>
      <c r="F20" s="39" t="s">
        <v>67</v>
      </c>
      <c r="G20" s="39">
        <v>2.0331999999999999</v>
      </c>
      <c r="H20" s="39">
        <v>1.962</v>
      </c>
      <c r="I20" s="40">
        <f t="shared" si="6"/>
        <v>3.6289500509683963</v>
      </c>
      <c r="J20" s="41">
        <v>44242</v>
      </c>
      <c r="K20" s="41">
        <v>44302</v>
      </c>
      <c r="L20" s="39">
        <f t="shared" si="7"/>
        <v>60</v>
      </c>
      <c r="M20" s="39">
        <v>0.54300000000000004</v>
      </c>
      <c r="N20" s="42">
        <f t="shared" si="2"/>
        <v>1.419</v>
      </c>
      <c r="O20" s="39">
        <v>0.35520000000000002</v>
      </c>
      <c r="P20" s="39">
        <v>0.1295</v>
      </c>
      <c r="Q20" s="39">
        <v>5.79E-2</v>
      </c>
      <c r="R20" s="42">
        <f t="shared" si="3"/>
        <v>1.7746</v>
      </c>
      <c r="S20" s="39">
        <f t="shared" si="4"/>
        <v>79.984221796461171</v>
      </c>
      <c r="U20" s="18">
        <f t="shared" si="5"/>
        <v>20.015778203538829</v>
      </c>
    </row>
    <row r="21" spans="1:25" x14ac:dyDescent="0.25">
      <c r="A21" s="39" t="s">
        <v>62</v>
      </c>
      <c r="B21" s="39" t="s">
        <v>63</v>
      </c>
      <c r="C21" s="39" t="s">
        <v>15</v>
      </c>
      <c r="D21" s="39" t="s">
        <v>18</v>
      </c>
      <c r="E21" s="39">
        <v>2</v>
      </c>
      <c r="F21" s="39" t="s">
        <v>68</v>
      </c>
      <c r="G21" s="39">
        <v>1.9449000000000001</v>
      </c>
      <c r="H21" s="39">
        <v>1.8752</v>
      </c>
      <c r="I21" s="40">
        <f t="shared" si="6"/>
        <v>3.7169368600682642</v>
      </c>
      <c r="J21" s="41">
        <v>44242</v>
      </c>
      <c r="K21" s="41">
        <v>44302</v>
      </c>
      <c r="L21" s="39">
        <f t="shared" si="7"/>
        <v>60</v>
      </c>
      <c r="M21" s="39">
        <v>0.50290000000000001</v>
      </c>
      <c r="N21" s="42">
        <f t="shared" si="2"/>
        <v>1.3723000000000001</v>
      </c>
      <c r="O21" s="39">
        <v>0.31569999999999998</v>
      </c>
      <c r="P21" s="39">
        <v>0.12909999999999999</v>
      </c>
      <c r="Q21" s="39">
        <v>5.7000000000000002E-2</v>
      </c>
      <c r="R21" s="42">
        <f t="shared" si="3"/>
        <v>1.6891</v>
      </c>
      <c r="S21" s="39">
        <f t="shared" si="4"/>
        <v>81.309573145462082</v>
      </c>
      <c r="U21" s="18">
        <f t="shared" si="5"/>
        <v>18.690426854537918</v>
      </c>
    </row>
    <row r="22" spans="1:25" x14ac:dyDescent="0.25">
      <c r="A22" s="39" t="s">
        <v>62</v>
      </c>
      <c r="B22" s="39" t="s">
        <v>63</v>
      </c>
      <c r="C22" s="39" t="s">
        <v>15</v>
      </c>
      <c r="D22" s="39" t="s">
        <v>19</v>
      </c>
      <c r="E22" s="39">
        <v>1</v>
      </c>
      <c r="F22" s="39" t="s">
        <v>69</v>
      </c>
      <c r="G22" s="39">
        <v>2.1711999999999998</v>
      </c>
      <c r="H22" s="39">
        <v>2.0912000000000002</v>
      </c>
      <c r="I22" s="40">
        <f t="shared" si="6"/>
        <v>3.8255547054322694</v>
      </c>
      <c r="J22" s="41">
        <v>44242</v>
      </c>
      <c r="K22" s="41">
        <v>44302</v>
      </c>
      <c r="L22" s="39">
        <f t="shared" si="7"/>
        <v>60</v>
      </c>
      <c r="M22" s="39">
        <v>0.59089999999999998</v>
      </c>
      <c r="N22" s="42">
        <f t="shared" si="2"/>
        <v>1.5003000000000002</v>
      </c>
      <c r="O22" s="39">
        <v>0.40500000000000003</v>
      </c>
      <c r="P22" s="39">
        <v>0.12820000000000001</v>
      </c>
      <c r="Q22" s="39">
        <v>5.6599999999999998E-2</v>
      </c>
      <c r="R22" s="42">
        <f t="shared" si="3"/>
        <v>1.9064000000000001</v>
      </c>
      <c r="S22" s="39">
        <f t="shared" si="4"/>
        <v>78.755770037767519</v>
      </c>
      <c r="U22" s="18">
        <f t="shared" si="5"/>
        <v>21.244229962232481</v>
      </c>
    </row>
    <row r="23" spans="1:25" x14ac:dyDescent="0.25">
      <c r="A23" s="39" t="s">
        <v>62</v>
      </c>
      <c r="B23" s="39" t="s">
        <v>63</v>
      </c>
      <c r="C23" s="39" t="s">
        <v>15</v>
      </c>
      <c r="D23" s="39" t="s">
        <v>19</v>
      </c>
      <c r="E23" s="39">
        <v>2</v>
      </c>
      <c r="F23" s="39" t="s">
        <v>70</v>
      </c>
      <c r="G23" s="39">
        <v>2.0543999999999998</v>
      </c>
      <c r="H23" s="39">
        <v>1.9789000000000001</v>
      </c>
      <c r="I23" s="40">
        <f t="shared" si="6"/>
        <v>3.8152508969629428</v>
      </c>
      <c r="J23" s="41">
        <v>44242</v>
      </c>
      <c r="K23" s="41">
        <v>44302</v>
      </c>
      <c r="L23" s="39">
        <f t="shared" si="7"/>
        <v>60</v>
      </c>
      <c r="M23" s="39">
        <v>0.5585</v>
      </c>
      <c r="N23" s="42">
        <f t="shared" si="2"/>
        <v>1.4204000000000001</v>
      </c>
      <c r="O23" s="39">
        <v>0.36199999999999999</v>
      </c>
      <c r="P23" s="39">
        <v>0.13689999999999999</v>
      </c>
      <c r="Q23" s="39">
        <v>5.7000000000000002E-2</v>
      </c>
      <c r="R23" s="42">
        <f t="shared" si="3"/>
        <v>1.7850000000000001</v>
      </c>
      <c r="S23" s="39">
        <f t="shared" si="4"/>
        <v>79.719887955182074</v>
      </c>
      <c r="U23" s="18">
        <f t="shared" si="5"/>
        <v>20.280112044817926</v>
      </c>
    </row>
    <row r="24" spans="1:25" x14ac:dyDescent="0.25">
      <c r="A24" s="39" t="s">
        <v>62</v>
      </c>
      <c r="B24" s="39" t="s">
        <v>63</v>
      </c>
      <c r="C24" s="39" t="s">
        <v>15</v>
      </c>
      <c r="D24" s="39" t="s">
        <v>20</v>
      </c>
      <c r="E24" s="39">
        <v>1</v>
      </c>
      <c r="F24" s="39" t="s">
        <v>71</v>
      </c>
      <c r="G24" s="39">
        <v>2.1080999999999999</v>
      </c>
      <c r="H24" s="39">
        <v>2.0310999999999999</v>
      </c>
      <c r="I24" s="40">
        <f t="shared" si="6"/>
        <v>3.7910491851705954</v>
      </c>
      <c r="J24" s="41">
        <v>44242</v>
      </c>
      <c r="K24" s="41">
        <v>44302</v>
      </c>
      <c r="L24" s="39">
        <f t="shared" si="7"/>
        <v>60</v>
      </c>
      <c r="M24" s="39">
        <v>0.59740000000000004</v>
      </c>
      <c r="N24" s="42">
        <f t="shared" si="2"/>
        <v>1.4337</v>
      </c>
      <c r="O24" s="39">
        <v>0.40770000000000001</v>
      </c>
      <c r="P24" s="39">
        <v>0.12889999999999999</v>
      </c>
      <c r="Q24" s="39">
        <v>5.6000000000000001E-2</v>
      </c>
      <c r="R24" s="42">
        <f t="shared" si="3"/>
        <v>1.8461999999999998</v>
      </c>
      <c r="S24" s="39">
        <f t="shared" si="4"/>
        <v>77.916802079947999</v>
      </c>
      <c r="U24" s="18">
        <f t="shared" si="5"/>
        <v>22.083197920052001</v>
      </c>
    </row>
    <row r="25" spans="1:25" x14ac:dyDescent="0.25">
      <c r="A25" s="39" t="s">
        <v>62</v>
      </c>
      <c r="B25" s="39" t="s">
        <v>63</v>
      </c>
      <c r="C25" s="39" t="s">
        <v>15</v>
      </c>
      <c r="D25" s="39" t="s">
        <v>20</v>
      </c>
      <c r="E25" s="39">
        <v>2</v>
      </c>
      <c r="F25" s="39" t="s">
        <v>72</v>
      </c>
      <c r="G25" s="39">
        <v>2.1553</v>
      </c>
      <c r="H25" s="39">
        <v>2.0788000000000002</v>
      </c>
      <c r="I25" s="40">
        <f t="shared" si="6"/>
        <v>3.6800076967481137</v>
      </c>
      <c r="J25" s="41">
        <v>44242</v>
      </c>
      <c r="K25" s="41">
        <v>44302</v>
      </c>
      <c r="L25" s="39">
        <f t="shared" si="7"/>
        <v>60</v>
      </c>
      <c r="M25" s="39">
        <v>0.60780000000000001</v>
      </c>
      <c r="N25" s="42">
        <f t="shared" si="2"/>
        <v>1.4710000000000001</v>
      </c>
      <c r="O25" s="39">
        <v>0.41110000000000002</v>
      </c>
      <c r="P25" s="39">
        <v>0.13869999999999999</v>
      </c>
      <c r="Q25" s="39">
        <v>5.6599999999999998E-2</v>
      </c>
      <c r="R25" s="42">
        <f t="shared" si="3"/>
        <v>1.8835000000000002</v>
      </c>
      <c r="S25" s="39">
        <f t="shared" si="4"/>
        <v>78.173612954605787</v>
      </c>
      <c r="U25" s="18">
        <f t="shared" si="5"/>
        <v>21.826387045394213</v>
      </c>
    </row>
    <row r="26" spans="1:25" x14ac:dyDescent="0.25">
      <c r="A26" s="43" t="s">
        <v>300</v>
      </c>
      <c r="B26" s="43" t="s">
        <v>80</v>
      </c>
      <c r="C26" s="43" t="s">
        <v>15</v>
      </c>
      <c r="D26" s="43" t="s">
        <v>17</v>
      </c>
      <c r="E26" s="43">
        <v>1</v>
      </c>
      <c r="F26" s="43" t="s">
        <v>81</v>
      </c>
      <c r="G26" s="43">
        <v>2.0341999999999998</v>
      </c>
      <c r="H26" s="43">
        <v>1.9731000000000001</v>
      </c>
      <c r="I26" s="44">
        <f t="shared" si="6"/>
        <v>3.0966499417160667</v>
      </c>
      <c r="J26" s="45">
        <v>44249</v>
      </c>
      <c r="K26" s="45">
        <v>44309</v>
      </c>
      <c r="L26" s="43">
        <f t="shared" si="7"/>
        <v>60</v>
      </c>
      <c r="M26" s="43">
        <v>0.47949999999999998</v>
      </c>
      <c r="N26" s="46">
        <f t="shared" si="2"/>
        <v>1.4936</v>
      </c>
      <c r="O26" s="43">
        <v>0.29349999999999998</v>
      </c>
      <c r="P26" s="43">
        <v>0.12709999999999999</v>
      </c>
      <c r="Q26" s="43">
        <v>5.9299999999999999E-2</v>
      </c>
      <c r="R26" s="46">
        <f t="shared" si="3"/>
        <v>1.7867000000000002</v>
      </c>
      <c r="S26" s="43">
        <f t="shared" si="4"/>
        <v>83.573067666648015</v>
      </c>
      <c r="T26">
        <f>AVERAGE(O26:O33)</f>
        <v>0.26172499999999999</v>
      </c>
      <c r="U26" s="18">
        <f t="shared" si="5"/>
        <v>16.426932333351989</v>
      </c>
      <c r="V26" s="7">
        <f>AVERAGE(U26:U33)</f>
        <v>14.233173516886403</v>
      </c>
      <c r="W26">
        <f>STDEV(U26:U33)</f>
        <v>2.3282093047217871</v>
      </c>
      <c r="X26">
        <f>AVERAGE(S26:S33)</f>
        <v>85.76682648311359</v>
      </c>
      <c r="Y26">
        <f>STDEV(S26:S33)</f>
        <v>2.3282093047217791</v>
      </c>
    </row>
    <row r="27" spans="1:25" x14ac:dyDescent="0.25">
      <c r="A27" s="43" t="s">
        <v>300</v>
      </c>
      <c r="B27" s="43" t="s">
        <v>80</v>
      </c>
      <c r="C27" s="43" t="s">
        <v>15</v>
      </c>
      <c r="D27" s="43" t="s">
        <v>17</v>
      </c>
      <c r="E27" s="43">
        <v>2</v>
      </c>
      <c r="F27" s="43" t="s">
        <v>83</v>
      </c>
      <c r="G27" s="43">
        <v>2.0733999999999999</v>
      </c>
      <c r="H27" s="43">
        <v>2.0104000000000002</v>
      </c>
      <c r="I27" s="44">
        <f t="shared" si="6"/>
        <v>3.1337047353760306</v>
      </c>
      <c r="J27" s="45">
        <v>44249</v>
      </c>
      <c r="K27" s="45">
        <v>44309</v>
      </c>
      <c r="L27" s="43">
        <f t="shared" si="7"/>
        <v>60</v>
      </c>
      <c r="M27" s="43">
        <v>0.45639999999999997</v>
      </c>
      <c r="N27" s="46">
        <f t="shared" si="2"/>
        <v>1.5540000000000003</v>
      </c>
      <c r="O27" s="43">
        <v>0.27479999999999999</v>
      </c>
      <c r="P27" s="43">
        <v>0.1246</v>
      </c>
      <c r="Q27" s="43">
        <v>5.6399999999999999E-2</v>
      </c>
      <c r="R27" s="46">
        <f t="shared" si="3"/>
        <v>1.8294000000000001</v>
      </c>
      <c r="S27" s="43">
        <f t="shared" si="4"/>
        <v>84.978681534929493</v>
      </c>
      <c r="U27" s="18">
        <f t="shared" si="5"/>
        <v>15.021318465070513</v>
      </c>
    </row>
    <row r="28" spans="1:25" x14ac:dyDescent="0.25">
      <c r="A28" s="43" t="s">
        <v>300</v>
      </c>
      <c r="B28" s="43" t="s">
        <v>80</v>
      </c>
      <c r="C28" s="43" t="s">
        <v>15</v>
      </c>
      <c r="D28" s="43" t="s">
        <v>18</v>
      </c>
      <c r="E28" s="43">
        <v>1</v>
      </c>
      <c r="F28" s="43" t="s">
        <v>84</v>
      </c>
      <c r="G28" s="43">
        <v>2.0665</v>
      </c>
      <c r="H28" s="43">
        <v>2.0028999999999999</v>
      </c>
      <c r="I28" s="44">
        <f t="shared" si="6"/>
        <v>3.1753956762694142</v>
      </c>
      <c r="J28" s="45">
        <v>44249</v>
      </c>
      <c r="K28" s="45">
        <v>44309</v>
      </c>
      <c r="L28" s="43">
        <f t="shared" si="7"/>
        <v>60</v>
      </c>
      <c r="M28" s="43">
        <v>0.34820000000000001</v>
      </c>
      <c r="N28" s="46">
        <f t="shared" si="2"/>
        <v>1.6546999999999998</v>
      </c>
      <c r="O28" s="43">
        <v>0.1643</v>
      </c>
      <c r="P28" s="43">
        <v>0.12870000000000001</v>
      </c>
      <c r="Q28" s="43">
        <v>5.5300000000000002E-2</v>
      </c>
      <c r="R28" s="46">
        <f t="shared" si="3"/>
        <v>1.8189</v>
      </c>
      <c r="S28" s="43">
        <f t="shared" si="4"/>
        <v>90.967068008136778</v>
      </c>
      <c r="U28" s="18">
        <f t="shared" si="5"/>
        <v>9.0329319918632152</v>
      </c>
    </row>
    <row r="29" spans="1:25" x14ac:dyDescent="0.25">
      <c r="A29" s="43" t="s">
        <v>300</v>
      </c>
      <c r="B29" s="43" t="s">
        <v>80</v>
      </c>
      <c r="C29" s="43" t="s">
        <v>15</v>
      </c>
      <c r="D29" s="43" t="s">
        <v>18</v>
      </c>
      <c r="E29" s="43">
        <v>2</v>
      </c>
      <c r="F29" s="43" t="s">
        <v>85</v>
      </c>
      <c r="G29" s="43">
        <v>2.1471</v>
      </c>
      <c r="H29" s="43">
        <v>2.0806</v>
      </c>
      <c r="I29" s="44">
        <f t="shared" si="6"/>
        <v>3.1961934057483417</v>
      </c>
      <c r="J29" s="45">
        <v>44249</v>
      </c>
      <c r="K29" s="45">
        <v>44309</v>
      </c>
      <c r="L29" s="43">
        <f t="shared" si="7"/>
        <v>60</v>
      </c>
      <c r="M29" s="43">
        <v>0.42730000000000001</v>
      </c>
      <c r="N29" s="46">
        <f t="shared" si="2"/>
        <v>1.6533</v>
      </c>
      <c r="O29" s="43">
        <v>0.24740000000000001</v>
      </c>
      <c r="P29" s="43">
        <v>0.12520000000000001</v>
      </c>
      <c r="Q29" s="43">
        <v>5.4800000000000001E-2</v>
      </c>
      <c r="R29" s="46">
        <f t="shared" si="3"/>
        <v>1.9006000000000001</v>
      </c>
      <c r="S29" s="43">
        <f t="shared" si="4"/>
        <v>86.983057981689996</v>
      </c>
      <c r="U29" s="18">
        <f t="shared" si="5"/>
        <v>13.016942018310008</v>
      </c>
    </row>
    <row r="30" spans="1:25" x14ac:dyDescent="0.25">
      <c r="A30" s="43" t="s">
        <v>300</v>
      </c>
      <c r="B30" s="43" t="s">
        <v>80</v>
      </c>
      <c r="C30" s="43" t="s">
        <v>15</v>
      </c>
      <c r="D30" s="43" t="s">
        <v>19</v>
      </c>
      <c r="E30" s="43">
        <v>1</v>
      </c>
      <c r="F30" s="43" t="s">
        <v>86</v>
      </c>
      <c r="G30" s="43">
        <v>2.0672000000000001</v>
      </c>
      <c r="H30" s="43">
        <v>2.0055000000000001</v>
      </c>
      <c r="I30" s="44">
        <f t="shared" si="6"/>
        <v>3.0765395163300964</v>
      </c>
      <c r="J30" s="45">
        <v>44249</v>
      </c>
      <c r="K30" s="45">
        <v>44309</v>
      </c>
      <c r="L30" s="43">
        <f t="shared" si="7"/>
        <v>60</v>
      </c>
      <c r="M30" s="43">
        <v>0.47749999999999998</v>
      </c>
      <c r="N30" s="46">
        <f t="shared" si="2"/>
        <v>1.528</v>
      </c>
      <c r="O30" s="43">
        <v>0.28449999999999998</v>
      </c>
      <c r="P30" s="43">
        <v>0.1376</v>
      </c>
      <c r="Q30" s="43">
        <v>5.57E-2</v>
      </c>
      <c r="R30" s="46">
        <f t="shared" si="3"/>
        <v>1.8122</v>
      </c>
      <c r="S30" s="43">
        <f t="shared" si="4"/>
        <v>84.300849795828285</v>
      </c>
      <c r="U30" s="18">
        <f t="shared" si="5"/>
        <v>15.699150204171724</v>
      </c>
    </row>
    <row r="31" spans="1:25" x14ac:dyDescent="0.25">
      <c r="A31" s="43" t="s">
        <v>300</v>
      </c>
      <c r="B31" s="43" t="s">
        <v>80</v>
      </c>
      <c r="C31" s="43" t="s">
        <v>15</v>
      </c>
      <c r="D31" s="43" t="s">
        <v>19</v>
      </c>
      <c r="E31" s="43">
        <v>2</v>
      </c>
      <c r="F31" s="43" t="s">
        <v>87</v>
      </c>
      <c r="G31" s="43">
        <v>2.1581000000000001</v>
      </c>
      <c r="H31" s="43">
        <v>2.0914999999999999</v>
      </c>
      <c r="I31" s="44">
        <f t="shared" si="6"/>
        <v>3.1843174754960657</v>
      </c>
      <c r="J31" s="45">
        <v>44249</v>
      </c>
      <c r="K31" s="45">
        <v>44309</v>
      </c>
      <c r="L31" s="43">
        <f t="shared" si="7"/>
        <v>60</v>
      </c>
      <c r="M31" s="43">
        <v>0.47549999999999998</v>
      </c>
      <c r="N31" s="46">
        <f t="shared" si="2"/>
        <v>1.6159999999999999</v>
      </c>
      <c r="O31" s="43">
        <v>0.29239999999999999</v>
      </c>
      <c r="P31" s="43">
        <v>0.12759999999999999</v>
      </c>
      <c r="Q31" s="43">
        <v>5.5E-2</v>
      </c>
      <c r="R31" s="46">
        <f t="shared" si="3"/>
        <v>1.9089</v>
      </c>
      <c r="S31" s="43">
        <f t="shared" si="4"/>
        <v>84.682277751584678</v>
      </c>
      <c r="U31" s="18">
        <f t="shared" si="5"/>
        <v>15.317722248415317</v>
      </c>
    </row>
    <row r="32" spans="1:25" x14ac:dyDescent="0.25">
      <c r="A32" s="43" t="s">
        <v>300</v>
      </c>
      <c r="B32" s="43" t="s">
        <v>80</v>
      </c>
      <c r="C32" s="43" t="s">
        <v>15</v>
      </c>
      <c r="D32" s="43" t="s">
        <v>20</v>
      </c>
      <c r="E32" s="43">
        <v>1</v>
      </c>
      <c r="F32" s="43" t="s">
        <v>88</v>
      </c>
      <c r="G32" s="46">
        <v>2.0529999999999999</v>
      </c>
      <c r="H32" s="43">
        <v>1.9916</v>
      </c>
      <c r="I32" s="44">
        <f t="shared" si="6"/>
        <v>3.0829483832094748</v>
      </c>
      <c r="J32" s="45">
        <v>44249</v>
      </c>
      <c r="K32" s="45">
        <v>44309</v>
      </c>
      <c r="L32" s="43">
        <f t="shared" si="7"/>
        <v>60</v>
      </c>
      <c r="M32" s="43">
        <v>0.43759999999999999</v>
      </c>
      <c r="N32" s="46">
        <f t="shared" si="2"/>
        <v>1.554</v>
      </c>
      <c r="O32" s="43">
        <v>0.25950000000000001</v>
      </c>
      <c r="P32" s="43">
        <v>0.12139999999999999</v>
      </c>
      <c r="Q32" s="43">
        <v>5.6300000000000003E-2</v>
      </c>
      <c r="R32" s="46">
        <f t="shared" si="3"/>
        <v>1.8139000000000001</v>
      </c>
      <c r="S32" s="43">
        <f t="shared" si="4"/>
        <v>85.693808920006603</v>
      </c>
      <c r="U32" s="18">
        <f t="shared" si="5"/>
        <v>14.306191079993386</v>
      </c>
    </row>
    <row r="33" spans="1:25" x14ac:dyDescent="0.25">
      <c r="A33" s="43" t="s">
        <v>300</v>
      </c>
      <c r="B33" s="43" t="s">
        <v>80</v>
      </c>
      <c r="C33" s="43" t="s">
        <v>15</v>
      </c>
      <c r="D33" s="43" t="s">
        <v>20</v>
      </c>
      <c r="E33" s="43">
        <v>2</v>
      </c>
      <c r="F33" s="43" t="s">
        <v>89</v>
      </c>
      <c r="G33" s="43">
        <v>2.0937999999999999</v>
      </c>
      <c r="H33" s="43">
        <v>2.0303</v>
      </c>
      <c r="I33" s="44">
        <f t="shared" si="6"/>
        <v>3.1276166083829922</v>
      </c>
      <c r="J33" s="45">
        <v>44249</v>
      </c>
      <c r="K33" s="45">
        <v>44309</v>
      </c>
      <c r="L33" s="43">
        <f t="shared" si="7"/>
        <v>60</v>
      </c>
      <c r="M33" s="43">
        <v>0.46400000000000002</v>
      </c>
      <c r="N33" s="46">
        <f t="shared" si="2"/>
        <v>1.5663</v>
      </c>
      <c r="O33" s="43">
        <v>0.27739999999999998</v>
      </c>
      <c r="P33" s="43">
        <v>0.1285</v>
      </c>
      <c r="Q33" s="43">
        <v>5.79E-2</v>
      </c>
      <c r="R33" s="46">
        <f t="shared" si="3"/>
        <v>1.8439000000000001</v>
      </c>
      <c r="S33" s="43">
        <f t="shared" si="4"/>
        <v>84.955800206084916</v>
      </c>
      <c r="U33" s="18">
        <f t="shared" si="5"/>
        <v>15.04419979391507</v>
      </c>
    </row>
    <row r="34" spans="1:25" x14ac:dyDescent="0.25">
      <c r="A34" s="47" t="s">
        <v>99</v>
      </c>
      <c r="B34" s="47" t="s">
        <v>100</v>
      </c>
      <c r="C34" s="47" t="s">
        <v>15</v>
      </c>
      <c r="D34" s="47" t="s">
        <v>17</v>
      </c>
      <c r="E34" s="47">
        <v>1</v>
      </c>
      <c r="F34" s="47" t="s">
        <v>101</v>
      </c>
      <c r="G34" s="48">
        <v>2.1269999999999998</v>
      </c>
      <c r="H34" s="48">
        <v>2.0470000000000002</v>
      </c>
      <c r="I34" s="49">
        <f t="shared" ref="I34:I41" si="8">((G34-H34)/H34)*100</f>
        <v>3.9081582804103379</v>
      </c>
      <c r="J34" s="50">
        <v>44256</v>
      </c>
      <c r="K34" s="50">
        <v>44309</v>
      </c>
      <c r="L34" s="47">
        <f t="shared" ref="L34:L41" si="9">K34-J34</f>
        <v>53</v>
      </c>
      <c r="M34" s="47">
        <v>0.52049999999999996</v>
      </c>
      <c r="N34" s="48">
        <f t="shared" si="2"/>
        <v>1.5265000000000002</v>
      </c>
      <c r="O34" s="47">
        <v>0.33179999999999998</v>
      </c>
      <c r="P34" s="47">
        <v>0.13400000000000001</v>
      </c>
      <c r="Q34" s="47">
        <v>5.4899999999999997E-2</v>
      </c>
      <c r="R34" s="48">
        <f t="shared" si="3"/>
        <v>1.8581000000000001</v>
      </c>
      <c r="S34" s="47">
        <f t="shared" si="4"/>
        <v>82.143049351488074</v>
      </c>
      <c r="T34">
        <f>AVERAGE(O34:O41)</f>
        <v>0.32096249999999998</v>
      </c>
      <c r="U34" s="18">
        <f t="shared" si="5"/>
        <v>17.856950648511919</v>
      </c>
      <c r="V34" s="7">
        <f>AVERAGE(U34:U41)</f>
        <v>17.757373313781695</v>
      </c>
      <c r="W34">
        <f>STDEV(U34:U41)</f>
        <v>1.9571227925907164</v>
      </c>
      <c r="X34">
        <f>AVERAGE(S34:S41)</f>
        <v>82.242626686218301</v>
      </c>
      <c r="Y34">
        <f>STDEV(S34:S41)</f>
        <v>1.9571227925906745</v>
      </c>
    </row>
    <row r="35" spans="1:25" x14ac:dyDescent="0.25">
      <c r="A35" s="47" t="s">
        <v>99</v>
      </c>
      <c r="B35" s="47" t="s">
        <v>100</v>
      </c>
      <c r="C35" s="47" t="s">
        <v>15</v>
      </c>
      <c r="D35" s="47" t="s">
        <v>17</v>
      </c>
      <c r="E35" s="47">
        <v>2</v>
      </c>
      <c r="F35" s="47" t="s">
        <v>103</v>
      </c>
      <c r="G35" s="47">
        <v>1.9983</v>
      </c>
      <c r="H35" s="47">
        <v>1.9244000000000001</v>
      </c>
      <c r="I35" s="49">
        <f t="shared" si="8"/>
        <v>3.8401579713157266</v>
      </c>
      <c r="J35" s="50">
        <v>44256</v>
      </c>
      <c r="K35" s="50">
        <v>44309</v>
      </c>
      <c r="L35" s="47">
        <f t="shared" si="9"/>
        <v>53</v>
      </c>
      <c r="M35" s="47">
        <v>0.46439999999999998</v>
      </c>
      <c r="N35" s="48">
        <f t="shared" si="2"/>
        <v>1.4600000000000002</v>
      </c>
      <c r="O35" s="47">
        <v>0.2732</v>
      </c>
      <c r="P35" s="47">
        <v>0.1348</v>
      </c>
      <c r="Q35" s="47">
        <v>5.6399999999999999E-2</v>
      </c>
      <c r="R35" s="48">
        <f t="shared" si="3"/>
        <v>1.7332000000000001</v>
      </c>
      <c r="S35" s="47">
        <f t="shared" si="4"/>
        <v>84.237249019155314</v>
      </c>
      <c r="U35" s="18">
        <f t="shared" si="5"/>
        <v>15.762750980844681</v>
      </c>
    </row>
    <row r="36" spans="1:25" x14ac:dyDescent="0.25">
      <c r="A36" s="47" t="s">
        <v>99</v>
      </c>
      <c r="B36" s="47" t="s">
        <v>100</v>
      </c>
      <c r="C36" s="47" t="s">
        <v>15</v>
      </c>
      <c r="D36" s="47" t="s">
        <v>18</v>
      </c>
      <c r="E36" s="47">
        <v>1</v>
      </c>
      <c r="F36" s="47" t="s">
        <v>104</v>
      </c>
      <c r="G36" s="47">
        <v>2.1621999999999999</v>
      </c>
      <c r="H36" s="48">
        <v>2.0790000000000002</v>
      </c>
      <c r="I36" s="49">
        <f t="shared" si="8"/>
        <v>4.0019240019239879</v>
      </c>
      <c r="J36" s="50">
        <v>44256</v>
      </c>
      <c r="K36" s="50">
        <v>44309</v>
      </c>
      <c r="L36" s="47">
        <f t="shared" si="9"/>
        <v>53</v>
      </c>
      <c r="M36" s="47">
        <v>0.58250000000000002</v>
      </c>
      <c r="N36" s="48">
        <f t="shared" si="2"/>
        <v>1.4965000000000002</v>
      </c>
      <c r="O36" s="47">
        <v>0.38629999999999998</v>
      </c>
      <c r="P36" s="47">
        <v>0.14080000000000001</v>
      </c>
      <c r="Q36" s="47">
        <v>5.5199999999999999E-2</v>
      </c>
      <c r="R36" s="48">
        <f t="shared" si="3"/>
        <v>1.8830000000000002</v>
      </c>
      <c r="S36" s="47">
        <f t="shared" si="4"/>
        <v>79.484864577801389</v>
      </c>
      <c r="U36" s="18">
        <f t="shared" si="5"/>
        <v>20.515135422198615</v>
      </c>
    </row>
    <row r="37" spans="1:25" x14ac:dyDescent="0.25">
      <c r="A37" s="47" t="s">
        <v>99</v>
      </c>
      <c r="B37" s="47" t="s">
        <v>100</v>
      </c>
      <c r="C37" s="47" t="s">
        <v>15</v>
      </c>
      <c r="D37" s="47" t="s">
        <v>18</v>
      </c>
      <c r="E37" s="47">
        <v>2</v>
      </c>
      <c r="F37" s="47" t="s">
        <v>105</v>
      </c>
      <c r="G37" s="47">
        <v>1.9078999999999999</v>
      </c>
      <c r="H37" s="47">
        <v>1.8382000000000001</v>
      </c>
      <c r="I37" s="49">
        <f t="shared" si="8"/>
        <v>3.7917528016537845</v>
      </c>
      <c r="J37" s="50">
        <v>44256</v>
      </c>
      <c r="K37" s="50">
        <v>44309</v>
      </c>
      <c r="L37" s="47">
        <f t="shared" si="9"/>
        <v>53</v>
      </c>
      <c r="M37" s="47">
        <v>0.52949999999999997</v>
      </c>
      <c r="N37" s="48">
        <f t="shared" si="2"/>
        <v>1.3087</v>
      </c>
      <c r="O37" s="47">
        <v>0.32990000000000003</v>
      </c>
      <c r="P37" s="47">
        <v>0.1447</v>
      </c>
      <c r="Q37" s="47">
        <v>5.4899999999999997E-2</v>
      </c>
      <c r="R37" s="48">
        <f t="shared" si="3"/>
        <v>1.6386000000000001</v>
      </c>
      <c r="S37" s="47">
        <f t="shared" si="4"/>
        <v>79.866959599658244</v>
      </c>
      <c r="U37" s="18">
        <f t="shared" si="5"/>
        <v>20.133040400341756</v>
      </c>
    </row>
    <row r="38" spans="1:25" x14ac:dyDescent="0.25">
      <c r="A38" s="47" t="s">
        <v>99</v>
      </c>
      <c r="B38" s="47" t="s">
        <v>100</v>
      </c>
      <c r="C38" s="47" t="s">
        <v>15</v>
      </c>
      <c r="D38" s="47" t="s">
        <v>19</v>
      </c>
      <c r="E38" s="47">
        <v>1</v>
      </c>
      <c r="F38" s="47" t="s">
        <v>106</v>
      </c>
      <c r="G38" s="47">
        <v>2.1154999999999999</v>
      </c>
      <c r="H38" s="47">
        <v>2.0371999999999999</v>
      </c>
      <c r="I38" s="49">
        <f t="shared" si="8"/>
        <v>3.8435107009621072</v>
      </c>
      <c r="J38" s="50">
        <v>44256</v>
      </c>
      <c r="K38" s="50">
        <v>44309</v>
      </c>
      <c r="L38" s="47">
        <f t="shared" si="9"/>
        <v>53</v>
      </c>
      <c r="M38" s="47">
        <v>0.52769999999999995</v>
      </c>
      <c r="N38" s="48">
        <f t="shared" si="2"/>
        <v>1.5095000000000001</v>
      </c>
      <c r="O38" s="47">
        <v>0.34060000000000001</v>
      </c>
      <c r="P38" s="47">
        <v>0.13239999999999999</v>
      </c>
      <c r="Q38" s="47">
        <v>5.5E-2</v>
      </c>
      <c r="R38" s="48">
        <f t="shared" si="3"/>
        <v>1.8497999999999999</v>
      </c>
      <c r="S38" s="47">
        <f t="shared" si="4"/>
        <v>81.587198616066601</v>
      </c>
      <c r="U38" s="18">
        <f t="shared" si="5"/>
        <v>18.412801383933399</v>
      </c>
    </row>
    <row r="39" spans="1:25" x14ac:dyDescent="0.25">
      <c r="A39" s="47" t="s">
        <v>99</v>
      </c>
      <c r="B39" s="47" t="s">
        <v>100</v>
      </c>
      <c r="C39" s="47" t="s">
        <v>15</v>
      </c>
      <c r="D39" s="47" t="s">
        <v>19</v>
      </c>
      <c r="E39" s="47">
        <v>2</v>
      </c>
      <c r="F39" s="47" t="s">
        <v>107</v>
      </c>
      <c r="G39" s="47">
        <v>2.0567000000000002</v>
      </c>
      <c r="H39" s="47">
        <v>1.9805999999999999</v>
      </c>
      <c r="I39" s="49">
        <f t="shared" si="8"/>
        <v>3.8422700191861199</v>
      </c>
      <c r="J39" s="50">
        <v>44256</v>
      </c>
      <c r="K39" s="50">
        <v>44309</v>
      </c>
      <c r="L39" s="47">
        <f t="shared" si="9"/>
        <v>53</v>
      </c>
      <c r="M39" s="47">
        <v>0.45860000000000001</v>
      </c>
      <c r="N39" s="48">
        <f t="shared" si="2"/>
        <v>1.5219999999999998</v>
      </c>
      <c r="O39" s="47">
        <v>0.26919999999999999</v>
      </c>
      <c r="P39" s="47">
        <v>0.1341</v>
      </c>
      <c r="Q39" s="47">
        <v>5.5399999999999998E-2</v>
      </c>
      <c r="R39" s="48">
        <f t="shared" si="3"/>
        <v>1.7910999999999999</v>
      </c>
      <c r="S39" s="47">
        <f t="shared" si="4"/>
        <v>84.970130087655633</v>
      </c>
      <c r="U39" s="18">
        <f t="shared" si="5"/>
        <v>15.02986991234437</v>
      </c>
    </row>
    <row r="40" spans="1:25" x14ac:dyDescent="0.25">
      <c r="A40" s="47" t="s">
        <v>99</v>
      </c>
      <c r="B40" s="47" t="s">
        <v>100</v>
      </c>
      <c r="C40" s="47" t="s">
        <v>15</v>
      </c>
      <c r="D40" s="47" t="s">
        <v>20</v>
      </c>
      <c r="E40" s="47">
        <v>1</v>
      </c>
      <c r="F40" s="47" t="s">
        <v>108</v>
      </c>
      <c r="G40" s="47">
        <v>2.1389</v>
      </c>
      <c r="H40" s="47">
        <v>2.0535999999999999</v>
      </c>
      <c r="I40" s="49">
        <f t="shared" si="8"/>
        <v>4.1536813400857113</v>
      </c>
      <c r="J40" s="50">
        <v>44256</v>
      </c>
      <c r="K40" s="50">
        <v>44309</v>
      </c>
      <c r="L40" s="47">
        <f t="shared" si="9"/>
        <v>53</v>
      </c>
      <c r="M40" s="47">
        <v>0.51919999999999999</v>
      </c>
      <c r="N40" s="48">
        <f t="shared" si="2"/>
        <v>1.5343999999999998</v>
      </c>
      <c r="O40" s="47">
        <v>0.33429999999999999</v>
      </c>
      <c r="P40" s="47">
        <v>0.13020000000000001</v>
      </c>
      <c r="Q40" s="47">
        <v>5.4800000000000001E-2</v>
      </c>
      <c r="R40" s="48">
        <f t="shared" si="3"/>
        <v>1.8685999999999998</v>
      </c>
      <c r="S40" s="47">
        <f t="shared" si="4"/>
        <v>82.109600770630422</v>
      </c>
      <c r="U40" s="18">
        <f t="shared" si="5"/>
        <v>17.890399229369581</v>
      </c>
    </row>
    <row r="41" spans="1:25" x14ac:dyDescent="0.25">
      <c r="A41" s="47" t="s">
        <v>99</v>
      </c>
      <c r="B41" s="47" t="s">
        <v>100</v>
      </c>
      <c r="C41" s="47" t="s">
        <v>15</v>
      </c>
      <c r="D41" s="47" t="s">
        <v>20</v>
      </c>
      <c r="E41" s="47">
        <v>2</v>
      </c>
      <c r="F41" s="47" t="s">
        <v>109</v>
      </c>
      <c r="G41" s="47">
        <v>2.1147999999999998</v>
      </c>
      <c r="H41" s="47">
        <v>2.0346000000000002</v>
      </c>
      <c r="I41" s="49">
        <f t="shared" si="8"/>
        <v>3.9418067433401949</v>
      </c>
      <c r="J41" s="50">
        <v>44256</v>
      </c>
      <c r="K41" s="50">
        <v>44309</v>
      </c>
      <c r="L41" s="47">
        <f t="shared" si="9"/>
        <v>53</v>
      </c>
      <c r="M41" s="47">
        <v>0.49959999999999999</v>
      </c>
      <c r="N41" s="48">
        <f t="shared" si="2"/>
        <v>1.5350000000000001</v>
      </c>
      <c r="O41" s="47">
        <v>0.3024</v>
      </c>
      <c r="P41" s="47">
        <v>0.14000000000000001</v>
      </c>
      <c r="Q41" s="47">
        <v>5.7200000000000001E-2</v>
      </c>
      <c r="R41" s="48">
        <f t="shared" si="3"/>
        <v>1.8374000000000001</v>
      </c>
      <c r="S41" s="47">
        <f t="shared" si="4"/>
        <v>83.541961467290733</v>
      </c>
      <c r="U41" s="18">
        <f t="shared" si="5"/>
        <v>16.458038532709264</v>
      </c>
    </row>
    <row r="42" spans="1:25" x14ac:dyDescent="0.25">
      <c r="F42" s="13" t="s">
        <v>119</v>
      </c>
      <c r="G42" s="14">
        <f>AVERAGE(G2:G41)</f>
        <v>2.08758</v>
      </c>
      <c r="H42" s="14">
        <f>AVERAGE(H2:H41)</f>
        <v>2.0137899999999997</v>
      </c>
      <c r="I42" s="4"/>
      <c r="J42" s="5"/>
      <c r="K42" s="5"/>
      <c r="O42" s="15"/>
      <c r="P42" s="16"/>
      <c r="Q42" s="16"/>
    </row>
    <row r="43" spans="1:25" x14ac:dyDescent="0.25">
      <c r="F43" s="13" t="s">
        <v>120</v>
      </c>
      <c r="G43" s="14">
        <f>STDEV(G2:G42)</f>
        <v>5.9027718912388949E-2</v>
      </c>
      <c r="H43" s="14">
        <f>STDEV(H2:H41)</f>
        <v>5.6828576235227621E-2</v>
      </c>
      <c r="I43" s="4"/>
      <c r="J43" s="5"/>
      <c r="K43" s="5"/>
      <c r="O43" s="15"/>
      <c r="P43" s="16"/>
      <c r="Q43" s="16"/>
    </row>
    <row r="44" spans="1:25" x14ac:dyDescent="0.25">
      <c r="F44" s="13" t="s">
        <v>121</v>
      </c>
      <c r="G44" s="14">
        <f>CONFIDENCE(0.05,G43,COUNT(G2:G41))</f>
        <v>1.8292543475084341E-2</v>
      </c>
      <c r="H44" s="14">
        <f>CONFIDENCE(0.05,H43,COUNT(H2:H41))</f>
        <v>1.7611034621767569E-2</v>
      </c>
      <c r="I44" s="4"/>
      <c r="J44" s="5"/>
      <c r="K44" s="5"/>
      <c r="O44" s="15"/>
      <c r="P44" s="16"/>
      <c r="Q44" s="16"/>
    </row>
    <row r="45" spans="1:25" x14ac:dyDescent="0.25">
      <c r="F45" s="13" t="s">
        <v>122</v>
      </c>
      <c r="G45" s="14">
        <f>G42-G44</f>
        <v>2.0692874565249157</v>
      </c>
      <c r="H45" s="14">
        <f>H42-H44</f>
        <v>1.9961789653782323</v>
      </c>
      <c r="I45" s="4"/>
      <c r="J45" s="5"/>
      <c r="K45" s="5"/>
      <c r="O45" s="15"/>
      <c r="P45" s="16"/>
      <c r="Q45" s="16"/>
    </row>
    <row r="46" spans="1:25" x14ac:dyDescent="0.25">
      <c r="F46" s="13" t="s">
        <v>123</v>
      </c>
      <c r="G46" s="14">
        <f>G42+G45</f>
        <v>4.1568674565249157</v>
      </c>
      <c r="H46" s="14">
        <f>H42+H45</f>
        <v>4.0099689653782322</v>
      </c>
      <c r="I46" s="4"/>
      <c r="J46" s="5"/>
      <c r="K46" s="5"/>
      <c r="O46" s="15"/>
      <c r="P46" s="16"/>
      <c r="Q46" s="16"/>
    </row>
    <row r="47" spans="1:25" x14ac:dyDescent="0.25">
      <c r="F47" s="12"/>
    </row>
    <row r="48" spans="1:25" ht="60" x14ac:dyDescent="0.25">
      <c r="A48" t="s">
        <v>1</v>
      </c>
      <c r="B48" t="s">
        <v>39</v>
      </c>
      <c r="C48" t="s">
        <v>12</v>
      </c>
      <c r="D48" t="s">
        <v>13</v>
      </c>
      <c r="E48" t="s">
        <v>40</v>
      </c>
      <c r="F48" s="1" t="s">
        <v>0</v>
      </c>
      <c r="G48" s="2" t="s">
        <v>3</v>
      </c>
      <c r="H48" s="2" t="s">
        <v>11</v>
      </c>
      <c r="I48" s="2" t="s">
        <v>42</v>
      </c>
      <c r="J48" s="3" t="s">
        <v>2</v>
      </c>
      <c r="K48" s="1" t="s">
        <v>4</v>
      </c>
      <c r="L48" s="2" t="s">
        <v>5</v>
      </c>
      <c r="M48" s="3" t="s">
        <v>37</v>
      </c>
      <c r="N48" s="2" t="s">
        <v>6</v>
      </c>
      <c r="O48" s="3" t="s">
        <v>38</v>
      </c>
      <c r="P48" s="2" t="s">
        <v>7</v>
      </c>
      <c r="Q48" s="2" t="s">
        <v>8</v>
      </c>
      <c r="R48" s="2" t="s">
        <v>9</v>
      </c>
      <c r="S48" s="2" t="s">
        <v>10</v>
      </c>
      <c r="T48" s="51" t="s">
        <v>190</v>
      </c>
      <c r="U48" s="52" t="s">
        <v>191</v>
      </c>
      <c r="V48" s="52" t="s">
        <v>119</v>
      </c>
      <c r="W48" s="52" t="s">
        <v>192</v>
      </c>
      <c r="X48" s="52" t="s">
        <v>119</v>
      </c>
      <c r="Y48" s="52" t="s">
        <v>192</v>
      </c>
    </row>
    <row r="49" spans="1:25" x14ac:dyDescent="0.25">
      <c r="A49" s="27" t="s">
        <v>59</v>
      </c>
      <c r="B49" s="27" t="s">
        <v>41</v>
      </c>
      <c r="C49" s="27" t="s">
        <v>16</v>
      </c>
      <c r="D49" s="27" t="s">
        <v>17</v>
      </c>
      <c r="E49" s="27">
        <v>1</v>
      </c>
      <c r="F49" s="27" t="s">
        <v>22</v>
      </c>
      <c r="G49" s="27">
        <v>2.11</v>
      </c>
      <c r="H49" s="27">
        <v>2.0099999999999998</v>
      </c>
      <c r="I49" s="28">
        <f t="shared" ref="I49:I88" si="10">((G49-H49)/H49)*100</f>
        <v>4.9751243781094576</v>
      </c>
      <c r="J49" s="29">
        <v>44228</v>
      </c>
      <c r="K49" s="29">
        <v>44286</v>
      </c>
      <c r="L49" s="27">
        <f t="shared" ref="L49:L88" si="11">K49-J49</f>
        <v>58</v>
      </c>
      <c r="M49" s="27">
        <v>1.3726</v>
      </c>
      <c r="N49" s="27">
        <f>H49-M49</f>
        <v>0.63739999999999974</v>
      </c>
      <c r="O49" s="27">
        <v>1.1763999999999999</v>
      </c>
      <c r="P49" s="27">
        <v>0.13009999999999999</v>
      </c>
      <c r="Q49" s="27">
        <v>6.6799999999999998E-2</v>
      </c>
      <c r="R49" s="30">
        <f>H49-(P49+Q49)</f>
        <v>1.8130999999999997</v>
      </c>
      <c r="S49" s="27">
        <f>((R49-O49)/R49)*100</f>
        <v>35.116651039655835</v>
      </c>
      <c r="T49">
        <f>AVERAGE(O49:O56)</f>
        <v>1.2657874999999998</v>
      </c>
      <c r="U49" s="18">
        <f>(O49/R49)*100</f>
        <v>64.883348960344165</v>
      </c>
      <c r="V49" s="7">
        <f>AVERAGE(U49:U56)</f>
        <v>64.543796009146874</v>
      </c>
      <c r="W49">
        <f>STDEV(U49:U56)</f>
        <v>1.6612880913971049</v>
      </c>
      <c r="X49">
        <f>AVERAGE(S49:S56)</f>
        <v>35.456203990853126</v>
      </c>
      <c r="Y49">
        <f>STDEV(S49:S56)</f>
        <v>1.6612880913971044</v>
      </c>
    </row>
    <row r="50" spans="1:25" x14ac:dyDescent="0.25">
      <c r="A50" s="27" t="s">
        <v>59</v>
      </c>
      <c r="B50" s="27" t="s">
        <v>41</v>
      </c>
      <c r="C50" s="27" t="s">
        <v>16</v>
      </c>
      <c r="D50" s="27" t="s">
        <v>17</v>
      </c>
      <c r="E50" s="27">
        <v>2</v>
      </c>
      <c r="F50" s="27" t="s">
        <v>30</v>
      </c>
      <c r="G50" s="27">
        <v>2.2799999999999998</v>
      </c>
      <c r="H50" s="27">
        <v>2.19</v>
      </c>
      <c r="I50" s="28">
        <f t="shared" si="10"/>
        <v>4.1095890410958837</v>
      </c>
      <c r="J50" s="29">
        <v>44228</v>
      </c>
      <c r="K50" s="29">
        <v>44286</v>
      </c>
      <c r="L50" s="27">
        <f t="shared" si="11"/>
        <v>58</v>
      </c>
      <c r="M50" s="27">
        <v>1.5007999999999999</v>
      </c>
      <c r="N50" s="27">
        <f t="shared" ref="N50:N88" si="12">H50-M50</f>
        <v>0.68920000000000003</v>
      </c>
      <c r="O50" s="27">
        <v>1.3119000000000001</v>
      </c>
      <c r="P50" s="27">
        <v>0.12659999999999999</v>
      </c>
      <c r="Q50" s="27">
        <v>6.2300000000000001E-2</v>
      </c>
      <c r="R50" s="30">
        <f t="shared" ref="R50:R88" si="13">H50-(P50+Q50)</f>
        <v>2.0011000000000001</v>
      </c>
      <c r="S50" s="27">
        <f t="shared" ref="S50:S88" si="14">((R50-O50)/R50)*100</f>
        <v>34.441057418419867</v>
      </c>
      <c r="U50" s="18">
        <f t="shared" ref="U50:U88" si="15">(O50/R50)*100</f>
        <v>65.558942581580126</v>
      </c>
    </row>
    <row r="51" spans="1:25" x14ac:dyDescent="0.25">
      <c r="A51" s="27" t="s">
        <v>59</v>
      </c>
      <c r="B51" s="27" t="s">
        <v>41</v>
      </c>
      <c r="C51" s="27" t="s">
        <v>16</v>
      </c>
      <c r="D51" s="27" t="s">
        <v>18</v>
      </c>
      <c r="E51" s="27">
        <v>1</v>
      </c>
      <c r="F51" s="27" t="s">
        <v>31</v>
      </c>
      <c r="G51" s="27">
        <v>2.25</v>
      </c>
      <c r="H51" s="27">
        <v>2.15</v>
      </c>
      <c r="I51" s="28">
        <f t="shared" si="10"/>
        <v>4.6511627906976782</v>
      </c>
      <c r="J51" s="29">
        <v>44228</v>
      </c>
      <c r="K51" s="29">
        <v>44286</v>
      </c>
      <c r="L51" s="27">
        <f t="shared" si="11"/>
        <v>58</v>
      </c>
      <c r="M51" s="27">
        <v>1.4240999999999999</v>
      </c>
      <c r="N51" s="27">
        <f t="shared" si="12"/>
        <v>0.72589999999999999</v>
      </c>
      <c r="O51" s="27">
        <v>1.2336</v>
      </c>
      <c r="P51" s="27">
        <v>0.1336</v>
      </c>
      <c r="Q51" s="27">
        <v>5.6599999999999998E-2</v>
      </c>
      <c r="R51" s="30">
        <f t="shared" si="13"/>
        <v>1.9598</v>
      </c>
      <c r="S51" s="27">
        <f t="shared" si="14"/>
        <v>37.054801510358196</v>
      </c>
      <c r="U51" s="18">
        <f t="shared" si="15"/>
        <v>62.945198489641804</v>
      </c>
    </row>
    <row r="52" spans="1:25" x14ac:dyDescent="0.25">
      <c r="A52" s="27" t="s">
        <v>59</v>
      </c>
      <c r="B52" s="27" t="s">
        <v>41</v>
      </c>
      <c r="C52" s="27" t="s">
        <v>16</v>
      </c>
      <c r="D52" s="27" t="s">
        <v>18</v>
      </c>
      <c r="E52" s="27">
        <v>2</v>
      </c>
      <c r="F52" s="27" t="s">
        <v>32</v>
      </c>
      <c r="G52" s="27">
        <v>2.29</v>
      </c>
      <c r="H52" s="27">
        <v>2.1800000000000002</v>
      </c>
      <c r="I52" s="28">
        <f t="shared" si="10"/>
        <v>5.0458715596330217</v>
      </c>
      <c r="J52" s="29">
        <v>44228</v>
      </c>
      <c r="K52" s="29">
        <v>44286</v>
      </c>
      <c r="L52" s="27">
        <f t="shared" si="11"/>
        <v>58</v>
      </c>
      <c r="M52" s="27">
        <v>1.4520999999999999</v>
      </c>
      <c r="N52" s="27">
        <f t="shared" si="12"/>
        <v>0.72790000000000021</v>
      </c>
      <c r="O52" s="27">
        <v>1.2626999999999999</v>
      </c>
      <c r="P52" s="27">
        <v>0.1305</v>
      </c>
      <c r="Q52" s="27">
        <v>5.8500000000000003E-2</v>
      </c>
      <c r="R52" s="30">
        <f t="shared" si="13"/>
        <v>1.9910000000000001</v>
      </c>
      <c r="S52" s="27">
        <f t="shared" si="14"/>
        <v>36.579608237066807</v>
      </c>
      <c r="U52" s="18">
        <f t="shared" si="15"/>
        <v>63.420391762933193</v>
      </c>
    </row>
    <row r="53" spans="1:25" x14ac:dyDescent="0.25">
      <c r="A53" s="27" t="s">
        <v>59</v>
      </c>
      <c r="B53" s="27" t="s">
        <v>41</v>
      </c>
      <c r="C53" s="27" t="s">
        <v>16</v>
      </c>
      <c r="D53" s="27" t="s">
        <v>19</v>
      </c>
      <c r="E53" s="27">
        <v>1</v>
      </c>
      <c r="F53" s="27" t="s">
        <v>33</v>
      </c>
      <c r="G53" s="27">
        <v>2.3199999999999998</v>
      </c>
      <c r="H53" s="27">
        <v>2.21</v>
      </c>
      <c r="I53" s="28">
        <f t="shared" si="10"/>
        <v>4.9773755656108536</v>
      </c>
      <c r="J53" s="29">
        <v>44228</v>
      </c>
      <c r="K53" s="29">
        <v>44286</v>
      </c>
      <c r="L53" s="27">
        <f t="shared" si="11"/>
        <v>58</v>
      </c>
      <c r="M53" s="27">
        <v>1.4478</v>
      </c>
      <c r="N53" s="27">
        <f t="shared" si="12"/>
        <v>0.76219999999999999</v>
      </c>
      <c r="O53" s="27">
        <v>1.2601</v>
      </c>
      <c r="P53" s="27">
        <v>0.13089999999999999</v>
      </c>
      <c r="Q53" s="27">
        <v>5.7000000000000002E-2</v>
      </c>
      <c r="R53" s="30">
        <f t="shared" si="13"/>
        <v>2.0221</v>
      </c>
      <c r="S53" s="27">
        <f t="shared" si="14"/>
        <v>37.683596261312495</v>
      </c>
      <c r="U53" s="18">
        <f t="shared" si="15"/>
        <v>62.316403738687498</v>
      </c>
    </row>
    <row r="54" spans="1:25" x14ac:dyDescent="0.25">
      <c r="A54" s="27" t="s">
        <v>59</v>
      </c>
      <c r="B54" s="27" t="s">
        <v>41</v>
      </c>
      <c r="C54" s="27" t="s">
        <v>16</v>
      </c>
      <c r="D54" s="27" t="s">
        <v>19</v>
      </c>
      <c r="E54" s="27">
        <v>2</v>
      </c>
      <c r="F54" s="27" t="s">
        <v>34</v>
      </c>
      <c r="G54" s="27">
        <v>2.29</v>
      </c>
      <c r="H54" s="27">
        <v>2.17</v>
      </c>
      <c r="I54" s="28">
        <f t="shared" si="10"/>
        <v>5.5299539170506966</v>
      </c>
      <c r="J54" s="29">
        <v>44228</v>
      </c>
      <c r="K54" s="29">
        <v>44286</v>
      </c>
      <c r="L54" s="27">
        <f t="shared" si="11"/>
        <v>58</v>
      </c>
      <c r="M54" s="27">
        <v>1.4564999999999999</v>
      </c>
      <c r="N54" s="27">
        <f t="shared" si="12"/>
        <v>0.71350000000000002</v>
      </c>
      <c r="O54" s="27">
        <v>1.2636000000000001</v>
      </c>
      <c r="P54" s="27">
        <v>0.13600000000000001</v>
      </c>
      <c r="Q54" s="27">
        <v>5.6899999999999999E-2</v>
      </c>
      <c r="R54" s="30">
        <f t="shared" si="13"/>
        <v>1.9770999999999999</v>
      </c>
      <c r="S54" s="27">
        <f t="shared" si="14"/>
        <v>36.08821000455211</v>
      </c>
      <c r="U54" s="18">
        <f t="shared" si="15"/>
        <v>63.91178999544789</v>
      </c>
    </row>
    <row r="55" spans="1:25" x14ac:dyDescent="0.25">
      <c r="A55" s="27" t="s">
        <v>59</v>
      </c>
      <c r="B55" s="27" t="s">
        <v>41</v>
      </c>
      <c r="C55" s="27" t="s">
        <v>16</v>
      </c>
      <c r="D55" s="27" t="s">
        <v>20</v>
      </c>
      <c r="E55" s="27">
        <v>1</v>
      </c>
      <c r="F55" s="27" t="s">
        <v>35</v>
      </c>
      <c r="G55" s="27">
        <v>2.19</v>
      </c>
      <c r="H55" s="27">
        <v>2.08</v>
      </c>
      <c r="I55" s="28">
        <f t="shared" si="10"/>
        <v>5.2884615384615321</v>
      </c>
      <c r="J55" s="29">
        <v>44228</v>
      </c>
      <c r="K55" s="29">
        <v>44286</v>
      </c>
      <c r="L55" s="27">
        <f t="shared" si="11"/>
        <v>58</v>
      </c>
      <c r="M55" s="27">
        <v>1.4451000000000001</v>
      </c>
      <c r="N55" s="27">
        <f t="shared" si="12"/>
        <v>0.63490000000000002</v>
      </c>
      <c r="O55" s="27">
        <v>1.2602</v>
      </c>
      <c r="P55" s="27">
        <v>0.1242</v>
      </c>
      <c r="Q55" s="27">
        <v>6.0199999999999997E-2</v>
      </c>
      <c r="R55" s="30">
        <f t="shared" si="13"/>
        <v>1.8956</v>
      </c>
      <c r="S55" s="27">
        <f t="shared" si="14"/>
        <v>33.519729900822959</v>
      </c>
      <c r="U55" s="18">
        <f t="shared" si="15"/>
        <v>66.480270099177048</v>
      </c>
    </row>
    <row r="56" spans="1:25" x14ac:dyDescent="0.25">
      <c r="A56" s="27" t="s">
        <v>59</v>
      </c>
      <c r="B56" s="27" t="s">
        <v>41</v>
      </c>
      <c r="C56" s="27" t="s">
        <v>16</v>
      </c>
      <c r="D56" s="27" t="s">
        <v>20</v>
      </c>
      <c r="E56" s="27">
        <v>2</v>
      </c>
      <c r="F56" s="27" t="s">
        <v>36</v>
      </c>
      <c r="G56" s="27">
        <v>2.38</v>
      </c>
      <c r="H56" s="27">
        <v>2.2200000000000002</v>
      </c>
      <c r="I56" s="28">
        <f t="shared" si="10"/>
        <v>7.2072072072071931</v>
      </c>
      <c r="J56" s="29">
        <v>44228</v>
      </c>
      <c r="K56" s="29">
        <v>44286</v>
      </c>
      <c r="L56" s="27">
        <f t="shared" si="11"/>
        <v>58</v>
      </c>
      <c r="M56" s="27">
        <v>1.5468</v>
      </c>
      <c r="N56" s="27">
        <f t="shared" si="12"/>
        <v>0.67320000000000024</v>
      </c>
      <c r="O56" s="27">
        <v>1.3577999999999999</v>
      </c>
      <c r="P56" s="27">
        <v>0.1323</v>
      </c>
      <c r="Q56" s="27">
        <v>5.6099999999999997E-2</v>
      </c>
      <c r="R56" s="30">
        <f t="shared" si="13"/>
        <v>2.0316000000000001</v>
      </c>
      <c r="S56" s="27">
        <f t="shared" si="14"/>
        <v>33.165977554636747</v>
      </c>
      <c r="U56" s="18">
        <f t="shared" si="15"/>
        <v>66.834022445363246</v>
      </c>
    </row>
    <row r="57" spans="1:25" x14ac:dyDescent="0.25">
      <c r="A57" s="31" t="s">
        <v>14</v>
      </c>
      <c r="B57" s="35" t="s">
        <v>60</v>
      </c>
      <c r="C57" s="35" t="s">
        <v>16</v>
      </c>
      <c r="D57" s="35" t="s">
        <v>17</v>
      </c>
      <c r="E57" s="35">
        <v>1</v>
      </c>
      <c r="F57" s="35" t="s">
        <v>51</v>
      </c>
      <c r="G57" s="35">
        <v>2.2603</v>
      </c>
      <c r="H57" s="35">
        <v>2.1450999999999998</v>
      </c>
      <c r="I57" s="36">
        <f t="shared" si="10"/>
        <v>5.3703790033098784</v>
      </c>
      <c r="J57" s="37">
        <v>44235</v>
      </c>
      <c r="K57" s="37">
        <v>44295</v>
      </c>
      <c r="L57" s="35">
        <f t="shared" si="11"/>
        <v>60</v>
      </c>
      <c r="M57" s="35">
        <v>1.4463999999999999</v>
      </c>
      <c r="N57" s="35">
        <f t="shared" si="12"/>
        <v>0.69869999999999988</v>
      </c>
      <c r="O57" s="35">
        <v>1.2421</v>
      </c>
      <c r="P57" s="35">
        <v>0.1361</v>
      </c>
      <c r="Q57" s="35">
        <v>6.4100000000000004E-2</v>
      </c>
      <c r="R57" s="38">
        <f t="shared" si="13"/>
        <v>1.9448999999999999</v>
      </c>
      <c r="S57" s="35">
        <f t="shared" si="14"/>
        <v>36.135533960614936</v>
      </c>
      <c r="T57">
        <f>AVERAGE(O57:O64)</f>
        <v>1.3047124999999999</v>
      </c>
      <c r="U57" s="18">
        <f t="shared" si="15"/>
        <v>63.864466039385057</v>
      </c>
      <c r="V57" s="7">
        <f>AVERAGE(U57:U64)</f>
        <v>66.831170237840652</v>
      </c>
      <c r="W57">
        <f>STDEV(U57:U64)</f>
        <v>1.9117607048832617</v>
      </c>
      <c r="X57">
        <f>AVERAGE(S57:S64)</f>
        <v>33.168829762159348</v>
      </c>
      <c r="Y57">
        <f>STDEV(S57:S64)</f>
        <v>1.9117607048832588</v>
      </c>
    </row>
    <row r="58" spans="1:25" x14ac:dyDescent="0.25">
      <c r="A58" s="31" t="s">
        <v>14</v>
      </c>
      <c r="B58" s="35" t="s">
        <v>60</v>
      </c>
      <c r="C58" s="35" t="s">
        <v>16</v>
      </c>
      <c r="D58" s="35" t="s">
        <v>17</v>
      </c>
      <c r="E58" s="35">
        <v>2</v>
      </c>
      <c r="F58" s="35" t="s">
        <v>52</v>
      </c>
      <c r="G58" s="35">
        <v>2.3191999999999999</v>
      </c>
      <c r="H58" s="35">
        <v>2.1972</v>
      </c>
      <c r="I58" s="36">
        <f t="shared" si="10"/>
        <v>5.5525213908610906</v>
      </c>
      <c r="J58" s="37">
        <v>44235</v>
      </c>
      <c r="K58" s="37">
        <v>44295</v>
      </c>
      <c r="L58" s="35">
        <f t="shared" si="11"/>
        <v>60</v>
      </c>
      <c r="M58" s="35">
        <v>1.4891000000000001</v>
      </c>
      <c r="N58" s="35">
        <f t="shared" si="12"/>
        <v>0.70809999999999995</v>
      </c>
      <c r="O58" s="35">
        <v>1.2793000000000001</v>
      </c>
      <c r="P58" s="35">
        <v>0.13200000000000001</v>
      </c>
      <c r="Q58" s="35">
        <v>7.7100000000000002E-2</v>
      </c>
      <c r="R58" s="38">
        <f t="shared" si="13"/>
        <v>1.9881</v>
      </c>
      <c r="S58" s="35">
        <f t="shared" si="14"/>
        <v>35.652130174538499</v>
      </c>
      <c r="U58" s="18">
        <f t="shared" si="15"/>
        <v>64.347869825461501</v>
      </c>
    </row>
    <row r="59" spans="1:25" x14ac:dyDescent="0.25">
      <c r="A59" s="31" t="s">
        <v>14</v>
      </c>
      <c r="B59" s="35" t="s">
        <v>60</v>
      </c>
      <c r="C59" s="35" t="s">
        <v>16</v>
      </c>
      <c r="D59" s="35" t="s">
        <v>18</v>
      </c>
      <c r="E59" s="35">
        <v>1</v>
      </c>
      <c r="F59" s="35" t="s">
        <v>53</v>
      </c>
      <c r="G59" s="35">
        <v>2.2905000000000002</v>
      </c>
      <c r="H59" s="35">
        <v>2.1701999999999999</v>
      </c>
      <c r="I59" s="36">
        <f t="shared" si="10"/>
        <v>5.5432679015759057</v>
      </c>
      <c r="J59" s="37">
        <v>44235</v>
      </c>
      <c r="K59" s="37">
        <v>44295</v>
      </c>
      <c r="L59" s="35">
        <f t="shared" si="11"/>
        <v>60</v>
      </c>
      <c r="M59" s="35">
        <v>1.542</v>
      </c>
      <c r="N59" s="35">
        <f t="shared" si="12"/>
        <v>0.62819999999999987</v>
      </c>
      <c r="O59" s="35">
        <v>1.3129</v>
      </c>
      <c r="P59" s="35">
        <v>0.1361</v>
      </c>
      <c r="Q59" s="35">
        <v>6.0299999999999999E-2</v>
      </c>
      <c r="R59" s="38">
        <f t="shared" si="13"/>
        <v>1.9738</v>
      </c>
      <c r="S59" s="35">
        <f t="shared" si="14"/>
        <v>33.483635626709898</v>
      </c>
      <c r="U59" s="18">
        <f t="shared" si="15"/>
        <v>66.516364373290088</v>
      </c>
    </row>
    <row r="60" spans="1:25" x14ac:dyDescent="0.25">
      <c r="A60" s="31" t="s">
        <v>14</v>
      </c>
      <c r="B60" s="35" t="s">
        <v>60</v>
      </c>
      <c r="C60" s="35" t="s">
        <v>16</v>
      </c>
      <c r="D60" s="35" t="s">
        <v>18</v>
      </c>
      <c r="E60" s="35">
        <v>2</v>
      </c>
      <c r="F60" s="35" t="s">
        <v>54</v>
      </c>
      <c r="G60" s="35">
        <v>2.1675</v>
      </c>
      <c r="H60" s="35">
        <v>2.0548000000000002</v>
      </c>
      <c r="I60" s="36">
        <f t="shared" si="10"/>
        <v>5.4847187074167696</v>
      </c>
      <c r="J60" s="37">
        <v>44235</v>
      </c>
      <c r="K60" s="37">
        <v>44295</v>
      </c>
      <c r="L60" s="35">
        <f t="shared" si="11"/>
        <v>60</v>
      </c>
      <c r="M60" s="35">
        <v>1.486</v>
      </c>
      <c r="N60" s="35">
        <f t="shared" si="12"/>
        <v>0.56880000000000019</v>
      </c>
      <c r="O60" s="35">
        <v>1.2806999999999999</v>
      </c>
      <c r="P60" s="35">
        <v>0.13930000000000001</v>
      </c>
      <c r="Q60" s="35">
        <v>6.4199999999999993E-2</v>
      </c>
      <c r="R60" s="38">
        <f t="shared" si="13"/>
        <v>1.8513000000000002</v>
      </c>
      <c r="S60" s="35">
        <f t="shared" si="14"/>
        <v>30.821584832280031</v>
      </c>
      <c r="U60" s="18">
        <f t="shared" si="15"/>
        <v>69.178415167719976</v>
      </c>
    </row>
    <row r="61" spans="1:25" x14ac:dyDescent="0.25">
      <c r="A61" s="31" t="s">
        <v>14</v>
      </c>
      <c r="B61" s="35" t="s">
        <v>60</v>
      </c>
      <c r="C61" s="35" t="s">
        <v>16</v>
      </c>
      <c r="D61" s="35" t="s">
        <v>19</v>
      </c>
      <c r="E61" s="35">
        <v>1</v>
      </c>
      <c r="F61" s="35" t="s">
        <v>55</v>
      </c>
      <c r="G61" s="35">
        <v>2.3254999999999999</v>
      </c>
      <c r="H61" s="35">
        <v>2.2039</v>
      </c>
      <c r="I61" s="36">
        <f t="shared" si="10"/>
        <v>5.5174917192250073</v>
      </c>
      <c r="J61" s="37">
        <v>44235</v>
      </c>
      <c r="K61" s="37">
        <v>44295</v>
      </c>
      <c r="L61" s="35">
        <f t="shared" si="11"/>
        <v>60</v>
      </c>
      <c r="M61" s="35">
        <v>1.5758000000000001</v>
      </c>
      <c r="N61" s="35">
        <f t="shared" si="12"/>
        <v>0.62809999999999988</v>
      </c>
      <c r="O61" s="35">
        <v>1.3706</v>
      </c>
      <c r="P61" s="35">
        <v>0.13189999999999999</v>
      </c>
      <c r="Q61" s="35">
        <v>7.2400000000000006E-2</v>
      </c>
      <c r="R61" s="38">
        <f t="shared" si="13"/>
        <v>1.9996</v>
      </c>
      <c r="S61" s="35">
        <f t="shared" si="14"/>
        <v>31.45629125825165</v>
      </c>
      <c r="U61" s="18">
        <f t="shared" si="15"/>
        <v>68.543708741748361</v>
      </c>
    </row>
    <row r="62" spans="1:25" x14ac:dyDescent="0.25">
      <c r="A62" s="31" t="s">
        <v>14</v>
      </c>
      <c r="B62" s="35" t="s">
        <v>60</v>
      </c>
      <c r="C62" s="35" t="s">
        <v>16</v>
      </c>
      <c r="D62" s="35" t="s">
        <v>19</v>
      </c>
      <c r="E62" s="35">
        <v>2</v>
      </c>
      <c r="F62" s="35" t="s">
        <v>56</v>
      </c>
      <c r="G62" s="35">
        <v>2.2339000000000002</v>
      </c>
      <c r="H62" s="35">
        <v>2.1187</v>
      </c>
      <c r="I62" s="36">
        <f t="shared" si="10"/>
        <v>5.4372964553735876</v>
      </c>
      <c r="J62" s="37">
        <v>44235</v>
      </c>
      <c r="K62" s="37">
        <v>44295</v>
      </c>
      <c r="L62" s="35">
        <f t="shared" si="11"/>
        <v>60</v>
      </c>
      <c r="M62" s="35">
        <v>1.488</v>
      </c>
      <c r="N62" s="35">
        <f t="shared" si="12"/>
        <v>0.63070000000000004</v>
      </c>
      <c r="O62" s="35">
        <v>1.2959000000000001</v>
      </c>
      <c r="P62" s="35">
        <v>0.12959999999999999</v>
      </c>
      <c r="Q62" s="35">
        <v>6.2100000000000002E-2</v>
      </c>
      <c r="R62" s="38">
        <f t="shared" si="13"/>
        <v>1.927</v>
      </c>
      <c r="S62" s="35">
        <f t="shared" si="14"/>
        <v>32.750389206019719</v>
      </c>
      <c r="U62" s="18">
        <f t="shared" si="15"/>
        <v>67.249610793980281</v>
      </c>
    </row>
    <row r="63" spans="1:25" x14ac:dyDescent="0.25">
      <c r="A63" s="31" t="s">
        <v>14</v>
      </c>
      <c r="B63" s="35" t="s">
        <v>60</v>
      </c>
      <c r="C63" s="35" t="s">
        <v>16</v>
      </c>
      <c r="D63" s="35" t="s">
        <v>20</v>
      </c>
      <c r="E63" s="35">
        <v>1</v>
      </c>
      <c r="F63" s="35" t="s">
        <v>57</v>
      </c>
      <c r="G63" s="35">
        <v>2.2667000000000002</v>
      </c>
      <c r="H63" s="35">
        <v>2.1492</v>
      </c>
      <c r="I63" s="36">
        <f t="shared" si="10"/>
        <v>5.4671505676530874</v>
      </c>
      <c r="J63" s="37">
        <v>44235</v>
      </c>
      <c r="K63" s="37">
        <v>44295</v>
      </c>
      <c r="L63" s="35">
        <f t="shared" si="11"/>
        <v>60</v>
      </c>
      <c r="M63" s="35">
        <v>1.5323</v>
      </c>
      <c r="N63" s="35">
        <f t="shared" si="12"/>
        <v>0.6169</v>
      </c>
      <c r="O63" s="35">
        <v>1.3363</v>
      </c>
      <c r="P63" s="35">
        <v>0.1389</v>
      </c>
      <c r="Q63" s="35">
        <v>5.11E-2</v>
      </c>
      <c r="R63" s="38">
        <f t="shared" si="13"/>
        <v>1.9592000000000001</v>
      </c>
      <c r="S63" s="35">
        <f t="shared" si="14"/>
        <v>31.793589220089828</v>
      </c>
      <c r="U63" s="18">
        <f t="shared" si="15"/>
        <v>68.206410779910158</v>
      </c>
    </row>
    <row r="64" spans="1:25" x14ac:dyDescent="0.25">
      <c r="A64" s="31" t="s">
        <v>14</v>
      </c>
      <c r="B64" s="35" t="s">
        <v>60</v>
      </c>
      <c r="C64" s="35" t="s">
        <v>16</v>
      </c>
      <c r="D64" s="35" t="s">
        <v>20</v>
      </c>
      <c r="E64" s="35">
        <v>2</v>
      </c>
      <c r="F64" s="35" t="s">
        <v>58</v>
      </c>
      <c r="G64" s="35">
        <v>2.2835000000000001</v>
      </c>
      <c r="H64" s="38">
        <v>2.165</v>
      </c>
      <c r="I64" s="36">
        <f t="shared" si="10"/>
        <v>5.4734411085450363</v>
      </c>
      <c r="J64" s="37">
        <v>44235</v>
      </c>
      <c r="K64" s="37">
        <v>44295</v>
      </c>
      <c r="L64" s="35">
        <f t="shared" si="11"/>
        <v>60</v>
      </c>
      <c r="M64" s="35">
        <v>1.5088999999999999</v>
      </c>
      <c r="N64" s="35">
        <f t="shared" si="12"/>
        <v>0.65610000000000013</v>
      </c>
      <c r="O64" s="35">
        <v>1.3199000000000001</v>
      </c>
      <c r="P64" s="35">
        <v>0.1295</v>
      </c>
      <c r="Q64" s="35">
        <v>5.79E-2</v>
      </c>
      <c r="R64" s="38">
        <f t="shared" si="13"/>
        <v>1.9776</v>
      </c>
      <c r="S64" s="35">
        <f t="shared" si="14"/>
        <v>33.257483818770226</v>
      </c>
      <c r="U64" s="18">
        <f t="shared" si="15"/>
        <v>66.742516181229774</v>
      </c>
    </row>
    <row r="65" spans="1:25" x14ac:dyDescent="0.25">
      <c r="A65" s="39" t="s">
        <v>62</v>
      </c>
      <c r="B65" s="39" t="s">
        <v>63</v>
      </c>
      <c r="C65" s="39" t="s">
        <v>16</v>
      </c>
      <c r="D65" s="39" t="s">
        <v>17</v>
      </c>
      <c r="E65" s="39">
        <v>1</v>
      </c>
      <c r="F65" s="39" t="s">
        <v>65</v>
      </c>
      <c r="G65" s="39">
        <v>2.2324000000000002</v>
      </c>
      <c r="H65" s="39">
        <v>2.1234999999999999</v>
      </c>
      <c r="I65" s="40">
        <f t="shared" si="10"/>
        <v>5.1283258770897202</v>
      </c>
      <c r="J65" s="41">
        <v>44242</v>
      </c>
      <c r="K65" s="41">
        <v>44302</v>
      </c>
      <c r="L65" s="39">
        <f t="shared" si="11"/>
        <v>60</v>
      </c>
      <c r="M65" s="39">
        <v>1.5355000000000001</v>
      </c>
      <c r="N65" s="39">
        <f t="shared" si="12"/>
        <v>0.58799999999999986</v>
      </c>
      <c r="O65" s="39">
        <v>1.3454999999999999</v>
      </c>
      <c r="P65" s="39">
        <v>0.13339999999999999</v>
      </c>
      <c r="Q65" s="39">
        <v>5.7099999999999998E-2</v>
      </c>
      <c r="R65" s="42">
        <f t="shared" si="13"/>
        <v>1.9329999999999998</v>
      </c>
      <c r="S65" s="39">
        <f t="shared" si="14"/>
        <v>30.39317123642007</v>
      </c>
      <c r="T65">
        <f>AVERAGE(O65:O72)</f>
        <v>1.3877000000000002</v>
      </c>
      <c r="U65" s="18">
        <f t="shared" si="15"/>
        <v>69.606828763579927</v>
      </c>
      <c r="V65" s="7">
        <f>AVERAGE(U65:U72)</f>
        <v>71.149267662547231</v>
      </c>
      <c r="W65">
        <f>STDEV(U65:U72)</f>
        <v>1.5345742744779671</v>
      </c>
      <c r="X65">
        <f>AVERAGE(S65:S72)</f>
        <v>28.850732337452772</v>
      </c>
      <c r="Y65">
        <f>STDEV(S65:S72)</f>
        <v>1.5345742744779691</v>
      </c>
    </row>
    <row r="66" spans="1:25" x14ac:dyDescent="0.25">
      <c r="A66" s="39" t="s">
        <v>62</v>
      </c>
      <c r="B66" s="39" t="s">
        <v>63</v>
      </c>
      <c r="C66" s="39" t="s">
        <v>16</v>
      </c>
      <c r="D66" s="39" t="s">
        <v>17</v>
      </c>
      <c r="E66" s="39">
        <v>2</v>
      </c>
      <c r="F66" s="39" t="s">
        <v>73</v>
      </c>
      <c r="G66" s="39">
        <v>2.2631000000000001</v>
      </c>
      <c r="H66" s="39">
        <v>2.1545999999999998</v>
      </c>
      <c r="I66" s="40">
        <f t="shared" si="10"/>
        <v>5.035737491877855</v>
      </c>
      <c r="J66" s="41">
        <v>44242</v>
      </c>
      <c r="K66" s="41">
        <v>44302</v>
      </c>
      <c r="L66" s="39">
        <f t="shared" si="11"/>
        <v>60</v>
      </c>
      <c r="M66" s="39">
        <v>1.5430999999999999</v>
      </c>
      <c r="N66" s="39">
        <f t="shared" si="12"/>
        <v>0.61149999999999993</v>
      </c>
      <c r="O66" s="39">
        <v>1.3519000000000001</v>
      </c>
      <c r="P66" s="39">
        <v>0.1371</v>
      </c>
      <c r="Q66" s="39">
        <v>5.5199999999999999E-2</v>
      </c>
      <c r="R66" s="42">
        <f t="shared" si="13"/>
        <v>1.9622999999999999</v>
      </c>
      <c r="S66" s="39">
        <f t="shared" si="14"/>
        <v>31.106354787749062</v>
      </c>
      <c r="U66" s="18">
        <f t="shared" si="15"/>
        <v>68.893645212250945</v>
      </c>
    </row>
    <row r="67" spans="1:25" x14ac:dyDescent="0.25">
      <c r="A67" s="39" t="s">
        <v>62</v>
      </c>
      <c r="B67" s="39" t="s">
        <v>63</v>
      </c>
      <c r="C67" s="39" t="s">
        <v>16</v>
      </c>
      <c r="D67" s="39" t="s">
        <v>18</v>
      </c>
      <c r="E67" s="39">
        <v>1</v>
      </c>
      <c r="F67" s="39" t="s">
        <v>74</v>
      </c>
      <c r="G67" s="39">
        <v>2.2968000000000002</v>
      </c>
      <c r="H67" s="39">
        <v>2.1844999999999999</v>
      </c>
      <c r="I67" s="40">
        <f t="shared" si="10"/>
        <v>5.1407644769970382</v>
      </c>
      <c r="J67" s="41">
        <v>44242</v>
      </c>
      <c r="K67" s="41">
        <v>44302</v>
      </c>
      <c r="L67" s="39">
        <f t="shared" si="11"/>
        <v>60</v>
      </c>
      <c r="M67" s="39">
        <v>1.6042000000000001</v>
      </c>
      <c r="N67" s="39">
        <f t="shared" si="12"/>
        <v>0.58029999999999982</v>
      </c>
      <c r="O67" s="39">
        <v>1.4105000000000001</v>
      </c>
      <c r="P67" s="39">
        <v>0.1333</v>
      </c>
      <c r="Q67" s="39">
        <v>5.7200000000000001E-2</v>
      </c>
      <c r="R67" s="42">
        <f t="shared" si="13"/>
        <v>1.9939999999999998</v>
      </c>
      <c r="S67" s="39">
        <f t="shared" si="14"/>
        <v>29.262788365095272</v>
      </c>
      <c r="U67" s="18">
        <f t="shared" si="15"/>
        <v>70.737211634904725</v>
      </c>
    </row>
    <row r="68" spans="1:25" x14ac:dyDescent="0.25">
      <c r="A68" s="39" t="s">
        <v>62</v>
      </c>
      <c r="B68" s="39" t="s">
        <v>63</v>
      </c>
      <c r="C68" s="39" t="s">
        <v>16</v>
      </c>
      <c r="D68" s="39" t="s">
        <v>18</v>
      </c>
      <c r="E68" s="39">
        <v>2</v>
      </c>
      <c r="F68" s="39" t="s">
        <v>75</v>
      </c>
      <c r="G68" s="39">
        <v>2.2458999999999998</v>
      </c>
      <c r="H68" s="39">
        <v>2.1362000000000001</v>
      </c>
      <c r="I68" s="40">
        <f t="shared" si="10"/>
        <v>5.1352869581499716</v>
      </c>
      <c r="J68" s="41">
        <v>44242</v>
      </c>
      <c r="K68" s="41">
        <v>44302</v>
      </c>
      <c r="L68" s="39">
        <f t="shared" si="11"/>
        <v>60</v>
      </c>
      <c r="M68" s="39">
        <v>1.5592999999999999</v>
      </c>
      <c r="N68" s="39">
        <f t="shared" si="12"/>
        <v>0.57690000000000019</v>
      </c>
      <c r="O68" s="39">
        <v>1.3676999999999999</v>
      </c>
      <c r="P68" s="39">
        <v>0.1353</v>
      </c>
      <c r="Q68" s="39">
        <v>5.6399999999999999E-2</v>
      </c>
      <c r="R68" s="42">
        <f t="shared" si="13"/>
        <v>1.9445000000000001</v>
      </c>
      <c r="S68" s="39">
        <f t="shared" si="14"/>
        <v>29.663152481357685</v>
      </c>
      <c r="U68" s="18">
        <f t="shared" si="15"/>
        <v>70.336847518642315</v>
      </c>
    </row>
    <row r="69" spans="1:25" x14ac:dyDescent="0.25">
      <c r="A69" s="39" t="s">
        <v>62</v>
      </c>
      <c r="B69" s="39" t="s">
        <v>63</v>
      </c>
      <c r="C69" s="39" t="s">
        <v>16</v>
      </c>
      <c r="D69" s="39" t="s">
        <v>19</v>
      </c>
      <c r="E69" s="39">
        <v>1</v>
      </c>
      <c r="F69" s="39" t="s">
        <v>76</v>
      </c>
      <c r="G69" s="39">
        <v>2.1937000000000002</v>
      </c>
      <c r="H69" s="39">
        <v>2.0863999999999998</v>
      </c>
      <c r="I69" s="40">
        <f t="shared" si="10"/>
        <v>5.1428297546012463</v>
      </c>
      <c r="J69" s="41">
        <v>44242</v>
      </c>
      <c r="K69" s="41">
        <v>44302</v>
      </c>
      <c r="L69" s="39">
        <f t="shared" si="11"/>
        <v>60</v>
      </c>
      <c r="M69" s="39">
        <v>1.5670999999999999</v>
      </c>
      <c r="N69" s="39">
        <f t="shared" si="12"/>
        <v>0.51929999999999987</v>
      </c>
      <c r="O69" s="39">
        <v>1.3703000000000001</v>
      </c>
      <c r="P69" s="39">
        <v>0.1404</v>
      </c>
      <c r="Q69" s="39">
        <v>5.5399999999999998E-2</v>
      </c>
      <c r="R69" s="42">
        <f t="shared" si="13"/>
        <v>1.8905999999999998</v>
      </c>
      <c r="S69" s="39">
        <f t="shared" si="14"/>
        <v>27.520363905638412</v>
      </c>
      <c r="U69" s="18">
        <f t="shared" si="15"/>
        <v>72.479636094361581</v>
      </c>
    </row>
    <row r="70" spans="1:25" x14ac:dyDescent="0.25">
      <c r="A70" s="39" t="s">
        <v>62</v>
      </c>
      <c r="B70" s="39" t="s">
        <v>63</v>
      </c>
      <c r="C70" s="39" t="s">
        <v>16</v>
      </c>
      <c r="D70" s="39" t="s">
        <v>19</v>
      </c>
      <c r="E70" s="39">
        <v>2</v>
      </c>
      <c r="F70" s="39" t="s">
        <v>77</v>
      </c>
      <c r="G70" s="39">
        <v>2.2507999999999999</v>
      </c>
      <c r="H70" s="39">
        <v>2.1413000000000002</v>
      </c>
      <c r="I70" s="40">
        <f t="shared" si="10"/>
        <v>5.1137159669359598</v>
      </c>
      <c r="J70" s="41">
        <v>44242</v>
      </c>
      <c r="K70" s="41">
        <v>44302</v>
      </c>
      <c r="L70" s="39">
        <f t="shared" si="11"/>
        <v>60</v>
      </c>
      <c r="M70" s="39">
        <v>1.5821000000000001</v>
      </c>
      <c r="N70" s="39">
        <f t="shared" si="12"/>
        <v>0.55920000000000014</v>
      </c>
      <c r="O70" s="39">
        <v>1.3886000000000001</v>
      </c>
      <c r="P70" s="39">
        <v>0.13750000000000001</v>
      </c>
      <c r="Q70" s="39">
        <v>5.62E-2</v>
      </c>
      <c r="R70" s="42">
        <f t="shared" si="13"/>
        <v>1.9476000000000002</v>
      </c>
      <c r="S70" s="39">
        <f t="shared" si="14"/>
        <v>28.701992195522703</v>
      </c>
      <c r="U70" s="18">
        <f t="shared" si="15"/>
        <v>71.298007804477308</v>
      </c>
    </row>
    <row r="71" spans="1:25" x14ac:dyDescent="0.25">
      <c r="A71" s="39" t="s">
        <v>62</v>
      </c>
      <c r="B71" s="39" t="s">
        <v>63</v>
      </c>
      <c r="C71" s="39" t="s">
        <v>16</v>
      </c>
      <c r="D71" s="39" t="s">
        <v>20</v>
      </c>
      <c r="E71" s="39">
        <v>1</v>
      </c>
      <c r="F71" s="39" t="s">
        <v>78</v>
      </c>
      <c r="G71" s="39">
        <v>2.2584</v>
      </c>
      <c r="H71" s="39">
        <v>2.1463000000000001</v>
      </c>
      <c r="I71" s="40">
        <f t="shared" si="10"/>
        <v>5.2229418068303533</v>
      </c>
      <c r="J71" s="41">
        <v>44242</v>
      </c>
      <c r="K71" s="41">
        <v>44302</v>
      </c>
      <c r="L71" s="39">
        <f t="shared" si="11"/>
        <v>60</v>
      </c>
      <c r="M71" s="39">
        <v>1.6133</v>
      </c>
      <c r="N71" s="39">
        <f t="shared" si="12"/>
        <v>0.53300000000000014</v>
      </c>
      <c r="O71" s="39">
        <v>1.4189000000000001</v>
      </c>
      <c r="P71" s="39">
        <v>0.13730000000000001</v>
      </c>
      <c r="Q71" s="39">
        <v>5.67E-2</v>
      </c>
      <c r="R71" s="42">
        <f t="shared" si="13"/>
        <v>1.9523000000000001</v>
      </c>
      <c r="S71" s="39">
        <f t="shared" si="14"/>
        <v>27.321620652563645</v>
      </c>
      <c r="U71" s="18">
        <f t="shared" si="15"/>
        <v>72.678379347436348</v>
      </c>
    </row>
    <row r="72" spans="1:25" x14ac:dyDescent="0.25">
      <c r="A72" s="39" t="s">
        <v>62</v>
      </c>
      <c r="B72" s="39" t="s">
        <v>63</v>
      </c>
      <c r="C72" s="39" t="s">
        <v>16</v>
      </c>
      <c r="D72" s="39" t="s">
        <v>20</v>
      </c>
      <c r="E72" s="39">
        <v>2</v>
      </c>
      <c r="F72" s="39" t="s">
        <v>79</v>
      </c>
      <c r="G72" s="39">
        <v>2.3075999999999999</v>
      </c>
      <c r="H72" s="39">
        <v>2.1924000000000001</v>
      </c>
      <c r="I72" s="40">
        <f t="shared" si="10"/>
        <v>5.2545155993431738</v>
      </c>
      <c r="J72" s="41">
        <v>44242</v>
      </c>
      <c r="K72" s="41">
        <v>44302</v>
      </c>
      <c r="L72" s="39">
        <f t="shared" si="11"/>
        <v>60</v>
      </c>
      <c r="M72" s="39">
        <v>1.6617</v>
      </c>
      <c r="N72" s="39">
        <f t="shared" si="12"/>
        <v>0.53070000000000017</v>
      </c>
      <c r="O72" s="39">
        <v>1.4481999999999999</v>
      </c>
      <c r="P72" s="39">
        <v>0.1482</v>
      </c>
      <c r="Q72" s="39">
        <v>6.4799999999999996E-2</v>
      </c>
      <c r="R72" s="42">
        <f t="shared" si="13"/>
        <v>1.9794</v>
      </c>
      <c r="S72" s="39">
        <f t="shared" si="14"/>
        <v>26.836415075275344</v>
      </c>
      <c r="U72" s="18">
        <f t="shared" si="15"/>
        <v>73.16358492472466</v>
      </c>
    </row>
    <row r="73" spans="1:25" x14ac:dyDescent="0.25">
      <c r="A73" s="43" t="s">
        <v>300</v>
      </c>
      <c r="B73" s="43" t="s">
        <v>80</v>
      </c>
      <c r="C73" s="43" t="s">
        <v>16</v>
      </c>
      <c r="D73" s="43" t="s">
        <v>17</v>
      </c>
      <c r="E73" s="43">
        <v>1</v>
      </c>
      <c r="F73" s="43" t="s">
        <v>82</v>
      </c>
      <c r="G73" s="43">
        <v>2.2928999999999999</v>
      </c>
      <c r="H73" s="43">
        <v>2.1989000000000001</v>
      </c>
      <c r="I73" s="44">
        <f t="shared" si="10"/>
        <v>4.2748647050798061</v>
      </c>
      <c r="J73" s="45">
        <v>44249</v>
      </c>
      <c r="K73" s="45">
        <v>44309</v>
      </c>
      <c r="L73" s="43">
        <f t="shared" si="11"/>
        <v>60</v>
      </c>
      <c r="M73" s="43">
        <v>1.365</v>
      </c>
      <c r="N73" s="43">
        <f t="shared" si="12"/>
        <v>0.83390000000000009</v>
      </c>
      <c r="O73" s="43">
        <v>1.1890000000000001</v>
      </c>
      <c r="P73" s="43">
        <v>0.121</v>
      </c>
      <c r="Q73" s="43">
        <v>5.57E-2</v>
      </c>
      <c r="R73" s="46">
        <f t="shared" si="13"/>
        <v>2.0222000000000002</v>
      </c>
      <c r="S73" s="43">
        <f t="shared" si="14"/>
        <v>41.202650578577789</v>
      </c>
      <c r="T73">
        <f>AVERAGE(O73:O80)</f>
        <v>1.2363375000000003</v>
      </c>
      <c r="U73" s="18">
        <f t="shared" si="15"/>
        <v>58.797349421422204</v>
      </c>
      <c r="V73" s="7">
        <f>AVERAGE(U73:U80)</f>
        <v>62.423316742825847</v>
      </c>
      <c r="W73">
        <f>STDEV(U73:U80)</f>
        <v>2.3228894350025135</v>
      </c>
      <c r="X73">
        <f>AVERAGE(S73:S80)</f>
        <v>37.576683257174153</v>
      </c>
      <c r="Y73">
        <f>STDEV(S73:S80)</f>
        <v>2.3228894350025104</v>
      </c>
    </row>
    <row r="74" spans="1:25" x14ac:dyDescent="0.25">
      <c r="A74" s="43" t="s">
        <v>300</v>
      </c>
      <c r="B74" s="43" t="s">
        <v>80</v>
      </c>
      <c r="C74" s="43" t="s">
        <v>16</v>
      </c>
      <c r="D74" s="43" t="s">
        <v>17</v>
      </c>
      <c r="E74" s="43">
        <v>2</v>
      </c>
      <c r="F74" s="43" t="s">
        <v>90</v>
      </c>
      <c r="G74" s="43">
        <v>2.2442000000000002</v>
      </c>
      <c r="H74" s="43">
        <v>2.1545000000000001</v>
      </c>
      <c r="I74" s="44">
        <f t="shared" si="10"/>
        <v>4.1633789742399685</v>
      </c>
      <c r="J74" s="45">
        <v>44249</v>
      </c>
      <c r="K74" s="45">
        <v>44309</v>
      </c>
      <c r="L74" s="43">
        <f t="shared" si="11"/>
        <v>60</v>
      </c>
      <c r="M74" s="43">
        <v>1.4769000000000001</v>
      </c>
      <c r="N74" s="43">
        <f t="shared" si="12"/>
        <v>0.67759999999999998</v>
      </c>
      <c r="O74" s="43">
        <v>1.2871999999999999</v>
      </c>
      <c r="P74" s="43">
        <v>0.13469999999999999</v>
      </c>
      <c r="Q74" s="43">
        <v>5.6000000000000001E-2</v>
      </c>
      <c r="R74" s="46">
        <f t="shared" si="13"/>
        <v>1.9638</v>
      </c>
      <c r="S74" s="43">
        <f t="shared" si="14"/>
        <v>34.453610347285881</v>
      </c>
      <c r="U74" s="18">
        <f t="shared" si="15"/>
        <v>65.546389652714126</v>
      </c>
    </row>
    <row r="75" spans="1:25" x14ac:dyDescent="0.25">
      <c r="A75" s="43" t="s">
        <v>300</v>
      </c>
      <c r="B75" s="43" t="s">
        <v>80</v>
      </c>
      <c r="C75" s="43" t="s">
        <v>16</v>
      </c>
      <c r="D75" s="43" t="s">
        <v>18</v>
      </c>
      <c r="E75" s="43">
        <v>1</v>
      </c>
      <c r="F75" s="43" t="s">
        <v>91</v>
      </c>
      <c r="G75" s="46">
        <v>2.2890000000000001</v>
      </c>
      <c r="H75" s="43">
        <v>2.2002999999999999</v>
      </c>
      <c r="I75" s="44">
        <f t="shared" si="10"/>
        <v>4.031268463391366</v>
      </c>
      <c r="J75" s="45">
        <v>44249</v>
      </c>
      <c r="K75" s="45">
        <v>44309</v>
      </c>
      <c r="L75" s="43">
        <f t="shared" si="11"/>
        <v>60</v>
      </c>
      <c r="M75" s="43">
        <v>1.4239999999999999</v>
      </c>
      <c r="N75" s="43">
        <f t="shared" si="12"/>
        <v>0.77629999999999999</v>
      </c>
      <c r="O75" s="43">
        <v>1.2337</v>
      </c>
      <c r="P75" s="43">
        <v>0.13159999999999999</v>
      </c>
      <c r="Q75" s="43">
        <v>5.8400000000000001E-2</v>
      </c>
      <c r="R75" s="46">
        <f t="shared" si="13"/>
        <v>2.0103</v>
      </c>
      <c r="S75" s="43">
        <f t="shared" si="14"/>
        <v>38.631050092026065</v>
      </c>
      <c r="U75" s="18">
        <f t="shared" si="15"/>
        <v>61.368949907973935</v>
      </c>
    </row>
    <row r="76" spans="1:25" x14ac:dyDescent="0.25">
      <c r="A76" s="43" t="s">
        <v>300</v>
      </c>
      <c r="B76" s="43" t="s">
        <v>80</v>
      </c>
      <c r="C76" s="43" t="s">
        <v>16</v>
      </c>
      <c r="D76" s="43" t="s">
        <v>18</v>
      </c>
      <c r="E76" s="43">
        <v>2</v>
      </c>
      <c r="F76" s="43" t="s">
        <v>92</v>
      </c>
      <c r="G76" s="46">
        <v>2.2519999999999998</v>
      </c>
      <c r="H76" s="43">
        <v>2.1636000000000002</v>
      </c>
      <c r="I76" s="44">
        <f t="shared" si="10"/>
        <v>4.0857829543353477</v>
      </c>
      <c r="J76" s="45">
        <v>44249</v>
      </c>
      <c r="K76" s="45">
        <v>44309</v>
      </c>
      <c r="L76" s="43">
        <f t="shared" si="11"/>
        <v>60</v>
      </c>
      <c r="M76" s="43">
        <v>1.3652</v>
      </c>
      <c r="N76" s="43">
        <f t="shared" si="12"/>
        <v>0.79840000000000022</v>
      </c>
      <c r="O76" s="43">
        <v>1.1729000000000001</v>
      </c>
      <c r="P76" s="43">
        <v>0.1358</v>
      </c>
      <c r="Q76" s="43">
        <v>5.6899999999999999E-2</v>
      </c>
      <c r="R76" s="46">
        <f t="shared" si="13"/>
        <v>1.9709000000000001</v>
      </c>
      <c r="S76" s="43">
        <f t="shared" si="14"/>
        <v>40.489116647217003</v>
      </c>
      <c r="U76" s="18">
        <f t="shared" si="15"/>
        <v>59.510883352782997</v>
      </c>
    </row>
    <row r="77" spans="1:25" x14ac:dyDescent="0.25">
      <c r="A77" s="43" t="s">
        <v>300</v>
      </c>
      <c r="B77" s="43" t="s">
        <v>80</v>
      </c>
      <c r="C77" s="43" t="s">
        <v>16</v>
      </c>
      <c r="D77" s="43" t="s">
        <v>19</v>
      </c>
      <c r="E77" s="43">
        <v>1</v>
      </c>
      <c r="F77" s="43" t="s">
        <v>93</v>
      </c>
      <c r="G77" s="43">
        <v>2.2911000000000001</v>
      </c>
      <c r="H77" s="43">
        <v>2.1966000000000001</v>
      </c>
      <c r="I77" s="44">
        <f t="shared" si="10"/>
        <v>4.3021032504780132</v>
      </c>
      <c r="J77" s="45">
        <v>44249</v>
      </c>
      <c r="K77" s="45">
        <v>44309</v>
      </c>
      <c r="L77" s="43">
        <f t="shared" si="11"/>
        <v>60</v>
      </c>
      <c r="M77" s="43">
        <v>1.4675</v>
      </c>
      <c r="N77" s="43">
        <f t="shared" si="12"/>
        <v>0.72910000000000008</v>
      </c>
      <c r="O77" s="43">
        <v>1.2811999999999999</v>
      </c>
      <c r="P77" s="43">
        <v>0.12959999999999999</v>
      </c>
      <c r="Q77" s="43">
        <v>5.7299999999999997E-2</v>
      </c>
      <c r="R77" s="46">
        <f t="shared" si="13"/>
        <v>2.0097</v>
      </c>
      <c r="S77" s="43">
        <f t="shared" si="14"/>
        <v>36.249191421605218</v>
      </c>
      <c r="U77" s="18">
        <f t="shared" si="15"/>
        <v>63.750808578394782</v>
      </c>
    </row>
    <row r="78" spans="1:25" x14ac:dyDescent="0.25">
      <c r="A78" s="43" t="s">
        <v>300</v>
      </c>
      <c r="B78" s="43" t="s">
        <v>80</v>
      </c>
      <c r="C78" s="43" t="s">
        <v>16</v>
      </c>
      <c r="D78" s="43" t="s">
        <v>19</v>
      </c>
      <c r="E78" s="43">
        <v>2</v>
      </c>
      <c r="F78" s="43" t="s">
        <v>94</v>
      </c>
      <c r="G78" s="43">
        <v>2.1764999999999999</v>
      </c>
      <c r="H78" s="43">
        <v>2.0891000000000002</v>
      </c>
      <c r="I78" s="44">
        <f t="shared" si="10"/>
        <v>4.1836197405581208</v>
      </c>
      <c r="J78" s="45">
        <v>44249</v>
      </c>
      <c r="K78" s="45">
        <v>44309</v>
      </c>
      <c r="L78" s="43">
        <f t="shared" si="11"/>
        <v>60</v>
      </c>
      <c r="M78" s="43">
        <v>1.4004000000000001</v>
      </c>
      <c r="N78" s="43">
        <f t="shared" si="12"/>
        <v>0.68870000000000009</v>
      </c>
      <c r="O78" s="43">
        <v>1.2075</v>
      </c>
      <c r="P78" s="43">
        <v>0.1298</v>
      </c>
      <c r="Q78" s="43">
        <v>6.2899999999999998E-2</v>
      </c>
      <c r="R78" s="46">
        <f t="shared" si="13"/>
        <v>1.8964000000000003</v>
      </c>
      <c r="S78" s="43">
        <f t="shared" si="14"/>
        <v>36.32672431976377</v>
      </c>
      <c r="U78" s="18">
        <f t="shared" si="15"/>
        <v>63.67327568023623</v>
      </c>
    </row>
    <row r="79" spans="1:25" x14ac:dyDescent="0.25">
      <c r="A79" s="43" t="s">
        <v>300</v>
      </c>
      <c r="B79" s="43" t="s">
        <v>80</v>
      </c>
      <c r="C79" s="43" t="s">
        <v>16</v>
      </c>
      <c r="D79" s="43" t="s">
        <v>20</v>
      </c>
      <c r="E79" s="43">
        <v>1</v>
      </c>
      <c r="F79" s="43" t="s">
        <v>95</v>
      </c>
      <c r="G79" s="43">
        <v>2.2742</v>
      </c>
      <c r="H79" s="46">
        <v>2.1800000000000002</v>
      </c>
      <c r="I79" s="44">
        <f t="shared" si="10"/>
        <v>4.3211009174311847</v>
      </c>
      <c r="J79" s="45">
        <v>44249</v>
      </c>
      <c r="K79" s="45">
        <v>44309</v>
      </c>
      <c r="L79" s="43">
        <f t="shared" si="11"/>
        <v>60</v>
      </c>
      <c r="M79" s="43">
        <v>1.4470000000000001</v>
      </c>
      <c r="N79" s="46">
        <f t="shared" si="12"/>
        <v>0.7330000000000001</v>
      </c>
      <c r="O79" s="43">
        <v>1.2526999999999999</v>
      </c>
      <c r="P79" s="43">
        <v>0.13780000000000001</v>
      </c>
      <c r="Q79" s="43">
        <v>5.6500000000000002E-2</v>
      </c>
      <c r="R79" s="46">
        <f t="shared" si="13"/>
        <v>1.9857000000000002</v>
      </c>
      <c r="S79" s="43">
        <f t="shared" si="14"/>
        <v>36.913934632623267</v>
      </c>
      <c r="U79" s="18">
        <f t="shared" si="15"/>
        <v>63.086065367376733</v>
      </c>
    </row>
    <row r="80" spans="1:25" x14ac:dyDescent="0.25">
      <c r="A80" s="43" t="s">
        <v>300</v>
      </c>
      <c r="B80" s="43" t="s">
        <v>80</v>
      </c>
      <c r="C80" s="43" t="s">
        <v>16</v>
      </c>
      <c r="D80" s="43" t="s">
        <v>20</v>
      </c>
      <c r="E80" s="43">
        <v>2</v>
      </c>
      <c r="F80" s="43" t="s">
        <v>96</v>
      </c>
      <c r="G80" s="43">
        <v>2.2591999999999999</v>
      </c>
      <c r="H80" s="43">
        <v>2.169</v>
      </c>
      <c r="I80" s="44">
        <f t="shared" si="10"/>
        <v>4.158598432457346</v>
      </c>
      <c r="J80" s="45">
        <v>44249</v>
      </c>
      <c r="K80" s="45">
        <v>44309</v>
      </c>
      <c r="L80" s="43">
        <f t="shared" si="11"/>
        <v>60</v>
      </c>
      <c r="M80" s="43">
        <v>1.4454</v>
      </c>
      <c r="N80" s="43">
        <f t="shared" si="12"/>
        <v>0.72360000000000002</v>
      </c>
      <c r="O80" s="43">
        <v>1.2665</v>
      </c>
      <c r="P80" s="43">
        <v>0.1229</v>
      </c>
      <c r="Q80" s="43">
        <v>5.6399999999999999E-2</v>
      </c>
      <c r="R80" s="46">
        <f t="shared" si="13"/>
        <v>1.9897</v>
      </c>
      <c r="S80" s="43">
        <f t="shared" si="14"/>
        <v>36.347188018294219</v>
      </c>
      <c r="U80" s="18">
        <f t="shared" si="15"/>
        <v>63.652811981705781</v>
      </c>
    </row>
    <row r="81" spans="1:25" x14ac:dyDescent="0.25">
      <c r="A81" s="47" t="s">
        <v>99</v>
      </c>
      <c r="B81" s="47" t="s">
        <v>100</v>
      </c>
      <c r="C81" s="47" t="s">
        <v>16</v>
      </c>
      <c r="D81" s="47" t="s">
        <v>17</v>
      </c>
      <c r="E81" s="47">
        <v>1</v>
      </c>
      <c r="F81" s="47" t="s">
        <v>102</v>
      </c>
      <c r="G81" s="47">
        <v>2.2787999999999999</v>
      </c>
      <c r="H81" s="47">
        <v>2.1596000000000002</v>
      </c>
      <c r="I81" s="49">
        <f t="shared" si="10"/>
        <v>5.5195406556769653</v>
      </c>
      <c r="J81" s="50">
        <v>44256</v>
      </c>
      <c r="K81" s="50">
        <v>44309</v>
      </c>
      <c r="L81" s="47">
        <f t="shared" si="11"/>
        <v>53</v>
      </c>
      <c r="M81" s="47">
        <v>1.4735</v>
      </c>
      <c r="N81" s="47">
        <f t="shared" si="12"/>
        <v>0.68610000000000015</v>
      </c>
      <c r="O81" s="47">
        <v>1.2846</v>
      </c>
      <c r="P81" s="47">
        <v>0.13439999999999999</v>
      </c>
      <c r="Q81" s="47">
        <v>5.4899999999999997E-2</v>
      </c>
      <c r="R81" s="48">
        <f t="shared" si="13"/>
        <v>1.9703000000000002</v>
      </c>
      <c r="S81" s="47">
        <f t="shared" si="14"/>
        <v>34.801806831446996</v>
      </c>
      <c r="T81">
        <f>AVERAGE(O81:O88)</f>
        <v>1.31</v>
      </c>
      <c r="U81" s="18">
        <f t="shared" si="15"/>
        <v>65.198193168553004</v>
      </c>
      <c r="V81" s="7">
        <f>AVERAGE(U81:U88)</f>
        <v>66.062929674236955</v>
      </c>
      <c r="W81">
        <f>STDEV(U81:U88)</f>
        <v>0.90848512872420517</v>
      </c>
      <c r="X81">
        <f>AVERAGE(S81:S88)</f>
        <v>33.937070325763031</v>
      </c>
      <c r="Y81">
        <f>STDEV(S81:S88)</f>
        <v>0.90848512872420639</v>
      </c>
    </row>
    <row r="82" spans="1:25" x14ac:dyDescent="0.25">
      <c r="A82" s="47" t="s">
        <v>99</v>
      </c>
      <c r="B82" s="47" t="s">
        <v>100</v>
      </c>
      <c r="C82" s="47" t="s">
        <v>16</v>
      </c>
      <c r="D82" s="47" t="s">
        <v>17</v>
      </c>
      <c r="E82" s="47">
        <v>2</v>
      </c>
      <c r="F82" s="47" t="s">
        <v>110</v>
      </c>
      <c r="G82" s="47">
        <v>2.2968000000000002</v>
      </c>
      <c r="H82" s="47">
        <v>2.1756000000000002</v>
      </c>
      <c r="I82" s="49">
        <f t="shared" si="10"/>
        <v>5.5708769994484264</v>
      </c>
      <c r="J82" s="50">
        <v>44256</v>
      </c>
      <c r="K82" s="50">
        <v>44309</v>
      </c>
      <c r="L82" s="47">
        <f t="shared" si="11"/>
        <v>53</v>
      </c>
      <c r="M82" s="47">
        <v>1.4883999999999999</v>
      </c>
      <c r="N82" s="47">
        <f t="shared" si="12"/>
        <v>0.68720000000000026</v>
      </c>
      <c r="O82" s="47">
        <v>1.3029999999999999</v>
      </c>
      <c r="P82" s="47">
        <v>0.129</v>
      </c>
      <c r="Q82" s="47">
        <v>5.67E-2</v>
      </c>
      <c r="R82" s="48">
        <f t="shared" si="13"/>
        <v>1.9899000000000002</v>
      </c>
      <c r="S82" s="47">
        <f t="shared" si="14"/>
        <v>34.519322579024077</v>
      </c>
      <c r="U82" s="18">
        <f t="shared" si="15"/>
        <v>65.480677420975923</v>
      </c>
    </row>
    <row r="83" spans="1:25" x14ac:dyDescent="0.25">
      <c r="A83" s="47" t="s">
        <v>99</v>
      </c>
      <c r="B83" s="47" t="s">
        <v>100</v>
      </c>
      <c r="C83" s="47" t="s">
        <v>16</v>
      </c>
      <c r="D83" s="47" t="s">
        <v>18</v>
      </c>
      <c r="E83" s="47">
        <v>1</v>
      </c>
      <c r="F83" s="47" t="s">
        <v>111</v>
      </c>
      <c r="G83" s="47">
        <v>2.3090999999999999</v>
      </c>
      <c r="H83" s="47">
        <v>2.1898</v>
      </c>
      <c r="I83" s="49">
        <f t="shared" si="10"/>
        <v>5.447986117453647</v>
      </c>
      <c r="J83" s="50">
        <v>44256</v>
      </c>
      <c r="K83" s="50">
        <v>44309</v>
      </c>
      <c r="L83" s="47">
        <f t="shared" si="11"/>
        <v>53</v>
      </c>
      <c r="M83" s="47">
        <v>1.5288999999999999</v>
      </c>
      <c r="N83" s="47">
        <f t="shared" si="12"/>
        <v>0.66090000000000004</v>
      </c>
      <c r="O83" s="47">
        <v>1.3305</v>
      </c>
      <c r="P83" s="47">
        <v>0.13919999999999999</v>
      </c>
      <c r="Q83" s="47">
        <v>5.8400000000000001E-2</v>
      </c>
      <c r="R83" s="48">
        <f t="shared" si="13"/>
        <v>1.9922</v>
      </c>
      <c r="S83" s="47">
        <f t="shared" si="14"/>
        <v>33.214536693103099</v>
      </c>
      <c r="U83" s="18">
        <f t="shared" si="15"/>
        <v>66.785463306896901</v>
      </c>
    </row>
    <row r="84" spans="1:25" x14ac:dyDescent="0.25">
      <c r="A84" s="47" t="s">
        <v>99</v>
      </c>
      <c r="B84" s="47" t="s">
        <v>100</v>
      </c>
      <c r="C84" s="47" t="s">
        <v>16</v>
      </c>
      <c r="D84" s="47" t="s">
        <v>18</v>
      </c>
      <c r="E84" s="47">
        <v>2</v>
      </c>
      <c r="F84" s="47" t="s">
        <v>112</v>
      </c>
      <c r="G84" s="48">
        <v>2.3220000000000001</v>
      </c>
      <c r="H84" s="47">
        <v>2.1983000000000001</v>
      </c>
      <c r="I84" s="49">
        <f t="shared" si="10"/>
        <v>5.6270754674066286</v>
      </c>
      <c r="J84" s="50">
        <v>44256</v>
      </c>
      <c r="K84" s="50">
        <v>44309</v>
      </c>
      <c r="L84" s="47">
        <f t="shared" si="11"/>
        <v>53</v>
      </c>
      <c r="M84" s="47">
        <v>1.5507</v>
      </c>
      <c r="N84" s="47">
        <f t="shared" si="12"/>
        <v>0.64760000000000018</v>
      </c>
      <c r="O84" s="47">
        <v>1.3436999999999999</v>
      </c>
      <c r="P84" s="47">
        <v>0.13880000000000001</v>
      </c>
      <c r="Q84" s="47">
        <v>6.8099999999999994E-2</v>
      </c>
      <c r="R84" s="48">
        <f t="shared" si="13"/>
        <v>1.9914000000000001</v>
      </c>
      <c r="S84" s="47">
        <f t="shared" si="14"/>
        <v>32.524856884603807</v>
      </c>
      <c r="U84" s="18">
        <f t="shared" si="15"/>
        <v>67.475143115396193</v>
      </c>
    </row>
    <row r="85" spans="1:25" x14ac:dyDescent="0.25">
      <c r="A85" s="47" t="s">
        <v>99</v>
      </c>
      <c r="B85" s="47" t="s">
        <v>100</v>
      </c>
      <c r="C85" s="47" t="s">
        <v>16</v>
      </c>
      <c r="D85" s="47" t="s">
        <v>19</v>
      </c>
      <c r="E85" s="47">
        <v>1</v>
      </c>
      <c r="F85" s="47" t="s">
        <v>113</v>
      </c>
      <c r="G85" s="47">
        <v>2.3043</v>
      </c>
      <c r="H85" s="47">
        <v>2.1848000000000001</v>
      </c>
      <c r="I85" s="49">
        <f t="shared" si="10"/>
        <v>5.4696082021237613</v>
      </c>
      <c r="J85" s="50">
        <v>44256</v>
      </c>
      <c r="K85" s="50">
        <v>44309</v>
      </c>
      <c r="L85" s="47">
        <f t="shared" si="11"/>
        <v>53</v>
      </c>
      <c r="M85" s="47">
        <v>1.5265</v>
      </c>
      <c r="N85" s="47">
        <f t="shared" si="12"/>
        <v>0.65830000000000011</v>
      </c>
      <c r="O85" s="47">
        <v>1.3380000000000001</v>
      </c>
      <c r="P85" s="47">
        <v>0.13020000000000001</v>
      </c>
      <c r="Q85" s="47">
        <v>5.79E-2</v>
      </c>
      <c r="R85" s="48">
        <f t="shared" si="13"/>
        <v>1.9967000000000001</v>
      </c>
      <c r="S85" s="47">
        <f t="shared" si="14"/>
        <v>32.989432563730155</v>
      </c>
      <c r="U85" s="18">
        <f t="shared" si="15"/>
        <v>67.010567436269838</v>
      </c>
    </row>
    <row r="86" spans="1:25" x14ac:dyDescent="0.25">
      <c r="A86" s="47" t="s">
        <v>99</v>
      </c>
      <c r="B86" s="47" t="s">
        <v>100</v>
      </c>
      <c r="C86" s="47" t="s">
        <v>16</v>
      </c>
      <c r="D86" s="47" t="s">
        <v>19</v>
      </c>
      <c r="E86" s="47">
        <v>2</v>
      </c>
      <c r="F86" s="47" t="s">
        <v>114</v>
      </c>
      <c r="G86" s="47">
        <v>2.3313999999999999</v>
      </c>
      <c r="H86" s="47">
        <v>2.2075</v>
      </c>
      <c r="I86" s="49">
        <f t="shared" si="10"/>
        <v>5.6126840317100744</v>
      </c>
      <c r="J86" s="50">
        <v>44256</v>
      </c>
      <c r="K86" s="50">
        <v>44309</v>
      </c>
      <c r="L86" s="47">
        <f t="shared" si="11"/>
        <v>53</v>
      </c>
      <c r="M86" s="47">
        <v>1.5197000000000001</v>
      </c>
      <c r="N86" s="47">
        <f t="shared" si="12"/>
        <v>0.68779999999999997</v>
      </c>
      <c r="O86" s="47">
        <v>1.3317000000000001</v>
      </c>
      <c r="P86" s="47">
        <v>0.13</v>
      </c>
      <c r="Q86" s="47">
        <v>5.79E-2</v>
      </c>
      <c r="R86" s="48">
        <f t="shared" si="13"/>
        <v>2.0196000000000001</v>
      </c>
      <c r="S86" s="47">
        <f t="shared" si="14"/>
        <v>34.061200237670825</v>
      </c>
      <c r="U86" s="18">
        <f t="shared" si="15"/>
        <v>65.938799762329182</v>
      </c>
    </row>
    <row r="87" spans="1:25" x14ac:dyDescent="0.25">
      <c r="A87" s="47" t="s">
        <v>99</v>
      </c>
      <c r="B87" s="47" t="s">
        <v>100</v>
      </c>
      <c r="C87" s="47" t="s">
        <v>16</v>
      </c>
      <c r="D87" s="47" t="s">
        <v>20</v>
      </c>
      <c r="E87" s="47">
        <v>1</v>
      </c>
      <c r="F87" s="47" t="s">
        <v>115</v>
      </c>
      <c r="G87" s="47">
        <v>2.2322000000000002</v>
      </c>
      <c r="H87" s="47">
        <v>2.1149</v>
      </c>
      <c r="I87" s="49">
        <f t="shared" si="10"/>
        <v>5.5463615300959948</v>
      </c>
      <c r="J87" s="50">
        <v>44256</v>
      </c>
      <c r="K87" s="50">
        <v>44309</v>
      </c>
      <c r="L87" s="47">
        <f t="shared" si="11"/>
        <v>53</v>
      </c>
      <c r="M87" s="47">
        <v>1.4507000000000001</v>
      </c>
      <c r="N87" s="47">
        <f t="shared" si="12"/>
        <v>0.6641999999999999</v>
      </c>
      <c r="O87" s="47">
        <v>1.2633000000000001</v>
      </c>
      <c r="P87" s="47">
        <v>0.13</v>
      </c>
      <c r="Q87" s="47">
        <v>5.7700000000000001E-2</v>
      </c>
      <c r="R87" s="48">
        <f t="shared" si="13"/>
        <v>1.9272</v>
      </c>
      <c r="S87" s="47">
        <f t="shared" si="14"/>
        <v>34.448941469489412</v>
      </c>
      <c r="U87" s="18">
        <f t="shared" si="15"/>
        <v>65.551058530510588</v>
      </c>
    </row>
    <row r="88" spans="1:25" x14ac:dyDescent="0.25">
      <c r="A88" s="47" t="s">
        <v>99</v>
      </c>
      <c r="B88" s="47" t="s">
        <v>100</v>
      </c>
      <c r="C88" s="47" t="s">
        <v>16</v>
      </c>
      <c r="D88" s="47" t="s">
        <v>20</v>
      </c>
      <c r="E88" s="47">
        <v>2</v>
      </c>
      <c r="F88" s="47" t="s">
        <v>116</v>
      </c>
      <c r="G88" s="47">
        <v>2.2890999999999999</v>
      </c>
      <c r="H88" s="47">
        <v>2.1688999999999998</v>
      </c>
      <c r="I88" s="49">
        <f t="shared" si="10"/>
        <v>5.5419798054313292</v>
      </c>
      <c r="J88" s="50">
        <v>44256</v>
      </c>
      <c r="K88" s="50">
        <v>44309</v>
      </c>
      <c r="L88" s="47">
        <f t="shared" si="11"/>
        <v>53</v>
      </c>
      <c r="M88" s="47">
        <v>1.4789000000000001</v>
      </c>
      <c r="N88" s="47">
        <f t="shared" si="12"/>
        <v>0.68999999999999972</v>
      </c>
      <c r="O88" s="47">
        <v>1.2851999999999999</v>
      </c>
      <c r="P88" s="47">
        <v>0.1298</v>
      </c>
      <c r="Q88" s="47">
        <v>6.3799999999999996E-2</v>
      </c>
      <c r="R88" s="48">
        <f t="shared" si="13"/>
        <v>1.9752999999999998</v>
      </c>
      <c r="S88" s="47">
        <f t="shared" si="14"/>
        <v>34.936465347035892</v>
      </c>
      <c r="U88" s="18">
        <f t="shared" si="15"/>
        <v>65.063534652964108</v>
      </c>
    </row>
    <row r="89" spans="1:25" x14ac:dyDescent="0.25">
      <c r="F89" s="13" t="s">
        <v>119</v>
      </c>
      <c r="G89" s="14">
        <f>AVERAGE(G49:G88)</f>
        <v>2.2687150000000003</v>
      </c>
      <c r="H89" s="14">
        <f>AVERAGE(H49:H88)</f>
        <v>2.1582675</v>
      </c>
      <c r="O89" s="15"/>
      <c r="P89" s="16"/>
      <c r="Q89" s="16"/>
    </row>
    <row r="90" spans="1:25" x14ac:dyDescent="0.25">
      <c r="F90" s="13" t="s">
        <v>120</v>
      </c>
      <c r="G90" s="14">
        <f>STDEV(G49:G88)</f>
        <v>5.0463551456878517E-2</v>
      </c>
      <c r="H90" s="14">
        <f>STDEV(H49:H88)</f>
        <v>4.5312150334636737E-2</v>
      </c>
      <c r="O90" s="15"/>
      <c r="P90" s="16"/>
      <c r="Q90" s="16"/>
    </row>
    <row r="91" spans="1:25" x14ac:dyDescent="0.25">
      <c r="F91" s="13" t="s">
        <v>121</v>
      </c>
      <c r="G91" s="14">
        <f>CONFIDENCE(0.05,G90,COUNT(G49:G88))</f>
        <v>1.5638529252709459E-2</v>
      </c>
      <c r="H91" s="14">
        <f>CONFIDENCE(0.05,H90,COUNT(H49:H88))</f>
        <v>1.4042122840222661E-2</v>
      </c>
      <c r="O91" s="15"/>
      <c r="P91" s="16"/>
      <c r="Q91" s="16"/>
    </row>
    <row r="92" spans="1:25" x14ac:dyDescent="0.25">
      <c r="F92" s="13" t="s">
        <v>122</v>
      </c>
      <c r="G92" s="14">
        <f>G89-G91</f>
        <v>2.253076470747291</v>
      </c>
      <c r="H92" s="14">
        <f>H89-H91</f>
        <v>2.1442253771597772</v>
      </c>
      <c r="O92" s="15"/>
      <c r="P92" s="16"/>
      <c r="Q92" s="16"/>
    </row>
    <row r="93" spans="1:25" x14ac:dyDescent="0.25">
      <c r="F93" s="13" t="s">
        <v>123</v>
      </c>
      <c r="G93" s="14">
        <f>G89+G92</f>
        <v>4.5217914707472913</v>
      </c>
      <c r="H93" s="14">
        <f>H89+H92</f>
        <v>4.3024928771597768</v>
      </c>
      <c r="O93" s="15"/>
      <c r="P93" s="16"/>
      <c r="Q93" s="16"/>
    </row>
  </sheetData>
  <phoneticPr fontId="2" type="noConversion"/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34" workbookViewId="0">
      <selection activeCell="D19" sqref="D19:D26"/>
    </sheetView>
  </sheetViews>
  <sheetFormatPr baseColWidth="10" defaultRowHeight="15" x14ac:dyDescent="0.25"/>
  <cols>
    <col min="1" max="1" width="11.28515625" customWidth="1"/>
    <col min="2" max="2" width="13" bestFit="1" customWidth="1"/>
    <col min="3" max="3" width="12.140625" customWidth="1"/>
    <col min="4" max="5" width="14.7109375" style="6" customWidth="1"/>
    <col min="8" max="8" width="16.85546875" customWidth="1"/>
  </cols>
  <sheetData>
    <row r="1" spans="1:8" ht="45" x14ac:dyDescent="0.25">
      <c r="A1" s="9" t="s">
        <v>1</v>
      </c>
      <c r="B1" s="9" t="s">
        <v>39</v>
      </c>
      <c r="C1" s="10" t="s">
        <v>0</v>
      </c>
      <c r="D1" s="11" t="s">
        <v>97</v>
      </c>
      <c r="E1" s="11" t="s">
        <v>98</v>
      </c>
      <c r="F1" s="11" t="s">
        <v>117</v>
      </c>
      <c r="G1" s="11" t="s">
        <v>118</v>
      </c>
      <c r="H1" s="11" t="s">
        <v>318</v>
      </c>
    </row>
    <row r="2" spans="1:8" x14ac:dyDescent="0.25">
      <c r="A2" t="s">
        <v>59</v>
      </c>
      <c r="B2" t="s">
        <v>41</v>
      </c>
      <c r="C2" s="9" t="s">
        <v>558</v>
      </c>
      <c r="D2" s="8" t="s">
        <v>61</v>
      </c>
      <c r="E2" s="8">
        <f>27*2.54</f>
        <v>68.58</v>
      </c>
      <c r="F2">
        <f>28.8*2.54</f>
        <v>73.152000000000001</v>
      </c>
      <c r="G2">
        <f t="shared" ref="G2:G51" si="0">(F2+10)-E2</f>
        <v>14.572000000000003</v>
      </c>
      <c r="H2">
        <f>AVERAGE(G2:G9)</f>
        <v>12.508250000000002</v>
      </c>
    </row>
    <row r="3" spans="1:8" x14ac:dyDescent="0.25">
      <c r="A3" t="s">
        <v>59</v>
      </c>
      <c r="B3" t="s">
        <v>41</v>
      </c>
      <c r="C3" s="9" t="s">
        <v>559</v>
      </c>
      <c r="D3" s="8" t="s">
        <v>61</v>
      </c>
      <c r="E3" s="8">
        <f>25.6*2.54</f>
        <v>65.024000000000001</v>
      </c>
      <c r="F3">
        <f>27.3*2.54</f>
        <v>69.341999999999999</v>
      </c>
      <c r="G3">
        <f t="shared" si="0"/>
        <v>14.317999999999998</v>
      </c>
    </row>
    <row r="4" spans="1:8" x14ac:dyDescent="0.25">
      <c r="A4" t="s">
        <v>59</v>
      </c>
      <c r="B4" t="s">
        <v>41</v>
      </c>
      <c r="C4" s="9" t="s">
        <v>560</v>
      </c>
      <c r="D4" s="8" t="s">
        <v>61</v>
      </c>
      <c r="E4" s="8">
        <f>29.4*2.54</f>
        <v>74.676000000000002</v>
      </c>
      <c r="F4">
        <f>30*2.54</f>
        <v>76.2</v>
      </c>
      <c r="G4">
        <f t="shared" si="0"/>
        <v>11.524000000000001</v>
      </c>
    </row>
    <row r="5" spans="1:8" x14ac:dyDescent="0.25">
      <c r="A5" t="s">
        <v>59</v>
      </c>
      <c r="B5" t="s">
        <v>41</v>
      </c>
      <c r="C5" s="9" t="s">
        <v>561</v>
      </c>
      <c r="D5" s="8" t="s">
        <v>61</v>
      </c>
      <c r="E5" s="8">
        <f>30.3*2.54</f>
        <v>76.962000000000003</v>
      </c>
      <c r="F5">
        <f>31.4*2.54</f>
        <v>79.756</v>
      </c>
      <c r="G5">
        <f t="shared" si="0"/>
        <v>12.793999999999997</v>
      </c>
    </row>
    <row r="6" spans="1:8" x14ac:dyDescent="0.25">
      <c r="A6" t="s">
        <v>59</v>
      </c>
      <c r="B6" t="s">
        <v>41</v>
      </c>
      <c r="C6" s="9" t="s">
        <v>562</v>
      </c>
      <c r="D6" s="8" t="s">
        <v>61</v>
      </c>
      <c r="E6" s="8">
        <f>28.8*2.54</f>
        <v>73.152000000000001</v>
      </c>
      <c r="F6">
        <f>29.9*2.54</f>
        <v>75.945999999999998</v>
      </c>
      <c r="G6">
        <f t="shared" si="0"/>
        <v>12.793999999999997</v>
      </c>
    </row>
    <row r="7" spans="1:8" x14ac:dyDescent="0.25">
      <c r="A7" t="s">
        <v>59</v>
      </c>
      <c r="B7" t="s">
        <v>41</v>
      </c>
      <c r="C7" s="9" t="s">
        <v>563</v>
      </c>
      <c r="D7" s="8" t="s">
        <v>61</v>
      </c>
      <c r="E7" s="8">
        <f>29.3*2.54</f>
        <v>74.421999999999997</v>
      </c>
      <c r="F7">
        <f>30.1*2.54</f>
        <v>76.454000000000008</v>
      </c>
      <c r="G7">
        <f t="shared" si="0"/>
        <v>12.032000000000011</v>
      </c>
    </row>
    <row r="8" spans="1:8" x14ac:dyDescent="0.25">
      <c r="A8" t="s">
        <v>59</v>
      </c>
      <c r="B8" t="s">
        <v>41</v>
      </c>
      <c r="C8" s="9" t="s">
        <v>564</v>
      </c>
      <c r="D8" s="8" t="s">
        <v>61</v>
      </c>
      <c r="E8" s="8">
        <f>29.7*2.54</f>
        <v>75.438000000000002</v>
      </c>
      <c r="F8">
        <f>29.8*2.54</f>
        <v>75.692000000000007</v>
      </c>
      <c r="G8">
        <f t="shared" si="0"/>
        <v>10.254000000000005</v>
      </c>
    </row>
    <row r="9" spans="1:8" x14ac:dyDescent="0.25">
      <c r="A9" t="s">
        <v>59</v>
      </c>
      <c r="B9" t="s">
        <v>41</v>
      </c>
      <c r="C9" s="9" t="s">
        <v>565</v>
      </c>
      <c r="D9" s="8" t="s">
        <v>61</v>
      </c>
      <c r="E9" s="8">
        <f>29.1*2.54</f>
        <v>73.914000000000001</v>
      </c>
      <c r="F9">
        <f>29.8*2.54</f>
        <v>75.692000000000007</v>
      </c>
      <c r="G9">
        <f t="shared" si="0"/>
        <v>11.778000000000006</v>
      </c>
    </row>
    <row r="10" spans="1:8" x14ac:dyDescent="0.25">
      <c r="A10" t="s">
        <v>59</v>
      </c>
      <c r="B10" t="s">
        <v>41</v>
      </c>
      <c r="C10" s="9" t="s">
        <v>283</v>
      </c>
      <c r="D10" s="8" t="s">
        <v>61</v>
      </c>
      <c r="E10" s="8">
        <f>30.3*2.54</f>
        <v>76.962000000000003</v>
      </c>
      <c r="F10">
        <f>30.6*2.54</f>
        <v>77.724000000000004</v>
      </c>
      <c r="G10">
        <f t="shared" si="0"/>
        <v>10.762</v>
      </c>
    </row>
    <row r="11" spans="1:8" x14ac:dyDescent="0.25">
      <c r="A11" t="s">
        <v>14</v>
      </c>
      <c r="B11" t="s">
        <v>60</v>
      </c>
      <c r="C11" s="9" t="s">
        <v>566</v>
      </c>
      <c r="D11" s="8">
        <f>19.7*2.54</f>
        <v>50.037999999999997</v>
      </c>
      <c r="E11" s="8">
        <f>30.1*2.54</f>
        <v>76.454000000000008</v>
      </c>
      <c r="F11">
        <f>30.1*2.54</f>
        <v>76.454000000000008</v>
      </c>
      <c r="G11">
        <f t="shared" si="0"/>
        <v>10</v>
      </c>
      <c r="H11">
        <f>AVERAGE(G11:G18)</f>
        <v>11.460499999999998</v>
      </c>
    </row>
    <row r="12" spans="1:8" x14ac:dyDescent="0.25">
      <c r="A12" t="s">
        <v>14</v>
      </c>
      <c r="B12" t="s">
        <v>60</v>
      </c>
      <c r="C12" s="9" t="s">
        <v>567</v>
      </c>
      <c r="D12" s="8">
        <f>19.6*2.54</f>
        <v>49.784000000000006</v>
      </c>
      <c r="E12" s="8">
        <f>28.7*2.54</f>
        <v>72.897999999999996</v>
      </c>
      <c r="F12">
        <f>28.7*2.54</f>
        <v>72.897999999999996</v>
      </c>
      <c r="G12">
        <f t="shared" si="0"/>
        <v>10</v>
      </c>
    </row>
    <row r="13" spans="1:8" x14ac:dyDescent="0.25">
      <c r="A13" t="s">
        <v>14</v>
      </c>
      <c r="B13" t="s">
        <v>60</v>
      </c>
      <c r="C13" s="9" t="s">
        <v>568</v>
      </c>
      <c r="D13" s="8">
        <f>20.9*2.54</f>
        <v>53.085999999999999</v>
      </c>
      <c r="E13" s="8">
        <f>30.5*2.54</f>
        <v>77.47</v>
      </c>
      <c r="F13">
        <f>30.2*2.54</f>
        <v>76.707999999999998</v>
      </c>
      <c r="G13">
        <f t="shared" si="0"/>
        <v>9.2379999999999995</v>
      </c>
    </row>
    <row r="14" spans="1:8" x14ac:dyDescent="0.25">
      <c r="A14" t="s">
        <v>14</v>
      </c>
      <c r="B14" t="s">
        <v>60</v>
      </c>
      <c r="C14" s="9" t="s">
        <v>569</v>
      </c>
      <c r="D14" s="8">
        <f>17.9*2.54</f>
        <v>45.465999999999994</v>
      </c>
      <c r="E14" s="8">
        <f>26.5*2.54</f>
        <v>67.31</v>
      </c>
      <c r="F14">
        <f>30.2*2.54</f>
        <v>76.707999999999998</v>
      </c>
      <c r="G14">
        <f t="shared" si="0"/>
        <v>19.397999999999996</v>
      </c>
    </row>
    <row r="15" spans="1:8" x14ac:dyDescent="0.25">
      <c r="A15" t="s">
        <v>14</v>
      </c>
      <c r="B15" t="s">
        <v>60</v>
      </c>
      <c r="C15" s="9" t="s">
        <v>570</v>
      </c>
      <c r="D15" s="8">
        <f>20.5*2.54</f>
        <v>52.07</v>
      </c>
      <c r="E15" s="8">
        <f>30.3*2.54</f>
        <v>76.962000000000003</v>
      </c>
      <c r="F15">
        <f>30.7*2.54</f>
        <v>77.977999999999994</v>
      </c>
      <c r="G15">
        <f t="shared" si="0"/>
        <v>11.015999999999991</v>
      </c>
    </row>
    <row r="16" spans="1:8" x14ac:dyDescent="0.25">
      <c r="A16" t="s">
        <v>14</v>
      </c>
      <c r="B16" t="s">
        <v>60</v>
      </c>
      <c r="C16" s="9" t="s">
        <v>571</v>
      </c>
      <c r="D16" s="8">
        <f>20.7*2.54</f>
        <v>52.577999999999996</v>
      </c>
      <c r="E16" s="8">
        <f>30.3*2.54</f>
        <v>76.962000000000003</v>
      </c>
      <c r="F16">
        <f>30.6*2.54</f>
        <v>77.724000000000004</v>
      </c>
      <c r="G16">
        <f t="shared" si="0"/>
        <v>10.762</v>
      </c>
    </row>
    <row r="17" spans="1:8" x14ac:dyDescent="0.25">
      <c r="A17" t="s">
        <v>14</v>
      </c>
      <c r="B17" t="s">
        <v>60</v>
      </c>
      <c r="C17" s="9" t="s">
        <v>572</v>
      </c>
      <c r="D17" s="8">
        <f>18.5*2.54</f>
        <v>46.99</v>
      </c>
      <c r="E17" s="8">
        <f>30.3*2.54</f>
        <v>76.962000000000003</v>
      </c>
      <c r="F17">
        <f>30.8*2.54</f>
        <v>78.231999999999999</v>
      </c>
      <c r="G17">
        <f t="shared" si="0"/>
        <v>11.269999999999996</v>
      </c>
    </row>
    <row r="18" spans="1:8" x14ac:dyDescent="0.25">
      <c r="A18" t="s">
        <v>14</v>
      </c>
      <c r="B18" t="s">
        <v>60</v>
      </c>
      <c r="C18" s="9" t="s">
        <v>573</v>
      </c>
      <c r="D18" s="8">
        <f>19*2.54</f>
        <v>48.26</v>
      </c>
      <c r="E18" s="8">
        <f>30.3*2.54</f>
        <v>76.962000000000003</v>
      </c>
      <c r="F18">
        <f>30.3*2.54</f>
        <v>76.962000000000003</v>
      </c>
      <c r="G18">
        <f t="shared" si="0"/>
        <v>10</v>
      </c>
    </row>
    <row r="19" spans="1:8" x14ac:dyDescent="0.25">
      <c r="A19" t="s">
        <v>62</v>
      </c>
      <c r="B19" t="s">
        <v>63</v>
      </c>
      <c r="C19" s="9" t="s">
        <v>574</v>
      </c>
      <c r="D19" s="8" t="s">
        <v>61</v>
      </c>
      <c r="E19" s="8">
        <f>24.6*2.54</f>
        <v>62.484000000000002</v>
      </c>
      <c r="F19">
        <f>28.4*2.54</f>
        <v>72.135999999999996</v>
      </c>
      <c r="G19">
        <f t="shared" si="0"/>
        <v>19.651999999999994</v>
      </c>
      <c r="H19">
        <f>AVERAGE(G19:G26)</f>
        <v>17.5565</v>
      </c>
    </row>
    <row r="20" spans="1:8" x14ac:dyDescent="0.25">
      <c r="A20" t="s">
        <v>62</v>
      </c>
      <c r="B20" t="s">
        <v>63</v>
      </c>
      <c r="C20" s="9" t="s">
        <v>575</v>
      </c>
      <c r="D20" s="8" t="s">
        <v>61</v>
      </c>
      <c r="E20" s="8">
        <f>29.3*2.54</f>
        <v>74.421999999999997</v>
      </c>
      <c r="F20">
        <f>30*2.54</f>
        <v>76.2</v>
      </c>
      <c r="G20">
        <f t="shared" si="0"/>
        <v>11.778000000000006</v>
      </c>
    </row>
    <row r="21" spans="1:8" x14ac:dyDescent="0.25">
      <c r="A21" t="s">
        <v>62</v>
      </c>
      <c r="B21" t="s">
        <v>63</v>
      </c>
      <c r="C21" s="9" t="s">
        <v>576</v>
      </c>
      <c r="D21" s="8" t="s">
        <v>61</v>
      </c>
      <c r="E21" s="8">
        <f>30.9*2.54</f>
        <v>78.486000000000004</v>
      </c>
      <c r="F21">
        <f>35.7*2.54</f>
        <v>90.678000000000011</v>
      </c>
      <c r="G21">
        <f t="shared" si="0"/>
        <v>22.192000000000007</v>
      </c>
    </row>
    <row r="22" spans="1:8" x14ac:dyDescent="0.25">
      <c r="A22" t="s">
        <v>62</v>
      </c>
      <c r="B22" t="s">
        <v>63</v>
      </c>
      <c r="C22" s="9" t="s">
        <v>577</v>
      </c>
      <c r="D22" s="8" t="s">
        <v>61</v>
      </c>
      <c r="E22" s="8">
        <f>25*2.54</f>
        <v>63.5</v>
      </c>
      <c r="F22">
        <f>29*2.54</f>
        <v>73.66</v>
      </c>
      <c r="G22">
        <f t="shared" si="0"/>
        <v>20.159999999999997</v>
      </c>
    </row>
    <row r="23" spans="1:8" x14ac:dyDescent="0.25">
      <c r="A23" t="s">
        <v>62</v>
      </c>
      <c r="B23" t="s">
        <v>63</v>
      </c>
      <c r="C23" s="9" t="s">
        <v>578</v>
      </c>
      <c r="D23" s="8" t="s">
        <v>61</v>
      </c>
      <c r="E23" s="8">
        <f>27*2.54</f>
        <v>68.58</v>
      </c>
      <c r="F23">
        <f>29.7*2.54</f>
        <v>75.438000000000002</v>
      </c>
      <c r="G23">
        <f t="shared" si="0"/>
        <v>16.858000000000004</v>
      </c>
    </row>
    <row r="24" spans="1:8" x14ac:dyDescent="0.25">
      <c r="A24" t="s">
        <v>62</v>
      </c>
      <c r="B24" t="s">
        <v>63</v>
      </c>
      <c r="C24" s="9" t="s">
        <v>579</v>
      </c>
      <c r="D24" s="8" t="s">
        <v>61</v>
      </c>
      <c r="E24" s="8">
        <f>28.3*2.54</f>
        <v>71.882000000000005</v>
      </c>
      <c r="F24">
        <f>30.7*2.54</f>
        <v>77.977999999999994</v>
      </c>
      <c r="G24">
        <f t="shared" si="0"/>
        <v>16.095999999999989</v>
      </c>
    </row>
    <row r="25" spans="1:8" x14ac:dyDescent="0.25">
      <c r="A25" t="s">
        <v>62</v>
      </c>
      <c r="B25" t="s">
        <v>63</v>
      </c>
      <c r="C25" s="9" t="s">
        <v>580</v>
      </c>
      <c r="D25" s="8" t="s">
        <v>61</v>
      </c>
      <c r="E25" s="8">
        <f>26.5*2.54</f>
        <v>67.31</v>
      </c>
      <c r="F25">
        <f>29.4*2.54</f>
        <v>74.676000000000002</v>
      </c>
      <c r="G25">
        <f t="shared" si="0"/>
        <v>17.366</v>
      </c>
    </row>
    <row r="26" spans="1:8" x14ac:dyDescent="0.25">
      <c r="A26" t="s">
        <v>62</v>
      </c>
      <c r="B26" t="s">
        <v>63</v>
      </c>
      <c r="C26" s="9" t="s">
        <v>581</v>
      </c>
      <c r="D26" s="8" t="s">
        <v>61</v>
      </c>
      <c r="E26" s="8">
        <f>26.2*2.54</f>
        <v>66.548000000000002</v>
      </c>
      <c r="F26">
        <f>28.7*2.54</f>
        <v>72.897999999999996</v>
      </c>
      <c r="G26">
        <f t="shared" si="0"/>
        <v>16.349999999999994</v>
      </c>
    </row>
    <row r="27" spans="1:8" x14ac:dyDescent="0.25">
      <c r="A27" t="s">
        <v>99</v>
      </c>
      <c r="B27" t="s">
        <v>100</v>
      </c>
      <c r="C27" s="9" t="s">
        <v>582</v>
      </c>
      <c r="D27" s="8" t="s">
        <v>620</v>
      </c>
      <c r="E27" s="8">
        <f>21.4*2.54</f>
        <v>54.355999999999995</v>
      </c>
      <c r="F27">
        <f>30.1*2.54</f>
        <v>76.454000000000008</v>
      </c>
      <c r="G27">
        <f t="shared" si="0"/>
        <v>32.098000000000013</v>
      </c>
      <c r="H27">
        <f>AVERAGE(G27:G34)</f>
        <v>24.382750000000001</v>
      </c>
    </row>
    <row r="28" spans="1:8" x14ac:dyDescent="0.25">
      <c r="A28" t="s">
        <v>99</v>
      </c>
      <c r="B28" t="s">
        <v>100</v>
      </c>
      <c r="C28" s="9" t="s">
        <v>583</v>
      </c>
      <c r="D28" s="8" t="s">
        <v>620</v>
      </c>
      <c r="E28" s="8">
        <f>24.3*2.54</f>
        <v>61.722000000000001</v>
      </c>
      <c r="F28">
        <f>30*2.54</f>
        <v>76.2</v>
      </c>
      <c r="G28">
        <f t="shared" si="0"/>
        <v>24.478000000000002</v>
      </c>
    </row>
    <row r="29" spans="1:8" x14ac:dyDescent="0.25">
      <c r="A29" t="s">
        <v>99</v>
      </c>
      <c r="B29" t="s">
        <v>100</v>
      </c>
      <c r="C29" s="9" t="s">
        <v>584</v>
      </c>
      <c r="D29" s="8" t="s">
        <v>620</v>
      </c>
      <c r="E29" s="8">
        <f>24.1*2.54</f>
        <v>61.214000000000006</v>
      </c>
      <c r="F29">
        <f>29*2.54</f>
        <v>73.66</v>
      </c>
      <c r="G29">
        <f t="shared" si="0"/>
        <v>22.445999999999991</v>
      </c>
    </row>
    <row r="30" spans="1:8" x14ac:dyDescent="0.25">
      <c r="A30" t="s">
        <v>99</v>
      </c>
      <c r="B30" t="s">
        <v>100</v>
      </c>
      <c r="C30" s="9" t="s">
        <v>585</v>
      </c>
      <c r="D30" s="8" t="s">
        <v>620</v>
      </c>
      <c r="E30" s="8">
        <f>24.5*2.54</f>
        <v>62.230000000000004</v>
      </c>
      <c r="F30">
        <f>29*2.54</f>
        <v>73.66</v>
      </c>
      <c r="G30">
        <f t="shared" si="0"/>
        <v>21.429999999999993</v>
      </c>
    </row>
    <row r="31" spans="1:8" x14ac:dyDescent="0.25">
      <c r="A31" t="s">
        <v>99</v>
      </c>
      <c r="B31" t="s">
        <v>100</v>
      </c>
      <c r="C31" s="9" t="s">
        <v>586</v>
      </c>
      <c r="D31" s="8" t="s">
        <v>620</v>
      </c>
      <c r="E31" s="8">
        <f>20.5*2.54</f>
        <v>52.07</v>
      </c>
      <c r="F31">
        <f>29*2.54</f>
        <v>73.66</v>
      </c>
      <c r="G31">
        <f t="shared" si="0"/>
        <v>31.589999999999996</v>
      </c>
    </row>
    <row r="32" spans="1:8" x14ac:dyDescent="0.25">
      <c r="A32" t="s">
        <v>99</v>
      </c>
      <c r="B32" t="s">
        <v>100</v>
      </c>
      <c r="C32" s="9" t="s">
        <v>587</v>
      </c>
      <c r="D32" s="8" t="s">
        <v>620</v>
      </c>
      <c r="E32" s="8">
        <f>24*2.54</f>
        <v>60.96</v>
      </c>
      <c r="F32">
        <f>29.4*2.54</f>
        <v>74.676000000000002</v>
      </c>
      <c r="G32">
        <f t="shared" si="0"/>
        <v>23.716000000000001</v>
      </c>
    </row>
    <row r="33" spans="1:8" x14ac:dyDescent="0.25">
      <c r="A33" t="s">
        <v>99</v>
      </c>
      <c r="B33" t="s">
        <v>100</v>
      </c>
      <c r="C33" s="9" t="s">
        <v>588</v>
      </c>
      <c r="D33" s="8" t="s">
        <v>620</v>
      </c>
      <c r="E33" s="8">
        <f>25.2*2.54</f>
        <v>64.007999999999996</v>
      </c>
      <c r="F33">
        <f>29.5*2.54</f>
        <v>74.930000000000007</v>
      </c>
      <c r="G33">
        <f t="shared" si="0"/>
        <v>20.922000000000011</v>
      </c>
    </row>
    <row r="34" spans="1:8" x14ac:dyDescent="0.25">
      <c r="A34" t="s">
        <v>99</v>
      </c>
      <c r="B34" t="s">
        <v>100</v>
      </c>
      <c r="C34" s="9" t="s">
        <v>589</v>
      </c>
      <c r="D34" s="8" t="s">
        <v>620</v>
      </c>
      <c r="E34" s="8">
        <f>23.5*2.54</f>
        <v>59.69</v>
      </c>
      <c r="F34">
        <f>26.8*2.54</f>
        <v>68.072000000000003</v>
      </c>
      <c r="G34">
        <f t="shared" si="0"/>
        <v>18.382000000000005</v>
      </c>
    </row>
    <row r="35" spans="1:8" x14ac:dyDescent="0.25">
      <c r="A35" t="s">
        <v>300</v>
      </c>
      <c r="B35" t="s">
        <v>80</v>
      </c>
      <c r="C35" s="9" t="s">
        <v>590</v>
      </c>
      <c r="D35" s="8" t="s">
        <v>61</v>
      </c>
      <c r="E35" s="8">
        <f>25.5*2.54</f>
        <v>64.77</v>
      </c>
      <c r="F35">
        <f>30*2.54</f>
        <v>76.2</v>
      </c>
      <c r="G35">
        <f t="shared" si="0"/>
        <v>21.430000000000007</v>
      </c>
      <c r="H35">
        <f>AVERAGE(G35:G42)</f>
        <v>16.540500000000002</v>
      </c>
    </row>
    <row r="36" spans="1:8" x14ac:dyDescent="0.25">
      <c r="A36" t="s">
        <v>300</v>
      </c>
      <c r="B36" t="s">
        <v>80</v>
      </c>
      <c r="C36" s="9" t="s">
        <v>591</v>
      </c>
      <c r="D36" s="8" t="s">
        <v>61</v>
      </c>
      <c r="E36" s="8">
        <f>26.5*2.54</f>
        <v>67.31</v>
      </c>
      <c r="F36">
        <f>30*2.54</f>
        <v>76.2</v>
      </c>
      <c r="G36">
        <f t="shared" si="0"/>
        <v>18.89</v>
      </c>
    </row>
    <row r="37" spans="1:8" x14ac:dyDescent="0.25">
      <c r="A37" t="s">
        <v>300</v>
      </c>
      <c r="B37" t="s">
        <v>80</v>
      </c>
      <c r="C37" s="9" t="s">
        <v>592</v>
      </c>
      <c r="D37" s="8" t="s">
        <v>61</v>
      </c>
      <c r="E37" s="8">
        <f>27.5*2.54</f>
        <v>69.849999999999994</v>
      </c>
      <c r="F37">
        <f>29.9*2.54</f>
        <v>75.945999999999998</v>
      </c>
      <c r="G37">
        <f t="shared" si="0"/>
        <v>16.096000000000004</v>
      </c>
    </row>
    <row r="38" spans="1:8" x14ac:dyDescent="0.25">
      <c r="A38" t="s">
        <v>300</v>
      </c>
      <c r="B38" t="s">
        <v>80</v>
      </c>
      <c r="C38" s="9" t="s">
        <v>593</v>
      </c>
      <c r="D38" s="8" t="s">
        <v>61</v>
      </c>
      <c r="E38" s="8">
        <f>28.5*2.54</f>
        <v>72.39</v>
      </c>
      <c r="F38">
        <f>30.1*2.54</f>
        <v>76.454000000000008</v>
      </c>
      <c r="G38">
        <f t="shared" si="0"/>
        <v>14.064000000000007</v>
      </c>
    </row>
    <row r="39" spans="1:8" x14ac:dyDescent="0.25">
      <c r="A39" t="s">
        <v>300</v>
      </c>
      <c r="B39" t="s">
        <v>80</v>
      </c>
      <c r="C39" s="9" t="s">
        <v>594</v>
      </c>
      <c r="D39" s="8" t="s">
        <v>61</v>
      </c>
      <c r="E39" s="8">
        <f>27.5*2.54</f>
        <v>69.849999999999994</v>
      </c>
      <c r="F39">
        <f>29.9*2.54</f>
        <v>75.945999999999998</v>
      </c>
      <c r="G39">
        <f t="shared" si="0"/>
        <v>16.096000000000004</v>
      </c>
    </row>
    <row r="40" spans="1:8" x14ac:dyDescent="0.25">
      <c r="A40" t="s">
        <v>300</v>
      </c>
      <c r="B40" t="s">
        <v>80</v>
      </c>
      <c r="C40" s="9" t="s">
        <v>595</v>
      </c>
      <c r="D40" s="8" t="s">
        <v>61</v>
      </c>
      <c r="E40" s="8">
        <f>28*2.54</f>
        <v>71.12</v>
      </c>
      <c r="F40">
        <f>29.8*2.54</f>
        <v>75.692000000000007</v>
      </c>
      <c r="G40">
        <f t="shared" si="0"/>
        <v>14.572000000000003</v>
      </c>
    </row>
    <row r="41" spans="1:8" x14ac:dyDescent="0.25">
      <c r="A41" t="s">
        <v>300</v>
      </c>
      <c r="B41" t="s">
        <v>80</v>
      </c>
      <c r="C41" s="9" t="s">
        <v>596</v>
      </c>
      <c r="D41" s="8">
        <f>21.7*2.54</f>
        <v>55.118000000000002</v>
      </c>
      <c r="E41" s="8">
        <f>28.3*2.54</f>
        <v>71.882000000000005</v>
      </c>
      <c r="F41">
        <f>29.8*2.54</f>
        <v>75.692000000000007</v>
      </c>
      <c r="G41">
        <f t="shared" si="0"/>
        <v>13.810000000000002</v>
      </c>
    </row>
    <row r="42" spans="1:8" x14ac:dyDescent="0.25">
      <c r="A42" t="s">
        <v>300</v>
      </c>
      <c r="B42" t="s">
        <v>80</v>
      </c>
      <c r="C42" s="9" t="s">
        <v>597</v>
      </c>
      <c r="D42" s="8">
        <f>21.3*2.54</f>
        <v>54.102000000000004</v>
      </c>
      <c r="E42" s="8">
        <f>27*2.54</f>
        <v>68.58</v>
      </c>
      <c r="F42">
        <f>29.9*2.54</f>
        <v>75.945999999999998</v>
      </c>
      <c r="G42">
        <f t="shared" si="0"/>
        <v>17.366</v>
      </c>
    </row>
    <row r="43" spans="1:8" x14ac:dyDescent="0.25">
      <c r="D43" s="8"/>
      <c r="E43" s="8"/>
    </row>
    <row r="44" spans="1:8" x14ac:dyDescent="0.25">
      <c r="A44" t="s">
        <v>300</v>
      </c>
      <c r="B44" t="s">
        <v>680</v>
      </c>
      <c r="C44" s="9" t="s">
        <v>672</v>
      </c>
      <c r="D44" s="8" t="s">
        <v>61</v>
      </c>
      <c r="E44" s="8">
        <f>26*2.54</f>
        <v>66.040000000000006</v>
      </c>
      <c r="F44">
        <f>30.6*2.54</f>
        <v>77.724000000000004</v>
      </c>
      <c r="G44">
        <f t="shared" si="0"/>
        <v>21.683999999999997</v>
      </c>
    </row>
    <row r="45" spans="1:8" x14ac:dyDescent="0.25">
      <c r="A45" t="s">
        <v>300</v>
      </c>
      <c r="B45" t="s">
        <v>681</v>
      </c>
      <c r="C45" s="9" t="s">
        <v>673</v>
      </c>
      <c r="D45" s="8" t="s">
        <v>61</v>
      </c>
      <c r="E45" s="8">
        <f>27.3*2.54</f>
        <v>69.341999999999999</v>
      </c>
      <c r="F45">
        <f>30.1*2.54</f>
        <v>76.454000000000008</v>
      </c>
      <c r="G45">
        <f t="shared" si="0"/>
        <v>17.112000000000009</v>
      </c>
    </row>
    <row r="46" spans="1:8" x14ac:dyDescent="0.25">
      <c r="A46" t="s">
        <v>300</v>
      </c>
      <c r="B46" t="s">
        <v>682</v>
      </c>
      <c r="C46" s="9" t="s">
        <v>674</v>
      </c>
      <c r="D46" s="8" t="s">
        <v>61</v>
      </c>
      <c r="E46" s="8">
        <f>27.5*2.54</f>
        <v>69.849999999999994</v>
      </c>
      <c r="F46">
        <f>30.9*2.54</f>
        <v>78.486000000000004</v>
      </c>
      <c r="G46">
        <f t="shared" si="0"/>
        <v>18.63600000000001</v>
      </c>
    </row>
    <row r="47" spans="1:8" x14ac:dyDescent="0.25">
      <c r="A47" t="s">
        <v>300</v>
      </c>
      <c r="B47" t="s">
        <v>683</v>
      </c>
      <c r="C47" s="9" t="s">
        <v>675</v>
      </c>
      <c r="D47" s="8" t="s">
        <v>61</v>
      </c>
      <c r="E47" s="8">
        <f>26.5*2.54</f>
        <v>67.31</v>
      </c>
      <c r="F47">
        <f>30*2.54</f>
        <v>76.2</v>
      </c>
      <c r="G47">
        <f t="shared" si="0"/>
        <v>18.89</v>
      </c>
    </row>
    <row r="48" spans="1:8" x14ac:dyDescent="0.25">
      <c r="A48" t="s">
        <v>300</v>
      </c>
      <c r="B48" t="s">
        <v>684</v>
      </c>
      <c r="C48" s="9" t="s">
        <v>676</v>
      </c>
      <c r="D48" s="8" t="s">
        <v>61</v>
      </c>
      <c r="E48" s="8">
        <f>27.2*2.54</f>
        <v>69.087999999999994</v>
      </c>
      <c r="F48">
        <f>30.4*2.54</f>
        <v>77.215999999999994</v>
      </c>
      <c r="G48">
        <f t="shared" si="0"/>
        <v>18.128</v>
      </c>
    </row>
    <row r="49" spans="1:7" x14ac:dyDescent="0.25">
      <c r="A49" t="s">
        <v>300</v>
      </c>
      <c r="B49" t="s">
        <v>685</v>
      </c>
      <c r="C49" s="9" t="s">
        <v>677</v>
      </c>
      <c r="D49" s="8" t="s">
        <v>61</v>
      </c>
      <c r="E49" s="8">
        <f>27.6*2.54</f>
        <v>70.103999999999999</v>
      </c>
      <c r="F49">
        <f t="shared" ref="F49" si="1">29.9*2.54</f>
        <v>75.945999999999998</v>
      </c>
      <c r="G49">
        <f t="shared" si="0"/>
        <v>15.841999999999999</v>
      </c>
    </row>
    <row r="50" spans="1:7" x14ac:dyDescent="0.25">
      <c r="A50" t="s">
        <v>300</v>
      </c>
      <c r="B50" t="s">
        <v>686</v>
      </c>
      <c r="C50" s="9" t="s">
        <v>678</v>
      </c>
      <c r="D50" s="8" t="s">
        <v>61</v>
      </c>
      <c r="E50" s="8">
        <f t="shared" ref="E50" si="2">27*2.54</f>
        <v>68.58</v>
      </c>
      <c r="F50">
        <f>30.9*2.54</f>
        <v>78.486000000000004</v>
      </c>
      <c r="G50">
        <f t="shared" si="0"/>
        <v>19.906000000000006</v>
      </c>
    </row>
    <row r="51" spans="1:7" x14ac:dyDescent="0.25">
      <c r="A51" t="s">
        <v>300</v>
      </c>
      <c r="B51" s="251" t="s">
        <v>687</v>
      </c>
      <c r="C51" s="9" t="s">
        <v>679</v>
      </c>
      <c r="D51" s="8" t="s">
        <v>61</v>
      </c>
      <c r="E51" s="8">
        <f>28*2.54</f>
        <v>71.12</v>
      </c>
      <c r="F51">
        <f>30*2.54</f>
        <v>76.2</v>
      </c>
      <c r="G51">
        <f t="shared" si="0"/>
        <v>15.079999999999998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workbookViewId="0">
      <selection activeCell="L17" sqref="L17"/>
    </sheetView>
  </sheetViews>
  <sheetFormatPr baseColWidth="10" defaultRowHeight="15" x14ac:dyDescent="0.25"/>
  <sheetData>
    <row r="1" spans="1:14" ht="75" x14ac:dyDescent="0.25">
      <c r="A1" s="1" t="s">
        <v>0</v>
      </c>
      <c r="B1" s="2" t="s">
        <v>3</v>
      </c>
      <c r="C1" s="2" t="s">
        <v>11</v>
      </c>
      <c r="D1" s="2" t="s">
        <v>42</v>
      </c>
      <c r="E1" s="3" t="s">
        <v>2</v>
      </c>
      <c r="F1" s="1" t="s">
        <v>4</v>
      </c>
      <c r="G1" s="2" t="s">
        <v>5</v>
      </c>
      <c r="H1" s="3" t="s">
        <v>37</v>
      </c>
      <c r="I1" s="2" t="s">
        <v>6</v>
      </c>
      <c r="J1" s="3" t="s">
        <v>38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x14ac:dyDescent="0.25">
      <c r="A2" s="27" t="s">
        <v>273</v>
      </c>
      <c r="B2" s="27">
        <v>2.1251000000000002</v>
      </c>
      <c r="C2" s="30">
        <v>1.9845999999999999</v>
      </c>
      <c r="D2" s="28">
        <f t="shared" ref="D2:D6" si="0">((B2-C2)/C2)*100</f>
        <v>7.0795122442809779</v>
      </c>
      <c r="E2" s="60">
        <v>44580</v>
      </c>
      <c r="F2" s="29">
        <v>44638</v>
      </c>
      <c r="G2" s="27">
        <f t="shared" ref="G2:G6" si="1">F2-E2</f>
        <v>58</v>
      </c>
      <c r="H2" s="27">
        <v>0.48580000000000001</v>
      </c>
      <c r="I2" s="30">
        <f>C2-H2</f>
        <v>1.4987999999999999</v>
      </c>
      <c r="J2" s="27">
        <v>0.3034</v>
      </c>
      <c r="K2" s="27">
        <v>0.12870000000000001</v>
      </c>
      <c r="L2" s="27">
        <v>5.4600000000000003E-2</v>
      </c>
      <c r="M2" s="30">
        <f>C2-(K2+L2)</f>
        <v>1.8012999999999999</v>
      </c>
      <c r="N2" s="27">
        <f>((M2-J2)/M2)*100</f>
        <v>83.156609115638716</v>
      </c>
    </row>
    <row r="3" spans="1:14" x14ac:dyDescent="0.25">
      <c r="A3" s="27" t="s">
        <v>273</v>
      </c>
      <c r="B3" s="27">
        <v>2.125</v>
      </c>
      <c r="C3" s="27">
        <v>1.9846999999999999</v>
      </c>
      <c r="D3" s="28">
        <f t="shared" si="0"/>
        <v>7.0690784501436035</v>
      </c>
      <c r="E3" s="60">
        <v>44580</v>
      </c>
      <c r="F3" s="29">
        <v>44638</v>
      </c>
      <c r="G3" s="27">
        <f t="shared" si="1"/>
        <v>58</v>
      </c>
      <c r="H3" s="27">
        <v>0.48549999999999999</v>
      </c>
      <c r="I3" s="30">
        <f t="shared" ref="I3:I6" si="2">C3-H3</f>
        <v>1.4991999999999999</v>
      </c>
      <c r="J3" s="27">
        <v>0.3039</v>
      </c>
      <c r="K3" s="27">
        <v>0.12870000000000001</v>
      </c>
      <c r="L3" s="27">
        <v>5.4600000000000003E-2</v>
      </c>
      <c r="M3" s="30">
        <f t="shared" ref="M3:M6" si="3">C3-(K3+L3)</f>
        <v>1.8013999999999999</v>
      </c>
      <c r="N3" s="27">
        <f t="shared" ref="N3:N6" si="4">((M3-J3)/M3)*100</f>
        <v>83.129787942711218</v>
      </c>
    </row>
    <row r="4" spans="1:14" x14ac:dyDescent="0.25">
      <c r="A4" s="27" t="s">
        <v>273</v>
      </c>
      <c r="B4" s="27">
        <v>2.125</v>
      </c>
      <c r="C4" s="30">
        <v>1.9849000000000001</v>
      </c>
      <c r="D4" s="28">
        <f t="shared" si="0"/>
        <v>7.0582900901808587</v>
      </c>
      <c r="E4" s="60">
        <v>44580</v>
      </c>
      <c r="F4" s="29">
        <v>44638</v>
      </c>
      <c r="G4" s="27">
        <f t="shared" si="1"/>
        <v>58</v>
      </c>
      <c r="H4" s="27">
        <v>0.48599999999999999</v>
      </c>
      <c r="I4" s="30">
        <f t="shared" si="2"/>
        <v>1.4989000000000001</v>
      </c>
      <c r="J4" s="27">
        <v>0.3044</v>
      </c>
      <c r="K4" s="27">
        <v>0.1283</v>
      </c>
      <c r="L4" s="27">
        <v>5.4399999999999997E-2</v>
      </c>
      <c r="M4" s="30">
        <f t="shared" si="3"/>
        <v>1.8022</v>
      </c>
      <c r="N4" s="27">
        <f t="shared" si="4"/>
        <v>83.109532793252697</v>
      </c>
    </row>
    <row r="5" spans="1:14" x14ac:dyDescent="0.25">
      <c r="A5" s="27" t="s">
        <v>273</v>
      </c>
      <c r="B5" s="27">
        <v>2.1248</v>
      </c>
      <c r="C5" s="30">
        <v>1.9850000000000001</v>
      </c>
      <c r="D5" s="28">
        <f t="shared" si="0"/>
        <v>7.042821158690173</v>
      </c>
      <c r="E5" s="60">
        <v>44580</v>
      </c>
      <c r="F5" s="29">
        <v>44638</v>
      </c>
      <c r="G5" s="27">
        <f t="shared" si="1"/>
        <v>58</v>
      </c>
      <c r="H5" s="27">
        <v>0.4864</v>
      </c>
      <c r="I5" s="30">
        <f t="shared" si="2"/>
        <v>1.4986000000000002</v>
      </c>
      <c r="J5" s="27">
        <v>0.30459999999999998</v>
      </c>
      <c r="K5" s="27">
        <v>0.12859999999999999</v>
      </c>
      <c r="L5" s="27">
        <v>5.4699999999999999E-2</v>
      </c>
      <c r="M5" s="30">
        <f t="shared" si="3"/>
        <v>1.8017000000000001</v>
      </c>
      <c r="N5" s="27">
        <f t="shared" si="4"/>
        <v>83.093744796581007</v>
      </c>
    </row>
    <row r="6" spans="1:14" x14ac:dyDescent="0.25">
      <c r="A6" s="27" t="s">
        <v>273</v>
      </c>
      <c r="B6" s="27">
        <v>2.1246999999999998</v>
      </c>
      <c r="C6" s="27">
        <v>1.9853000000000001</v>
      </c>
      <c r="D6" s="28">
        <f t="shared" si="0"/>
        <v>7.021608824862728</v>
      </c>
      <c r="E6" s="60">
        <v>44580</v>
      </c>
      <c r="F6" s="29">
        <v>44638</v>
      </c>
      <c r="G6" s="27">
        <f t="shared" si="1"/>
        <v>58</v>
      </c>
      <c r="H6" s="27">
        <v>0.4864</v>
      </c>
      <c r="I6" s="30">
        <f t="shared" si="2"/>
        <v>1.4989000000000001</v>
      </c>
      <c r="J6" s="27">
        <v>0.3044</v>
      </c>
      <c r="K6" s="27">
        <v>0.12839999999999999</v>
      </c>
      <c r="L6" s="27">
        <v>5.4600000000000003E-2</v>
      </c>
      <c r="M6" s="30">
        <f t="shared" si="3"/>
        <v>1.8023</v>
      </c>
      <c r="N6" s="27">
        <f t="shared" si="4"/>
        <v>83.110469955057425</v>
      </c>
    </row>
    <row r="7" spans="1:14" x14ac:dyDescent="0.25">
      <c r="B7">
        <f>AVERAGE(B2:B6)</f>
        <v>2.1249200000000004</v>
      </c>
      <c r="C7" s="7">
        <f>AVERAGE(C2:C6)</f>
        <v>1.9849000000000001</v>
      </c>
      <c r="D7" s="4">
        <f>AVERAGE(D2:D6)</f>
        <v>7.0542621536316688</v>
      </c>
      <c r="H7">
        <f>AVERAGE(H2:H6)</f>
        <v>0.48602000000000001</v>
      </c>
      <c r="I7" s="7">
        <f>AVERAGE(I2:I6)</f>
        <v>1.49888</v>
      </c>
      <c r="J7" s="7">
        <f t="shared" ref="J7:N7" si="5">AVERAGE(J2:J6)</f>
        <v>0.30413999999999997</v>
      </c>
      <c r="K7" s="7">
        <f t="shared" si="5"/>
        <v>0.12853999999999999</v>
      </c>
      <c r="L7" s="7">
        <f t="shared" si="5"/>
        <v>5.4579999999999997E-2</v>
      </c>
      <c r="M7" s="7">
        <f t="shared" si="5"/>
        <v>1.8017800000000002</v>
      </c>
      <c r="N7" s="7">
        <f t="shared" si="5"/>
        <v>83.120028920648195</v>
      </c>
    </row>
    <row r="11" spans="1:14" ht="75" x14ac:dyDescent="0.25">
      <c r="A11" s="1" t="s">
        <v>0</v>
      </c>
      <c r="B11" s="2" t="s">
        <v>3</v>
      </c>
      <c r="C11" s="2" t="s">
        <v>11</v>
      </c>
      <c r="D11" s="2" t="s">
        <v>42</v>
      </c>
      <c r="E11" s="3" t="s">
        <v>2</v>
      </c>
      <c r="F11" s="1" t="s">
        <v>4</v>
      </c>
      <c r="G11" s="2" t="s">
        <v>5</v>
      </c>
      <c r="H11" s="3" t="s">
        <v>37</v>
      </c>
      <c r="I11" s="2" t="s">
        <v>6</v>
      </c>
      <c r="J11" s="3" t="s">
        <v>38</v>
      </c>
      <c r="K11" s="2" t="s">
        <v>7</v>
      </c>
      <c r="L11" s="2" t="s">
        <v>8</v>
      </c>
      <c r="M11" s="2" t="s">
        <v>9</v>
      </c>
      <c r="N11" s="2" t="s">
        <v>10</v>
      </c>
    </row>
    <row r="12" spans="1:14" x14ac:dyDescent="0.25">
      <c r="A12" s="55" t="s">
        <v>274</v>
      </c>
      <c r="B12" s="55">
        <v>2.335</v>
      </c>
      <c r="C12" s="55">
        <v>2.1637</v>
      </c>
      <c r="D12" s="56">
        <f t="shared" ref="D12:D16" si="6">((B12-C12)/C12)*100</f>
        <v>7.91699403799048</v>
      </c>
      <c r="E12" s="59">
        <v>44580</v>
      </c>
      <c r="F12" s="57">
        <v>44638</v>
      </c>
      <c r="G12" s="55">
        <f t="shared" ref="G12:G16" si="7">F12-E12</f>
        <v>58</v>
      </c>
      <c r="H12" s="55">
        <v>1.4930000000000001</v>
      </c>
      <c r="I12" s="55">
        <f>C12-H12</f>
        <v>0.67069999999999985</v>
      </c>
      <c r="J12" s="55">
        <v>1.3168</v>
      </c>
      <c r="K12" s="55">
        <v>0.1242</v>
      </c>
      <c r="L12" s="55">
        <v>5.5899999999999998E-2</v>
      </c>
      <c r="M12" s="58">
        <f>C12-(K12+L12)</f>
        <v>1.9836</v>
      </c>
      <c r="N12" s="55">
        <f>((M12-J12)/M12)*100</f>
        <v>33.615648316192782</v>
      </c>
    </row>
    <row r="13" spans="1:14" x14ac:dyDescent="0.25">
      <c r="A13" s="55" t="s">
        <v>274</v>
      </c>
      <c r="B13" s="55">
        <v>2.3344</v>
      </c>
      <c r="C13" s="55">
        <v>2.1640999999999999</v>
      </c>
      <c r="D13" s="56">
        <f t="shared" si="6"/>
        <v>7.8693221200499108</v>
      </c>
      <c r="E13" s="59">
        <v>44580</v>
      </c>
      <c r="F13" s="57">
        <v>44638</v>
      </c>
      <c r="G13" s="55">
        <f t="shared" si="7"/>
        <v>58</v>
      </c>
      <c r="H13" s="55">
        <v>1.4937</v>
      </c>
      <c r="I13" s="55">
        <f t="shared" ref="I13:I16" si="8">C13-H13</f>
        <v>0.67039999999999988</v>
      </c>
      <c r="J13" s="55">
        <v>1.3168</v>
      </c>
      <c r="K13" s="55">
        <v>0.12429999999999999</v>
      </c>
      <c r="L13" s="55">
        <v>5.5800000000000002E-2</v>
      </c>
      <c r="M13" s="58">
        <f t="shared" ref="M13:M16" si="9">C13-(K13+L13)</f>
        <v>1.984</v>
      </c>
      <c r="N13" s="55">
        <f t="shared" ref="N13:N16" si="10">((M13-J13)/M13)*100</f>
        <v>33.62903225806452</v>
      </c>
    </row>
    <row r="14" spans="1:14" x14ac:dyDescent="0.25">
      <c r="A14" s="55" t="s">
        <v>274</v>
      </c>
      <c r="B14" s="55">
        <v>2.3346</v>
      </c>
      <c r="C14" s="55">
        <v>2.1644000000000001</v>
      </c>
      <c r="D14" s="56">
        <f t="shared" si="6"/>
        <v>7.8636111624468628</v>
      </c>
      <c r="E14" s="59">
        <v>44580</v>
      </c>
      <c r="F14" s="57">
        <v>44638</v>
      </c>
      <c r="G14" s="55">
        <f t="shared" si="7"/>
        <v>58</v>
      </c>
      <c r="H14" s="55">
        <v>1.4943</v>
      </c>
      <c r="I14" s="55">
        <f t="shared" si="8"/>
        <v>0.67010000000000014</v>
      </c>
      <c r="J14" s="55">
        <v>1.3177000000000001</v>
      </c>
      <c r="K14" s="55">
        <v>0.12429999999999999</v>
      </c>
      <c r="L14" s="55">
        <v>5.5899999999999998E-2</v>
      </c>
      <c r="M14" s="58">
        <f t="shared" si="9"/>
        <v>1.9842000000000002</v>
      </c>
      <c r="N14" s="55">
        <f t="shared" si="10"/>
        <v>33.590363874609416</v>
      </c>
    </row>
    <row r="15" spans="1:14" x14ac:dyDescent="0.25">
      <c r="A15" s="55" t="s">
        <v>274</v>
      </c>
      <c r="B15" s="55">
        <v>2.3344999999999998</v>
      </c>
      <c r="C15" s="55">
        <v>2.1648000000000001</v>
      </c>
      <c r="D15" s="56">
        <f t="shared" si="6"/>
        <v>7.8390613451588944</v>
      </c>
      <c r="E15" s="59">
        <v>44580</v>
      </c>
      <c r="F15" s="57">
        <v>44638</v>
      </c>
      <c r="G15" s="55">
        <f t="shared" si="7"/>
        <v>58</v>
      </c>
      <c r="H15" s="55">
        <v>1.4947999999999999</v>
      </c>
      <c r="I15" s="55">
        <f t="shared" si="8"/>
        <v>0.67000000000000015</v>
      </c>
      <c r="J15" s="55">
        <v>1.3180000000000001</v>
      </c>
      <c r="K15" s="55">
        <v>0.1244</v>
      </c>
      <c r="L15" s="55">
        <v>5.5899999999999998E-2</v>
      </c>
      <c r="M15" s="58">
        <f t="shared" si="9"/>
        <v>1.9845000000000002</v>
      </c>
      <c r="N15" s="55">
        <f t="shared" si="10"/>
        <v>33.585285966238345</v>
      </c>
    </row>
    <row r="16" spans="1:14" x14ac:dyDescent="0.25">
      <c r="A16" s="55" t="s">
        <v>274</v>
      </c>
      <c r="B16" s="55">
        <v>2.3344</v>
      </c>
      <c r="C16" s="55">
        <v>2.1654</v>
      </c>
      <c r="D16" s="56">
        <f t="shared" si="6"/>
        <v>7.8045626674055626</v>
      </c>
      <c r="E16" s="59">
        <v>44580</v>
      </c>
      <c r="F16" s="57">
        <v>44638</v>
      </c>
      <c r="G16" s="55">
        <f t="shared" si="7"/>
        <v>58</v>
      </c>
      <c r="H16" s="55">
        <v>1.4955000000000001</v>
      </c>
      <c r="I16" s="55">
        <f t="shared" si="8"/>
        <v>0.66989999999999994</v>
      </c>
      <c r="J16" s="55">
        <v>1.3188</v>
      </c>
      <c r="K16" s="55">
        <v>0.12470000000000001</v>
      </c>
      <c r="L16" s="55">
        <v>5.5800000000000002E-2</v>
      </c>
      <c r="M16" s="58">
        <f t="shared" si="9"/>
        <v>1.9849000000000001</v>
      </c>
      <c r="N16" s="55">
        <f t="shared" si="10"/>
        <v>33.558365660738581</v>
      </c>
    </row>
    <row r="17" spans="2:14" x14ac:dyDescent="0.25">
      <c r="B17">
        <f>AVERAGE(B12:B16)</f>
        <v>2.3345799999999999</v>
      </c>
      <c r="C17">
        <f t="shared" ref="C17:D17" si="11">AVERAGE(C12:C16)</f>
        <v>2.1644800000000002</v>
      </c>
      <c r="D17">
        <f t="shared" si="11"/>
        <v>7.8587102666103421</v>
      </c>
      <c r="H17" s="7">
        <f>AVERAGE(H12:H16)</f>
        <v>1.4942599999999999</v>
      </c>
      <c r="I17" s="7">
        <f t="shared" ref="I17:N17" si="12">AVERAGE(I12:I16)</f>
        <v>0.67021999999999993</v>
      </c>
      <c r="J17" s="7">
        <f t="shared" si="12"/>
        <v>1.3176199999999998</v>
      </c>
      <c r="K17" s="7">
        <f t="shared" si="12"/>
        <v>0.12438</v>
      </c>
      <c r="L17" s="7">
        <f t="shared" si="12"/>
        <v>5.586E-2</v>
      </c>
      <c r="M17" s="7">
        <f t="shared" si="12"/>
        <v>1.9842400000000002</v>
      </c>
      <c r="N17" s="7">
        <f t="shared" si="12"/>
        <v>33.595739215168734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"/>
  <sheetViews>
    <sheetView topLeftCell="F13" zoomScale="90" zoomScaleNormal="90" workbookViewId="0">
      <selection activeCell="J28" sqref="J28"/>
    </sheetView>
  </sheetViews>
  <sheetFormatPr baseColWidth="10" defaultRowHeight="15" x14ac:dyDescent="0.25"/>
  <cols>
    <col min="5" max="5" width="13.28515625" customWidth="1"/>
    <col min="7" max="7" width="14" customWidth="1"/>
    <col min="8" max="8" width="17.140625" customWidth="1"/>
    <col min="9" max="9" width="18" customWidth="1"/>
    <col min="10" max="10" width="17.28515625" customWidth="1"/>
    <col min="11" max="11" width="16.140625" customWidth="1"/>
  </cols>
  <sheetData>
    <row r="1" spans="1:20" ht="75" x14ac:dyDescent="0.25">
      <c r="A1" t="s">
        <v>1</v>
      </c>
      <c r="B1" t="s">
        <v>39</v>
      </c>
      <c r="C1" t="s">
        <v>12</v>
      </c>
      <c r="D1" t="s">
        <v>13</v>
      </c>
      <c r="E1" t="s">
        <v>40</v>
      </c>
      <c r="F1" s="1" t="s">
        <v>0</v>
      </c>
      <c r="G1" s="2" t="s">
        <v>3</v>
      </c>
      <c r="H1" s="2" t="s">
        <v>11</v>
      </c>
      <c r="I1" s="2" t="s">
        <v>42</v>
      </c>
      <c r="J1" s="3" t="s">
        <v>2</v>
      </c>
      <c r="K1" s="1" t="s">
        <v>4</v>
      </c>
      <c r="L1" s="2" t="s">
        <v>5</v>
      </c>
      <c r="M1" s="3" t="s">
        <v>37</v>
      </c>
      <c r="N1" s="2" t="s">
        <v>6</v>
      </c>
      <c r="O1" s="3" t="s">
        <v>38</v>
      </c>
      <c r="P1" s="2" t="s">
        <v>7</v>
      </c>
      <c r="Q1" s="2" t="s">
        <v>8</v>
      </c>
      <c r="R1" s="2" t="s">
        <v>9</v>
      </c>
      <c r="S1" s="2" t="s">
        <v>10</v>
      </c>
      <c r="T1" s="52" t="s">
        <v>191</v>
      </c>
    </row>
    <row r="2" spans="1:20" x14ac:dyDescent="0.25">
      <c r="A2" s="27" t="s">
        <v>14</v>
      </c>
      <c r="B2" s="27" t="s">
        <v>80</v>
      </c>
      <c r="C2" s="27" t="s">
        <v>15</v>
      </c>
      <c r="D2" s="27" t="s">
        <v>17</v>
      </c>
      <c r="E2" s="27">
        <v>1</v>
      </c>
      <c r="F2" s="27" t="s">
        <v>598</v>
      </c>
      <c r="G2" s="27">
        <v>2.1139000000000001</v>
      </c>
      <c r="H2" s="30">
        <v>2.0152999999999999</v>
      </c>
      <c r="I2" s="28">
        <f t="shared" ref="I2:I9" si="0">((G2-H2)/H2)*100</f>
        <v>4.892571825534672</v>
      </c>
      <c r="J2" s="60">
        <v>44620</v>
      </c>
      <c r="K2" s="29">
        <v>44629</v>
      </c>
      <c r="L2" s="27">
        <f t="shared" ref="L2:L9" si="1">K2-J2</f>
        <v>9</v>
      </c>
      <c r="M2" s="27">
        <v>0.85489999999999999</v>
      </c>
      <c r="N2" s="30">
        <f>H2-M2</f>
        <v>1.1603999999999999</v>
      </c>
      <c r="O2" s="27">
        <v>0.63190000000000002</v>
      </c>
      <c r="P2" s="27">
        <v>0.1394</v>
      </c>
      <c r="Q2" s="27">
        <v>8.8300000000000003E-2</v>
      </c>
      <c r="R2" s="30">
        <f>H2-(P2+Q2)</f>
        <v>1.7875999999999999</v>
      </c>
      <c r="S2" s="27">
        <f>((R2-O2)/R2)*100</f>
        <v>64.650928619377936</v>
      </c>
      <c r="T2">
        <f>(O2/R2)*100</f>
        <v>35.349071380622064</v>
      </c>
    </row>
    <row r="3" spans="1:20" x14ac:dyDescent="0.25">
      <c r="A3" s="27" t="s">
        <v>14</v>
      </c>
      <c r="B3" s="27" t="s">
        <v>80</v>
      </c>
      <c r="C3" s="27" t="s">
        <v>15</v>
      </c>
      <c r="D3" s="27" t="s">
        <v>17</v>
      </c>
      <c r="E3" s="27">
        <v>2</v>
      </c>
      <c r="F3" s="27" t="s">
        <v>599</v>
      </c>
      <c r="G3" s="27">
        <v>2.1598999999999999</v>
      </c>
      <c r="H3" s="27">
        <v>2.0579000000000001</v>
      </c>
      <c r="I3" s="28">
        <f t="shared" si="0"/>
        <v>4.9565090626366617</v>
      </c>
      <c r="J3" s="60">
        <v>44620</v>
      </c>
      <c r="K3" s="29">
        <v>44634</v>
      </c>
      <c r="L3" s="27">
        <f t="shared" si="1"/>
        <v>14</v>
      </c>
      <c r="M3" s="27">
        <v>0.74380000000000002</v>
      </c>
      <c r="N3" s="30">
        <f t="shared" ref="N3:N9" si="2">H3-M3</f>
        <v>1.3141</v>
      </c>
      <c r="O3" s="27">
        <v>0.5423</v>
      </c>
      <c r="P3" s="27">
        <v>0.14050000000000001</v>
      </c>
      <c r="Q3" s="27">
        <v>6.4399999999999999E-2</v>
      </c>
      <c r="R3" s="30">
        <f t="shared" ref="R3:R9" si="3">H3-(P3+Q3)</f>
        <v>1.853</v>
      </c>
      <c r="S3" s="27">
        <f t="shared" ref="S3:S9" si="4">((R3-O3)/R3)*100</f>
        <v>70.733944954128432</v>
      </c>
      <c r="T3">
        <f t="shared" ref="T3:T9" si="5">(O3/R3)*100</f>
        <v>29.266055045871557</v>
      </c>
    </row>
    <row r="4" spans="1:20" x14ac:dyDescent="0.25">
      <c r="A4" s="27" t="s">
        <v>14</v>
      </c>
      <c r="B4" s="27" t="s">
        <v>80</v>
      </c>
      <c r="C4" s="27" t="s">
        <v>15</v>
      </c>
      <c r="D4" s="27" t="s">
        <v>17</v>
      </c>
      <c r="E4" s="27">
        <v>3</v>
      </c>
      <c r="F4" s="27" t="s">
        <v>600</v>
      </c>
      <c r="G4" s="27">
        <v>2.1459000000000001</v>
      </c>
      <c r="H4" s="30">
        <v>2.0442999999999998</v>
      </c>
      <c r="I4" s="28">
        <f t="shared" si="0"/>
        <v>4.9699163527858126</v>
      </c>
      <c r="J4" s="60">
        <v>44620</v>
      </c>
      <c r="K4" s="29">
        <v>44655</v>
      </c>
      <c r="L4" s="27">
        <f t="shared" si="1"/>
        <v>35</v>
      </c>
      <c r="M4" s="27">
        <v>0.63649999999999995</v>
      </c>
      <c r="N4" s="30">
        <f t="shared" si="2"/>
        <v>1.4077999999999999</v>
      </c>
      <c r="O4" s="27">
        <v>0.44469999999999998</v>
      </c>
      <c r="P4" s="27">
        <v>0.13569999999999999</v>
      </c>
      <c r="Q4" s="27">
        <v>5.7000000000000002E-2</v>
      </c>
      <c r="R4" s="30">
        <f t="shared" si="3"/>
        <v>1.8515999999999999</v>
      </c>
      <c r="S4" s="27">
        <f t="shared" si="4"/>
        <v>75.982933678980331</v>
      </c>
      <c r="T4">
        <f t="shared" si="5"/>
        <v>24.017066321019659</v>
      </c>
    </row>
    <row r="5" spans="1:20" x14ac:dyDescent="0.25">
      <c r="A5" s="27" t="s">
        <v>14</v>
      </c>
      <c r="B5" s="27" t="s">
        <v>80</v>
      </c>
      <c r="C5" s="27" t="s">
        <v>15</v>
      </c>
      <c r="D5" s="27" t="s">
        <v>17</v>
      </c>
      <c r="E5" s="27">
        <v>4</v>
      </c>
      <c r="F5" s="27" t="s">
        <v>601</v>
      </c>
      <c r="G5" s="27">
        <v>2.1006999999999998</v>
      </c>
      <c r="H5" s="30">
        <v>2.0064000000000002</v>
      </c>
      <c r="I5" s="28">
        <f t="shared" si="0"/>
        <v>4.6999601275916865</v>
      </c>
      <c r="J5" s="60">
        <v>44620</v>
      </c>
      <c r="K5" s="29">
        <v>44664</v>
      </c>
      <c r="L5" s="27">
        <f t="shared" si="1"/>
        <v>44</v>
      </c>
      <c r="M5" s="27">
        <v>0.5212</v>
      </c>
      <c r="N5" s="30">
        <f t="shared" si="2"/>
        <v>1.4852000000000003</v>
      </c>
      <c r="O5" s="27">
        <v>0.33069999999999999</v>
      </c>
      <c r="P5" s="27">
        <v>0.1361</v>
      </c>
      <c r="Q5" s="27">
        <v>5.3999999999999999E-2</v>
      </c>
      <c r="R5" s="30">
        <f t="shared" si="3"/>
        <v>1.8163000000000002</v>
      </c>
      <c r="S5" s="27">
        <f t="shared" si="4"/>
        <v>81.792655398337274</v>
      </c>
      <c r="T5">
        <f t="shared" si="5"/>
        <v>18.207344601662719</v>
      </c>
    </row>
    <row r="6" spans="1:20" x14ac:dyDescent="0.25">
      <c r="A6" s="27" t="s">
        <v>14</v>
      </c>
      <c r="B6" s="27" t="s">
        <v>80</v>
      </c>
      <c r="C6" s="27" t="s">
        <v>15</v>
      </c>
      <c r="D6" s="27" t="s">
        <v>19</v>
      </c>
      <c r="E6" s="27">
        <v>1</v>
      </c>
      <c r="F6" s="27" t="s">
        <v>602</v>
      </c>
      <c r="G6" s="27">
        <v>2.0600999999999998</v>
      </c>
      <c r="H6" s="27">
        <v>1.9641999999999999</v>
      </c>
      <c r="I6" s="28">
        <f t="shared" si="0"/>
        <v>4.8823948681396949</v>
      </c>
      <c r="J6" s="60">
        <v>44620</v>
      </c>
      <c r="K6" s="29">
        <v>44629</v>
      </c>
      <c r="L6" s="27">
        <f t="shared" si="1"/>
        <v>9</v>
      </c>
      <c r="M6" s="27">
        <v>0.91769999999999996</v>
      </c>
      <c r="N6" s="30">
        <f t="shared" si="2"/>
        <v>1.0465</v>
      </c>
      <c r="O6" s="27">
        <v>0.67369999999999997</v>
      </c>
      <c r="P6" s="27">
        <v>0.1368</v>
      </c>
      <c r="Q6" s="27">
        <v>0.1111</v>
      </c>
      <c r="R6" s="30">
        <f t="shared" si="3"/>
        <v>1.7162999999999999</v>
      </c>
      <c r="S6" s="27">
        <f t="shared" si="4"/>
        <v>60.74695566043232</v>
      </c>
      <c r="T6">
        <f t="shared" si="5"/>
        <v>39.253044339567673</v>
      </c>
    </row>
    <row r="7" spans="1:20" x14ac:dyDescent="0.25">
      <c r="A7" s="27" t="s">
        <v>14</v>
      </c>
      <c r="B7" s="27" t="s">
        <v>80</v>
      </c>
      <c r="C7" s="27" t="s">
        <v>15</v>
      </c>
      <c r="D7" s="27" t="s">
        <v>19</v>
      </c>
      <c r="E7" s="27">
        <v>2</v>
      </c>
      <c r="F7" s="27" t="s">
        <v>603</v>
      </c>
      <c r="G7" s="27">
        <v>2.1305000000000001</v>
      </c>
      <c r="H7" s="30">
        <v>2.0333000000000001</v>
      </c>
      <c r="I7" s="28">
        <f t="shared" si="0"/>
        <v>4.7804062361678037</v>
      </c>
      <c r="J7" s="60">
        <v>44620</v>
      </c>
      <c r="K7" s="29">
        <v>44634</v>
      </c>
      <c r="L7" s="27">
        <f t="shared" si="1"/>
        <v>14</v>
      </c>
      <c r="M7" s="27">
        <v>0.93300000000000005</v>
      </c>
      <c r="N7" s="30">
        <f t="shared" si="2"/>
        <v>1.1003000000000001</v>
      </c>
      <c r="O7" s="27">
        <v>0.68799999999999994</v>
      </c>
      <c r="P7" s="27">
        <v>0.13769999999999999</v>
      </c>
      <c r="Q7" s="27">
        <v>0.11219999999999999</v>
      </c>
      <c r="R7" s="30">
        <f t="shared" si="3"/>
        <v>1.7834000000000001</v>
      </c>
      <c r="S7" s="27">
        <f t="shared" si="4"/>
        <v>61.422002915778847</v>
      </c>
      <c r="T7">
        <f t="shared" si="5"/>
        <v>38.577997084221145</v>
      </c>
    </row>
    <row r="8" spans="1:20" x14ac:dyDescent="0.25">
      <c r="A8" s="27" t="s">
        <v>14</v>
      </c>
      <c r="B8" s="27" t="s">
        <v>80</v>
      </c>
      <c r="C8" s="27" t="s">
        <v>15</v>
      </c>
      <c r="D8" s="27" t="s">
        <v>19</v>
      </c>
      <c r="E8" s="27">
        <v>3</v>
      </c>
      <c r="F8" s="27" t="s">
        <v>604</v>
      </c>
      <c r="G8" s="30">
        <v>2.0653999999999999</v>
      </c>
      <c r="H8" s="30">
        <v>1.9686999999999999</v>
      </c>
      <c r="I8" s="28">
        <f t="shared" si="0"/>
        <v>4.9118707776705444</v>
      </c>
      <c r="J8" s="60">
        <v>44620</v>
      </c>
      <c r="K8" s="29">
        <v>44655</v>
      </c>
      <c r="L8" s="27">
        <f t="shared" si="1"/>
        <v>35</v>
      </c>
      <c r="M8" s="27">
        <v>0.71120000000000005</v>
      </c>
      <c r="N8" s="30">
        <f t="shared" si="2"/>
        <v>1.2574999999999998</v>
      </c>
      <c r="O8" s="27">
        <v>0.50519999999999998</v>
      </c>
      <c r="P8" s="27">
        <v>0.13639999999999999</v>
      </c>
      <c r="Q8" s="27">
        <v>7.1099999999999997E-2</v>
      </c>
      <c r="R8" s="30">
        <f t="shared" si="3"/>
        <v>1.7611999999999999</v>
      </c>
      <c r="S8" s="27">
        <f t="shared" si="4"/>
        <v>71.315012491483074</v>
      </c>
      <c r="T8">
        <f t="shared" si="5"/>
        <v>28.684987508516922</v>
      </c>
    </row>
    <row r="9" spans="1:20" x14ac:dyDescent="0.25">
      <c r="A9" s="27" t="s">
        <v>14</v>
      </c>
      <c r="B9" s="27" t="s">
        <v>80</v>
      </c>
      <c r="C9" s="27" t="s">
        <v>15</v>
      </c>
      <c r="D9" s="27" t="s">
        <v>19</v>
      </c>
      <c r="E9" s="27">
        <v>4</v>
      </c>
      <c r="F9" s="27" t="s">
        <v>605</v>
      </c>
      <c r="G9" s="27">
        <v>2.1757</v>
      </c>
      <c r="H9" s="27">
        <v>2.0760000000000001</v>
      </c>
      <c r="I9" s="28">
        <f t="shared" si="0"/>
        <v>4.802504816955679</v>
      </c>
      <c r="J9" s="60">
        <v>44620</v>
      </c>
      <c r="K9" s="29">
        <v>44664</v>
      </c>
      <c r="L9" s="27">
        <f t="shared" si="1"/>
        <v>44</v>
      </c>
      <c r="M9" s="27">
        <v>0.54179999999999995</v>
      </c>
      <c r="N9" s="30">
        <f t="shared" si="2"/>
        <v>1.5342000000000002</v>
      </c>
      <c r="O9" s="27">
        <v>0.35020000000000001</v>
      </c>
      <c r="P9" s="27">
        <v>0.13569999999999999</v>
      </c>
      <c r="Q9" s="27">
        <v>5.6500000000000002E-2</v>
      </c>
      <c r="R9" s="30">
        <f t="shared" si="3"/>
        <v>1.8838000000000001</v>
      </c>
      <c r="S9" s="27">
        <f t="shared" si="4"/>
        <v>81.409916126977393</v>
      </c>
      <c r="T9">
        <f t="shared" si="5"/>
        <v>18.590083873022614</v>
      </c>
    </row>
    <row r="11" spans="1:20" ht="75" x14ac:dyDescent="0.25">
      <c r="A11" t="s">
        <v>1</v>
      </c>
      <c r="B11" t="s">
        <v>39</v>
      </c>
      <c r="C11" t="s">
        <v>12</v>
      </c>
      <c r="D11" t="s">
        <v>13</v>
      </c>
      <c r="E11" t="s">
        <v>40</v>
      </c>
      <c r="F11" s="1" t="s">
        <v>0</v>
      </c>
      <c r="G11" s="2" t="s">
        <v>3</v>
      </c>
      <c r="H11" s="2" t="s">
        <v>11</v>
      </c>
      <c r="I11" s="2" t="s">
        <v>42</v>
      </c>
      <c r="J11" s="3" t="s">
        <v>2</v>
      </c>
      <c r="K11" s="1" t="s">
        <v>4</v>
      </c>
      <c r="L11" s="2" t="s">
        <v>5</v>
      </c>
      <c r="M11" s="3" t="s">
        <v>37</v>
      </c>
      <c r="N11" s="2" t="s">
        <v>6</v>
      </c>
      <c r="O11" s="3" t="s">
        <v>38</v>
      </c>
      <c r="P11" s="2" t="s">
        <v>7</v>
      </c>
      <c r="Q11" s="2" t="s">
        <v>8</v>
      </c>
      <c r="R11" s="2" t="s">
        <v>9</v>
      </c>
      <c r="S11" s="2" t="s">
        <v>10</v>
      </c>
      <c r="T11" s="52" t="s">
        <v>191</v>
      </c>
    </row>
    <row r="12" spans="1:20" x14ac:dyDescent="0.25">
      <c r="A12" s="43" t="s">
        <v>14</v>
      </c>
      <c r="B12" s="43" t="s">
        <v>80</v>
      </c>
      <c r="C12" s="43" t="s">
        <v>16</v>
      </c>
      <c r="D12" s="43" t="s">
        <v>17</v>
      </c>
      <c r="E12" s="43">
        <v>1</v>
      </c>
      <c r="F12" s="43" t="s">
        <v>606</v>
      </c>
      <c r="G12" s="43">
        <v>2.2947000000000002</v>
      </c>
      <c r="H12" s="43">
        <v>2.1476999999999999</v>
      </c>
      <c r="I12" s="44">
        <f t="shared" ref="I12:I19" si="6">((G12-H12)/H12)*100</f>
        <v>6.8445313591283803</v>
      </c>
      <c r="J12" s="231">
        <v>44620</v>
      </c>
      <c r="K12" s="232">
        <v>44629</v>
      </c>
      <c r="L12" s="43">
        <f t="shared" ref="L12:L19" si="7">K12-J12</f>
        <v>9</v>
      </c>
      <c r="M12" s="43">
        <v>1.6788000000000001</v>
      </c>
      <c r="N12" s="43">
        <f>H12-M12</f>
        <v>0.46889999999999987</v>
      </c>
      <c r="O12" s="43">
        <v>1.4597</v>
      </c>
      <c r="P12" s="43">
        <v>0.125</v>
      </c>
      <c r="Q12" s="43">
        <v>0.1009</v>
      </c>
      <c r="R12" s="46">
        <f>H12-(P12+Q12)</f>
        <v>1.9218</v>
      </c>
      <c r="S12" s="43">
        <f>((R12-O12)/R12)*100</f>
        <v>24.045165990217502</v>
      </c>
      <c r="T12">
        <f>(O12/R12)*100</f>
        <v>75.954834009782502</v>
      </c>
    </row>
    <row r="13" spans="1:20" x14ac:dyDescent="0.25">
      <c r="A13" s="43" t="s">
        <v>14</v>
      </c>
      <c r="B13" s="43" t="s">
        <v>80</v>
      </c>
      <c r="C13" s="43" t="s">
        <v>16</v>
      </c>
      <c r="D13" s="43" t="s">
        <v>17</v>
      </c>
      <c r="E13" s="43">
        <v>2</v>
      </c>
      <c r="F13" s="43" t="s">
        <v>607</v>
      </c>
      <c r="G13" s="43">
        <v>2.3226</v>
      </c>
      <c r="H13" s="43">
        <v>2.1798000000000002</v>
      </c>
      <c r="I13" s="44">
        <f t="shared" si="6"/>
        <v>6.5510597302504729</v>
      </c>
      <c r="J13" s="231">
        <v>44620</v>
      </c>
      <c r="K13" s="232">
        <v>44634</v>
      </c>
      <c r="L13" s="43">
        <f t="shared" si="7"/>
        <v>14</v>
      </c>
      <c r="M13" s="43">
        <v>1.6496</v>
      </c>
      <c r="N13" s="43">
        <f t="shared" ref="N13:N18" si="8">H13-M13</f>
        <v>0.53020000000000023</v>
      </c>
      <c r="O13" s="43">
        <v>1.4283999999999999</v>
      </c>
      <c r="P13" s="43">
        <v>0.13170000000000001</v>
      </c>
      <c r="Q13" s="43">
        <v>9.2299999999999993E-2</v>
      </c>
      <c r="R13" s="46">
        <f t="shared" ref="R13:R19" si="9">H13-(P13+Q13)</f>
        <v>1.9558000000000002</v>
      </c>
      <c r="S13" s="43">
        <f t="shared" ref="S13:S19" si="10">((R13-O13)/R13)*100</f>
        <v>26.965947438388397</v>
      </c>
      <c r="T13">
        <f t="shared" ref="T13:T19" si="11">(O13/R13)*100</f>
        <v>73.034052561611603</v>
      </c>
    </row>
    <row r="14" spans="1:20" x14ac:dyDescent="0.25">
      <c r="A14" s="43" t="s">
        <v>14</v>
      </c>
      <c r="B14" s="43" t="s">
        <v>80</v>
      </c>
      <c r="C14" s="43" t="s">
        <v>16</v>
      </c>
      <c r="D14" s="43" t="s">
        <v>17</v>
      </c>
      <c r="E14" s="43">
        <v>3</v>
      </c>
      <c r="F14" s="43" t="s">
        <v>608</v>
      </c>
      <c r="G14" s="43">
        <v>2.3801999999999999</v>
      </c>
      <c r="H14" s="43">
        <v>2.2282000000000002</v>
      </c>
      <c r="I14" s="44">
        <f t="shared" si="6"/>
        <v>6.8216497621398293</v>
      </c>
      <c r="J14" s="231">
        <v>44620</v>
      </c>
      <c r="K14" s="232">
        <v>44655</v>
      </c>
      <c r="L14" s="43">
        <f t="shared" si="7"/>
        <v>35</v>
      </c>
      <c r="M14" s="43">
        <v>1.6205000000000001</v>
      </c>
      <c r="N14" s="43">
        <f t="shared" si="8"/>
        <v>0.60770000000000013</v>
      </c>
      <c r="O14" s="43">
        <v>1.4245000000000001</v>
      </c>
      <c r="P14" s="43">
        <v>0.1389</v>
      </c>
      <c r="Q14" s="43">
        <v>5.7000000000000002E-2</v>
      </c>
      <c r="R14" s="46">
        <f t="shared" si="9"/>
        <v>2.0323000000000002</v>
      </c>
      <c r="S14" s="43">
        <f t="shared" si="10"/>
        <v>29.907001919008025</v>
      </c>
      <c r="T14">
        <f t="shared" si="11"/>
        <v>70.092998080991975</v>
      </c>
    </row>
    <row r="15" spans="1:20" x14ac:dyDescent="0.25">
      <c r="A15" s="43" t="s">
        <v>14</v>
      </c>
      <c r="B15" s="43" t="s">
        <v>80</v>
      </c>
      <c r="C15" s="43" t="s">
        <v>16</v>
      </c>
      <c r="D15" s="43" t="s">
        <v>17</v>
      </c>
      <c r="E15" s="43">
        <v>4</v>
      </c>
      <c r="F15" s="43" t="s">
        <v>609</v>
      </c>
      <c r="G15" s="43">
        <v>2.3243</v>
      </c>
      <c r="H15" s="43">
        <v>2.2262</v>
      </c>
      <c r="I15" s="44">
        <f t="shared" si="6"/>
        <v>4.406612164226039</v>
      </c>
      <c r="J15" s="231">
        <v>44620</v>
      </c>
      <c r="K15" s="232">
        <v>44664</v>
      </c>
      <c r="L15" s="43">
        <f t="shared" si="7"/>
        <v>44</v>
      </c>
      <c r="M15" s="43">
        <v>1.4979</v>
      </c>
      <c r="N15" s="43">
        <f t="shared" si="8"/>
        <v>0.72829999999999995</v>
      </c>
      <c r="O15" s="43">
        <v>1.3117000000000001</v>
      </c>
      <c r="P15" s="43">
        <v>0.13189999999999999</v>
      </c>
      <c r="Q15" s="43">
        <v>5.7799999999999997E-2</v>
      </c>
      <c r="R15" s="46">
        <f t="shared" si="9"/>
        <v>2.0365000000000002</v>
      </c>
      <c r="S15" s="43">
        <f t="shared" si="10"/>
        <v>35.590473852197405</v>
      </c>
      <c r="T15">
        <f t="shared" si="11"/>
        <v>64.409526147802595</v>
      </c>
    </row>
    <row r="16" spans="1:20" x14ac:dyDescent="0.25">
      <c r="A16" s="43" t="s">
        <v>14</v>
      </c>
      <c r="B16" s="43" t="s">
        <v>80</v>
      </c>
      <c r="C16" s="43" t="s">
        <v>16</v>
      </c>
      <c r="D16" s="43" t="s">
        <v>19</v>
      </c>
      <c r="E16" s="43">
        <v>1</v>
      </c>
      <c r="F16" s="43" t="s">
        <v>610</v>
      </c>
      <c r="G16" s="43">
        <v>2.3472</v>
      </c>
      <c r="H16" s="43">
        <v>2.2004000000000001</v>
      </c>
      <c r="I16" s="44">
        <f t="shared" si="6"/>
        <v>6.671514270132695</v>
      </c>
      <c r="J16" s="231">
        <v>44620</v>
      </c>
      <c r="K16" s="232">
        <v>44629</v>
      </c>
      <c r="L16" s="43">
        <f t="shared" si="7"/>
        <v>9</v>
      </c>
      <c r="M16" s="43">
        <v>1.7617</v>
      </c>
      <c r="N16" s="43">
        <f t="shared" si="8"/>
        <v>0.43870000000000009</v>
      </c>
      <c r="O16" s="43">
        <v>1.5199</v>
      </c>
      <c r="P16" s="43">
        <v>0.13370000000000001</v>
      </c>
      <c r="Q16" s="43">
        <v>0.1143</v>
      </c>
      <c r="R16" s="46">
        <f t="shared" si="9"/>
        <v>1.9524000000000001</v>
      </c>
      <c r="S16" s="43">
        <f t="shared" si="10"/>
        <v>22.152222905142395</v>
      </c>
      <c r="T16">
        <f t="shared" si="11"/>
        <v>77.847777094857605</v>
      </c>
    </row>
    <row r="17" spans="1:20" x14ac:dyDescent="0.25">
      <c r="A17" s="43" t="s">
        <v>14</v>
      </c>
      <c r="B17" s="43" t="s">
        <v>80</v>
      </c>
      <c r="C17" s="43" t="s">
        <v>16</v>
      </c>
      <c r="D17" s="43" t="s">
        <v>19</v>
      </c>
      <c r="E17" s="43">
        <v>2</v>
      </c>
      <c r="F17" s="43" t="s">
        <v>611</v>
      </c>
      <c r="G17" s="43">
        <v>2.3473000000000002</v>
      </c>
      <c r="H17" s="43">
        <v>2.1991999999999998</v>
      </c>
      <c r="I17" s="44">
        <f t="shared" si="6"/>
        <v>6.7342670061840835</v>
      </c>
      <c r="J17" s="231">
        <v>44620</v>
      </c>
      <c r="K17" s="232">
        <v>44634</v>
      </c>
      <c r="L17" s="43">
        <f t="shared" si="7"/>
        <v>14</v>
      </c>
      <c r="M17" s="43">
        <v>1.7703</v>
      </c>
      <c r="N17" s="43">
        <f t="shared" si="8"/>
        <v>0.42889999999999984</v>
      </c>
      <c r="O17" s="43">
        <v>1.5570999999999999</v>
      </c>
      <c r="P17" s="43">
        <v>0.12909999999999999</v>
      </c>
      <c r="Q17" s="43">
        <v>9.0300000000000005E-2</v>
      </c>
      <c r="R17" s="46">
        <f t="shared" si="9"/>
        <v>1.9797999999999998</v>
      </c>
      <c r="S17" s="43">
        <f t="shared" si="10"/>
        <v>21.350641478937259</v>
      </c>
      <c r="T17">
        <f t="shared" si="11"/>
        <v>78.649358521062737</v>
      </c>
    </row>
    <row r="18" spans="1:20" x14ac:dyDescent="0.25">
      <c r="A18" s="43" t="s">
        <v>14</v>
      </c>
      <c r="B18" s="43" t="s">
        <v>80</v>
      </c>
      <c r="C18" s="43" t="s">
        <v>16</v>
      </c>
      <c r="D18" s="43" t="s">
        <v>19</v>
      </c>
      <c r="E18" s="43">
        <v>3</v>
      </c>
      <c r="F18" s="43" t="s">
        <v>612</v>
      </c>
      <c r="G18" s="43">
        <v>2.3199999999999998</v>
      </c>
      <c r="H18" s="43">
        <v>2.1686999999999999</v>
      </c>
      <c r="I18" s="44">
        <f t="shared" si="6"/>
        <v>6.9765297182643984</v>
      </c>
      <c r="J18" s="231">
        <v>44620</v>
      </c>
      <c r="K18" s="232">
        <v>44655</v>
      </c>
      <c r="L18" s="43">
        <f t="shared" si="7"/>
        <v>35</v>
      </c>
      <c r="M18" s="43">
        <v>1.6529</v>
      </c>
      <c r="N18" s="43">
        <f t="shared" si="8"/>
        <v>0.51579999999999981</v>
      </c>
      <c r="O18" s="43">
        <v>1.4459</v>
      </c>
      <c r="P18" s="43">
        <v>0.13869999999999999</v>
      </c>
      <c r="Q18" s="43">
        <v>7.0499999999999993E-2</v>
      </c>
      <c r="R18" s="46">
        <f t="shared" si="9"/>
        <v>1.9594999999999998</v>
      </c>
      <c r="S18" s="43">
        <f t="shared" si="10"/>
        <v>26.210768053074755</v>
      </c>
      <c r="T18">
        <f t="shared" si="11"/>
        <v>73.789231946925241</v>
      </c>
    </row>
    <row r="19" spans="1:20" x14ac:dyDescent="0.25">
      <c r="A19" s="43" t="s">
        <v>14</v>
      </c>
      <c r="B19" s="43" t="s">
        <v>80</v>
      </c>
      <c r="C19" s="43" t="s">
        <v>16</v>
      </c>
      <c r="D19" s="43" t="s">
        <v>19</v>
      </c>
      <c r="E19" s="43">
        <v>4</v>
      </c>
      <c r="F19" s="43" t="s">
        <v>613</v>
      </c>
      <c r="G19" s="43">
        <v>2.3279000000000001</v>
      </c>
      <c r="H19" s="43">
        <v>2.1800000000000002</v>
      </c>
      <c r="I19" s="44">
        <f t="shared" si="6"/>
        <v>6.7844036697247656</v>
      </c>
      <c r="J19" s="231">
        <v>44620</v>
      </c>
      <c r="K19" s="232">
        <v>44664</v>
      </c>
      <c r="L19" s="43">
        <f t="shared" si="7"/>
        <v>44</v>
      </c>
      <c r="M19" s="43">
        <v>1.5502</v>
      </c>
      <c r="N19" s="43">
        <f>H19-M19</f>
        <v>0.62980000000000014</v>
      </c>
      <c r="O19" s="43">
        <v>1.3593999999999999</v>
      </c>
      <c r="P19" s="43">
        <v>0.1331</v>
      </c>
      <c r="Q19" s="43">
        <v>5.8999999999999997E-2</v>
      </c>
      <c r="R19" s="46">
        <f t="shared" si="9"/>
        <v>1.9879000000000002</v>
      </c>
      <c r="S19" s="43">
        <f t="shared" si="10"/>
        <v>31.616278484833249</v>
      </c>
      <c r="T19">
        <f t="shared" si="11"/>
        <v>68.383721515166755</v>
      </c>
    </row>
    <row r="21" spans="1:20" x14ac:dyDescent="0.25">
      <c r="H21" t="s">
        <v>615</v>
      </c>
    </row>
    <row r="22" spans="1:20" x14ac:dyDescent="0.25">
      <c r="G22" t="s">
        <v>614</v>
      </c>
      <c r="H22" t="s">
        <v>616</v>
      </c>
      <c r="I22" t="s">
        <v>617</v>
      </c>
      <c r="J22" t="s">
        <v>618</v>
      </c>
      <c r="K22" t="s">
        <v>619</v>
      </c>
    </row>
    <row r="23" spans="1:20" x14ac:dyDescent="0.25">
      <c r="G23">
        <v>0</v>
      </c>
      <c r="H23">
        <v>0</v>
      </c>
      <c r="I23">
        <v>0</v>
      </c>
      <c r="J23">
        <v>0</v>
      </c>
      <c r="K23">
        <v>0</v>
      </c>
    </row>
    <row r="24" spans="1:20" x14ac:dyDescent="0.25">
      <c r="G24">
        <v>9</v>
      </c>
      <c r="H24" s="7">
        <v>64.650928619377936</v>
      </c>
      <c r="I24" s="7">
        <v>60.74695566043232</v>
      </c>
      <c r="J24" s="7">
        <v>24.045165990217502</v>
      </c>
      <c r="K24" s="7">
        <v>22.152222905142395</v>
      </c>
    </row>
    <row r="25" spans="1:20" x14ac:dyDescent="0.25">
      <c r="G25">
        <v>14</v>
      </c>
      <c r="H25" s="7">
        <v>70.733944954128432</v>
      </c>
      <c r="I25" s="7">
        <v>61.422002915778847</v>
      </c>
      <c r="J25" s="7">
        <v>26.965947438388397</v>
      </c>
      <c r="K25" s="7">
        <v>21.350641478937259</v>
      </c>
    </row>
    <row r="26" spans="1:20" x14ac:dyDescent="0.25">
      <c r="G26">
        <v>35</v>
      </c>
      <c r="H26" s="7">
        <v>75.982933678980331</v>
      </c>
      <c r="I26" s="7">
        <v>71.315012491483074</v>
      </c>
      <c r="J26" s="7">
        <v>29.907001919008025</v>
      </c>
      <c r="K26" s="7">
        <v>26.210768053074755</v>
      </c>
    </row>
    <row r="27" spans="1:20" x14ac:dyDescent="0.25">
      <c r="G27">
        <v>44</v>
      </c>
      <c r="H27" s="7">
        <v>81.792655398337274</v>
      </c>
      <c r="I27" s="7">
        <v>81.409916126977393</v>
      </c>
      <c r="J27" s="7">
        <v>35.590473852197405</v>
      </c>
      <c r="K27" s="7">
        <v>31.616278484833249</v>
      </c>
    </row>
    <row r="28" spans="1:20" x14ac:dyDescent="0.25">
      <c r="G28">
        <v>60</v>
      </c>
      <c r="H28" s="7">
        <f>AVERAGE('Datos Crudos SE4-Ref'!S32:S33)</f>
        <v>84.650839247180997</v>
      </c>
      <c r="I28" s="7">
        <f>AVERAGE('Datos Crudos SE4-Ref'!S36:S37)</f>
        <v>84.183848958306697</v>
      </c>
      <c r="J28" s="7">
        <f>AVERAGE('Datos Crudos SE4-Ref'!S79:S80)</f>
        <v>36.456201002796988</v>
      </c>
      <c r="K28" s="7">
        <f>AVERAGE('Datos Crudos SE4-Ref'!S83:S84)</f>
        <v>36.460222410773817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8"/>
  <sheetViews>
    <sheetView topLeftCell="H72" zoomScale="70" zoomScaleNormal="70" zoomScaleSheetLayoutView="80" workbookViewId="0">
      <selection activeCell="A72" sqref="A72:A103"/>
    </sheetView>
  </sheetViews>
  <sheetFormatPr baseColWidth="10" defaultColWidth="9.140625" defaultRowHeight="15" x14ac:dyDescent="0.25"/>
  <cols>
    <col min="1" max="1" width="11.28515625" customWidth="1"/>
    <col min="2" max="2" width="19.28515625" customWidth="1"/>
    <col min="3" max="4" width="11.28515625" customWidth="1"/>
    <col min="5" max="5" width="14.7109375" customWidth="1"/>
    <col min="6" max="6" width="12.140625" customWidth="1"/>
    <col min="7" max="7" width="19.42578125" customWidth="1"/>
    <col min="8" max="9" width="20.140625" customWidth="1"/>
    <col min="10" max="10" width="14.7109375" customWidth="1"/>
    <col min="11" max="11" width="12.7109375" customWidth="1"/>
    <col min="12" max="12" width="13.7109375" customWidth="1"/>
    <col min="13" max="13" width="15.140625" customWidth="1"/>
    <col min="14" max="14" width="13.85546875" customWidth="1"/>
    <col min="15" max="15" width="17.85546875" customWidth="1"/>
    <col min="16" max="16" width="14.28515625" customWidth="1"/>
    <col min="17" max="17" width="13.5703125" customWidth="1"/>
    <col min="18" max="18" width="13.28515625" customWidth="1"/>
    <col min="20" max="20" width="18.140625" customWidth="1"/>
    <col min="21" max="21" width="13.42578125" customWidth="1"/>
  </cols>
  <sheetData>
    <row r="1" spans="1:25" ht="60" x14ac:dyDescent="0.25">
      <c r="A1" t="s">
        <v>1</v>
      </c>
      <c r="B1" t="s">
        <v>39</v>
      </c>
      <c r="C1" t="s">
        <v>12</v>
      </c>
      <c r="D1" t="s">
        <v>13</v>
      </c>
      <c r="E1" t="s">
        <v>40</v>
      </c>
      <c r="F1" s="1" t="s">
        <v>0</v>
      </c>
      <c r="G1" s="2" t="s">
        <v>3</v>
      </c>
      <c r="H1" s="2" t="s">
        <v>11</v>
      </c>
      <c r="I1" s="2" t="s">
        <v>42</v>
      </c>
      <c r="J1" s="3" t="s">
        <v>2</v>
      </c>
      <c r="K1" s="1" t="s">
        <v>4</v>
      </c>
      <c r="L1" s="2" t="s">
        <v>5</v>
      </c>
      <c r="M1" s="3" t="s">
        <v>37</v>
      </c>
      <c r="N1" s="2" t="s">
        <v>6</v>
      </c>
      <c r="O1" s="3" t="s">
        <v>38</v>
      </c>
      <c r="P1" s="2" t="s">
        <v>7</v>
      </c>
      <c r="Q1" s="2" t="s">
        <v>8</v>
      </c>
      <c r="R1" s="2" t="s">
        <v>9</v>
      </c>
      <c r="S1" s="2" t="s">
        <v>10</v>
      </c>
      <c r="T1" s="51" t="s">
        <v>190</v>
      </c>
      <c r="U1" s="52" t="s">
        <v>191</v>
      </c>
      <c r="V1" s="52" t="s">
        <v>119</v>
      </c>
      <c r="W1" s="52" t="s">
        <v>192</v>
      </c>
      <c r="X1" s="52" t="s">
        <v>119</v>
      </c>
      <c r="Y1" s="52" t="s">
        <v>192</v>
      </c>
    </row>
    <row r="2" spans="1:25" x14ac:dyDescent="0.25">
      <c r="A2" s="27" t="s">
        <v>474</v>
      </c>
      <c r="B2" s="27" t="s">
        <v>622</v>
      </c>
      <c r="C2" s="27" t="s">
        <v>15</v>
      </c>
      <c r="D2" s="27" t="s">
        <v>17</v>
      </c>
      <c r="E2" s="27">
        <v>1</v>
      </c>
      <c r="F2" s="80" t="s">
        <v>624</v>
      </c>
      <c r="G2" s="27">
        <v>2.0093000000000001</v>
      </c>
      <c r="H2" s="30">
        <v>1.8931</v>
      </c>
      <c r="I2" s="28">
        <f t="shared" ref="I2:I49" si="0">((G2-H2)/H2)*100</f>
        <v>6.1380803972320575</v>
      </c>
      <c r="J2" s="54">
        <v>44641</v>
      </c>
      <c r="K2" s="29">
        <v>44701</v>
      </c>
      <c r="L2" s="27">
        <f t="shared" ref="L2:L49" si="1">K2-J2</f>
        <v>60</v>
      </c>
      <c r="M2" s="27">
        <v>0.39579999999999999</v>
      </c>
      <c r="N2" s="30">
        <f>H2-M2</f>
        <v>1.4973000000000001</v>
      </c>
      <c r="O2" s="27">
        <v>0.20080000000000001</v>
      </c>
      <c r="P2" s="27">
        <v>0.13930000000000001</v>
      </c>
      <c r="Q2" s="27">
        <v>5.57E-2</v>
      </c>
      <c r="R2" s="30">
        <f>H2-(P2+Q2)</f>
        <v>1.6980999999999999</v>
      </c>
      <c r="S2" s="27">
        <f>((R2-O2)/R2)*100</f>
        <v>88.175019139037744</v>
      </c>
      <c r="T2">
        <f>AVERAGE(O2:O9)</f>
        <v>0.24210000000000004</v>
      </c>
      <c r="U2" s="18">
        <f>(O2/R2)*100</f>
        <v>11.824980860962253</v>
      </c>
      <c r="V2" s="7">
        <f>AVERAGE(U2:U9)</f>
        <v>13.585032438220114</v>
      </c>
      <c r="W2">
        <f>STDEV(U2:U9)</f>
        <v>3.1011646288026662</v>
      </c>
      <c r="X2">
        <f>AVERAGE(S2:S9)</f>
        <v>86.414967561779875</v>
      </c>
      <c r="Y2">
        <f>STDEV(S2:S9)</f>
        <v>3.1011646288026764</v>
      </c>
    </row>
    <row r="3" spans="1:25" x14ac:dyDescent="0.25">
      <c r="A3" s="27" t="s">
        <v>474</v>
      </c>
      <c r="B3" s="27" t="s">
        <v>622</v>
      </c>
      <c r="C3" s="27" t="s">
        <v>15</v>
      </c>
      <c r="D3" s="27" t="s">
        <v>17</v>
      </c>
      <c r="E3" s="27">
        <v>2</v>
      </c>
      <c r="F3" s="80" t="s">
        <v>625</v>
      </c>
      <c r="G3" s="27">
        <v>2.1244999999999998</v>
      </c>
      <c r="H3" s="27">
        <v>2.0196000000000001</v>
      </c>
      <c r="I3" s="28">
        <f t="shared" si="0"/>
        <v>5.194097841156653</v>
      </c>
      <c r="J3" s="54">
        <v>44641</v>
      </c>
      <c r="K3" s="29">
        <v>44701</v>
      </c>
      <c r="L3" s="27">
        <f t="shared" si="1"/>
        <v>60</v>
      </c>
      <c r="M3" s="27">
        <v>0.4365</v>
      </c>
      <c r="N3" s="30">
        <f t="shared" ref="N3:N49" si="2">H3-M3</f>
        <v>1.5831</v>
      </c>
      <c r="O3" s="27">
        <v>0.24310000000000001</v>
      </c>
      <c r="P3" s="27">
        <v>0.13650000000000001</v>
      </c>
      <c r="Q3" s="27">
        <v>5.8099999999999999E-2</v>
      </c>
      <c r="R3" s="30">
        <f t="shared" ref="R3:R49" si="3">H3-(P3+Q3)</f>
        <v>1.8250000000000002</v>
      </c>
      <c r="S3" s="27">
        <f t="shared" ref="S3:S49" si="4">((R3-O3)/R3)*100</f>
        <v>86.67945205479451</v>
      </c>
      <c r="U3" s="18">
        <f t="shared" ref="U3:U49" si="5">(O3/R3)*100</f>
        <v>13.32054794520548</v>
      </c>
    </row>
    <row r="4" spans="1:25" x14ac:dyDescent="0.25">
      <c r="A4" s="27" t="s">
        <v>474</v>
      </c>
      <c r="B4" s="27" t="s">
        <v>622</v>
      </c>
      <c r="C4" s="27" t="s">
        <v>15</v>
      </c>
      <c r="D4" s="27" t="s">
        <v>18</v>
      </c>
      <c r="E4" s="27">
        <v>1</v>
      </c>
      <c r="F4" s="80" t="s">
        <v>626</v>
      </c>
      <c r="G4" s="27">
        <v>2.1518000000000002</v>
      </c>
      <c r="H4" s="30">
        <v>2.0453999999999999</v>
      </c>
      <c r="I4" s="28">
        <f t="shared" si="0"/>
        <v>5.2019164955510062</v>
      </c>
      <c r="J4" s="54">
        <v>44641</v>
      </c>
      <c r="K4" s="29">
        <v>44701</v>
      </c>
      <c r="L4" s="27">
        <f t="shared" si="1"/>
        <v>60</v>
      </c>
      <c r="M4" s="27">
        <v>0.45150000000000001</v>
      </c>
      <c r="N4" s="30">
        <f t="shared" si="2"/>
        <v>1.5938999999999999</v>
      </c>
      <c r="O4" s="27">
        <v>0.25679999999999997</v>
      </c>
      <c r="P4" s="27">
        <v>0.13880000000000001</v>
      </c>
      <c r="Q4" s="27">
        <v>5.5599999999999997E-2</v>
      </c>
      <c r="R4" s="30">
        <f t="shared" si="3"/>
        <v>1.851</v>
      </c>
      <c r="S4" s="27">
        <f t="shared" si="4"/>
        <v>86.126418152350084</v>
      </c>
      <c r="U4" s="18">
        <f t="shared" si="5"/>
        <v>13.873581847649918</v>
      </c>
    </row>
    <row r="5" spans="1:25" x14ac:dyDescent="0.25">
      <c r="A5" s="27" t="s">
        <v>474</v>
      </c>
      <c r="B5" s="27" t="s">
        <v>622</v>
      </c>
      <c r="C5" s="27" t="s">
        <v>15</v>
      </c>
      <c r="D5" s="27" t="s">
        <v>18</v>
      </c>
      <c r="E5" s="27">
        <v>2</v>
      </c>
      <c r="F5" s="80" t="s">
        <v>627</v>
      </c>
      <c r="G5" s="27">
        <v>2.0714999999999999</v>
      </c>
      <c r="H5" s="30">
        <v>1.9512</v>
      </c>
      <c r="I5" s="28">
        <f t="shared" si="0"/>
        <v>6.1654366543665358</v>
      </c>
      <c r="J5" s="54">
        <v>44641</v>
      </c>
      <c r="K5" s="29">
        <v>44701</v>
      </c>
      <c r="L5" s="27">
        <f t="shared" si="1"/>
        <v>60</v>
      </c>
      <c r="M5" s="27">
        <v>0.52380000000000004</v>
      </c>
      <c r="N5" s="30">
        <f t="shared" si="2"/>
        <v>1.4274</v>
      </c>
      <c r="O5" s="27">
        <v>0.32690000000000002</v>
      </c>
      <c r="P5" s="27">
        <v>0.1399</v>
      </c>
      <c r="Q5" s="27">
        <v>5.9700000000000003E-2</v>
      </c>
      <c r="R5" s="30">
        <f t="shared" si="3"/>
        <v>1.7516</v>
      </c>
      <c r="S5" s="27">
        <f t="shared" si="4"/>
        <v>81.337063256451245</v>
      </c>
      <c r="U5" s="18">
        <f t="shared" si="5"/>
        <v>18.662936743548755</v>
      </c>
    </row>
    <row r="6" spans="1:25" x14ac:dyDescent="0.25">
      <c r="A6" s="27" t="s">
        <v>474</v>
      </c>
      <c r="B6" s="27" t="s">
        <v>622</v>
      </c>
      <c r="C6" s="27" t="s">
        <v>15</v>
      </c>
      <c r="D6" s="27" t="s">
        <v>19</v>
      </c>
      <c r="E6" s="27">
        <v>1</v>
      </c>
      <c r="F6" s="80" t="s">
        <v>628</v>
      </c>
      <c r="G6" s="27">
        <v>2.0682999999999998</v>
      </c>
      <c r="H6" s="27">
        <v>1.948</v>
      </c>
      <c r="I6" s="28">
        <f t="shared" si="0"/>
        <v>6.1755646817248389</v>
      </c>
      <c r="J6" s="54">
        <v>44641</v>
      </c>
      <c r="K6" s="29">
        <v>44701</v>
      </c>
      <c r="L6" s="27">
        <f t="shared" si="1"/>
        <v>60</v>
      </c>
      <c r="M6" s="27">
        <v>0.50180000000000002</v>
      </c>
      <c r="N6" s="30">
        <f t="shared" si="2"/>
        <v>1.4461999999999999</v>
      </c>
      <c r="O6" s="27">
        <v>0.3075</v>
      </c>
      <c r="P6" s="27">
        <v>0.13650000000000001</v>
      </c>
      <c r="Q6" s="27">
        <v>5.67E-2</v>
      </c>
      <c r="R6" s="30">
        <f t="shared" si="3"/>
        <v>1.7547999999999999</v>
      </c>
      <c r="S6" s="27">
        <f t="shared" si="4"/>
        <v>82.476635514018682</v>
      </c>
      <c r="U6" s="18">
        <f t="shared" si="5"/>
        <v>17.523364485981311</v>
      </c>
    </row>
    <row r="7" spans="1:25" x14ac:dyDescent="0.25">
      <c r="A7" s="27" t="s">
        <v>474</v>
      </c>
      <c r="B7" s="27" t="s">
        <v>622</v>
      </c>
      <c r="C7" s="27" t="s">
        <v>15</v>
      </c>
      <c r="D7" s="27" t="s">
        <v>19</v>
      </c>
      <c r="E7" s="27">
        <v>2</v>
      </c>
      <c r="F7" s="80" t="s">
        <v>629</v>
      </c>
      <c r="G7" s="27">
        <v>2.0522</v>
      </c>
      <c r="H7" s="30">
        <v>1.9294</v>
      </c>
      <c r="I7" s="28">
        <f t="shared" si="0"/>
        <v>6.3646729553228987</v>
      </c>
      <c r="J7" s="54">
        <v>44641</v>
      </c>
      <c r="K7" s="29">
        <v>44701</v>
      </c>
      <c r="L7" s="27">
        <f t="shared" si="1"/>
        <v>60</v>
      </c>
      <c r="M7" s="27">
        <v>0.41449999999999998</v>
      </c>
      <c r="N7" s="30">
        <f t="shared" si="2"/>
        <v>1.5148999999999999</v>
      </c>
      <c r="O7" s="27">
        <v>0.22520000000000001</v>
      </c>
      <c r="P7" s="27">
        <v>0.1338</v>
      </c>
      <c r="Q7" s="27">
        <v>5.7099999999999998E-2</v>
      </c>
      <c r="R7" s="30">
        <f t="shared" si="3"/>
        <v>1.7384999999999999</v>
      </c>
      <c r="S7" s="27">
        <f t="shared" si="4"/>
        <v>87.046304285303421</v>
      </c>
      <c r="U7" s="18">
        <f t="shared" si="5"/>
        <v>12.953695714696579</v>
      </c>
    </row>
    <row r="8" spans="1:25" x14ac:dyDescent="0.25">
      <c r="A8" s="27" t="s">
        <v>474</v>
      </c>
      <c r="B8" s="27" t="s">
        <v>100</v>
      </c>
      <c r="C8" s="27" t="s">
        <v>15</v>
      </c>
      <c r="D8" s="27" t="s">
        <v>20</v>
      </c>
      <c r="E8" s="27">
        <v>1</v>
      </c>
      <c r="F8" s="80" t="s">
        <v>630</v>
      </c>
      <c r="G8" s="27">
        <v>2.1345000000000001</v>
      </c>
      <c r="H8" s="30">
        <v>2.0276000000000001</v>
      </c>
      <c r="I8" s="28">
        <f t="shared" si="0"/>
        <v>5.2722430459656726</v>
      </c>
      <c r="J8" s="54">
        <v>44641</v>
      </c>
      <c r="K8" s="29">
        <v>44701</v>
      </c>
      <c r="L8" s="27">
        <f t="shared" si="1"/>
        <v>60</v>
      </c>
      <c r="M8" s="27">
        <v>0.38240000000000002</v>
      </c>
      <c r="N8" s="30">
        <f t="shared" si="2"/>
        <v>1.6452</v>
      </c>
      <c r="O8" s="27">
        <v>0.19570000000000001</v>
      </c>
      <c r="P8" s="27">
        <v>0.13120000000000001</v>
      </c>
      <c r="Q8" s="27">
        <v>5.5199999999999999E-2</v>
      </c>
      <c r="R8" s="30">
        <f t="shared" si="3"/>
        <v>1.8412000000000002</v>
      </c>
      <c r="S8" s="27">
        <f t="shared" si="4"/>
        <v>89.371062350640884</v>
      </c>
      <c r="U8" s="18">
        <f t="shared" si="5"/>
        <v>10.628937649359113</v>
      </c>
    </row>
    <row r="9" spans="1:25" x14ac:dyDescent="0.25">
      <c r="A9" s="27" t="s">
        <v>474</v>
      </c>
      <c r="B9" s="27" t="s">
        <v>622</v>
      </c>
      <c r="C9" s="27" t="s">
        <v>15</v>
      </c>
      <c r="D9" s="27" t="s">
        <v>20</v>
      </c>
      <c r="E9" s="27">
        <v>2</v>
      </c>
      <c r="F9" s="80" t="s">
        <v>631</v>
      </c>
      <c r="G9" s="27">
        <v>2.1212</v>
      </c>
      <c r="H9" s="27">
        <v>2.0173999999999999</v>
      </c>
      <c r="I9" s="28">
        <f t="shared" si="0"/>
        <v>5.1452364429463726</v>
      </c>
      <c r="J9" s="54">
        <v>44641</v>
      </c>
      <c r="K9" s="29">
        <v>44701</v>
      </c>
      <c r="L9" s="27">
        <f t="shared" si="1"/>
        <v>60</v>
      </c>
      <c r="M9" s="27">
        <v>0.37030000000000002</v>
      </c>
      <c r="N9" s="30">
        <f t="shared" si="2"/>
        <v>1.6470999999999998</v>
      </c>
      <c r="O9" s="27">
        <v>0.18079999999999999</v>
      </c>
      <c r="P9" s="27">
        <v>0.13320000000000001</v>
      </c>
      <c r="Q9" s="27">
        <v>5.6500000000000002E-2</v>
      </c>
      <c r="R9" s="30">
        <f t="shared" si="3"/>
        <v>1.8276999999999999</v>
      </c>
      <c r="S9" s="27">
        <f t="shared" si="4"/>
        <v>90.107785741642502</v>
      </c>
      <c r="U9" s="18">
        <f t="shared" si="5"/>
        <v>9.8922142583574981</v>
      </c>
    </row>
    <row r="10" spans="1:25" x14ac:dyDescent="0.25">
      <c r="A10" s="31" t="s">
        <v>475</v>
      </c>
      <c r="B10" s="31" t="s">
        <v>327</v>
      </c>
      <c r="C10" s="31" t="s">
        <v>15</v>
      </c>
      <c r="D10" s="31" t="s">
        <v>17</v>
      </c>
      <c r="E10" s="31">
        <v>1</v>
      </c>
      <c r="F10" s="85" t="s">
        <v>632</v>
      </c>
      <c r="G10" s="31">
        <v>2.0764999999999998</v>
      </c>
      <c r="H10" s="31">
        <v>1.9857</v>
      </c>
      <c r="I10" s="32">
        <f t="shared" si="0"/>
        <v>4.5726947675882448</v>
      </c>
      <c r="J10" s="53">
        <v>44648</v>
      </c>
      <c r="K10" s="33">
        <v>44708</v>
      </c>
      <c r="L10" s="31">
        <f t="shared" si="1"/>
        <v>60</v>
      </c>
      <c r="M10" s="31">
        <v>0.50549999999999995</v>
      </c>
      <c r="N10" s="34">
        <f t="shared" si="2"/>
        <v>1.4802</v>
      </c>
      <c r="O10" s="31">
        <v>0.30299999999999999</v>
      </c>
      <c r="P10" s="31">
        <v>0.14399999999999999</v>
      </c>
      <c r="Q10" s="31">
        <v>6.08E-2</v>
      </c>
      <c r="R10" s="34">
        <f t="shared" si="3"/>
        <v>1.7808999999999999</v>
      </c>
      <c r="S10" s="31">
        <f t="shared" si="4"/>
        <v>82.986130608119495</v>
      </c>
      <c r="T10">
        <f>AVERAGE(O10:O17)</f>
        <v>0.34209999999999996</v>
      </c>
      <c r="U10" s="18">
        <f t="shared" si="5"/>
        <v>17.013869391880508</v>
      </c>
      <c r="V10" s="7">
        <f>AVERAGE(U10:U17)</f>
        <v>19.524250213289832</v>
      </c>
      <c r="W10">
        <f>STDEV(U10:U17)</f>
        <v>2.1259764469508342</v>
      </c>
      <c r="X10">
        <f>AVERAGE(S10:S17)</f>
        <v>80.475749786710168</v>
      </c>
      <c r="Y10">
        <f>STDEV(S10:S17)</f>
        <v>2.1259764469507987</v>
      </c>
    </row>
    <row r="11" spans="1:25" x14ac:dyDescent="0.25">
      <c r="A11" s="31" t="s">
        <v>475</v>
      </c>
      <c r="B11" s="31" t="s">
        <v>327</v>
      </c>
      <c r="C11" s="31" t="s">
        <v>15</v>
      </c>
      <c r="D11" s="31" t="s">
        <v>17</v>
      </c>
      <c r="E11" s="31">
        <v>2</v>
      </c>
      <c r="F11" s="85" t="s">
        <v>633</v>
      </c>
      <c r="G11" s="31">
        <v>2.0663</v>
      </c>
      <c r="H11" s="31">
        <v>1.9756</v>
      </c>
      <c r="I11" s="32">
        <f t="shared" si="0"/>
        <v>4.591010325976919</v>
      </c>
      <c r="J11" s="53">
        <v>44648</v>
      </c>
      <c r="K11" s="33">
        <v>44708</v>
      </c>
      <c r="L11" s="31">
        <f t="shared" si="1"/>
        <v>60</v>
      </c>
      <c r="M11" s="31">
        <v>0.49580000000000002</v>
      </c>
      <c r="N11" s="34">
        <f t="shared" si="2"/>
        <v>1.4798</v>
      </c>
      <c r="O11" s="31">
        <v>0.2959</v>
      </c>
      <c r="P11" s="31">
        <v>0.1399</v>
      </c>
      <c r="Q11" s="31">
        <v>5.8900000000000001E-2</v>
      </c>
      <c r="R11" s="34">
        <f t="shared" si="3"/>
        <v>1.7767999999999999</v>
      </c>
      <c r="S11" s="31">
        <f t="shared" si="4"/>
        <v>83.346465556055833</v>
      </c>
      <c r="U11" s="18">
        <f t="shared" si="5"/>
        <v>16.653534443944171</v>
      </c>
    </row>
    <row r="12" spans="1:25" x14ac:dyDescent="0.25">
      <c r="A12" s="31" t="s">
        <v>475</v>
      </c>
      <c r="B12" s="31" t="s">
        <v>327</v>
      </c>
      <c r="C12" s="31" t="s">
        <v>15</v>
      </c>
      <c r="D12" s="31" t="s">
        <v>18</v>
      </c>
      <c r="E12" s="31">
        <v>1</v>
      </c>
      <c r="F12" s="85" t="s">
        <v>634</v>
      </c>
      <c r="G12" s="31">
        <v>1.9921</v>
      </c>
      <c r="H12" s="34">
        <v>1.9017999999999999</v>
      </c>
      <c r="I12" s="32">
        <f t="shared" si="0"/>
        <v>4.7481333473551404</v>
      </c>
      <c r="J12" s="53">
        <v>44648</v>
      </c>
      <c r="K12" s="33">
        <v>44708</v>
      </c>
      <c r="L12" s="31">
        <f t="shared" si="1"/>
        <v>60</v>
      </c>
      <c r="M12" s="31">
        <v>0.50080000000000002</v>
      </c>
      <c r="N12" s="34">
        <f t="shared" si="2"/>
        <v>1.4009999999999998</v>
      </c>
      <c r="O12" s="31">
        <v>0.36259999999999998</v>
      </c>
      <c r="P12" s="31">
        <v>0.13600000000000001</v>
      </c>
      <c r="Q12" s="34">
        <v>6.5299999999999997E-2</v>
      </c>
      <c r="R12" s="34">
        <f t="shared" si="3"/>
        <v>1.7004999999999999</v>
      </c>
      <c r="S12" s="31">
        <f t="shared" si="4"/>
        <v>78.676859747133193</v>
      </c>
      <c r="U12" s="18">
        <f t="shared" si="5"/>
        <v>21.323140252866803</v>
      </c>
    </row>
    <row r="13" spans="1:25" x14ac:dyDescent="0.25">
      <c r="A13" s="31" t="s">
        <v>475</v>
      </c>
      <c r="B13" s="31" t="s">
        <v>327</v>
      </c>
      <c r="C13" s="31" t="s">
        <v>15</v>
      </c>
      <c r="D13" s="31" t="s">
        <v>18</v>
      </c>
      <c r="E13" s="31">
        <v>2</v>
      </c>
      <c r="F13" s="85" t="s">
        <v>635</v>
      </c>
      <c r="G13" s="31">
        <v>2.0834000000000001</v>
      </c>
      <c r="H13" s="31">
        <v>1.9890000000000001</v>
      </c>
      <c r="I13" s="32">
        <f t="shared" si="0"/>
        <v>4.7461035696329832</v>
      </c>
      <c r="J13" s="53">
        <v>44648</v>
      </c>
      <c r="K13" s="33">
        <v>44708</v>
      </c>
      <c r="L13" s="31">
        <f t="shared" si="1"/>
        <v>60</v>
      </c>
      <c r="M13" s="31">
        <v>0.53979999999999995</v>
      </c>
      <c r="N13" s="34">
        <f t="shared" si="2"/>
        <v>1.4492000000000003</v>
      </c>
      <c r="O13" s="31">
        <v>0.33539999999999998</v>
      </c>
      <c r="P13" s="31">
        <v>0.1406</v>
      </c>
      <c r="Q13" s="31">
        <v>6.13E-2</v>
      </c>
      <c r="R13" s="34">
        <f t="shared" si="3"/>
        <v>1.7871000000000001</v>
      </c>
      <c r="S13" s="31">
        <f t="shared" si="4"/>
        <v>81.232163840859499</v>
      </c>
      <c r="U13" s="18">
        <f t="shared" si="5"/>
        <v>18.767836159140504</v>
      </c>
    </row>
    <row r="14" spans="1:25" x14ac:dyDescent="0.25">
      <c r="A14" s="31" t="s">
        <v>475</v>
      </c>
      <c r="B14" s="31" t="s">
        <v>327</v>
      </c>
      <c r="C14" s="31" t="s">
        <v>15</v>
      </c>
      <c r="D14" s="31" t="s">
        <v>19</v>
      </c>
      <c r="E14" s="31">
        <v>1</v>
      </c>
      <c r="F14" s="85" t="s">
        <v>636</v>
      </c>
      <c r="G14" s="34">
        <v>2.0181</v>
      </c>
      <c r="H14" s="31">
        <v>1.9263999999999999</v>
      </c>
      <c r="I14" s="32">
        <f t="shared" si="0"/>
        <v>4.7601744186046577</v>
      </c>
      <c r="J14" s="53">
        <v>44648</v>
      </c>
      <c r="K14" s="33">
        <v>44708</v>
      </c>
      <c r="L14" s="31">
        <f t="shared" si="1"/>
        <v>60</v>
      </c>
      <c r="M14" s="31">
        <v>0.57250000000000001</v>
      </c>
      <c r="N14" s="34">
        <f t="shared" si="2"/>
        <v>1.3538999999999999</v>
      </c>
      <c r="O14" s="31">
        <v>0.3705</v>
      </c>
      <c r="P14" s="31">
        <v>0.14280000000000001</v>
      </c>
      <c r="Q14" s="31">
        <v>6.08E-2</v>
      </c>
      <c r="R14" s="34">
        <f t="shared" si="3"/>
        <v>1.7227999999999999</v>
      </c>
      <c r="S14" s="31">
        <f t="shared" si="4"/>
        <v>78.49431158579057</v>
      </c>
      <c r="U14" s="18">
        <f t="shared" si="5"/>
        <v>21.505688414209427</v>
      </c>
    </row>
    <row r="15" spans="1:25" x14ac:dyDescent="0.25">
      <c r="A15" s="31" t="s">
        <v>475</v>
      </c>
      <c r="B15" s="31" t="s">
        <v>327</v>
      </c>
      <c r="C15" s="31" t="s">
        <v>15</v>
      </c>
      <c r="D15" s="31" t="s">
        <v>19</v>
      </c>
      <c r="E15" s="31">
        <v>2</v>
      </c>
      <c r="F15" s="85" t="s">
        <v>637</v>
      </c>
      <c r="G15" s="31">
        <v>1.9968999999999999</v>
      </c>
      <c r="H15" s="31">
        <v>1.9077999999999999</v>
      </c>
      <c r="I15" s="32">
        <f t="shared" si="0"/>
        <v>4.6703008701121691</v>
      </c>
      <c r="J15" s="53">
        <v>44648</v>
      </c>
      <c r="K15" s="33">
        <v>44708</v>
      </c>
      <c r="L15" s="31">
        <f t="shared" si="1"/>
        <v>60</v>
      </c>
      <c r="M15" s="31">
        <v>0.51929999999999998</v>
      </c>
      <c r="N15" s="34">
        <f t="shared" si="2"/>
        <v>1.3885000000000001</v>
      </c>
      <c r="O15" s="31">
        <v>0.31319999999999998</v>
      </c>
      <c r="P15" s="31">
        <v>0.14319999999999999</v>
      </c>
      <c r="Q15" s="31">
        <v>6.1899999999999997E-2</v>
      </c>
      <c r="R15" s="34">
        <f t="shared" si="3"/>
        <v>1.7026999999999999</v>
      </c>
      <c r="S15" s="31">
        <f t="shared" si="4"/>
        <v>81.605685088389038</v>
      </c>
      <c r="U15" s="18">
        <f t="shared" si="5"/>
        <v>18.394314911610969</v>
      </c>
    </row>
    <row r="16" spans="1:25" x14ac:dyDescent="0.25">
      <c r="A16" s="31" t="s">
        <v>475</v>
      </c>
      <c r="B16" s="31" t="s">
        <v>327</v>
      </c>
      <c r="C16" s="31" t="s">
        <v>15</v>
      </c>
      <c r="D16" s="31" t="s">
        <v>20</v>
      </c>
      <c r="E16" s="31">
        <v>1</v>
      </c>
      <c r="F16" s="85" t="s">
        <v>638</v>
      </c>
      <c r="G16" s="31">
        <v>2.1166999999999998</v>
      </c>
      <c r="H16" s="31">
        <v>2.0243000000000002</v>
      </c>
      <c r="I16" s="32">
        <f t="shared" si="0"/>
        <v>4.5645408289284974</v>
      </c>
      <c r="J16" s="53">
        <v>44648</v>
      </c>
      <c r="K16" s="33">
        <v>44708</v>
      </c>
      <c r="L16" s="31">
        <f t="shared" si="1"/>
        <v>60</v>
      </c>
      <c r="M16" s="31">
        <v>0.5696</v>
      </c>
      <c r="N16" s="34">
        <f t="shared" si="2"/>
        <v>1.4547000000000003</v>
      </c>
      <c r="O16" s="31">
        <v>0.36930000000000002</v>
      </c>
      <c r="P16" s="31">
        <v>0.1424</v>
      </c>
      <c r="Q16" s="31">
        <v>5.9700000000000003E-2</v>
      </c>
      <c r="R16" s="34">
        <f t="shared" si="3"/>
        <v>1.8222000000000003</v>
      </c>
      <c r="S16" s="31">
        <f t="shared" si="4"/>
        <v>79.733289430358909</v>
      </c>
      <c r="U16" s="18">
        <f t="shared" si="5"/>
        <v>20.266710569641091</v>
      </c>
    </row>
    <row r="17" spans="1:25" x14ac:dyDescent="0.25">
      <c r="A17" s="31" t="s">
        <v>475</v>
      </c>
      <c r="B17" s="31" t="s">
        <v>327</v>
      </c>
      <c r="C17" s="31" t="s">
        <v>15</v>
      </c>
      <c r="D17" s="31" t="s">
        <v>20</v>
      </c>
      <c r="E17" s="31">
        <v>2</v>
      </c>
      <c r="F17" s="85" t="s">
        <v>639</v>
      </c>
      <c r="G17" s="31">
        <v>2.0219</v>
      </c>
      <c r="H17" s="31">
        <v>1.9323999999999999</v>
      </c>
      <c r="I17" s="32">
        <f t="shared" si="0"/>
        <v>4.6315462637135241</v>
      </c>
      <c r="J17" s="53">
        <v>44648</v>
      </c>
      <c r="K17" s="33">
        <v>44708</v>
      </c>
      <c r="L17" s="31">
        <f t="shared" si="1"/>
        <v>60</v>
      </c>
      <c r="M17" s="31">
        <v>0.58240000000000003</v>
      </c>
      <c r="N17" s="34">
        <f t="shared" si="2"/>
        <v>1.3499999999999999</v>
      </c>
      <c r="O17" s="31">
        <v>0.38690000000000002</v>
      </c>
      <c r="P17" s="31">
        <v>0.13739999999999999</v>
      </c>
      <c r="Q17" s="31">
        <v>5.7599999999999998E-2</v>
      </c>
      <c r="R17" s="34">
        <f t="shared" si="3"/>
        <v>1.7373999999999998</v>
      </c>
      <c r="S17" s="31">
        <f t="shared" si="4"/>
        <v>77.731092436974791</v>
      </c>
      <c r="U17" s="18">
        <f t="shared" si="5"/>
        <v>22.268907563025213</v>
      </c>
    </row>
    <row r="18" spans="1:25" x14ac:dyDescent="0.25">
      <c r="A18" s="39" t="s">
        <v>476</v>
      </c>
      <c r="B18" s="39" t="s">
        <v>623</v>
      </c>
      <c r="C18" s="39" t="s">
        <v>15</v>
      </c>
      <c r="D18" s="39" t="s">
        <v>17</v>
      </c>
      <c r="E18" s="39">
        <v>1</v>
      </c>
      <c r="F18" s="81" t="s">
        <v>640</v>
      </c>
      <c r="G18" s="39">
        <v>2.0487000000000002</v>
      </c>
      <c r="H18" s="39">
        <v>1.9719</v>
      </c>
      <c r="I18" s="40">
        <f t="shared" si="0"/>
        <v>3.8947208276281864</v>
      </c>
      <c r="J18" s="53">
        <v>44669</v>
      </c>
      <c r="K18" s="41">
        <v>44729</v>
      </c>
      <c r="L18" s="39">
        <f t="shared" si="1"/>
        <v>60</v>
      </c>
      <c r="M18" s="39">
        <v>0.56999999999999995</v>
      </c>
      <c r="N18" s="42">
        <f t="shared" si="2"/>
        <v>1.4018999999999999</v>
      </c>
      <c r="O18" s="39">
        <v>0.34939999999999999</v>
      </c>
      <c r="P18" s="39">
        <v>0.13850000000000001</v>
      </c>
      <c r="Q18" s="39">
        <v>8.5000000000000006E-2</v>
      </c>
      <c r="R18" s="42">
        <f t="shared" si="3"/>
        <v>1.7484</v>
      </c>
      <c r="S18" s="39">
        <f t="shared" si="4"/>
        <v>80.016014641958364</v>
      </c>
      <c r="T18">
        <f>AVERAGE(O18:O25)</f>
        <v>0.36355000000000004</v>
      </c>
      <c r="U18" s="18">
        <f t="shared" si="5"/>
        <v>19.983985358041636</v>
      </c>
      <c r="V18" s="7">
        <f>AVERAGE(U18:U25)</f>
        <v>20.984817093293035</v>
      </c>
      <c r="W18">
        <f>STDEV(U18:U25)</f>
        <v>2.4277499200793486</v>
      </c>
      <c r="X18">
        <f>AVERAGE(S18:S25)</f>
        <v>79.015182906706968</v>
      </c>
      <c r="Y18">
        <f>STDEV(S18:S25)</f>
        <v>2.4277499200793828</v>
      </c>
    </row>
    <row r="19" spans="1:25" x14ac:dyDescent="0.25">
      <c r="A19" s="39" t="s">
        <v>476</v>
      </c>
      <c r="B19" s="39" t="s">
        <v>623</v>
      </c>
      <c r="C19" s="39" t="s">
        <v>15</v>
      </c>
      <c r="D19" s="39" t="s">
        <v>17</v>
      </c>
      <c r="E19" s="39">
        <v>2</v>
      </c>
      <c r="F19" s="81" t="s">
        <v>641</v>
      </c>
      <c r="G19" s="39">
        <v>2.0522</v>
      </c>
      <c r="H19" s="39">
        <v>1.9615</v>
      </c>
      <c r="I19" s="40">
        <f t="shared" si="0"/>
        <v>4.6240122355340301</v>
      </c>
      <c r="J19" s="53">
        <v>44669</v>
      </c>
      <c r="K19" s="41">
        <v>44729</v>
      </c>
      <c r="L19" s="39">
        <f t="shared" si="1"/>
        <v>60</v>
      </c>
      <c r="M19" s="39">
        <v>0.52470000000000006</v>
      </c>
      <c r="N19" s="42">
        <f t="shared" si="2"/>
        <v>1.4367999999999999</v>
      </c>
      <c r="O19" s="39">
        <v>0.27350000000000002</v>
      </c>
      <c r="P19" s="39">
        <v>0.183</v>
      </c>
      <c r="Q19" s="39">
        <v>5.91E-2</v>
      </c>
      <c r="R19" s="42">
        <f t="shared" si="3"/>
        <v>1.7194</v>
      </c>
      <c r="S19" s="39">
        <f t="shared" si="4"/>
        <v>84.093288356403392</v>
      </c>
      <c r="U19" s="18">
        <f t="shared" si="5"/>
        <v>15.906711643596605</v>
      </c>
    </row>
    <row r="20" spans="1:25" x14ac:dyDescent="0.25">
      <c r="A20" s="39" t="s">
        <v>476</v>
      </c>
      <c r="B20" s="39" t="s">
        <v>623</v>
      </c>
      <c r="C20" s="39" t="s">
        <v>15</v>
      </c>
      <c r="D20" s="39" t="s">
        <v>18</v>
      </c>
      <c r="E20" s="39">
        <v>1</v>
      </c>
      <c r="F20" s="81" t="s">
        <v>642</v>
      </c>
      <c r="G20" s="39">
        <v>1.9923999999999999</v>
      </c>
      <c r="H20" s="39">
        <v>1.9156</v>
      </c>
      <c r="I20" s="40">
        <f t="shared" si="0"/>
        <v>4.0091877218626015</v>
      </c>
      <c r="J20" s="53">
        <v>44669</v>
      </c>
      <c r="K20" s="41">
        <v>44729</v>
      </c>
      <c r="L20" s="39">
        <f t="shared" si="1"/>
        <v>60</v>
      </c>
      <c r="M20" s="39">
        <v>0.61770000000000003</v>
      </c>
      <c r="N20" s="42">
        <f t="shared" si="2"/>
        <v>1.2978999999999998</v>
      </c>
      <c r="O20" s="39">
        <v>0.40889999999999999</v>
      </c>
      <c r="P20" s="39">
        <v>0.13769999999999999</v>
      </c>
      <c r="Q20" s="39">
        <v>7.0599999999999996E-2</v>
      </c>
      <c r="R20" s="42">
        <f t="shared" si="3"/>
        <v>1.7073</v>
      </c>
      <c r="S20" s="39">
        <f t="shared" si="4"/>
        <v>76.049903356176415</v>
      </c>
      <c r="U20" s="18">
        <f t="shared" si="5"/>
        <v>23.950096643823578</v>
      </c>
    </row>
    <row r="21" spans="1:25" x14ac:dyDescent="0.25">
      <c r="A21" s="39" t="s">
        <v>476</v>
      </c>
      <c r="B21" s="39" t="s">
        <v>623</v>
      </c>
      <c r="C21" s="39" t="s">
        <v>15</v>
      </c>
      <c r="D21" s="39" t="s">
        <v>18</v>
      </c>
      <c r="E21" s="39">
        <v>2</v>
      </c>
      <c r="F21" s="81" t="s">
        <v>643</v>
      </c>
      <c r="G21" s="39">
        <v>2.0291000000000001</v>
      </c>
      <c r="H21" s="39">
        <v>1.9497</v>
      </c>
      <c r="I21" s="40">
        <f t="shared" si="0"/>
        <v>4.0724213981638275</v>
      </c>
      <c r="J21" s="53">
        <v>44669</v>
      </c>
      <c r="K21" s="41">
        <v>44729</v>
      </c>
      <c r="L21" s="39">
        <f t="shared" si="1"/>
        <v>60</v>
      </c>
      <c r="M21" s="39">
        <v>0.59940000000000004</v>
      </c>
      <c r="N21" s="42">
        <f t="shared" si="2"/>
        <v>1.3502999999999998</v>
      </c>
      <c r="O21" s="39">
        <v>0.39319999999999999</v>
      </c>
      <c r="P21" s="39">
        <v>0.13639999999999999</v>
      </c>
      <c r="Q21" s="39">
        <v>6.8699999999999997E-2</v>
      </c>
      <c r="R21" s="42">
        <f t="shared" si="3"/>
        <v>1.7445999999999999</v>
      </c>
      <c r="S21" s="39">
        <f t="shared" si="4"/>
        <v>77.461882379915167</v>
      </c>
      <c r="U21" s="18">
        <f t="shared" si="5"/>
        <v>22.538117620084833</v>
      </c>
    </row>
    <row r="22" spans="1:25" x14ac:dyDescent="0.25">
      <c r="A22" s="39" t="s">
        <v>476</v>
      </c>
      <c r="B22" s="39" t="s">
        <v>623</v>
      </c>
      <c r="C22" s="39" t="s">
        <v>15</v>
      </c>
      <c r="D22" s="39" t="s">
        <v>19</v>
      </c>
      <c r="E22" s="39">
        <v>1</v>
      </c>
      <c r="F22" s="81" t="s">
        <v>644</v>
      </c>
      <c r="G22" s="39">
        <v>2.0337000000000001</v>
      </c>
      <c r="H22" s="39">
        <v>1.9548000000000001</v>
      </c>
      <c r="I22" s="40">
        <f t="shared" si="0"/>
        <v>4.0362185389809682</v>
      </c>
      <c r="J22" s="53">
        <v>44669</v>
      </c>
      <c r="K22" s="41">
        <v>44729</v>
      </c>
      <c r="L22" s="39">
        <f t="shared" si="1"/>
        <v>60</v>
      </c>
      <c r="M22" s="39">
        <v>0.60040000000000004</v>
      </c>
      <c r="N22" s="42">
        <f t="shared" si="2"/>
        <v>1.3544</v>
      </c>
      <c r="O22" s="39">
        <v>0.38059999999999999</v>
      </c>
      <c r="P22" s="39">
        <v>0.14699999999999999</v>
      </c>
      <c r="Q22" s="39">
        <v>7.2599999999999998E-2</v>
      </c>
      <c r="R22" s="42">
        <f t="shared" si="3"/>
        <v>1.7352000000000001</v>
      </c>
      <c r="S22" s="39">
        <f t="shared" si="4"/>
        <v>78.065928999538954</v>
      </c>
      <c r="U22" s="18">
        <f t="shared" si="5"/>
        <v>21.934071000461042</v>
      </c>
    </row>
    <row r="23" spans="1:25" x14ac:dyDescent="0.25">
      <c r="A23" s="39" t="s">
        <v>476</v>
      </c>
      <c r="B23" s="39" t="s">
        <v>623</v>
      </c>
      <c r="C23" s="39" t="s">
        <v>15</v>
      </c>
      <c r="D23" s="39" t="s">
        <v>19</v>
      </c>
      <c r="E23" s="39">
        <v>2</v>
      </c>
      <c r="F23" s="81" t="s">
        <v>645</v>
      </c>
      <c r="G23" s="39">
        <v>2.1347999999999998</v>
      </c>
      <c r="H23" s="39">
        <v>2.0514000000000001</v>
      </c>
      <c r="I23" s="40">
        <f t="shared" si="0"/>
        <v>4.0655162328165986</v>
      </c>
      <c r="J23" s="53">
        <v>44669</v>
      </c>
      <c r="K23" s="41">
        <v>44729</v>
      </c>
      <c r="L23" s="39">
        <f t="shared" si="1"/>
        <v>60</v>
      </c>
      <c r="M23" s="39">
        <v>0.5857</v>
      </c>
      <c r="N23" s="42">
        <f t="shared" si="2"/>
        <v>1.4657</v>
      </c>
      <c r="O23" s="39">
        <v>0.36980000000000002</v>
      </c>
      <c r="P23" s="39">
        <v>0.14299999999999999</v>
      </c>
      <c r="Q23" s="39">
        <v>7.0300000000000001E-2</v>
      </c>
      <c r="R23" s="42">
        <f t="shared" si="3"/>
        <v>1.8381000000000001</v>
      </c>
      <c r="S23" s="39">
        <f t="shared" si="4"/>
        <v>79.88139927098635</v>
      </c>
      <c r="U23" s="18">
        <f t="shared" si="5"/>
        <v>20.118600729013654</v>
      </c>
    </row>
    <row r="24" spans="1:25" x14ac:dyDescent="0.25">
      <c r="A24" s="39" t="s">
        <v>476</v>
      </c>
      <c r="B24" s="39" t="s">
        <v>623</v>
      </c>
      <c r="C24" s="39" t="s">
        <v>15</v>
      </c>
      <c r="D24" s="39" t="s">
        <v>20</v>
      </c>
      <c r="E24" s="39">
        <v>1</v>
      </c>
      <c r="F24" s="81" t="s">
        <v>646</v>
      </c>
      <c r="G24" s="39">
        <v>1.9191</v>
      </c>
      <c r="H24" s="39">
        <v>1.8444</v>
      </c>
      <c r="I24" s="40">
        <f t="shared" si="0"/>
        <v>4.0500975927130769</v>
      </c>
      <c r="J24" s="53">
        <v>44669</v>
      </c>
      <c r="K24" s="41">
        <v>44729</v>
      </c>
      <c r="L24" s="39">
        <f t="shared" si="1"/>
        <v>60</v>
      </c>
      <c r="M24" s="39">
        <v>0.56379999999999997</v>
      </c>
      <c r="N24" s="42">
        <f t="shared" si="2"/>
        <v>1.2806000000000002</v>
      </c>
      <c r="O24" s="39">
        <v>0.34620000000000001</v>
      </c>
      <c r="P24" s="39">
        <v>0.14069999999999999</v>
      </c>
      <c r="Q24" s="39">
        <v>7.17E-2</v>
      </c>
      <c r="R24" s="42">
        <f t="shared" si="3"/>
        <v>1.6320000000000001</v>
      </c>
      <c r="S24" s="39">
        <f t="shared" si="4"/>
        <v>78.786764705882348</v>
      </c>
      <c r="U24" s="18">
        <f t="shared" si="5"/>
        <v>21.213235294117645</v>
      </c>
    </row>
    <row r="25" spans="1:25" x14ac:dyDescent="0.25">
      <c r="A25" s="39" t="s">
        <v>476</v>
      </c>
      <c r="B25" s="39" t="s">
        <v>623</v>
      </c>
      <c r="C25" s="39" t="s">
        <v>15</v>
      </c>
      <c r="D25" s="39" t="s">
        <v>20</v>
      </c>
      <c r="E25" s="39">
        <v>2</v>
      </c>
      <c r="F25" s="81" t="s">
        <v>647</v>
      </c>
      <c r="G25" s="39">
        <v>2.0346000000000002</v>
      </c>
      <c r="H25" s="39">
        <v>1.9569000000000001</v>
      </c>
      <c r="I25" s="40">
        <f t="shared" si="0"/>
        <v>3.9705656906331495</v>
      </c>
      <c r="J25" s="53">
        <v>44669</v>
      </c>
      <c r="K25" s="41">
        <v>44729</v>
      </c>
      <c r="L25" s="39">
        <f t="shared" si="1"/>
        <v>60</v>
      </c>
      <c r="M25" s="39">
        <v>0.60660000000000003</v>
      </c>
      <c r="N25" s="42">
        <f t="shared" si="2"/>
        <v>1.3503000000000001</v>
      </c>
      <c r="O25" s="39">
        <v>0.38679999999999998</v>
      </c>
      <c r="P25" s="39">
        <v>0.1477</v>
      </c>
      <c r="Q25" s="39">
        <v>6.9500000000000006E-2</v>
      </c>
      <c r="R25" s="42">
        <f t="shared" si="3"/>
        <v>1.7397</v>
      </c>
      <c r="S25" s="39">
        <f t="shared" si="4"/>
        <v>77.766281542794729</v>
      </c>
      <c r="U25" s="18">
        <f t="shared" si="5"/>
        <v>22.233718457205264</v>
      </c>
    </row>
    <row r="26" spans="1:25" x14ac:dyDescent="0.25">
      <c r="A26" s="43" t="s">
        <v>477</v>
      </c>
      <c r="B26" s="43" t="s">
        <v>330</v>
      </c>
      <c r="C26" s="43" t="s">
        <v>15</v>
      </c>
      <c r="D26" s="43" t="s">
        <v>17</v>
      </c>
      <c r="E26" s="43">
        <v>1</v>
      </c>
      <c r="F26" s="82" t="s">
        <v>648</v>
      </c>
      <c r="G26" s="43">
        <v>2.0488</v>
      </c>
      <c r="H26" s="43">
        <v>1.9482999999999999</v>
      </c>
      <c r="I26" s="44">
        <f t="shared" si="0"/>
        <v>5.1583431709695651</v>
      </c>
      <c r="J26" s="53">
        <v>44685</v>
      </c>
      <c r="K26" s="45">
        <v>44743</v>
      </c>
      <c r="L26" s="43">
        <f t="shared" si="1"/>
        <v>58</v>
      </c>
      <c r="M26" s="43">
        <v>0.66359999999999997</v>
      </c>
      <c r="N26" s="46">
        <f t="shared" si="2"/>
        <v>1.2847</v>
      </c>
      <c r="O26" s="43">
        <v>0.43330000000000002</v>
      </c>
      <c r="P26" s="43">
        <v>0.16239999999999999</v>
      </c>
      <c r="Q26" s="43">
        <v>6.4600000000000005E-2</v>
      </c>
      <c r="R26" s="46">
        <f t="shared" si="3"/>
        <v>1.7212999999999998</v>
      </c>
      <c r="S26" s="43">
        <f t="shared" si="4"/>
        <v>74.827165514436757</v>
      </c>
      <c r="T26">
        <f>AVERAGE(O26:O33)</f>
        <v>0.3817625</v>
      </c>
      <c r="U26" s="18">
        <f t="shared" si="5"/>
        <v>25.172834485563239</v>
      </c>
      <c r="V26" s="7">
        <f>AVERAGE(U26:U33)</f>
        <v>22.187728154947546</v>
      </c>
      <c r="W26">
        <f>STDEV(U26:U33)</f>
        <v>2.4913482136073157</v>
      </c>
      <c r="X26">
        <f>AVERAGE(S26:S33)</f>
        <v>77.81227184505245</v>
      </c>
      <c r="Y26">
        <f>STDEV(S26:S33)</f>
        <v>2.4913482136073135</v>
      </c>
    </row>
    <row r="27" spans="1:25" x14ac:dyDescent="0.25">
      <c r="A27" s="43" t="s">
        <v>477</v>
      </c>
      <c r="B27" s="43" t="s">
        <v>330</v>
      </c>
      <c r="C27" s="43" t="s">
        <v>15</v>
      </c>
      <c r="D27" s="43" t="s">
        <v>17</v>
      </c>
      <c r="E27" s="43">
        <v>2</v>
      </c>
      <c r="F27" s="82" t="s">
        <v>649</v>
      </c>
      <c r="G27" s="43">
        <v>1.9879</v>
      </c>
      <c r="H27" s="43">
        <v>1.8926000000000001</v>
      </c>
      <c r="I27" s="44">
        <f t="shared" si="0"/>
        <v>5.0354010356123817</v>
      </c>
      <c r="J27" s="53">
        <v>44685</v>
      </c>
      <c r="K27" s="45">
        <v>44743</v>
      </c>
      <c r="L27" s="43">
        <f t="shared" si="1"/>
        <v>58</v>
      </c>
      <c r="M27" s="43">
        <v>0.52929999999999999</v>
      </c>
      <c r="N27" s="46">
        <f t="shared" si="2"/>
        <v>1.3633000000000002</v>
      </c>
      <c r="O27" s="43">
        <v>0.30930000000000002</v>
      </c>
      <c r="P27" s="43">
        <v>0.1515</v>
      </c>
      <c r="Q27" s="43">
        <v>6.4600000000000005E-2</v>
      </c>
      <c r="R27" s="46">
        <f t="shared" si="3"/>
        <v>1.6765000000000001</v>
      </c>
      <c r="S27" s="43">
        <f t="shared" si="4"/>
        <v>81.550849985087964</v>
      </c>
      <c r="U27" s="18">
        <f t="shared" si="5"/>
        <v>18.449150014912018</v>
      </c>
    </row>
    <row r="28" spans="1:25" x14ac:dyDescent="0.25">
      <c r="A28" s="43" t="s">
        <v>477</v>
      </c>
      <c r="B28" s="43" t="s">
        <v>330</v>
      </c>
      <c r="C28" s="43" t="s">
        <v>15</v>
      </c>
      <c r="D28" s="43" t="s">
        <v>18</v>
      </c>
      <c r="E28" s="43">
        <v>1</v>
      </c>
      <c r="F28" s="82" t="s">
        <v>650</v>
      </c>
      <c r="G28" s="43">
        <v>2.028</v>
      </c>
      <c r="H28" s="43">
        <v>1.9297</v>
      </c>
      <c r="I28" s="44">
        <f t="shared" si="0"/>
        <v>5.0940560708918516</v>
      </c>
      <c r="J28" s="53">
        <v>44685</v>
      </c>
      <c r="K28" s="45">
        <v>44743</v>
      </c>
      <c r="L28" s="43">
        <f t="shared" si="1"/>
        <v>58</v>
      </c>
      <c r="M28" s="43">
        <v>0.61529999999999996</v>
      </c>
      <c r="N28" s="46">
        <f t="shared" si="2"/>
        <v>1.3144</v>
      </c>
      <c r="O28" s="43">
        <v>0.37309999999999999</v>
      </c>
      <c r="P28" s="43">
        <v>0.16789999999999999</v>
      </c>
      <c r="Q28" s="43">
        <v>7.22E-2</v>
      </c>
      <c r="R28" s="46">
        <f t="shared" si="3"/>
        <v>1.6896</v>
      </c>
      <c r="S28" s="43">
        <f t="shared" si="4"/>
        <v>77.917850378787875</v>
      </c>
      <c r="U28" s="18">
        <f t="shared" si="5"/>
        <v>22.082149621212121</v>
      </c>
    </row>
    <row r="29" spans="1:25" x14ac:dyDescent="0.25">
      <c r="A29" s="43" t="s">
        <v>477</v>
      </c>
      <c r="B29" s="43" t="s">
        <v>330</v>
      </c>
      <c r="C29" s="43" t="s">
        <v>15</v>
      </c>
      <c r="D29" s="43" t="s">
        <v>18</v>
      </c>
      <c r="E29" s="43">
        <v>2</v>
      </c>
      <c r="F29" s="82" t="s">
        <v>651</v>
      </c>
      <c r="G29" s="43">
        <v>2.1154000000000002</v>
      </c>
      <c r="H29" s="43">
        <v>2.0116000000000001</v>
      </c>
      <c r="I29" s="44">
        <f t="shared" si="0"/>
        <v>5.1600715848081187</v>
      </c>
      <c r="J29" s="53">
        <v>44685</v>
      </c>
      <c r="K29" s="45">
        <v>44743</v>
      </c>
      <c r="L29" s="43">
        <f t="shared" si="1"/>
        <v>58</v>
      </c>
      <c r="M29" s="43">
        <v>0.68940000000000001</v>
      </c>
      <c r="N29" s="46">
        <f t="shared" si="2"/>
        <v>1.3222</v>
      </c>
      <c r="O29" s="43">
        <v>0.45319999999999999</v>
      </c>
      <c r="P29" s="43">
        <v>0.15709999999999999</v>
      </c>
      <c r="Q29" s="43">
        <v>7.7399999999999997E-2</v>
      </c>
      <c r="R29" s="46">
        <f t="shared" si="3"/>
        <v>1.7771000000000001</v>
      </c>
      <c r="S29" s="43">
        <f t="shared" si="4"/>
        <v>74.497777277587076</v>
      </c>
      <c r="U29" s="18">
        <f t="shared" si="5"/>
        <v>25.502222722412917</v>
      </c>
    </row>
    <row r="30" spans="1:25" x14ac:dyDescent="0.25">
      <c r="A30" s="43" t="s">
        <v>477</v>
      </c>
      <c r="B30" s="43" t="s">
        <v>330</v>
      </c>
      <c r="C30" s="43" t="s">
        <v>15</v>
      </c>
      <c r="D30" s="43" t="s">
        <v>19</v>
      </c>
      <c r="E30" s="43">
        <v>1</v>
      </c>
      <c r="F30" s="82" t="s">
        <v>652</v>
      </c>
      <c r="G30" s="43">
        <v>1.9567000000000001</v>
      </c>
      <c r="H30" s="43">
        <v>1.8648</v>
      </c>
      <c r="I30" s="44">
        <f t="shared" si="0"/>
        <v>4.9281424281424329</v>
      </c>
      <c r="J30" s="53">
        <v>44685</v>
      </c>
      <c r="K30" s="45">
        <v>44743</v>
      </c>
      <c r="L30" s="43">
        <f t="shared" si="1"/>
        <v>58</v>
      </c>
      <c r="M30" s="43">
        <v>0.53869999999999996</v>
      </c>
      <c r="N30" s="46">
        <f t="shared" si="2"/>
        <v>1.3261000000000001</v>
      </c>
      <c r="O30" s="43">
        <v>0.32519999999999999</v>
      </c>
      <c r="P30" s="43">
        <v>0.14990000000000001</v>
      </c>
      <c r="Q30" s="43">
        <v>6.2899999999999998E-2</v>
      </c>
      <c r="R30" s="46">
        <f t="shared" si="3"/>
        <v>1.6520000000000001</v>
      </c>
      <c r="S30" s="43">
        <f t="shared" si="4"/>
        <v>80.31476997578693</v>
      </c>
      <c r="U30" s="18">
        <f t="shared" si="5"/>
        <v>19.685230024213073</v>
      </c>
    </row>
    <row r="31" spans="1:25" x14ac:dyDescent="0.25">
      <c r="A31" s="43" t="s">
        <v>477</v>
      </c>
      <c r="B31" s="43" t="s">
        <v>330</v>
      </c>
      <c r="C31" s="43" t="s">
        <v>15</v>
      </c>
      <c r="D31" s="43" t="s">
        <v>19</v>
      </c>
      <c r="E31" s="43">
        <v>2</v>
      </c>
      <c r="F31" s="82" t="s">
        <v>653</v>
      </c>
      <c r="G31" s="43">
        <v>2.0068000000000001</v>
      </c>
      <c r="H31" s="43">
        <v>1.9095</v>
      </c>
      <c r="I31" s="44">
        <f t="shared" si="0"/>
        <v>5.0955747577900068</v>
      </c>
      <c r="J31" s="53">
        <v>44685</v>
      </c>
      <c r="K31" s="45">
        <v>44743</v>
      </c>
      <c r="L31" s="43">
        <f t="shared" si="1"/>
        <v>58</v>
      </c>
      <c r="M31" s="43">
        <v>0.56859999999999999</v>
      </c>
      <c r="N31" s="46">
        <f t="shared" si="2"/>
        <v>1.3409</v>
      </c>
      <c r="O31" s="43">
        <v>0.35439999999999999</v>
      </c>
      <c r="P31" s="43">
        <v>0.15090000000000001</v>
      </c>
      <c r="Q31" s="43">
        <v>6.2899999999999998E-2</v>
      </c>
      <c r="R31" s="46">
        <f t="shared" si="3"/>
        <v>1.6957</v>
      </c>
      <c r="S31" s="43">
        <f t="shared" si="4"/>
        <v>79.100076664504329</v>
      </c>
      <c r="U31" s="18">
        <f t="shared" si="5"/>
        <v>20.899923335495664</v>
      </c>
    </row>
    <row r="32" spans="1:25" x14ac:dyDescent="0.25">
      <c r="A32" s="43" t="s">
        <v>477</v>
      </c>
      <c r="B32" s="43" t="s">
        <v>330</v>
      </c>
      <c r="C32" s="43" t="s">
        <v>15</v>
      </c>
      <c r="D32" s="43" t="s">
        <v>20</v>
      </c>
      <c r="E32" s="43">
        <v>1</v>
      </c>
      <c r="F32" s="82" t="s">
        <v>654</v>
      </c>
      <c r="G32" s="46">
        <v>2.0739999999999998</v>
      </c>
      <c r="H32" s="43">
        <v>1.9755</v>
      </c>
      <c r="I32" s="44">
        <f t="shared" si="0"/>
        <v>4.9860794735509906</v>
      </c>
      <c r="J32" s="53">
        <v>44685</v>
      </c>
      <c r="K32" s="45">
        <v>44743</v>
      </c>
      <c r="L32" s="43">
        <f t="shared" si="1"/>
        <v>58</v>
      </c>
      <c r="M32" s="43">
        <v>0.60589999999999999</v>
      </c>
      <c r="N32" s="46">
        <f t="shared" si="2"/>
        <v>1.3696000000000002</v>
      </c>
      <c r="O32" s="43">
        <v>0.39240000000000003</v>
      </c>
      <c r="P32" s="43">
        <v>0.1474</v>
      </c>
      <c r="Q32" s="43">
        <v>6.3899999999999998E-2</v>
      </c>
      <c r="R32" s="46">
        <f t="shared" si="3"/>
        <v>1.7642</v>
      </c>
      <c r="S32" s="43">
        <f t="shared" si="4"/>
        <v>77.757623852170951</v>
      </c>
      <c r="U32" s="18">
        <f t="shared" si="5"/>
        <v>22.242376147829045</v>
      </c>
    </row>
    <row r="33" spans="1:25" x14ac:dyDescent="0.25">
      <c r="A33" s="43" t="s">
        <v>477</v>
      </c>
      <c r="B33" s="43" t="s">
        <v>330</v>
      </c>
      <c r="C33" s="43" t="s">
        <v>15</v>
      </c>
      <c r="D33" s="43" t="s">
        <v>20</v>
      </c>
      <c r="E33" s="43">
        <v>2</v>
      </c>
      <c r="F33" s="82" t="s">
        <v>655</v>
      </c>
      <c r="G33" s="43">
        <v>2.0834999999999999</v>
      </c>
      <c r="H33" s="43">
        <v>1.9832000000000001</v>
      </c>
      <c r="I33" s="44">
        <f t="shared" si="0"/>
        <v>5.05748285599031</v>
      </c>
      <c r="J33" s="53">
        <v>44685</v>
      </c>
      <c r="K33" s="45">
        <v>44743</v>
      </c>
      <c r="L33" s="43">
        <f t="shared" si="1"/>
        <v>58</v>
      </c>
      <c r="M33" s="43">
        <v>0.63739999999999997</v>
      </c>
      <c r="N33" s="46">
        <f t="shared" si="2"/>
        <v>1.3458000000000001</v>
      </c>
      <c r="O33" s="43">
        <v>0.41320000000000001</v>
      </c>
      <c r="P33" s="43">
        <v>0.1545</v>
      </c>
      <c r="Q33" s="43">
        <v>6.8000000000000005E-2</v>
      </c>
      <c r="R33" s="46">
        <f t="shared" si="3"/>
        <v>1.7607000000000002</v>
      </c>
      <c r="S33" s="43">
        <f t="shared" si="4"/>
        <v>76.532061112057704</v>
      </c>
      <c r="U33" s="18">
        <f t="shared" si="5"/>
        <v>23.467938887942292</v>
      </c>
    </row>
    <row r="34" spans="1:25" x14ac:dyDescent="0.25">
      <c r="A34" s="47" t="s">
        <v>478</v>
      </c>
      <c r="B34" s="47" t="s">
        <v>329</v>
      </c>
      <c r="C34" s="47" t="s">
        <v>15</v>
      </c>
      <c r="D34" s="47" t="s">
        <v>17</v>
      </c>
      <c r="E34" s="47">
        <v>1</v>
      </c>
      <c r="F34" s="83" t="s">
        <v>656</v>
      </c>
      <c r="G34" s="48">
        <v>2.0914000000000001</v>
      </c>
      <c r="H34" s="48">
        <v>1.9897</v>
      </c>
      <c r="I34" s="49">
        <f t="shared" si="0"/>
        <v>5.1113233150726298</v>
      </c>
      <c r="J34" s="53">
        <v>44685</v>
      </c>
      <c r="K34" s="50">
        <v>44743</v>
      </c>
      <c r="L34" s="47">
        <f t="shared" si="1"/>
        <v>58</v>
      </c>
      <c r="M34" s="47">
        <v>0.50419999999999998</v>
      </c>
      <c r="N34" s="48">
        <f t="shared" si="2"/>
        <v>1.4855</v>
      </c>
      <c r="O34" s="47">
        <v>0.2757</v>
      </c>
      <c r="P34" s="47">
        <v>0.15049999999999999</v>
      </c>
      <c r="Q34" s="47">
        <v>7.6100000000000001E-2</v>
      </c>
      <c r="R34" s="48">
        <f t="shared" si="3"/>
        <v>1.7631000000000001</v>
      </c>
      <c r="S34" s="47">
        <f t="shared" si="4"/>
        <v>84.362770120809941</v>
      </c>
      <c r="T34">
        <f>AVERAGE(O34:O41)</f>
        <v>0.29054999999999997</v>
      </c>
      <c r="U34" s="18">
        <f t="shared" si="5"/>
        <v>15.637229879190063</v>
      </c>
      <c r="V34" s="7">
        <f>AVERAGE(U34:U41)</f>
        <v>16.372461784606109</v>
      </c>
      <c r="W34">
        <f>STDEV(U34:U41)</f>
        <v>2.0379174102933053</v>
      </c>
      <c r="X34">
        <f>AVERAGE(S34:S41)</f>
        <v>83.627538215393898</v>
      </c>
      <c r="Y34">
        <f>STDEV(S34:S41)</f>
        <v>2.0379174102933177</v>
      </c>
    </row>
    <row r="35" spans="1:25" x14ac:dyDescent="0.25">
      <c r="A35" s="47" t="s">
        <v>478</v>
      </c>
      <c r="B35" s="47" t="s">
        <v>329</v>
      </c>
      <c r="C35" s="47" t="s">
        <v>15</v>
      </c>
      <c r="D35" s="47" t="s">
        <v>17</v>
      </c>
      <c r="E35" s="47">
        <v>2</v>
      </c>
      <c r="F35" s="83" t="s">
        <v>657</v>
      </c>
      <c r="G35" s="47">
        <v>2.1534</v>
      </c>
      <c r="H35" s="47">
        <v>2.0501</v>
      </c>
      <c r="I35" s="49">
        <f t="shared" si="0"/>
        <v>5.0387785961660381</v>
      </c>
      <c r="J35" s="53">
        <v>44685</v>
      </c>
      <c r="K35" s="50">
        <v>44743</v>
      </c>
      <c r="L35" s="47">
        <f t="shared" si="1"/>
        <v>58</v>
      </c>
      <c r="M35" s="47">
        <v>0.53449999999999998</v>
      </c>
      <c r="N35" s="48">
        <f t="shared" si="2"/>
        <v>1.5156000000000001</v>
      </c>
      <c r="O35" s="47">
        <v>0.318</v>
      </c>
      <c r="P35" s="47">
        <v>0.14799999999999999</v>
      </c>
      <c r="Q35" s="47">
        <v>6.7000000000000004E-2</v>
      </c>
      <c r="R35" s="48">
        <f t="shared" si="3"/>
        <v>1.8351</v>
      </c>
      <c r="S35" s="47">
        <f t="shared" si="4"/>
        <v>82.671244073892424</v>
      </c>
      <c r="U35" s="18">
        <f t="shared" si="5"/>
        <v>17.328755926107569</v>
      </c>
    </row>
    <row r="36" spans="1:25" x14ac:dyDescent="0.25">
      <c r="A36" s="47" t="s">
        <v>478</v>
      </c>
      <c r="B36" s="47" t="s">
        <v>329</v>
      </c>
      <c r="C36" s="47" t="s">
        <v>15</v>
      </c>
      <c r="D36" s="47" t="s">
        <v>18</v>
      </c>
      <c r="E36" s="47">
        <v>1</v>
      </c>
      <c r="F36" s="83" t="s">
        <v>658</v>
      </c>
      <c r="G36" s="47">
        <v>2.0939999999999999</v>
      </c>
      <c r="H36" s="48">
        <v>1.9915</v>
      </c>
      <c r="I36" s="49">
        <f t="shared" si="0"/>
        <v>5.1468742154155063</v>
      </c>
      <c r="J36" s="53">
        <v>44685</v>
      </c>
      <c r="K36" s="50">
        <v>44743</v>
      </c>
      <c r="L36" s="47">
        <f t="shared" si="1"/>
        <v>58</v>
      </c>
      <c r="M36" s="47">
        <v>0.49270000000000003</v>
      </c>
      <c r="N36" s="48">
        <f t="shared" si="2"/>
        <v>1.4988000000000001</v>
      </c>
      <c r="O36" s="47">
        <v>0.2797</v>
      </c>
      <c r="P36" s="47">
        <v>0.14649999999999999</v>
      </c>
      <c r="Q36" s="47">
        <v>6.3299999999999995E-2</v>
      </c>
      <c r="R36" s="48">
        <f t="shared" si="3"/>
        <v>1.7817000000000001</v>
      </c>
      <c r="S36" s="47">
        <f t="shared" si="4"/>
        <v>84.301509794016951</v>
      </c>
      <c r="U36" s="18">
        <f t="shared" si="5"/>
        <v>15.698490205983049</v>
      </c>
    </row>
    <row r="37" spans="1:25" x14ac:dyDescent="0.25">
      <c r="A37" s="47" t="s">
        <v>478</v>
      </c>
      <c r="B37" s="47" t="s">
        <v>329</v>
      </c>
      <c r="C37" s="47" t="s">
        <v>15</v>
      </c>
      <c r="D37" s="47" t="s">
        <v>18</v>
      </c>
      <c r="E37" s="47">
        <v>2</v>
      </c>
      <c r="F37" s="83" t="s">
        <v>659</v>
      </c>
      <c r="G37" s="47">
        <v>2.0703</v>
      </c>
      <c r="H37" s="47">
        <v>1.9702999999999999</v>
      </c>
      <c r="I37" s="49">
        <f t="shared" si="0"/>
        <v>5.0753692331117133</v>
      </c>
      <c r="J37" s="53">
        <v>44685</v>
      </c>
      <c r="K37" s="50">
        <v>44743</v>
      </c>
      <c r="L37" s="47">
        <f t="shared" si="1"/>
        <v>58</v>
      </c>
      <c r="M37" s="47">
        <v>0.48349999999999999</v>
      </c>
      <c r="N37" s="48">
        <f t="shared" si="2"/>
        <v>1.4867999999999999</v>
      </c>
      <c r="O37" s="47">
        <v>0.27839999999999998</v>
      </c>
      <c r="P37" s="47">
        <v>0.14430000000000001</v>
      </c>
      <c r="Q37" s="47">
        <v>6.3899999999999998E-2</v>
      </c>
      <c r="R37" s="48">
        <f t="shared" si="3"/>
        <v>1.7621</v>
      </c>
      <c r="S37" s="47">
        <f t="shared" si="4"/>
        <v>84.200669655524663</v>
      </c>
      <c r="U37" s="18">
        <f t="shared" si="5"/>
        <v>15.79933034447534</v>
      </c>
    </row>
    <row r="38" spans="1:25" x14ac:dyDescent="0.25">
      <c r="A38" s="47" t="s">
        <v>478</v>
      </c>
      <c r="B38" s="47" t="s">
        <v>329</v>
      </c>
      <c r="C38" s="47" t="s">
        <v>15</v>
      </c>
      <c r="D38" s="47" t="s">
        <v>19</v>
      </c>
      <c r="E38" s="47">
        <v>1</v>
      </c>
      <c r="F38" s="83" t="s">
        <v>660</v>
      </c>
      <c r="G38" s="47">
        <v>2.0324</v>
      </c>
      <c r="H38" s="47">
        <v>1.9327000000000001</v>
      </c>
      <c r="I38" s="49">
        <f t="shared" si="0"/>
        <v>5.1585864334868266</v>
      </c>
      <c r="J38" s="53">
        <v>44685</v>
      </c>
      <c r="K38" s="50">
        <v>44743</v>
      </c>
      <c r="L38" s="47">
        <f t="shared" si="1"/>
        <v>58</v>
      </c>
      <c r="M38" s="47">
        <v>0.56269999999999998</v>
      </c>
      <c r="N38" s="48">
        <f t="shared" si="2"/>
        <v>1.37</v>
      </c>
      <c r="O38" s="47">
        <v>0.35520000000000002</v>
      </c>
      <c r="P38" s="47">
        <v>0.13900000000000001</v>
      </c>
      <c r="Q38" s="47">
        <v>6.9500000000000006E-2</v>
      </c>
      <c r="R38" s="48">
        <f t="shared" si="3"/>
        <v>1.7242000000000002</v>
      </c>
      <c r="S38" s="47">
        <f t="shared" si="4"/>
        <v>79.399141630901298</v>
      </c>
      <c r="U38" s="18">
        <f t="shared" si="5"/>
        <v>20.600858369098713</v>
      </c>
    </row>
    <row r="39" spans="1:25" x14ac:dyDescent="0.25">
      <c r="A39" s="47" t="s">
        <v>478</v>
      </c>
      <c r="B39" s="47" t="s">
        <v>329</v>
      </c>
      <c r="C39" s="47" t="s">
        <v>15</v>
      </c>
      <c r="D39" s="47" t="s">
        <v>19</v>
      </c>
      <c r="E39" s="47">
        <v>2</v>
      </c>
      <c r="F39" s="83" t="s">
        <v>661</v>
      </c>
      <c r="G39" s="47">
        <v>2.1347</v>
      </c>
      <c r="H39" s="47">
        <v>2.0303</v>
      </c>
      <c r="I39" s="49">
        <f t="shared" si="0"/>
        <v>5.1420972270107885</v>
      </c>
      <c r="J39" s="53">
        <v>44685</v>
      </c>
      <c r="K39" s="50">
        <v>44743</v>
      </c>
      <c r="L39" s="47">
        <f t="shared" si="1"/>
        <v>58</v>
      </c>
      <c r="M39" s="47">
        <v>0.46089999999999998</v>
      </c>
      <c r="N39" s="48">
        <f t="shared" si="2"/>
        <v>1.5693999999999999</v>
      </c>
      <c r="O39" s="47">
        <v>0.25040000000000001</v>
      </c>
      <c r="P39" s="47">
        <v>0.14380000000000001</v>
      </c>
      <c r="Q39" s="47">
        <v>6.6299999999999998E-2</v>
      </c>
      <c r="R39" s="48">
        <f t="shared" si="3"/>
        <v>1.8202</v>
      </c>
      <c r="S39" s="47">
        <f t="shared" si="4"/>
        <v>86.243269970332932</v>
      </c>
      <c r="U39" s="18">
        <f t="shared" si="5"/>
        <v>13.75673002966707</v>
      </c>
    </row>
    <row r="40" spans="1:25" x14ac:dyDescent="0.25">
      <c r="A40" s="47" t="s">
        <v>478</v>
      </c>
      <c r="B40" s="47" t="s">
        <v>329</v>
      </c>
      <c r="C40" s="47" t="s">
        <v>15</v>
      </c>
      <c r="D40" s="47" t="s">
        <v>20</v>
      </c>
      <c r="E40" s="47">
        <v>1</v>
      </c>
      <c r="F40" s="83" t="s">
        <v>662</v>
      </c>
      <c r="G40" s="47">
        <v>2.0123000000000002</v>
      </c>
      <c r="H40" s="47">
        <v>1.9129</v>
      </c>
      <c r="I40" s="49">
        <f t="shared" si="0"/>
        <v>5.196298813320098</v>
      </c>
      <c r="J40" s="53">
        <v>44685</v>
      </c>
      <c r="K40" s="50">
        <v>44743</v>
      </c>
      <c r="L40" s="47">
        <f t="shared" si="1"/>
        <v>58</v>
      </c>
      <c r="M40" s="47">
        <v>0.49809999999999999</v>
      </c>
      <c r="N40" s="48">
        <f t="shared" si="2"/>
        <v>1.4148000000000001</v>
      </c>
      <c r="O40" s="47">
        <v>0.29120000000000001</v>
      </c>
      <c r="P40" s="47">
        <v>0.13800000000000001</v>
      </c>
      <c r="Q40" s="47">
        <v>6.8400000000000002E-2</v>
      </c>
      <c r="R40" s="48">
        <f t="shared" si="3"/>
        <v>1.7065000000000001</v>
      </c>
      <c r="S40" s="47">
        <f t="shared" si="4"/>
        <v>82.935833577497803</v>
      </c>
      <c r="U40" s="18">
        <f t="shared" si="5"/>
        <v>17.064166422502197</v>
      </c>
    </row>
    <row r="41" spans="1:25" x14ac:dyDescent="0.25">
      <c r="A41" s="47" t="s">
        <v>478</v>
      </c>
      <c r="B41" s="47" t="s">
        <v>329</v>
      </c>
      <c r="C41" s="47" t="s">
        <v>15</v>
      </c>
      <c r="D41" s="47" t="s">
        <v>20</v>
      </c>
      <c r="E41" s="47">
        <v>2</v>
      </c>
      <c r="F41" s="83" t="s">
        <v>663</v>
      </c>
      <c r="G41" s="47">
        <v>2.1421000000000001</v>
      </c>
      <c r="H41" s="47">
        <v>2.0385</v>
      </c>
      <c r="I41" s="49">
        <f t="shared" si="0"/>
        <v>5.0821682609762151</v>
      </c>
      <c r="J41" s="53">
        <v>44685</v>
      </c>
      <c r="K41" s="50">
        <v>44743</v>
      </c>
      <c r="L41" s="47">
        <f t="shared" si="1"/>
        <v>58</v>
      </c>
      <c r="M41" s="47">
        <v>0.49230000000000002</v>
      </c>
      <c r="N41" s="48">
        <f t="shared" si="2"/>
        <v>1.5462</v>
      </c>
      <c r="O41" s="47">
        <v>0.27579999999999999</v>
      </c>
      <c r="P41" s="47">
        <v>0.1454</v>
      </c>
      <c r="Q41" s="47">
        <v>6.59E-2</v>
      </c>
      <c r="R41" s="48">
        <f t="shared" si="3"/>
        <v>1.8271999999999999</v>
      </c>
      <c r="S41" s="47">
        <f t="shared" si="4"/>
        <v>84.905866900175127</v>
      </c>
      <c r="U41" s="18">
        <f t="shared" si="5"/>
        <v>15.09413309982487</v>
      </c>
    </row>
    <row r="42" spans="1:25" x14ac:dyDescent="0.25">
      <c r="A42" s="76" t="s">
        <v>479</v>
      </c>
      <c r="B42" s="76" t="s">
        <v>783</v>
      </c>
      <c r="C42" s="76" t="s">
        <v>15</v>
      </c>
      <c r="D42" s="76" t="s">
        <v>17</v>
      </c>
      <c r="E42" s="76">
        <v>1</v>
      </c>
      <c r="F42" s="84" t="s">
        <v>891</v>
      </c>
      <c r="G42" s="76">
        <v>2.1032999999999999</v>
      </c>
      <c r="H42" s="76">
        <v>1.9942</v>
      </c>
      <c r="I42" s="77">
        <f t="shared" si="0"/>
        <v>5.4708655099789381</v>
      </c>
      <c r="J42" s="53">
        <v>44944</v>
      </c>
      <c r="K42" s="78">
        <v>45002</v>
      </c>
      <c r="L42" s="76">
        <f t="shared" si="1"/>
        <v>58</v>
      </c>
      <c r="M42" s="76">
        <v>0.86550000000000005</v>
      </c>
      <c r="N42" s="79">
        <f t="shared" si="2"/>
        <v>1.1286999999999998</v>
      </c>
      <c r="O42" s="76">
        <v>0.60629999999999995</v>
      </c>
      <c r="P42" s="76">
        <v>0.1764</v>
      </c>
      <c r="Q42" s="76">
        <v>6.4299999999999996E-2</v>
      </c>
      <c r="R42" s="79">
        <f t="shared" si="3"/>
        <v>1.7535000000000001</v>
      </c>
      <c r="S42" s="76">
        <f t="shared" si="4"/>
        <v>65.423438836612505</v>
      </c>
      <c r="T42">
        <f>AVERAGE(O42:O49)</f>
        <v>0.48404999999999992</v>
      </c>
      <c r="U42" s="18">
        <f t="shared" si="5"/>
        <v>34.57656116338751</v>
      </c>
      <c r="V42" s="7">
        <f>AVERAGE(U42:U49)</f>
        <v>27.477543382124686</v>
      </c>
      <c r="W42">
        <f>STDEV(U42:U49)</f>
        <v>3.9390946012265347</v>
      </c>
      <c r="X42">
        <f>AVERAGE(S42:S49)</f>
        <v>72.522456617875307</v>
      </c>
      <c r="Y42">
        <f>STDEV(S42:S49)</f>
        <v>3.9390946012265315</v>
      </c>
    </row>
    <row r="43" spans="1:25" x14ac:dyDescent="0.25">
      <c r="A43" s="76" t="s">
        <v>479</v>
      </c>
      <c r="B43" s="76" t="s">
        <v>783</v>
      </c>
      <c r="C43" s="76" t="s">
        <v>15</v>
      </c>
      <c r="D43" s="76" t="s">
        <v>17</v>
      </c>
      <c r="E43" s="76">
        <v>2</v>
      </c>
      <c r="F43" s="84" t="s">
        <v>892</v>
      </c>
      <c r="G43" s="76">
        <v>2.0962999999999998</v>
      </c>
      <c r="H43" s="76">
        <v>1.9883999999999999</v>
      </c>
      <c r="I43" s="77">
        <f t="shared" si="0"/>
        <v>5.4264735465701008</v>
      </c>
      <c r="J43" s="53">
        <v>44944</v>
      </c>
      <c r="K43" s="78">
        <v>45002</v>
      </c>
      <c r="L43" s="76">
        <f t="shared" si="1"/>
        <v>58</v>
      </c>
      <c r="M43" s="76">
        <v>0.76770000000000005</v>
      </c>
      <c r="N43" s="79">
        <f t="shared" si="2"/>
        <v>1.2206999999999999</v>
      </c>
      <c r="O43" s="76">
        <v>0.55289999999999995</v>
      </c>
      <c r="P43" s="76">
        <v>0.14269999999999999</v>
      </c>
      <c r="Q43" s="76">
        <v>6.7900000000000002E-2</v>
      </c>
      <c r="R43" s="79">
        <f t="shared" si="3"/>
        <v>1.7778</v>
      </c>
      <c r="S43" s="76">
        <f t="shared" si="4"/>
        <v>68.899763752953092</v>
      </c>
      <c r="U43" s="18">
        <f t="shared" si="5"/>
        <v>31.100236247046908</v>
      </c>
    </row>
    <row r="44" spans="1:25" x14ac:dyDescent="0.25">
      <c r="A44" s="76" t="s">
        <v>479</v>
      </c>
      <c r="B44" s="76" t="s">
        <v>783</v>
      </c>
      <c r="C44" s="76" t="s">
        <v>15</v>
      </c>
      <c r="D44" s="76" t="s">
        <v>18</v>
      </c>
      <c r="E44" s="76">
        <v>1</v>
      </c>
      <c r="F44" s="84" t="s">
        <v>893</v>
      </c>
      <c r="G44" s="76">
        <v>2.0699000000000001</v>
      </c>
      <c r="H44" s="76">
        <v>1.9635</v>
      </c>
      <c r="I44" s="77">
        <f t="shared" si="0"/>
        <v>5.4188948306595393</v>
      </c>
      <c r="J44" s="53">
        <v>44944</v>
      </c>
      <c r="K44" s="78">
        <v>45002</v>
      </c>
      <c r="L44" s="76">
        <f t="shared" si="1"/>
        <v>58</v>
      </c>
      <c r="M44" s="76">
        <v>0.66569999999999996</v>
      </c>
      <c r="N44" s="79">
        <f t="shared" si="2"/>
        <v>1.2978000000000001</v>
      </c>
      <c r="O44" s="76">
        <v>0.4587</v>
      </c>
      <c r="P44" s="76">
        <v>0.13969999999999999</v>
      </c>
      <c r="Q44" s="76">
        <v>6.2700000000000006E-2</v>
      </c>
      <c r="R44" s="79">
        <f t="shared" si="3"/>
        <v>1.7611000000000001</v>
      </c>
      <c r="S44" s="76">
        <f t="shared" si="4"/>
        <v>73.953778888194876</v>
      </c>
      <c r="U44" s="18">
        <f t="shared" si="5"/>
        <v>26.046221111805117</v>
      </c>
    </row>
    <row r="45" spans="1:25" x14ac:dyDescent="0.25">
      <c r="A45" s="76" t="s">
        <v>479</v>
      </c>
      <c r="B45" s="76" t="s">
        <v>783</v>
      </c>
      <c r="C45" s="76" t="s">
        <v>15</v>
      </c>
      <c r="D45" s="76" t="s">
        <v>18</v>
      </c>
      <c r="E45" s="76">
        <v>2</v>
      </c>
      <c r="F45" s="84" t="s">
        <v>894</v>
      </c>
      <c r="G45" s="76">
        <v>2.0665</v>
      </c>
      <c r="H45" s="76">
        <v>1.9601</v>
      </c>
      <c r="I45" s="77">
        <f t="shared" si="0"/>
        <v>5.4282944747716977</v>
      </c>
      <c r="J45" s="53">
        <v>44944</v>
      </c>
      <c r="K45" s="78">
        <v>45002</v>
      </c>
      <c r="L45" s="76">
        <f t="shared" si="1"/>
        <v>58</v>
      </c>
      <c r="M45" s="76">
        <v>0.61319999999999997</v>
      </c>
      <c r="N45" s="79">
        <f t="shared" si="2"/>
        <v>1.3469</v>
      </c>
      <c r="O45" s="76">
        <v>0.4103</v>
      </c>
      <c r="P45" s="76">
        <v>0.14199999999999999</v>
      </c>
      <c r="Q45" s="76">
        <v>5.6899999999999999E-2</v>
      </c>
      <c r="R45" s="79">
        <f t="shared" si="3"/>
        <v>1.7611999999999999</v>
      </c>
      <c r="S45" s="76">
        <f t="shared" si="4"/>
        <v>76.703384056325234</v>
      </c>
      <c r="U45" s="18">
        <f t="shared" si="5"/>
        <v>23.29661594367477</v>
      </c>
    </row>
    <row r="46" spans="1:25" x14ac:dyDescent="0.25">
      <c r="A46" s="76" t="s">
        <v>479</v>
      </c>
      <c r="B46" s="76" t="s">
        <v>783</v>
      </c>
      <c r="C46" s="76" t="s">
        <v>15</v>
      </c>
      <c r="D46" s="76" t="s">
        <v>19</v>
      </c>
      <c r="E46" s="76">
        <v>1</v>
      </c>
      <c r="F46" s="84" t="s">
        <v>895</v>
      </c>
      <c r="G46" s="76">
        <v>2.0668000000000002</v>
      </c>
      <c r="H46" s="76">
        <v>1.9611000000000001</v>
      </c>
      <c r="I46" s="77">
        <f t="shared" si="0"/>
        <v>5.3898322370098475</v>
      </c>
      <c r="J46" s="53">
        <v>44944</v>
      </c>
      <c r="K46" s="78">
        <v>45002</v>
      </c>
      <c r="L46" s="76">
        <f t="shared" si="1"/>
        <v>58</v>
      </c>
      <c r="M46" s="76">
        <v>0.65910000000000002</v>
      </c>
      <c r="N46" s="79">
        <f t="shared" si="2"/>
        <v>1.302</v>
      </c>
      <c r="O46" s="76">
        <v>0.443</v>
      </c>
      <c r="P46" s="76">
        <v>0.14630000000000001</v>
      </c>
      <c r="Q46" s="76">
        <v>6.1499999999999999E-2</v>
      </c>
      <c r="R46" s="79">
        <f t="shared" si="3"/>
        <v>1.7533000000000001</v>
      </c>
      <c r="S46" s="76">
        <f t="shared" si="4"/>
        <v>74.733359949808928</v>
      </c>
      <c r="U46" s="18">
        <f t="shared" si="5"/>
        <v>25.266640050191068</v>
      </c>
    </row>
    <row r="47" spans="1:25" x14ac:dyDescent="0.25">
      <c r="A47" s="76" t="s">
        <v>479</v>
      </c>
      <c r="B47" s="76" t="s">
        <v>783</v>
      </c>
      <c r="C47" s="76" t="s">
        <v>15</v>
      </c>
      <c r="D47" s="76" t="s">
        <v>19</v>
      </c>
      <c r="E47" s="76">
        <v>2</v>
      </c>
      <c r="F47" s="84" t="s">
        <v>896</v>
      </c>
      <c r="G47" s="76">
        <v>2.0992000000000002</v>
      </c>
      <c r="H47" s="76">
        <v>1.9915</v>
      </c>
      <c r="I47" s="77">
        <f t="shared" si="0"/>
        <v>5.4079839317097731</v>
      </c>
      <c r="J47" s="53">
        <v>44944</v>
      </c>
      <c r="K47" s="78">
        <v>45002</v>
      </c>
      <c r="L47" s="76">
        <f t="shared" si="1"/>
        <v>58</v>
      </c>
      <c r="M47" s="76">
        <v>0.63449999999999995</v>
      </c>
      <c r="N47" s="79">
        <f t="shared" si="2"/>
        <v>1.3570000000000002</v>
      </c>
      <c r="O47" s="76">
        <v>0.41239999999999999</v>
      </c>
      <c r="P47" s="76">
        <v>0.15409999999999999</v>
      </c>
      <c r="Q47" s="76">
        <v>6.4299999999999996E-2</v>
      </c>
      <c r="R47" s="79">
        <f t="shared" si="3"/>
        <v>1.7731000000000001</v>
      </c>
      <c r="S47" s="76">
        <f t="shared" si="4"/>
        <v>76.741300547064455</v>
      </c>
      <c r="U47" s="18">
        <f t="shared" si="5"/>
        <v>23.258699452935534</v>
      </c>
    </row>
    <row r="48" spans="1:25" x14ac:dyDescent="0.25">
      <c r="A48" s="76" t="s">
        <v>479</v>
      </c>
      <c r="B48" s="76" t="s">
        <v>783</v>
      </c>
      <c r="C48" s="76" t="s">
        <v>15</v>
      </c>
      <c r="D48" s="76" t="s">
        <v>20</v>
      </c>
      <c r="E48" s="76">
        <v>1</v>
      </c>
      <c r="F48" s="84" t="s">
        <v>897</v>
      </c>
      <c r="G48" s="76">
        <v>2.1507000000000001</v>
      </c>
      <c r="H48" s="76">
        <v>2.0204</v>
      </c>
      <c r="I48" s="77">
        <f t="shared" si="0"/>
        <v>6.4492179766382938</v>
      </c>
      <c r="J48" s="53">
        <v>44944</v>
      </c>
      <c r="K48" s="78">
        <v>45002</v>
      </c>
      <c r="L48" s="76">
        <f t="shared" si="1"/>
        <v>58</v>
      </c>
      <c r="M48" s="76">
        <v>0.72440000000000004</v>
      </c>
      <c r="N48" s="79">
        <f t="shared" si="2"/>
        <v>1.2959999999999998</v>
      </c>
      <c r="O48" s="76">
        <v>0.48409999999999997</v>
      </c>
      <c r="P48" s="76">
        <v>0.15579999999999999</v>
      </c>
      <c r="Q48" s="76">
        <v>8.0600000000000005E-2</v>
      </c>
      <c r="R48" s="79">
        <f t="shared" si="3"/>
        <v>1.784</v>
      </c>
      <c r="S48" s="76">
        <f t="shared" si="4"/>
        <v>72.86434977578476</v>
      </c>
      <c r="U48" s="18">
        <f t="shared" si="5"/>
        <v>27.135650224215247</v>
      </c>
    </row>
    <row r="49" spans="1:25" x14ac:dyDescent="0.25">
      <c r="A49" s="76" t="s">
        <v>479</v>
      </c>
      <c r="B49" s="76" t="s">
        <v>783</v>
      </c>
      <c r="C49" s="76" t="s">
        <v>15</v>
      </c>
      <c r="D49" s="76" t="s">
        <v>20</v>
      </c>
      <c r="E49" s="76">
        <v>2</v>
      </c>
      <c r="F49" s="84" t="s">
        <v>898</v>
      </c>
      <c r="G49" s="76">
        <v>2.1128</v>
      </c>
      <c r="H49" s="76">
        <v>1.9846999999999999</v>
      </c>
      <c r="I49" s="77">
        <f t="shared" si="0"/>
        <v>6.4543759762180741</v>
      </c>
      <c r="J49" s="53">
        <v>44944</v>
      </c>
      <c r="K49" s="78">
        <v>45002</v>
      </c>
      <c r="L49" s="76">
        <f t="shared" si="1"/>
        <v>58</v>
      </c>
      <c r="M49" s="76">
        <v>0.77310000000000001</v>
      </c>
      <c r="N49" s="79">
        <f t="shared" si="2"/>
        <v>1.2115999999999998</v>
      </c>
      <c r="O49" s="76">
        <v>0.50470000000000004</v>
      </c>
      <c r="P49" s="76">
        <v>0.18720000000000001</v>
      </c>
      <c r="Q49" s="76">
        <v>6.5500000000000003E-2</v>
      </c>
      <c r="R49" s="79">
        <f t="shared" si="3"/>
        <v>1.7319999999999998</v>
      </c>
      <c r="S49" s="76">
        <f t="shared" si="4"/>
        <v>70.860277136258645</v>
      </c>
      <c r="U49" s="18">
        <f t="shared" si="5"/>
        <v>29.139722863741348</v>
      </c>
    </row>
    <row r="50" spans="1:25" x14ac:dyDescent="0.25">
      <c r="F50" s="13" t="s">
        <v>119</v>
      </c>
      <c r="G50" s="14">
        <f>AVERAGE(G2:G49)</f>
        <v>2.0655625</v>
      </c>
      <c r="H50" s="14">
        <f>AVERAGE(H2:H49)</f>
        <v>1.9661666666666664</v>
      </c>
      <c r="I50" s="4"/>
      <c r="J50" s="5"/>
      <c r="K50" s="5"/>
      <c r="O50" s="15"/>
      <c r="P50" s="16"/>
      <c r="Q50" s="16"/>
    </row>
    <row r="51" spans="1:25" x14ac:dyDescent="0.25">
      <c r="F51" s="13" t="s">
        <v>120</v>
      </c>
      <c r="G51" s="14">
        <f>STDEV(G2:G49)</f>
        <v>5.4093593536592911E-2</v>
      </c>
      <c r="H51" s="14">
        <f>STDEV(H2:H49)</f>
        <v>4.8910266656369439E-2</v>
      </c>
      <c r="I51" s="4"/>
      <c r="J51" s="5"/>
      <c r="K51" s="5"/>
      <c r="O51" s="15"/>
      <c r="P51" s="16"/>
      <c r="Q51" s="16"/>
    </row>
    <row r="52" spans="1:25" x14ac:dyDescent="0.25">
      <c r="F52" s="13" t="s">
        <v>121</v>
      </c>
      <c r="G52" s="14">
        <f>CONFIDENCE(0.05,G51,COUNT(G2:G49))</f>
        <v>1.5302884687730884E-2</v>
      </c>
      <c r="H52" s="14">
        <f>CONFIDENCE(0.05,H51,COUNT(H2:H41))</f>
        <v>1.5157170151154604E-2</v>
      </c>
      <c r="I52" s="4"/>
      <c r="J52" s="5"/>
      <c r="K52" s="5"/>
      <c r="O52" s="15"/>
      <c r="P52" s="16"/>
      <c r="Q52" s="16"/>
    </row>
    <row r="53" spans="1:25" x14ac:dyDescent="0.25">
      <c r="F53" s="13" t="s">
        <v>122</v>
      </c>
      <c r="G53" s="14">
        <f>G50-G52</f>
        <v>2.0502596153122692</v>
      </c>
      <c r="H53" s="14">
        <f>H50-H52</f>
        <v>1.9510094965155118</v>
      </c>
      <c r="I53" s="4"/>
      <c r="J53" s="5"/>
      <c r="K53" s="5"/>
      <c r="O53" s="15"/>
      <c r="P53" s="16"/>
      <c r="Q53" s="16"/>
    </row>
    <row r="54" spans="1:25" x14ac:dyDescent="0.25">
      <c r="F54" s="13" t="s">
        <v>123</v>
      </c>
      <c r="G54" s="14">
        <f>G50+G53</f>
        <v>4.1158221153122696</v>
      </c>
      <c r="H54" s="14">
        <f>H50+H53</f>
        <v>3.9171761631821784</v>
      </c>
      <c r="I54" s="4"/>
      <c r="J54" s="5"/>
      <c r="K54" s="5"/>
      <c r="O54" s="15"/>
      <c r="P54" s="16"/>
      <c r="Q54" s="16"/>
    </row>
    <row r="55" spans="1:25" x14ac:dyDescent="0.25">
      <c r="F55" s="12"/>
    </row>
    <row r="56" spans="1:25" ht="60" x14ac:dyDescent="0.25">
      <c r="A56" t="s">
        <v>1</v>
      </c>
      <c r="B56" t="s">
        <v>39</v>
      </c>
      <c r="C56" t="s">
        <v>12</v>
      </c>
      <c r="D56" t="s">
        <v>13</v>
      </c>
      <c r="E56" t="s">
        <v>40</v>
      </c>
      <c r="F56" s="1" t="s">
        <v>0</v>
      </c>
      <c r="G56" s="2" t="s">
        <v>3</v>
      </c>
      <c r="H56" s="2" t="s">
        <v>11</v>
      </c>
      <c r="I56" s="2" t="s">
        <v>42</v>
      </c>
      <c r="J56" s="3" t="s">
        <v>2</v>
      </c>
      <c r="K56" s="1" t="s">
        <v>4</v>
      </c>
      <c r="L56" s="2" t="s">
        <v>5</v>
      </c>
      <c r="M56" s="3" t="s">
        <v>37</v>
      </c>
      <c r="N56" s="2" t="s">
        <v>6</v>
      </c>
      <c r="O56" s="3" t="s">
        <v>38</v>
      </c>
      <c r="P56" s="2" t="s">
        <v>7</v>
      </c>
      <c r="Q56" s="2" t="s">
        <v>8</v>
      </c>
      <c r="R56" s="2" t="s">
        <v>9</v>
      </c>
      <c r="S56" s="2" t="s">
        <v>10</v>
      </c>
      <c r="T56" s="51" t="s">
        <v>190</v>
      </c>
      <c r="U56" s="52" t="s">
        <v>191</v>
      </c>
      <c r="V56" s="52" t="s">
        <v>119</v>
      </c>
      <c r="W56" s="52" t="s">
        <v>192</v>
      </c>
      <c r="X56" s="52" t="s">
        <v>119</v>
      </c>
      <c r="Y56" s="52" t="s">
        <v>192</v>
      </c>
    </row>
    <row r="57" spans="1:25" x14ac:dyDescent="0.25">
      <c r="A57" s="27" t="s">
        <v>474</v>
      </c>
      <c r="B57" s="27" t="s">
        <v>622</v>
      </c>
      <c r="C57" s="27" t="s">
        <v>16</v>
      </c>
      <c r="D57" s="27" t="s">
        <v>17</v>
      </c>
      <c r="E57" s="27">
        <v>1</v>
      </c>
      <c r="F57" s="80" t="s">
        <v>736</v>
      </c>
      <c r="G57" s="27">
        <v>2.3216999999999999</v>
      </c>
      <c r="H57" s="27">
        <v>2.1573000000000002</v>
      </c>
      <c r="I57" s="28">
        <f t="shared" ref="I57:I103" si="6">((G57-H57)/H57)*100</f>
        <v>7.6206369072451512</v>
      </c>
      <c r="J57" s="54">
        <v>44641</v>
      </c>
      <c r="K57" s="29">
        <v>44701</v>
      </c>
      <c r="L57" s="27">
        <f t="shared" ref="L57:L103" si="7">K57-J57</f>
        <v>60</v>
      </c>
      <c r="M57" s="27">
        <v>1.3793</v>
      </c>
      <c r="N57" s="27">
        <f>H57-M57</f>
        <v>0.77800000000000025</v>
      </c>
      <c r="O57" s="27">
        <v>1.1882999999999999</v>
      </c>
      <c r="P57" s="27">
        <v>0.13700000000000001</v>
      </c>
      <c r="Q57" s="27">
        <v>5.79E-2</v>
      </c>
      <c r="R57" s="30">
        <f>H57-(P57+Q57)</f>
        <v>1.9624000000000001</v>
      </c>
      <c r="S57" s="27">
        <f>((R57-O57)/R57)*100</f>
        <v>39.446596004891973</v>
      </c>
      <c r="T57">
        <f>AVERAGE(O57:O64)</f>
        <v>1.2069125000000001</v>
      </c>
      <c r="U57" s="18">
        <f>(O57/R57)*100</f>
        <v>60.553403995108027</v>
      </c>
      <c r="V57" s="7">
        <f>AVERAGE(U57:U64)</f>
        <v>62.456100836552409</v>
      </c>
      <c r="W57">
        <f>STDEV(U57:U64)</f>
        <v>2.3014631578487901</v>
      </c>
      <c r="X57">
        <f>AVERAGE(S57:S64)</f>
        <v>37.543899163447591</v>
      </c>
      <c r="Y57">
        <f>STDEV(S57:S64)</f>
        <v>2.3014631578487892</v>
      </c>
    </row>
    <row r="58" spans="1:25" x14ac:dyDescent="0.25">
      <c r="A58" s="27" t="s">
        <v>474</v>
      </c>
      <c r="B58" s="27" t="s">
        <v>622</v>
      </c>
      <c r="C58" s="27" t="s">
        <v>16</v>
      </c>
      <c r="D58" s="27" t="s">
        <v>17</v>
      </c>
      <c r="E58" s="27">
        <v>2</v>
      </c>
      <c r="F58" s="80" t="s">
        <v>737</v>
      </c>
      <c r="G58" s="27">
        <v>2.3210000000000002</v>
      </c>
      <c r="H58" s="27">
        <v>2.1581999999999999</v>
      </c>
      <c r="I58" s="28">
        <f t="shared" si="6"/>
        <v>7.5433231396534284</v>
      </c>
      <c r="J58" s="54">
        <v>44641</v>
      </c>
      <c r="K58" s="29">
        <v>44701</v>
      </c>
      <c r="L58" s="27">
        <f t="shared" si="7"/>
        <v>60</v>
      </c>
      <c r="M58" s="27">
        <v>1.4421999999999999</v>
      </c>
      <c r="N58" s="27">
        <f t="shared" ref="N58:N103" si="8">H58-M58</f>
        <v>0.71599999999999997</v>
      </c>
      <c r="O58" s="27">
        <v>1.2438</v>
      </c>
      <c r="P58" s="27">
        <v>0.1431</v>
      </c>
      <c r="Q58" s="27">
        <v>5.7500000000000002E-2</v>
      </c>
      <c r="R58" s="30">
        <f t="shared" ref="R58:R103" si="9">H58-(P58+Q58)</f>
        <v>1.9575999999999998</v>
      </c>
      <c r="S58" s="27">
        <f t="shared" ref="S58:S103" si="10">((R58-O58)/R58)*100</f>
        <v>36.463015937883114</v>
      </c>
      <c r="U58" s="18">
        <f t="shared" ref="U58:U103" si="11">(O58/R58)*100</f>
        <v>63.536984062116886</v>
      </c>
    </row>
    <row r="59" spans="1:25" x14ac:dyDescent="0.25">
      <c r="A59" s="27" t="s">
        <v>474</v>
      </c>
      <c r="B59" s="27" t="s">
        <v>622</v>
      </c>
      <c r="C59" s="27" t="s">
        <v>16</v>
      </c>
      <c r="D59" s="27" t="s">
        <v>18</v>
      </c>
      <c r="E59" s="27">
        <v>1</v>
      </c>
      <c r="F59" s="80" t="s">
        <v>738</v>
      </c>
      <c r="G59" s="27">
        <v>2.2724000000000002</v>
      </c>
      <c r="H59" s="27">
        <v>2.1240999999999999</v>
      </c>
      <c r="I59" s="28">
        <f t="shared" si="6"/>
        <v>6.9817805188079811</v>
      </c>
      <c r="J59" s="54">
        <v>44641</v>
      </c>
      <c r="K59" s="29">
        <v>44701</v>
      </c>
      <c r="L59" s="27">
        <f t="shared" si="7"/>
        <v>60</v>
      </c>
      <c r="M59" s="27">
        <v>1.377</v>
      </c>
      <c r="N59" s="27">
        <f t="shared" si="8"/>
        <v>0.74709999999999988</v>
      </c>
      <c r="O59" s="27">
        <v>1.1919</v>
      </c>
      <c r="P59" s="27">
        <v>0.13220000000000001</v>
      </c>
      <c r="Q59" s="27">
        <v>5.5399999999999998E-2</v>
      </c>
      <c r="R59" s="30">
        <f t="shared" si="9"/>
        <v>1.9364999999999999</v>
      </c>
      <c r="S59" s="27">
        <f t="shared" si="10"/>
        <v>38.45081332300542</v>
      </c>
      <c r="U59" s="18">
        <f t="shared" si="11"/>
        <v>61.54918667699458</v>
      </c>
    </row>
    <row r="60" spans="1:25" x14ac:dyDescent="0.25">
      <c r="A60" s="27" t="s">
        <v>474</v>
      </c>
      <c r="B60" s="27" t="s">
        <v>622</v>
      </c>
      <c r="C60" s="27" t="s">
        <v>16</v>
      </c>
      <c r="D60" s="27" t="s">
        <v>18</v>
      </c>
      <c r="E60" s="27">
        <v>2</v>
      </c>
      <c r="F60" s="80" t="s">
        <v>739</v>
      </c>
      <c r="G60" s="27">
        <v>2.2968000000000002</v>
      </c>
      <c r="H60" s="27">
        <v>2.1358999999999999</v>
      </c>
      <c r="I60" s="28">
        <f t="shared" si="6"/>
        <v>7.5331242099349343</v>
      </c>
      <c r="J60" s="54">
        <v>44641</v>
      </c>
      <c r="K60" s="29">
        <v>44701</v>
      </c>
      <c r="L60" s="27">
        <f t="shared" si="7"/>
        <v>60</v>
      </c>
      <c r="M60" s="27">
        <v>1.4795</v>
      </c>
      <c r="N60" s="27">
        <f t="shared" si="8"/>
        <v>0.65639999999999987</v>
      </c>
      <c r="O60" s="27">
        <v>1.2838000000000001</v>
      </c>
      <c r="P60" s="27">
        <v>0.1421</v>
      </c>
      <c r="Q60" s="27">
        <v>5.7099999999999998E-2</v>
      </c>
      <c r="R60" s="30">
        <f t="shared" si="9"/>
        <v>1.9366999999999999</v>
      </c>
      <c r="S60" s="27">
        <f t="shared" si="10"/>
        <v>33.711984303196154</v>
      </c>
      <c r="U60" s="18">
        <f t="shared" si="11"/>
        <v>66.288015696803853</v>
      </c>
    </row>
    <row r="61" spans="1:25" x14ac:dyDescent="0.25">
      <c r="A61" s="27" t="s">
        <v>474</v>
      </c>
      <c r="B61" s="27" t="s">
        <v>622</v>
      </c>
      <c r="C61" s="27" t="s">
        <v>16</v>
      </c>
      <c r="D61" s="27" t="s">
        <v>19</v>
      </c>
      <c r="E61" s="27">
        <v>1</v>
      </c>
      <c r="F61" s="80" t="s">
        <v>740</v>
      </c>
      <c r="G61" s="27">
        <v>2.2755999999999998</v>
      </c>
      <c r="H61" s="27">
        <v>2.1286</v>
      </c>
      <c r="I61" s="28">
        <f t="shared" si="6"/>
        <v>6.9059475711735319</v>
      </c>
      <c r="J61" s="54">
        <v>44641</v>
      </c>
      <c r="K61" s="29">
        <v>44701</v>
      </c>
      <c r="L61" s="27">
        <f t="shared" si="7"/>
        <v>60</v>
      </c>
      <c r="M61" s="27">
        <v>1.4349000000000001</v>
      </c>
      <c r="N61" s="27">
        <f t="shared" si="8"/>
        <v>0.69369999999999998</v>
      </c>
      <c r="O61" s="27">
        <v>1.2370000000000001</v>
      </c>
      <c r="P61" s="27">
        <v>0.14219999999999999</v>
      </c>
      <c r="Q61" s="27">
        <v>5.74E-2</v>
      </c>
      <c r="R61" s="30">
        <f t="shared" si="9"/>
        <v>1.929</v>
      </c>
      <c r="S61" s="27">
        <f t="shared" si="10"/>
        <v>35.873509590461374</v>
      </c>
      <c r="U61" s="18">
        <f t="shared" si="11"/>
        <v>64.126490409538633</v>
      </c>
    </row>
    <row r="62" spans="1:25" x14ac:dyDescent="0.25">
      <c r="A62" s="27" t="s">
        <v>474</v>
      </c>
      <c r="B62" s="27" t="s">
        <v>622</v>
      </c>
      <c r="C62" s="27" t="s">
        <v>16</v>
      </c>
      <c r="D62" s="27" t="s">
        <v>19</v>
      </c>
      <c r="E62" s="27">
        <v>2</v>
      </c>
      <c r="F62" s="80" t="s">
        <v>741</v>
      </c>
      <c r="G62" s="27">
        <v>2.2635999999999998</v>
      </c>
      <c r="H62" s="27">
        <v>2.1017000000000001</v>
      </c>
      <c r="I62" s="28">
        <f t="shared" si="6"/>
        <v>7.7032878146262407</v>
      </c>
      <c r="J62" s="54">
        <v>44641</v>
      </c>
      <c r="K62" s="29">
        <v>44701</v>
      </c>
      <c r="L62" s="27">
        <f t="shared" si="7"/>
        <v>60</v>
      </c>
      <c r="M62" s="27">
        <v>1.3596999999999999</v>
      </c>
      <c r="N62" s="27">
        <f t="shared" si="8"/>
        <v>0.74200000000000021</v>
      </c>
      <c r="O62" s="27">
        <v>1.1684000000000001</v>
      </c>
      <c r="P62" s="27">
        <v>0.13550000000000001</v>
      </c>
      <c r="Q62" s="27">
        <v>5.8400000000000001E-2</v>
      </c>
      <c r="R62" s="30">
        <f t="shared" si="9"/>
        <v>1.9078000000000002</v>
      </c>
      <c r="S62" s="27">
        <f t="shared" si="10"/>
        <v>38.756683090470702</v>
      </c>
      <c r="U62" s="18">
        <f t="shared" si="11"/>
        <v>61.243316909529298</v>
      </c>
    </row>
    <row r="63" spans="1:25" x14ac:dyDescent="0.25">
      <c r="A63" s="27" t="s">
        <v>474</v>
      </c>
      <c r="B63" s="27" t="s">
        <v>100</v>
      </c>
      <c r="C63" s="27" t="s">
        <v>16</v>
      </c>
      <c r="D63" s="27" t="s">
        <v>20</v>
      </c>
      <c r="E63" s="27">
        <v>1</v>
      </c>
      <c r="F63" s="80" t="s">
        <v>742</v>
      </c>
      <c r="G63" s="27">
        <v>2.2641</v>
      </c>
      <c r="H63" s="27">
        <v>2.1049000000000002</v>
      </c>
      <c r="I63" s="28">
        <f t="shared" si="6"/>
        <v>7.5633046700555733</v>
      </c>
      <c r="J63" s="54">
        <v>44641</v>
      </c>
      <c r="K63" s="29">
        <v>44701</v>
      </c>
      <c r="L63" s="27">
        <f t="shared" si="7"/>
        <v>60</v>
      </c>
      <c r="M63" s="27">
        <v>1.4060999999999999</v>
      </c>
      <c r="N63" s="27">
        <f t="shared" si="8"/>
        <v>0.69880000000000031</v>
      </c>
      <c r="O63" s="27">
        <v>1.2016</v>
      </c>
      <c r="P63" s="27">
        <v>0.14610000000000001</v>
      </c>
      <c r="Q63" s="27">
        <v>6.13E-2</v>
      </c>
      <c r="R63" s="30">
        <f t="shared" si="9"/>
        <v>1.8975000000000002</v>
      </c>
      <c r="S63" s="27">
        <f t="shared" si="10"/>
        <v>36.674571805006593</v>
      </c>
      <c r="U63" s="18">
        <f t="shared" si="11"/>
        <v>63.325428194993407</v>
      </c>
    </row>
    <row r="64" spans="1:25" x14ac:dyDescent="0.25">
      <c r="A64" s="27" t="s">
        <v>474</v>
      </c>
      <c r="B64" s="27" t="s">
        <v>622</v>
      </c>
      <c r="C64" s="27" t="s">
        <v>16</v>
      </c>
      <c r="D64" s="27" t="s">
        <v>20</v>
      </c>
      <c r="E64" s="27">
        <v>2</v>
      </c>
      <c r="F64" s="80" t="s">
        <v>743</v>
      </c>
      <c r="G64" s="27">
        <v>2.2747999999999999</v>
      </c>
      <c r="H64" s="27">
        <v>2.1248999999999998</v>
      </c>
      <c r="I64" s="28">
        <f t="shared" si="6"/>
        <v>7.0544496211586498</v>
      </c>
      <c r="J64" s="54">
        <v>44641</v>
      </c>
      <c r="K64" s="29">
        <v>44701</v>
      </c>
      <c r="L64" s="27">
        <f t="shared" si="7"/>
        <v>60</v>
      </c>
      <c r="M64" s="27">
        <v>1.3311999999999999</v>
      </c>
      <c r="N64" s="27">
        <f t="shared" si="8"/>
        <v>0.79369999999999985</v>
      </c>
      <c r="O64" s="27">
        <v>1.1405000000000001</v>
      </c>
      <c r="P64" s="27">
        <v>0.1353</v>
      </c>
      <c r="Q64" s="27">
        <v>5.74E-2</v>
      </c>
      <c r="R64" s="30">
        <f t="shared" si="9"/>
        <v>1.9321999999999997</v>
      </c>
      <c r="S64" s="27">
        <f t="shared" si="10"/>
        <v>40.974019252665343</v>
      </c>
      <c r="U64" s="18">
        <f t="shared" si="11"/>
        <v>59.025980747334664</v>
      </c>
    </row>
    <row r="65" spans="1:25" x14ac:dyDescent="0.25">
      <c r="A65" s="35" t="s">
        <v>475</v>
      </c>
      <c r="B65" s="31" t="s">
        <v>327</v>
      </c>
      <c r="C65" s="35" t="s">
        <v>16</v>
      </c>
      <c r="D65" s="35" t="s">
        <v>17</v>
      </c>
      <c r="E65" s="35">
        <v>1</v>
      </c>
      <c r="F65" s="85" t="s">
        <v>744</v>
      </c>
      <c r="G65" s="35">
        <v>2.3365999999999998</v>
      </c>
      <c r="H65" s="35">
        <v>2.1996000000000002</v>
      </c>
      <c r="I65" s="36">
        <f t="shared" si="6"/>
        <v>6.2284051645753564</v>
      </c>
      <c r="J65" s="53">
        <v>44648</v>
      </c>
      <c r="K65" s="33">
        <v>44708</v>
      </c>
      <c r="L65" s="35">
        <f t="shared" si="7"/>
        <v>60</v>
      </c>
      <c r="M65" s="35">
        <v>1.4777</v>
      </c>
      <c r="N65" s="35">
        <f t="shared" si="8"/>
        <v>0.72190000000000021</v>
      </c>
      <c r="O65" s="35">
        <v>1.2722</v>
      </c>
      <c r="P65" s="35">
        <v>0.14419999999999999</v>
      </c>
      <c r="Q65" s="35">
        <v>6.4100000000000004E-2</v>
      </c>
      <c r="R65" s="38">
        <f t="shared" si="9"/>
        <v>1.9913000000000003</v>
      </c>
      <c r="S65" s="35">
        <f t="shared" si="10"/>
        <v>36.11208758097726</v>
      </c>
      <c r="T65">
        <f>AVERAGE(O65:O71)</f>
        <v>1.2702714285714285</v>
      </c>
      <c r="U65" s="18">
        <f t="shared" si="11"/>
        <v>63.88791241902274</v>
      </c>
      <c r="V65" s="7">
        <f>AVERAGE(U65:U71)</f>
        <v>65.674581096711194</v>
      </c>
      <c r="W65">
        <f>STDEV(U65:U71)</f>
        <v>2.1181412671696287</v>
      </c>
      <c r="X65">
        <f>AVERAGE(S65:S71)</f>
        <v>34.325418903288814</v>
      </c>
      <c r="Y65">
        <f>STDEV(S65:S71)</f>
        <v>2.1181412671696309</v>
      </c>
    </row>
    <row r="66" spans="1:25" x14ac:dyDescent="0.25">
      <c r="A66" s="35" t="s">
        <v>475</v>
      </c>
      <c r="B66" s="31" t="s">
        <v>327</v>
      </c>
      <c r="C66" s="35" t="s">
        <v>16</v>
      </c>
      <c r="D66" s="35" t="s">
        <v>17</v>
      </c>
      <c r="E66" s="35">
        <v>2</v>
      </c>
      <c r="F66" s="85" t="s">
        <v>745</v>
      </c>
      <c r="G66" s="35">
        <v>2.2787999999999999</v>
      </c>
      <c r="H66" s="35">
        <v>2.1448</v>
      </c>
      <c r="I66" s="36">
        <f t="shared" si="6"/>
        <v>6.247668780305851</v>
      </c>
      <c r="J66" s="53">
        <v>44648</v>
      </c>
      <c r="K66" s="33">
        <v>44708</v>
      </c>
      <c r="L66" s="35">
        <f t="shared" si="7"/>
        <v>60</v>
      </c>
      <c r="M66" s="35">
        <v>1.4012</v>
      </c>
      <c r="N66" s="35">
        <f t="shared" si="8"/>
        <v>0.74360000000000004</v>
      </c>
      <c r="O66" s="35">
        <v>1.2064999999999999</v>
      </c>
      <c r="P66" s="35">
        <v>0.1341</v>
      </c>
      <c r="Q66" s="35">
        <v>6.1600000000000002E-2</v>
      </c>
      <c r="R66" s="38">
        <f t="shared" si="9"/>
        <v>1.9491000000000001</v>
      </c>
      <c r="S66" s="35">
        <f t="shared" si="10"/>
        <v>38.099635729310968</v>
      </c>
      <c r="U66" s="18">
        <f t="shared" si="11"/>
        <v>61.900364270689032</v>
      </c>
    </row>
    <row r="67" spans="1:25" x14ac:dyDescent="0.25">
      <c r="A67" s="35" t="s">
        <v>475</v>
      </c>
      <c r="B67" s="31" t="s">
        <v>327</v>
      </c>
      <c r="C67" s="35" t="s">
        <v>16</v>
      </c>
      <c r="D67" s="35" t="s">
        <v>18</v>
      </c>
      <c r="E67" s="35">
        <v>1</v>
      </c>
      <c r="F67" s="85" t="s">
        <v>746</v>
      </c>
      <c r="G67" s="35">
        <v>2.2311000000000001</v>
      </c>
      <c r="H67" s="35">
        <v>2.1063000000000001</v>
      </c>
      <c r="I67" s="36">
        <f t="shared" si="6"/>
        <v>5.9250818971656471</v>
      </c>
      <c r="J67" s="53">
        <v>44648</v>
      </c>
      <c r="K67" s="33">
        <v>44708</v>
      </c>
      <c r="L67" s="35">
        <f t="shared" si="7"/>
        <v>60</v>
      </c>
      <c r="M67" s="35">
        <v>1.4825999999999999</v>
      </c>
      <c r="N67" s="35">
        <f t="shared" si="8"/>
        <v>0.62370000000000014</v>
      </c>
      <c r="O67" s="35">
        <v>1.2789999999999999</v>
      </c>
      <c r="P67" s="35">
        <v>0.13930000000000001</v>
      </c>
      <c r="Q67" s="35">
        <v>6.5199999999999994E-2</v>
      </c>
      <c r="R67" s="38">
        <f t="shared" si="9"/>
        <v>1.9018000000000002</v>
      </c>
      <c r="S67" s="35">
        <f t="shared" si="10"/>
        <v>32.747923020296568</v>
      </c>
      <c r="U67" s="18">
        <f t="shared" si="11"/>
        <v>67.252076979703418</v>
      </c>
    </row>
    <row r="68" spans="1:25" x14ac:dyDescent="0.25">
      <c r="A68" s="35" t="s">
        <v>475</v>
      </c>
      <c r="B68" s="31" t="s">
        <v>327</v>
      </c>
      <c r="C68" s="35" t="s">
        <v>16</v>
      </c>
      <c r="D68" s="35" t="s">
        <v>18</v>
      </c>
      <c r="E68" s="35">
        <v>2</v>
      </c>
      <c r="F68" s="85" t="s">
        <v>747</v>
      </c>
      <c r="G68" s="35">
        <v>2.2244999999999999</v>
      </c>
      <c r="H68" s="35">
        <v>2.0979999999999999</v>
      </c>
      <c r="I68" s="36">
        <f t="shared" si="6"/>
        <v>6.0295519542421383</v>
      </c>
      <c r="J68" s="53">
        <v>44648</v>
      </c>
      <c r="K68" s="33">
        <v>44708</v>
      </c>
      <c r="L68" s="35">
        <f t="shared" si="7"/>
        <v>60</v>
      </c>
      <c r="M68" s="35">
        <v>1.4612000000000001</v>
      </c>
      <c r="N68" s="35">
        <f t="shared" si="8"/>
        <v>0.63679999999999981</v>
      </c>
      <c r="O68" s="35">
        <v>1.2402</v>
      </c>
      <c r="P68" s="35">
        <v>0.15870000000000001</v>
      </c>
      <c r="Q68" s="35">
        <v>6.4600000000000005E-2</v>
      </c>
      <c r="R68" s="38">
        <f t="shared" si="9"/>
        <v>1.8746999999999998</v>
      </c>
      <c r="S68" s="35">
        <f t="shared" si="10"/>
        <v>33.845415266442622</v>
      </c>
      <c r="U68" s="18">
        <f t="shared" si="11"/>
        <v>66.154584733557371</v>
      </c>
    </row>
    <row r="69" spans="1:25" x14ac:dyDescent="0.25">
      <c r="A69" s="35" t="s">
        <v>475</v>
      </c>
      <c r="B69" s="31" t="s">
        <v>327</v>
      </c>
      <c r="C69" s="35" t="s">
        <v>16</v>
      </c>
      <c r="D69" s="35" t="s">
        <v>19</v>
      </c>
      <c r="E69" s="35">
        <v>1</v>
      </c>
      <c r="F69" s="85" t="s">
        <v>748</v>
      </c>
      <c r="G69" s="35">
        <v>2.2621000000000002</v>
      </c>
      <c r="H69" s="35">
        <v>2.1372</v>
      </c>
      <c r="I69" s="36">
        <f t="shared" si="6"/>
        <v>5.8440950776717306</v>
      </c>
      <c r="J69" s="53">
        <v>44648</v>
      </c>
      <c r="K69" s="33">
        <v>44708</v>
      </c>
      <c r="L69" s="35">
        <f t="shared" si="7"/>
        <v>60</v>
      </c>
      <c r="M69" s="35">
        <v>1.4767999999999999</v>
      </c>
      <c r="N69" s="35">
        <f t="shared" si="8"/>
        <v>0.6604000000000001</v>
      </c>
      <c r="O69" s="35">
        <v>1.2695000000000001</v>
      </c>
      <c r="P69" s="35">
        <v>0.15090000000000001</v>
      </c>
      <c r="Q69" s="35">
        <v>5.7299999999999997E-2</v>
      </c>
      <c r="R69" s="38">
        <f t="shared" si="9"/>
        <v>1.929</v>
      </c>
      <c r="S69" s="35">
        <f t="shared" si="10"/>
        <v>34.188698807672367</v>
      </c>
      <c r="U69" s="18">
        <f t="shared" si="11"/>
        <v>65.811301192327633</v>
      </c>
    </row>
    <row r="70" spans="1:25" x14ac:dyDescent="0.25">
      <c r="A70" s="35" t="s">
        <v>475</v>
      </c>
      <c r="B70" s="31" t="s">
        <v>327</v>
      </c>
      <c r="C70" s="35" t="s">
        <v>16</v>
      </c>
      <c r="D70" s="35" t="s">
        <v>20</v>
      </c>
      <c r="E70" s="35">
        <v>1</v>
      </c>
      <c r="F70" s="85" t="s">
        <v>749</v>
      </c>
      <c r="G70" s="35">
        <v>2.2768000000000002</v>
      </c>
      <c r="H70" s="35">
        <v>2.1509</v>
      </c>
      <c r="I70" s="36">
        <f t="shared" si="6"/>
        <v>5.8533637082151717</v>
      </c>
      <c r="J70" s="53">
        <v>44648</v>
      </c>
      <c r="K70" s="33">
        <v>44708</v>
      </c>
      <c r="L70" s="35">
        <f t="shared" si="7"/>
        <v>60</v>
      </c>
      <c r="M70" s="35">
        <v>1.5287999999999999</v>
      </c>
      <c r="N70" s="35">
        <f t="shared" si="8"/>
        <v>0.6221000000000001</v>
      </c>
      <c r="O70" s="35">
        <v>1.325</v>
      </c>
      <c r="P70" s="35">
        <v>0.14799999999999999</v>
      </c>
      <c r="Q70" s="35">
        <v>5.7000000000000002E-2</v>
      </c>
      <c r="R70" s="38">
        <f t="shared" si="9"/>
        <v>1.9459</v>
      </c>
      <c r="S70" s="35">
        <f t="shared" si="10"/>
        <v>31.908114497147849</v>
      </c>
      <c r="U70" s="18">
        <f t="shared" si="11"/>
        <v>68.091885502852151</v>
      </c>
    </row>
    <row r="71" spans="1:25" x14ac:dyDescent="0.25">
      <c r="A71" s="35" t="s">
        <v>475</v>
      </c>
      <c r="B71" s="31" t="s">
        <v>327</v>
      </c>
      <c r="C71" s="35" t="s">
        <v>16</v>
      </c>
      <c r="D71" s="35" t="s">
        <v>20</v>
      </c>
      <c r="E71" s="35">
        <v>2</v>
      </c>
      <c r="F71" s="85" t="s">
        <v>750</v>
      </c>
      <c r="G71" s="35">
        <v>2.2932000000000001</v>
      </c>
      <c r="H71" s="38">
        <v>2.1610999999999998</v>
      </c>
      <c r="I71" s="36">
        <f t="shared" si="6"/>
        <v>6.1126278284207274</v>
      </c>
      <c r="J71" s="53">
        <v>44648</v>
      </c>
      <c r="K71" s="33">
        <v>44708</v>
      </c>
      <c r="L71" s="35">
        <f t="shared" si="7"/>
        <v>60</v>
      </c>
      <c r="M71" s="35">
        <v>1.5084</v>
      </c>
      <c r="N71" s="35">
        <f t="shared" si="8"/>
        <v>0.65269999999999984</v>
      </c>
      <c r="O71" s="35">
        <v>1.2995000000000001</v>
      </c>
      <c r="P71" s="35">
        <v>0.152</v>
      </c>
      <c r="Q71" s="35">
        <v>5.8599999999999999E-2</v>
      </c>
      <c r="R71" s="38">
        <f t="shared" si="9"/>
        <v>1.9504999999999999</v>
      </c>
      <c r="S71" s="35">
        <f t="shared" si="10"/>
        <v>33.376057421174046</v>
      </c>
      <c r="U71" s="18">
        <f t="shared" si="11"/>
        <v>66.623942578825947</v>
      </c>
    </row>
    <row r="72" spans="1:25" x14ac:dyDescent="0.25">
      <c r="A72" s="39" t="s">
        <v>476</v>
      </c>
      <c r="B72" s="39" t="s">
        <v>623</v>
      </c>
      <c r="C72" s="39" t="s">
        <v>16</v>
      </c>
      <c r="D72" s="39" t="s">
        <v>17</v>
      </c>
      <c r="E72" s="39">
        <v>1</v>
      </c>
      <c r="F72" s="81" t="s">
        <v>751</v>
      </c>
      <c r="G72" s="39">
        <v>2.2776000000000001</v>
      </c>
      <c r="H72" s="39">
        <v>2.1793999999999998</v>
      </c>
      <c r="I72" s="40">
        <f t="shared" si="6"/>
        <v>4.5058272919152191</v>
      </c>
      <c r="J72" s="53">
        <v>44669</v>
      </c>
      <c r="K72" s="41">
        <v>44729</v>
      </c>
      <c r="L72" s="39">
        <f t="shared" si="7"/>
        <v>60</v>
      </c>
      <c r="M72" s="39">
        <v>1.5478000000000001</v>
      </c>
      <c r="N72" s="39">
        <f t="shared" si="8"/>
        <v>0.63159999999999972</v>
      </c>
      <c r="O72" s="39">
        <v>1.3435999999999999</v>
      </c>
      <c r="P72" s="39">
        <v>0.13730000000000001</v>
      </c>
      <c r="Q72" s="39">
        <v>6.6600000000000006E-2</v>
      </c>
      <c r="R72" s="42">
        <f t="shared" si="9"/>
        <v>1.9754999999999998</v>
      </c>
      <c r="S72" s="39">
        <f t="shared" si="10"/>
        <v>31.986838774993672</v>
      </c>
      <c r="T72">
        <f>AVERAGE(O72:O79)</f>
        <v>1.3287374999999999</v>
      </c>
      <c r="U72" s="18">
        <f t="shared" si="11"/>
        <v>68.013161225006328</v>
      </c>
      <c r="V72" s="7">
        <f>AVERAGE(U72:U79)</f>
        <v>68.086629903247015</v>
      </c>
      <c r="W72">
        <f>STDEV(U72:U79)</f>
        <v>2.4370634589755209</v>
      </c>
      <c r="X72">
        <f>AVERAGE(S72:S79)</f>
        <v>31.913370096752974</v>
      </c>
      <c r="Y72">
        <f>STDEV(S72:S79)</f>
        <v>2.4370634589755245</v>
      </c>
    </row>
    <row r="73" spans="1:25" x14ac:dyDescent="0.25">
      <c r="A73" s="39" t="s">
        <v>476</v>
      </c>
      <c r="B73" s="39" t="s">
        <v>623</v>
      </c>
      <c r="C73" s="39" t="s">
        <v>16</v>
      </c>
      <c r="D73" s="39" t="s">
        <v>17</v>
      </c>
      <c r="E73" s="39">
        <v>2</v>
      </c>
      <c r="F73" s="81" t="s">
        <v>752</v>
      </c>
      <c r="G73" s="39">
        <v>2.2372999999999998</v>
      </c>
      <c r="H73" s="39">
        <v>2.1334</v>
      </c>
      <c r="I73" s="40">
        <f t="shared" si="6"/>
        <v>4.8701603074903854</v>
      </c>
      <c r="J73" s="53">
        <v>44669</v>
      </c>
      <c r="K73" s="41">
        <v>44729</v>
      </c>
      <c r="L73" s="39">
        <f t="shared" si="7"/>
        <v>60</v>
      </c>
      <c r="M73" s="39">
        <v>1.4593</v>
      </c>
      <c r="N73" s="39">
        <f t="shared" si="8"/>
        <v>0.67409999999999992</v>
      </c>
      <c r="O73" s="39">
        <v>1.2412000000000001</v>
      </c>
      <c r="P73" s="39">
        <v>0.156</v>
      </c>
      <c r="Q73" s="39">
        <v>6.1800000000000001E-2</v>
      </c>
      <c r="R73" s="42">
        <f t="shared" si="9"/>
        <v>1.9156</v>
      </c>
      <c r="S73" s="39">
        <f t="shared" si="10"/>
        <v>35.205679682605968</v>
      </c>
      <c r="U73" s="18">
        <f t="shared" si="11"/>
        <v>64.794320317394039</v>
      </c>
    </row>
    <row r="74" spans="1:25" x14ac:dyDescent="0.25">
      <c r="A74" s="39" t="s">
        <v>476</v>
      </c>
      <c r="B74" s="39" t="s">
        <v>623</v>
      </c>
      <c r="C74" s="39" t="s">
        <v>16</v>
      </c>
      <c r="D74" s="39" t="s">
        <v>18</v>
      </c>
      <c r="E74" s="39">
        <v>1</v>
      </c>
      <c r="F74" s="81" t="s">
        <v>753</v>
      </c>
      <c r="G74" s="39">
        <v>2.2827999999999999</v>
      </c>
      <c r="H74" s="39">
        <v>2.1836000000000002</v>
      </c>
      <c r="I74" s="40">
        <f t="shared" si="6"/>
        <v>4.5429565854551992</v>
      </c>
      <c r="J74" s="53">
        <v>44669</v>
      </c>
      <c r="K74" s="41">
        <v>44729</v>
      </c>
      <c r="L74" s="39">
        <f t="shared" si="7"/>
        <v>60</v>
      </c>
      <c r="M74" s="39">
        <v>1.5714999999999999</v>
      </c>
      <c r="N74" s="39">
        <f t="shared" si="8"/>
        <v>0.61210000000000031</v>
      </c>
      <c r="O74" s="39">
        <v>1.3393999999999999</v>
      </c>
      <c r="P74" s="39">
        <v>0.15160000000000001</v>
      </c>
      <c r="Q74" s="39">
        <v>7.7399999999999997E-2</v>
      </c>
      <c r="R74" s="42">
        <f t="shared" si="9"/>
        <v>1.9546000000000001</v>
      </c>
      <c r="S74" s="39">
        <f t="shared" si="10"/>
        <v>31.47447047989359</v>
      </c>
      <c r="U74" s="18">
        <f t="shared" si="11"/>
        <v>68.525529520106403</v>
      </c>
    </row>
    <row r="75" spans="1:25" x14ac:dyDescent="0.25">
      <c r="A75" s="39" t="s">
        <v>476</v>
      </c>
      <c r="B75" s="39" t="s">
        <v>623</v>
      </c>
      <c r="C75" s="39" t="s">
        <v>16</v>
      </c>
      <c r="D75" s="39" t="s">
        <v>18</v>
      </c>
      <c r="E75" s="39">
        <v>2</v>
      </c>
      <c r="F75" s="81" t="s">
        <v>754</v>
      </c>
      <c r="G75" s="39">
        <v>2.2307000000000001</v>
      </c>
      <c r="H75" s="39">
        <v>2.1280999999999999</v>
      </c>
      <c r="I75" s="40">
        <f t="shared" si="6"/>
        <v>4.8212020111836971</v>
      </c>
      <c r="J75" s="53">
        <v>44669</v>
      </c>
      <c r="K75" s="41">
        <v>44729</v>
      </c>
      <c r="L75" s="39">
        <f t="shared" si="7"/>
        <v>60</v>
      </c>
      <c r="M75" s="39">
        <v>1.4728000000000001</v>
      </c>
      <c r="N75" s="39">
        <f t="shared" si="8"/>
        <v>0.65529999999999977</v>
      </c>
      <c r="O75" s="39">
        <v>1.2463</v>
      </c>
      <c r="P75" s="39">
        <v>0.1469</v>
      </c>
      <c r="Q75" s="39">
        <v>7.6899999999999996E-2</v>
      </c>
      <c r="R75" s="42">
        <f t="shared" si="9"/>
        <v>1.9042999999999999</v>
      </c>
      <c r="S75" s="39">
        <f t="shared" si="10"/>
        <v>34.553379194454656</v>
      </c>
      <c r="U75" s="18">
        <f t="shared" si="11"/>
        <v>65.446620805545351</v>
      </c>
    </row>
    <row r="76" spans="1:25" x14ac:dyDescent="0.25">
      <c r="A76" s="39" t="s">
        <v>476</v>
      </c>
      <c r="B76" s="39" t="s">
        <v>623</v>
      </c>
      <c r="C76" s="39" t="s">
        <v>16</v>
      </c>
      <c r="D76" s="39" t="s">
        <v>19</v>
      </c>
      <c r="E76" s="39">
        <v>1</v>
      </c>
      <c r="F76" s="81" t="s">
        <v>755</v>
      </c>
      <c r="G76" s="39">
        <v>2.2814999999999999</v>
      </c>
      <c r="H76" s="39">
        <v>2.1859000000000002</v>
      </c>
      <c r="I76" s="40">
        <f t="shared" si="6"/>
        <v>4.3734846058831458</v>
      </c>
      <c r="J76" s="53">
        <v>44669</v>
      </c>
      <c r="K76" s="41">
        <v>44729</v>
      </c>
      <c r="L76" s="39">
        <f t="shared" si="7"/>
        <v>60</v>
      </c>
      <c r="M76" s="39">
        <v>1.5246999999999999</v>
      </c>
      <c r="N76" s="39">
        <f t="shared" si="8"/>
        <v>0.66120000000000023</v>
      </c>
      <c r="O76" s="39">
        <v>1.3061</v>
      </c>
      <c r="P76" s="39">
        <v>0.1469</v>
      </c>
      <c r="Q76" s="39">
        <v>6.9000000000000006E-2</v>
      </c>
      <c r="R76" s="42">
        <f t="shared" si="9"/>
        <v>1.9700000000000002</v>
      </c>
      <c r="S76" s="39">
        <f t="shared" si="10"/>
        <v>33.700507614213201</v>
      </c>
      <c r="U76" s="18">
        <f t="shared" si="11"/>
        <v>66.299492385786792</v>
      </c>
    </row>
    <row r="77" spans="1:25" x14ac:dyDescent="0.25">
      <c r="A77" s="39" t="s">
        <v>476</v>
      </c>
      <c r="B77" s="39" t="s">
        <v>623</v>
      </c>
      <c r="C77" s="39" t="s">
        <v>16</v>
      </c>
      <c r="D77" s="39" t="s">
        <v>19</v>
      </c>
      <c r="E77" s="39">
        <v>2</v>
      </c>
      <c r="F77" s="81" t="s">
        <v>756</v>
      </c>
      <c r="G77" s="39">
        <v>2.2543000000000002</v>
      </c>
      <c r="H77" s="39">
        <v>2.1503000000000001</v>
      </c>
      <c r="I77" s="40">
        <f t="shared" si="6"/>
        <v>4.836534437055299</v>
      </c>
      <c r="J77" s="53">
        <v>44669</v>
      </c>
      <c r="K77" s="41">
        <v>44729</v>
      </c>
      <c r="L77" s="39">
        <f t="shared" si="7"/>
        <v>60</v>
      </c>
      <c r="M77" s="39">
        <v>1.5719000000000001</v>
      </c>
      <c r="N77" s="39">
        <f t="shared" si="8"/>
        <v>0.57840000000000003</v>
      </c>
      <c r="O77" s="39">
        <v>1.3341000000000001</v>
      </c>
      <c r="P77" s="39">
        <v>0.15</v>
      </c>
      <c r="Q77" s="39">
        <v>8.6300000000000002E-2</v>
      </c>
      <c r="R77" s="42">
        <f t="shared" si="9"/>
        <v>1.9140000000000001</v>
      </c>
      <c r="S77" s="39">
        <f t="shared" si="10"/>
        <v>30.297805642633229</v>
      </c>
      <c r="U77" s="18">
        <f t="shared" si="11"/>
        <v>69.702194357366764</v>
      </c>
    </row>
    <row r="78" spans="1:25" x14ac:dyDescent="0.25">
      <c r="A78" s="39" t="s">
        <v>476</v>
      </c>
      <c r="B78" s="39" t="s">
        <v>623</v>
      </c>
      <c r="C78" s="39" t="s">
        <v>16</v>
      </c>
      <c r="D78" s="39" t="s">
        <v>20</v>
      </c>
      <c r="E78" s="39">
        <v>1</v>
      </c>
      <c r="F78" s="81" t="s">
        <v>757</v>
      </c>
      <c r="G78" s="39">
        <v>2.2835999999999999</v>
      </c>
      <c r="H78" s="39">
        <v>2.1827000000000001</v>
      </c>
      <c r="I78" s="40">
        <f t="shared" si="6"/>
        <v>4.6227149860264705</v>
      </c>
      <c r="J78" s="53">
        <v>44669</v>
      </c>
      <c r="K78" s="41">
        <v>44729</v>
      </c>
      <c r="L78" s="39">
        <f t="shared" si="7"/>
        <v>60</v>
      </c>
      <c r="M78" s="39">
        <v>1.6331</v>
      </c>
      <c r="N78" s="39">
        <f t="shared" si="8"/>
        <v>0.54960000000000009</v>
      </c>
      <c r="O78" s="39">
        <v>1.3967000000000001</v>
      </c>
      <c r="P78" s="39">
        <v>0.14360000000000001</v>
      </c>
      <c r="Q78" s="39">
        <v>9.2799999999999994E-2</v>
      </c>
      <c r="R78" s="42">
        <f t="shared" si="9"/>
        <v>1.9463000000000001</v>
      </c>
      <c r="S78" s="39">
        <f t="shared" si="10"/>
        <v>28.238195550531781</v>
      </c>
      <c r="U78" s="18">
        <f t="shared" si="11"/>
        <v>71.761804449468215</v>
      </c>
    </row>
    <row r="79" spans="1:25" x14ac:dyDescent="0.25">
      <c r="A79" s="39" t="s">
        <v>476</v>
      </c>
      <c r="B79" s="39" t="s">
        <v>623</v>
      </c>
      <c r="C79" s="39" t="s">
        <v>16</v>
      </c>
      <c r="D79" s="39" t="s">
        <v>20</v>
      </c>
      <c r="E79" s="39">
        <v>2</v>
      </c>
      <c r="F79" s="81" t="s">
        <v>758</v>
      </c>
      <c r="G79" s="39">
        <v>2.3456999999999999</v>
      </c>
      <c r="H79" s="39">
        <v>2.2431999999999999</v>
      </c>
      <c r="I79" s="40">
        <f t="shared" si="6"/>
        <v>4.569365192582028</v>
      </c>
      <c r="J79" s="53">
        <v>44669</v>
      </c>
      <c r="K79" s="41">
        <v>44729</v>
      </c>
      <c r="L79" s="39">
        <f t="shared" si="7"/>
        <v>60</v>
      </c>
      <c r="M79" s="39">
        <v>1.6393</v>
      </c>
      <c r="N79" s="39">
        <f t="shared" si="8"/>
        <v>0.60389999999999988</v>
      </c>
      <c r="O79" s="39">
        <v>1.4225000000000001</v>
      </c>
      <c r="P79" s="39">
        <v>0.13880000000000001</v>
      </c>
      <c r="Q79" s="39">
        <v>7.6600000000000001E-2</v>
      </c>
      <c r="R79" s="42">
        <f t="shared" si="9"/>
        <v>2.0278</v>
      </c>
      <c r="S79" s="39">
        <f t="shared" si="10"/>
        <v>29.850083834697699</v>
      </c>
      <c r="U79" s="18">
        <f t="shared" si="11"/>
        <v>70.149916165302301</v>
      </c>
    </row>
    <row r="80" spans="1:25" x14ac:dyDescent="0.25">
      <c r="A80" s="43" t="s">
        <v>477</v>
      </c>
      <c r="B80" s="43" t="s">
        <v>330</v>
      </c>
      <c r="C80" s="43" t="s">
        <v>16</v>
      </c>
      <c r="D80" s="43" t="s">
        <v>17</v>
      </c>
      <c r="E80" s="43">
        <v>1</v>
      </c>
      <c r="F80" s="82" t="s">
        <v>759</v>
      </c>
      <c r="G80" s="43">
        <v>2.2888000000000002</v>
      </c>
      <c r="H80" s="43">
        <v>2.1371000000000002</v>
      </c>
      <c r="I80" s="44">
        <f t="shared" si="6"/>
        <v>7.0984043797669703</v>
      </c>
      <c r="J80" s="53">
        <v>44685</v>
      </c>
      <c r="K80" s="45">
        <v>44743</v>
      </c>
      <c r="L80" s="43">
        <f t="shared" si="7"/>
        <v>58</v>
      </c>
      <c r="M80" s="43">
        <v>1.3153999999999999</v>
      </c>
      <c r="N80" s="43">
        <f t="shared" si="8"/>
        <v>0.82170000000000032</v>
      </c>
      <c r="O80" s="43">
        <v>1.1046</v>
      </c>
      <c r="P80" s="43">
        <v>0.14660000000000001</v>
      </c>
      <c r="Q80" s="43">
        <v>6.7599999999999993E-2</v>
      </c>
      <c r="R80" s="46">
        <f t="shared" si="9"/>
        <v>1.9229000000000003</v>
      </c>
      <c r="S80" s="43">
        <f t="shared" si="10"/>
        <v>42.555515107389887</v>
      </c>
      <c r="T80">
        <f>AVERAGE(O80:O87)</f>
        <v>1.1895624999999999</v>
      </c>
      <c r="U80" s="18">
        <f t="shared" si="11"/>
        <v>57.444484892610113</v>
      </c>
      <c r="V80" s="7">
        <f>AVERAGE(U80:U87)</f>
        <v>61.918339273313244</v>
      </c>
      <c r="W80">
        <f>STDEV(U80:U87)</f>
        <v>6.5918322264515075</v>
      </c>
      <c r="X80">
        <f>AVERAGE(S80:S87)</f>
        <v>38.081660726686756</v>
      </c>
      <c r="Y80">
        <f>STDEV(S80:S87)</f>
        <v>6.5918322264515004</v>
      </c>
    </row>
    <row r="81" spans="1:25" x14ac:dyDescent="0.25">
      <c r="A81" s="43" t="s">
        <v>477</v>
      </c>
      <c r="B81" s="43" t="s">
        <v>330</v>
      </c>
      <c r="C81" s="43" t="s">
        <v>16</v>
      </c>
      <c r="D81" s="43" t="s">
        <v>17</v>
      </c>
      <c r="E81" s="43">
        <v>2</v>
      </c>
      <c r="F81" s="82" t="s">
        <v>760</v>
      </c>
      <c r="G81" s="43">
        <v>2.3578000000000001</v>
      </c>
      <c r="H81" s="43">
        <v>2.2071000000000001</v>
      </c>
      <c r="I81" s="44">
        <f t="shared" si="6"/>
        <v>6.8279642970413699</v>
      </c>
      <c r="J81" s="53">
        <v>44685</v>
      </c>
      <c r="K81" s="45">
        <v>44743</v>
      </c>
      <c r="L81" s="43">
        <f t="shared" si="7"/>
        <v>58</v>
      </c>
      <c r="M81" s="43">
        <v>1.4481999999999999</v>
      </c>
      <c r="N81" s="43">
        <f t="shared" si="8"/>
        <v>0.75890000000000013</v>
      </c>
      <c r="O81" s="43">
        <v>1.214</v>
      </c>
      <c r="P81" s="43">
        <v>0.1658</v>
      </c>
      <c r="Q81" s="43">
        <v>6.7900000000000002E-2</v>
      </c>
      <c r="R81" s="46">
        <f t="shared" si="9"/>
        <v>1.9734</v>
      </c>
      <c r="S81" s="43">
        <f t="shared" si="10"/>
        <v>38.481808047025439</v>
      </c>
      <c r="U81" s="18">
        <f t="shared" si="11"/>
        <v>61.518191952974554</v>
      </c>
    </row>
    <row r="82" spans="1:25" x14ac:dyDescent="0.25">
      <c r="A82" s="43" t="s">
        <v>477</v>
      </c>
      <c r="B82" s="43" t="s">
        <v>330</v>
      </c>
      <c r="C82" s="43" t="s">
        <v>16</v>
      </c>
      <c r="D82" s="43" t="s">
        <v>18</v>
      </c>
      <c r="E82" s="43">
        <v>1</v>
      </c>
      <c r="F82" s="82" t="s">
        <v>761</v>
      </c>
      <c r="G82" s="46">
        <v>2.2959000000000001</v>
      </c>
      <c r="H82" s="43">
        <v>2.1471</v>
      </c>
      <c r="I82" s="44">
        <f t="shared" si="6"/>
        <v>6.9302780494620668</v>
      </c>
      <c r="J82" s="53">
        <v>44685</v>
      </c>
      <c r="K82" s="45">
        <v>44743</v>
      </c>
      <c r="L82" s="43">
        <f t="shared" si="7"/>
        <v>58</v>
      </c>
      <c r="M82" s="43">
        <v>1.4114</v>
      </c>
      <c r="N82" s="43">
        <f t="shared" si="8"/>
        <v>0.73570000000000002</v>
      </c>
      <c r="O82" s="43">
        <v>1.1697</v>
      </c>
      <c r="P82" s="43">
        <v>0.16689999999999999</v>
      </c>
      <c r="Q82" s="43">
        <v>7.8899999999999998E-2</v>
      </c>
      <c r="R82" s="46">
        <f t="shared" si="9"/>
        <v>1.9013</v>
      </c>
      <c r="S82" s="43">
        <f t="shared" si="10"/>
        <v>38.478935465208018</v>
      </c>
      <c r="U82" s="18">
        <f t="shared" si="11"/>
        <v>61.521064534791982</v>
      </c>
    </row>
    <row r="83" spans="1:25" x14ac:dyDescent="0.25">
      <c r="A83" s="43" t="s">
        <v>477</v>
      </c>
      <c r="B83" s="43" t="s">
        <v>330</v>
      </c>
      <c r="C83" s="43" t="s">
        <v>16</v>
      </c>
      <c r="D83" s="43" t="s">
        <v>18</v>
      </c>
      <c r="E83" s="43">
        <v>2</v>
      </c>
      <c r="F83" s="82" t="s">
        <v>762</v>
      </c>
      <c r="G83" s="46">
        <v>2.2288999999999999</v>
      </c>
      <c r="H83" s="43">
        <v>2.0851000000000002</v>
      </c>
      <c r="I83" s="44">
        <f t="shared" si="6"/>
        <v>6.8965517241379155</v>
      </c>
      <c r="J83" s="53">
        <v>44685</v>
      </c>
      <c r="K83" s="45">
        <v>44743</v>
      </c>
      <c r="L83" s="43">
        <f t="shared" si="7"/>
        <v>58</v>
      </c>
      <c r="M83" s="43">
        <v>1.3905000000000001</v>
      </c>
      <c r="N83" s="43">
        <f t="shared" si="8"/>
        <v>0.69460000000000011</v>
      </c>
      <c r="O83" s="43">
        <v>1.1798</v>
      </c>
      <c r="P83" s="43">
        <v>0.1482</v>
      </c>
      <c r="Q83" s="43">
        <v>6.8599999999999994E-2</v>
      </c>
      <c r="R83" s="46">
        <f t="shared" si="9"/>
        <v>1.8683000000000001</v>
      </c>
      <c r="S83" s="43">
        <f t="shared" si="10"/>
        <v>36.851683348498639</v>
      </c>
      <c r="U83" s="18">
        <f t="shared" si="11"/>
        <v>63.148316651501361</v>
      </c>
    </row>
    <row r="84" spans="1:25" x14ac:dyDescent="0.25">
      <c r="A84" s="43" t="s">
        <v>477</v>
      </c>
      <c r="B84" s="43" t="s">
        <v>330</v>
      </c>
      <c r="C84" s="43" t="s">
        <v>16</v>
      </c>
      <c r="D84" s="43" t="s">
        <v>19</v>
      </c>
      <c r="E84" s="43">
        <v>1</v>
      </c>
      <c r="F84" s="82" t="s">
        <v>763</v>
      </c>
      <c r="G84" s="43">
        <v>2.3216000000000001</v>
      </c>
      <c r="H84" s="43">
        <v>2.1678000000000002</v>
      </c>
      <c r="I84" s="44">
        <f t="shared" si="6"/>
        <v>7.0947504382323059</v>
      </c>
      <c r="J84" s="53">
        <v>44685</v>
      </c>
      <c r="K84" s="45">
        <v>44743</v>
      </c>
      <c r="L84" s="43">
        <f t="shared" si="7"/>
        <v>58</v>
      </c>
      <c r="M84" s="43">
        <v>1.5952999999999999</v>
      </c>
      <c r="N84" s="43">
        <f t="shared" si="8"/>
        <v>0.57250000000000023</v>
      </c>
      <c r="O84" s="43">
        <v>1.339</v>
      </c>
      <c r="P84" s="43">
        <v>0.18609999999999999</v>
      </c>
      <c r="Q84" s="43">
        <v>6.9199999999999998E-2</v>
      </c>
      <c r="R84" s="46">
        <f t="shared" si="9"/>
        <v>1.9125000000000001</v>
      </c>
      <c r="S84" s="43">
        <f t="shared" si="10"/>
        <v>29.986928104575167</v>
      </c>
      <c r="U84" s="18">
        <f t="shared" si="11"/>
        <v>70.013071895424829</v>
      </c>
    </row>
    <row r="85" spans="1:25" x14ac:dyDescent="0.25">
      <c r="A85" s="43" t="s">
        <v>477</v>
      </c>
      <c r="B85" s="43" t="s">
        <v>330</v>
      </c>
      <c r="C85" s="43" t="s">
        <v>16</v>
      </c>
      <c r="D85" s="43" t="s">
        <v>19</v>
      </c>
      <c r="E85" s="43">
        <v>2</v>
      </c>
      <c r="F85" s="82" t="s">
        <v>764</v>
      </c>
      <c r="G85" s="43">
        <v>2.3431999999999999</v>
      </c>
      <c r="H85" s="43">
        <v>2.1917</v>
      </c>
      <c r="I85" s="44">
        <f t="shared" si="6"/>
        <v>6.912442396313363</v>
      </c>
      <c r="J85" s="53">
        <v>44685</v>
      </c>
      <c r="K85" s="45">
        <v>44743</v>
      </c>
      <c r="L85" s="43">
        <f t="shared" si="7"/>
        <v>58</v>
      </c>
      <c r="M85" s="43">
        <v>1.5852999999999999</v>
      </c>
      <c r="N85" s="43">
        <f t="shared" si="8"/>
        <v>0.60640000000000005</v>
      </c>
      <c r="O85" s="43">
        <v>1.3682000000000001</v>
      </c>
      <c r="P85" s="43">
        <v>0.15279999999999999</v>
      </c>
      <c r="Q85" s="43">
        <v>6.3700000000000007E-2</v>
      </c>
      <c r="R85" s="46">
        <f t="shared" si="9"/>
        <v>1.9752000000000001</v>
      </c>
      <c r="S85" s="43">
        <f t="shared" si="10"/>
        <v>30.731065208586472</v>
      </c>
      <c r="U85" s="18">
        <f t="shared" si="11"/>
        <v>69.268934791413528</v>
      </c>
    </row>
    <row r="86" spans="1:25" x14ac:dyDescent="0.25">
      <c r="A86" s="43" t="s">
        <v>477</v>
      </c>
      <c r="B86" s="43" t="s">
        <v>330</v>
      </c>
      <c r="C86" s="43" t="s">
        <v>16</v>
      </c>
      <c r="D86" s="43" t="s">
        <v>20</v>
      </c>
      <c r="E86" s="43">
        <v>1</v>
      </c>
      <c r="F86" s="82" t="s">
        <v>765</v>
      </c>
      <c r="G86" s="43">
        <v>2.2654999999999998</v>
      </c>
      <c r="H86" s="46">
        <v>2.1198999999999999</v>
      </c>
      <c r="I86" s="44">
        <f t="shared" si="6"/>
        <v>6.8682485022878419</v>
      </c>
      <c r="J86" s="53">
        <v>44685</v>
      </c>
      <c r="K86" s="45">
        <v>44743</v>
      </c>
      <c r="L86" s="43">
        <f t="shared" si="7"/>
        <v>58</v>
      </c>
      <c r="M86" s="43">
        <v>1.421</v>
      </c>
      <c r="N86" s="46">
        <f t="shared" si="8"/>
        <v>0.69889999999999985</v>
      </c>
      <c r="O86" s="43">
        <v>1.2002999999999999</v>
      </c>
      <c r="P86" s="43">
        <v>0.1517</v>
      </c>
      <c r="Q86" s="43">
        <v>6.9199999999999998E-2</v>
      </c>
      <c r="R86" s="46">
        <f t="shared" si="9"/>
        <v>1.899</v>
      </c>
      <c r="S86" s="43">
        <f t="shared" si="10"/>
        <v>36.793048973143769</v>
      </c>
      <c r="U86" s="18">
        <f t="shared" si="11"/>
        <v>63.206951026856238</v>
      </c>
    </row>
    <row r="87" spans="1:25" x14ac:dyDescent="0.25">
      <c r="A87" s="43" t="s">
        <v>477</v>
      </c>
      <c r="B87" s="43" t="s">
        <v>330</v>
      </c>
      <c r="C87" s="43" t="s">
        <v>16</v>
      </c>
      <c r="D87" s="43" t="s">
        <v>20</v>
      </c>
      <c r="E87" s="43">
        <v>2</v>
      </c>
      <c r="F87" s="82" t="s">
        <v>766</v>
      </c>
      <c r="G87" s="43">
        <v>2.2852000000000001</v>
      </c>
      <c r="H87" s="43">
        <v>2.1345000000000001</v>
      </c>
      <c r="I87" s="44">
        <f t="shared" si="6"/>
        <v>7.0602014523307597</v>
      </c>
      <c r="J87" s="53">
        <v>44685</v>
      </c>
      <c r="K87" s="45">
        <v>44743</v>
      </c>
      <c r="L87" s="43">
        <f t="shared" si="7"/>
        <v>58</v>
      </c>
      <c r="M87" s="43">
        <v>1.1669</v>
      </c>
      <c r="N87" s="43">
        <f t="shared" si="8"/>
        <v>0.96760000000000002</v>
      </c>
      <c r="O87" s="43">
        <v>0.94089999999999996</v>
      </c>
      <c r="P87" s="43">
        <v>0.1522</v>
      </c>
      <c r="Q87" s="43">
        <v>7.0900000000000005E-2</v>
      </c>
      <c r="R87" s="46">
        <f t="shared" si="9"/>
        <v>1.9114</v>
      </c>
      <c r="S87" s="43">
        <f t="shared" si="10"/>
        <v>50.774301559066657</v>
      </c>
      <c r="U87" s="18">
        <f t="shared" si="11"/>
        <v>49.22569844093335</v>
      </c>
    </row>
    <row r="88" spans="1:25" x14ac:dyDescent="0.25">
      <c r="A88" s="47" t="s">
        <v>478</v>
      </c>
      <c r="B88" s="47" t="s">
        <v>329</v>
      </c>
      <c r="C88" s="47" t="s">
        <v>16</v>
      </c>
      <c r="D88" s="47" t="s">
        <v>17</v>
      </c>
      <c r="E88" s="47">
        <v>1</v>
      </c>
      <c r="F88" s="83" t="s">
        <v>767</v>
      </c>
      <c r="G88" s="47">
        <v>2.3054999999999999</v>
      </c>
      <c r="H88" s="47">
        <v>2.1539999999999999</v>
      </c>
      <c r="I88" s="49">
        <f t="shared" si="6"/>
        <v>7.0334261838440106</v>
      </c>
      <c r="J88" s="53">
        <v>44685</v>
      </c>
      <c r="K88" s="50">
        <v>44743</v>
      </c>
      <c r="L88" s="47">
        <f t="shared" si="7"/>
        <v>58</v>
      </c>
      <c r="M88" s="47">
        <v>1.3880999999999999</v>
      </c>
      <c r="N88" s="47">
        <f t="shared" si="8"/>
        <v>0.76590000000000003</v>
      </c>
      <c r="O88" s="47">
        <v>1.1777</v>
      </c>
      <c r="P88" s="47">
        <v>0.15290000000000001</v>
      </c>
      <c r="Q88" s="47">
        <v>6.4500000000000002E-2</v>
      </c>
      <c r="R88" s="48">
        <f t="shared" si="9"/>
        <v>1.9365999999999999</v>
      </c>
      <c r="S88" s="47">
        <f t="shared" si="10"/>
        <v>39.187235360941855</v>
      </c>
      <c r="T88">
        <f>AVERAGE(O88:O95)</f>
        <v>1.20835</v>
      </c>
      <c r="U88" s="18">
        <f t="shared" si="11"/>
        <v>60.812764639058145</v>
      </c>
      <c r="V88" s="7">
        <f>AVERAGE(U88:U95)</f>
        <v>62.885089246378428</v>
      </c>
      <c r="W88">
        <f>STDEV(U88:U95)</f>
        <v>3.6662311912930803</v>
      </c>
      <c r="X88">
        <f>AVERAGE(S88:S95)</f>
        <v>37.114910753621572</v>
      </c>
      <c r="Y88">
        <f>STDEV(S88:S95)</f>
        <v>3.6662311912930803</v>
      </c>
    </row>
    <row r="89" spans="1:25" x14ac:dyDescent="0.25">
      <c r="A89" s="47" t="s">
        <v>478</v>
      </c>
      <c r="B89" s="47" t="s">
        <v>329</v>
      </c>
      <c r="C89" s="47" t="s">
        <v>16</v>
      </c>
      <c r="D89" s="47" t="s">
        <v>17</v>
      </c>
      <c r="E89" s="47">
        <v>2</v>
      </c>
      <c r="F89" s="83" t="s">
        <v>768</v>
      </c>
      <c r="G89" s="47">
        <v>2.2603</v>
      </c>
      <c r="H89" s="47">
        <v>2.1135999999999999</v>
      </c>
      <c r="I89" s="49">
        <f t="shared" si="6"/>
        <v>6.9407645722937197</v>
      </c>
      <c r="J89" s="53">
        <v>44685</v>
      </c>
      <c r="K89" s="50">
        <v>44743</v>
      </c>
      <c r="L89" s="47">
        <f t="shared" si="7"/>
        <v>58</v>
      </c>
      <c r="M89" s="47">
        <v>1.3498000000000001</v>
      </c>
      <c r="N89" s="47">
        <f t="shared" si="8"/>
        <v>0.76379999999999981</v>
      </c>
      <c r="O89" s="47">
        <v>1.1414</v>
      </c>
      <c r="P89" s="47">
        <v>0.13769999999999999</v>
      </c>
      <c r="Q89" s="47">
        <v>6.9500000000000006E-2</v>
      </c>
      <c r="R89" s="48">
        <f t="shared" si="9"/>
        <v>1.9063999999999999</v>
      </c>
      <c r="S89" s="47">
        <f t="shared" si="10"/>
        <v>40.12798992866135</v>
      </c>
      <c r="U89" s="18">
        <f t="shared" si="11"/>
        <v>59.872010071338657</v>
      </c>
    </row>
    <row r="90" spans="1:25" x14ac:dyDescent="0.25">
      <c r="A90" s="47" t="s">
        <v>478</v>
      </c>
      <c r="B90" s="47" t="s">
        <v>329</v>
      </c>
      <c r="C90" s="47" t="s">
        <v>16</v>
      </c>
      <c r="D90" s="47" t="s">
        <v>18</v>
      </c>
      <c r="E90" s="47">
        <v>1</v>
      </c>
      <c r="F90" s="83" t="s">
        <v>769</v>
      </c>
      <c r="G90" s="47">
        <v>2.3713000000000002</v>
      </c>
      <c r="H90" s="47">
        <v>2.2139000000000002</v>
      </c>
      <c r="I90" s="49">
        <f t="shared" si="6"/>
        <v>7.1096255476760444</v>
      </c>
      <c r="J90" s="53">
        <v>44685</v>
      </c>
      <c r="K90" s="50">
        <v>44743</v>
      </c>
      <c r="L90" s="47">
        <f t="shared" si="7"/>
        <v>58</v>
      </c>
      <c r="M90" s="47">
        <v>1.5787</v>
      </c>
      <c r="N90" s="47">
        <f t="shared" si="8"/>
        <v>0.63520000000000021</v>
      </c>
      <c r="O90" s="47">
        <v>1.357</v>
      </c>
      <c r="P90" s="47">
        <v>0.14360000000000001</v>
      </c>
      <c r="Q90" s="47">
        <v>7.8299999999999995E-2</v>
      </c>
      <c r="R90" s="48">
        <f t="shared" si="9"/>
        <v>1.9920000000000002</v>
      </c>
      <c r="S90" s="47">
        <f t="shared" si="10"/>
        <v>31.877510040160651</v>
      </c>
      <c r="U90" s="18">
        <f t="shared" si="11"/>
        <v>68.122489959839356</v>
      </c>
    </row>
    <row r="91" spans="1:25" x14ac:dyDescent="0.25">
      <c r="A91" s="47" t="s">
        <v>478</v>
      </c>
      <c r="B91" s="47" t="s">
        <v>329</v>
      </c>
      <c r="C91" s="47" t="s">
        <v>16</v>
      </c>
      <c r="D91" s="47" t="s">
        <v>18</v>
      </c>
      <c r="E91" s="47">
        <v>2</v>
      </c>
      <c r="F91" s="83" t="s">
        <v>770</v>
      </c>
      <c r="G91" s="48">
        <v>2.2944</v>
      </c>
      <c r="H91" s="47">
        <v>2.1408999999999998</v>
      </c>
      <c r="I91" s="49">
        <f t="shared" si="6"/>
        <v>7.1698818254005428</v>
      </c>
      <c r="J91" s="53">
        <v>44685</v>
      </c>
      <c r="K91" s="50">
        <v>44743</v>
      </c>
      <c r="L91" s="47">
        <f t="shared" si="7"/>
        <v>58</v>
      </c>
      <c r="M91" s="47">
        <v>1.4995000000000001</v>
      </c>
      <c r="N91" s="47">
        <f t="shared" si="8"/>
        <v>0.64139999999999975</v>
      </c>
      <c r="O91" s="47">
        <v>1.2835000000000001</v>
      </c>
      <c r="P91" s="47">
        <v>0.14560000000000001</v>
      </c>
      <c r="Q91" s="47">
        <v>7.3099999999999998E-2</v>
      </c>
      <c r="R91" s="48">
        <f t="shared" si="9"/>
        <v>1.9221999999999997</v>
      </c>
      <c r="S91" s="47">
        <f t="shared" si="10"/>
        <v>33.22755176360419</v>
      </c>
      <c r="U91" s="18">
        <f t="shared" si="11"/>
        <v>66.772448236395803</v>
      </c>
    </row>
    <row r="92" spans="1:25" x14ac:dyDescent="0.25">
      <c r="A92" s="47" t="s">
        <v>478</v>
      </c>
      <c r="B92" s="47" t="s">
        <v>329</v>
      </c>
      <c r="C92" s="47" t="s">
        <v>16</v>
      </c>
      <c r="D92" s="47" t="s">
        <v>19</v>
      </c>
      <c r="E92" s="47">
        <v>1</v>
      </c>
      <c r="F92" s="83" t="s">
        <v>771</v>
      </c>
      <c r="G92" s="47">
        <v>2.2835000000000001</v>
      </c>
      <c r="H92" s="47">
        <v>2.1315</v>
      </c>
      <c r="I92" s="49">
        <f t="shared" si="6"/>
        <v>7.1311283133943304</v>
      </c>
      <c r="J92" s="53">
        <v>44685</v>
      </c>
      <c r="K92" s="50">
        <v>44743</v>
      </c>
      <c r="L92" s="47">
        <f t="shared" si="7"/>
        <v>58</v>
      </c>
      <c r="M92" s="47">
        <v>1.3536999999999999</v>
      </c>
      <c r="N92" s="47">
        <f t="shared" si="8"/>
        <v>0.77780000000000005</v>
      </c>
      <c r="O92" s="47">
        <v>1.1371</v>
      </c>
      <c r="P92" s="47">
        <v>0.14710000000000001</v>
      </c>
      <c r="Q92" s="47">
        <v>7.2499999999999995E-2</v>
      </c>
      <c r="R92" s="48">
        <f t="shared" si="9"/>
        <v>1.9118999999999999</v>
      </c>
      <c r="S92" s="47">
        <f t="shared" si="10"/>
        <v>40.525132067576749</v>
      </c>
      <c r="U92" s="18">
        <f t="shared" si="11"/>
        <v>59.474867932423251</v>
      </c>
    </row>
    <row r="93" spans="1:25" x14ac:dyDescent="0.25">
      <c r="A93" s="47" t="s">
        <v>478</v>
      </c>
      <c r="B93" s="47" t="s">
        <v>329</v>
      </c>
      <c r="C93" s="47" t="s">
        <v>16</v>
      </c>
      <c r="D93" s="47" t="s">
        <v>19</v>
      </c>
      <c r="E93" s="47">
        <v>2</v>
      </c>
      <c r="F93" s="83" t="s">
        <v>772</v>
      </c>
      <c r="G93" s="47">
        <v>2.3003</v>
      </c>
      <c r="H93" s="47">
        <v>2.1450999999999998</v>
      </c>
      <c r="I93" s="49">
        <f t="shared" si="6"/>
        <v>7.2350939350146959</v>
      </c>
      <c r="J93" s="53">
        <v>44685</v>
      </c>
      <c r="K93" s="50">
        <v>44743</v>
      </c>
      <c r="L93" s="47">
        <f t="shared" si="7"/>
        <v>58</v>
      </c>
      <c r="M93" s="47">
        <v>1.5029999999999999</v>
      </c>
      <c r="N93" s="47">
        <f t="shared" si="8"/>
        <v>0.64209999999999989</v>
      </c>
      <c r="O93" s="47">
        <v>1.2405999999999999</v>
      </c>
      <c r="P93" s="47">
        <v>0.17430000000000001</v>
      </c>
      <c r="Q93" s="47">
        <v>8.7400000000000005E-2</v>
      </c>
      <c r="R93" s="48">
        <f t="shared" si="9"/>
        <v>1.8833999999999997</v>
      </c>
      <c r="S93" s="47">
        <f t="shared" si="10"/>
        <v>34.129765318041834</v>
      </c>
      <c r="U93" s="18">
        <f t="shared" si="11"/>
        <v>65.870234681958166</v>
      </c>
    </row>
    <row r="94" spans="1:25" x14ac:dyDescent="0.25">
      <c r="A94" s="47" t="s">
        <v>478</v>
      </c>
      <c r="B94" s="47" t="s">
        <v>329</v>
      </c>
      <c r="C94" s="47" t="s">
        <v>16</v>
      </c>
      <c r="D94" s="47" t="s">
        <v>20</v>
      </c>
      <c r="E94" s="47">
        <v>1</v>
      </c>
      <c r="F94" s="83" t="s">
        <v>773</v>
      </c>
      <c r="G94" s="47">
        <v>2.2906</v>
      </c>
      <c r="H94" s="47">
        <v>2.1379000000000001</v>
      </c>
      <c r="I94" s="49">
        <f t="shared" si="6"/>
        <v>7.1425230366247163</v>
      </c>
      <c r="J94" s="53">
        <v>44685</v>
      </c>
      <c r="K94" s="50">
        <v>44743</v>
      </c>
      <c r="L94" s="47">
        <f t="shared" si="7"/>
        <v>58</v>
      </c>
      <c r="M94" s="47">
        <v>1.5918000000000001</v>
      </c>
      <c r="N94" s="47">
        <f t="shared" si="8"/>
        <v>0.54610000000000003</v>
      </c>
      <c r="O94" s="47">
        <v>1.1357999999999999</v>
      </c>
      <c r="P94" s="47">
        <v>0.13739999999999999</v>
      </c>
      <c r="Q94" s="47">
        <v>6.6299999999999998E-2</v>
      </c>
      <c r="R94" s="48">
        <f t="shared" si="9"/>
        <v>1.9342000000000001</v>
      </c>
      <c r="S94" s="47">
        <f t="shared" si="10"/>
        <v>41.278047771688563</v>
      </c>
      <c r="U94" s="18">
        <f t="shared" si="11"/>
        <v>58.721952228311437</v>
      </c>
    </row>
    <row r="95" spans="1:25" x14ac:dyDescent="0.25">
      <c r="A95" s="47" t="s">
        <v>478</v>
      </c>
      <c r="B95" s="47" t="s">
        <v>329</v>
      </c>
      <c r="C95" s="47" t="s">
        <v>16</v>
      </c>
      <c r="D95" s="47" t="s">
        <v>20</v>
      </c>
      <c r="E95" s="47">
        <v>2</v>
      </c>
      <c r="F95" s="83" t="s">
        <v>774</v>
      </c>
      <c r="G95" s="47">
        <v>2.2565</v>
      </c>
      <c r="H95" s="47">
        <v>2.1053999999999999</v>
      </c>
      <c r="I95" s="49">
        <f t="shared" si="6"/>
        <v>7.1767835090719112</v>
      </c>
      <c r="J95" s="53">
        <v>44685</v>
      </c>
      <c r="K95" s="50">
        <v>44743</v>
      </c>
      <c r="L95" s="47">
        <f t="shared" si="7"/>
        <v>58</v>
      </c>
      <c r="M95" s="47">
        <v>1.4180999999999999</v>
      </c>
      <c r="N95" s="47">
        <f t="shared" si="8"/>
        <v>0.68730000000000002</v>
      </c>
      <c r="O95" s="47">
        <v>1.1937</v>
      </c>
      <c r="P95" s="47">
        <v>0.14760000000000001</v>
      </c>
      <c r="Q95" s="47">
        <v>7.5999999999999998E-2</v>
      </c>
      <c r="R95" s="48">
        <f t="shared" si="9"/>
        <v>1.8817999999999999</v>
      </c>
      <c r="S95" s="47">
        <f t="shared" si="10"/>
        <v>36.566053778297373</v>
      </c>
      <c r="U95" s="18">
        <f t="shared" si="11"/>
        <v>63.433946221702634</v>
      </c>
    </row>
    <row r="96" spans="1:25" x14ac:dyDescent="0.25">
      <c r="A96" s="76" t="s">
        <v>479</v>
      </c>
      <c r="B96" s="76" t="s">
        <v>783</v>
      </c>
      <c r="C96" s="76" t="s">
        <v>16</v>
      </c>
      <c r="D96" s="76" t="s">
        <v>17</v>
      </c>
      <c r="E96" s="76">
        <v>1</v>
      </c>
      <c r="F96" s="84" t="s">
        <v>899</v>
      </c>
      <c r="G96" s="76">
        <v>2.3418000000000001</v>
      </c>
      <c r="H96" s="76">
        <v>2.1850000000000001</v>
      </c>
      <c r="I96" s="77">
        <f t="shared" si="6"/>
        <v>7.1762013729977134</v>
      </c>
      <c r="J96" s="53">
        <v>44944</v>
      </c>
      <c r="K96" s="78">
        <v>45002</v>
      </c>
      <c r="L96" s="76">
        <f t="shared" si="7"/>
        <v>58</v>
      </c>
      <c r="M96" s="76">
        <v>1.7023999999999999</v>
      </c>
      <c r="N96" s="76">
        <f t="shared" si="8"/>
        <v>0.48260000000000014</v>
      </c>
      <c r="O96" s="76">
        <v>1.5094000000000001</v>
      </c>
      <c r="P96" s="76">
        <v>0.1288</v>
      </c>
      <c r="Q96" s="76">
        <v>6.4899999999999999E-2</v>
      </c>
      <c r="R96" s="79">
        <f t="shared" si="9"/>
        <v>1.9913000000000001</v>
      </c>
      <c r="S96" s="76">
        <f t="shared" si="10"/>
        <v>24.200271179631397</v>
      </c>
      <c r="T96">
        <f>AVERAGE(O96:O103)</f>
        <v>1.443775</v>
      </c>
      <c r="U96" s="18">
        <f t="shared" si="11"/>
        <v>75.7997288203686</v>
      </c>
      <c r="V96" s="7">
        <f>AVERAGE(U96:U103)</f>
        <v>73.26261819519857</v>
      </c>
      <c r="W96">
        <f>STDEV(U96:U103)</f>
        <v>1.1445687648074201</v>
      </c>
      <c r="X96">
        <f>AVERAGE(S96:S103)</f>
        <v>26.737381804801437</v>
      </c>
      <c r="Y96">
        <f>STDEV(S96:S103)</f>
        <v>1.1445687648074208</v>
      </c>
    </row>
    <row r="97" spans="1:21" x14ac:dyDescent="0.25">
      <c r="A97" s="76" t="s">
        <v>479</v>
      </c>
      <c r="B97" s="76" t="s">
        <v>783</v>
      </c>
      <c r="C97" s="76" t="s">
        <v>16</v>
      </c>
      <c r="D97" s="76" t="s">
        <v>17</v>
      </c>
      <c r="E97" s="76">
        <v>2</v>
      </c>
      <c r="F97" s="84" t="s">
        <v>900</v>
      </c>
      <c r="G97" s="76">
        <v>2.3736000000000002</v>
      </c>
      <c r="H97" s="76">
        <v>2.2160000000000002</v>
      </c>
      <c r="I97" s="77">
        <f t="shared" si="6"/>
        <v>7.1119133574007201</v>
      </c>
      <c r="J97" s="53">
        <v>44944</v>
      </c>
      <c r="K97" s="78">
        <v>45002</v>
      </c>
      <c r="L97" s="76">
        <f t="shared" si="7"/>
        <v>58</v>
      </c>
      <c r="M97" s="76">
        <v>1.669</v>
      </c>
      <c r="N97" s="76">
        <f t="shared" si="8"/>
        <v>0.54700000000000015</v>
      </c>
      <c r="O97" s="76">
        <v>1.4812000000000001</v>
      </c>
      <c r="P97" s="76">
        <v>0.1278</v>
      </c>
      <c r="Q97" s="76">
        <v>6.1100000000000002E-2</v>
      </c>
      <c r="R97" s="79">
        <f t="shared" si="9"/>
        <v>2.0271000000000003</v>
      </c>
      <c r="S97" s="76">
        <f t="shared" si="10"/>
        <v>26.930097183168083</v>
      </c>
      <c r="U97" s="18">
        <f t="shared" si="11"/>
        <v>73.069902816831927</v>
      </c>
    </row>
    <row r="98" spans="1:21" x14ac:dyDescent="0.25">
      <c r="A98" s="76" t="s">
        <v>479</v>
      </c>
      <c r="B98" s="76" t="s">
        <v>783</v>
      </c>
      <c r="C98" s="76" t="s">
        <v>16</v>
      </c>
      <c r="D98" s="76" t="s">
        <v>18</v>
      </c>
      <c r="E98" s="76">
        <v>1</v>
      </c>
      <c r="F98" s="84" t="s">
        <v>901</v>
      </c>
      <c r="G98" s="76">
        <v>2.3744999999999998</v>
      </c>
      <c r="H98" s="76">
        <v>2.2155</v>
      </c>
      <c r="I98" s="77">
        <f t="shared" si="6"/>
        <v>7.1767095463777837</v>
      </c>
      <c r="J98" s="53">
        <v>44944</v>
      </c>
      <c r="K98" s="78">
        <v>45002</v>
      </c>
      <c r="L98" s="76">
        <f t="shared" si="7"/>
        <v>58</v>
      </c>
      <c r="M98" s="76">
        <v>1.6465000000000001</v>
      </c>
      <c r="N98" s="76">
        <f t="shared" si="8"/>
        <v>0.56899999999999995</v>
      </c>
      <c r="O98" s="76">
        <v>1.4543999999999999</v>
      </c>
      <c r="P98" s="76">
        <v>0.128</v>
      </c>
      <c r="Q98" s="76">
        <v>6.3600000000000004E-2</v>
      </c>
      <c r="R98" s="79">
        <f t="shared" si="9"/>
        <v>2.0239000000000003</v>
      </c>
      <c r="S98" s="76">
        <f t="shared" si="10"/>
        <v>28.138742032709139</v>
      </c>
      <c r="U98" s="18">
        <f t="shared" si="11"/>
        <v>71.861257967290854</v>
      </c>
    </row>
    <row r="99" spans="1:21" x14ac:dyDescent="0.25">
      <c r="A99" s="76" t="s">
        <v>479</v>
      </c>
      <c r="B99" s="76" t="s">
        <v>783</v>
      </c>
      <c r="C99" s="76" t="s">
        <v>16</v>
      </c>
      <c r="D99" s="76" t="s">
        <v>18</v>
      </c>
      <c r="E99" s="76">
        <v>2</v>
      </c>
      <c r="F99" s="84" t="s">
        <v>902</v>
      </c>
      <c r="G99" s="76">
        <v>2.4453999999999998</v>
      </c>
      <c r="H99" s="76">
        <v>2.2814000000000001</v>
      </c>
      <c r="I99" s="77">
        <f t="shared" si="6"/>
        <v>7.1885684228982072</v>
      </c>
      <c r="J99" s="53">
        <v>44944</v>
      </c>
      <c r="K99" s="78">
        <v>45002</v>
      </c>
      <c r="L99" s="76">
        <f t="shared" si="7"/>
        <v>58</v>
      </c>
      <c r="M99" s="76">
        <v>1.7366999999999999</v>
      </c>
      <c r="N99" s="76">
        <f t="shared" si="8"/>
        <v>0.54470000000000018</v>
      </c>
      <c r="O99" s="76">
        <v>1.5159</v>
      </c>
      <c r="P99" s="76">
        <v>0.1313</v>
      </c>
      <c r="Q99" s="76">
        <v>8.9200000000000002E-2</v>
      </c>
      <c r="R99" s="79">
        <f t="shared" si="9"/>
        <v>2.0609000000000002</v>
      </c>
      <c r="S99" s="76">
        <f t="shared" si="10"/>
        <v>26.444757144936681</v>
      </c>
      <c r="U99" s="18">
        <f t="shared" si="11"/>
        <v>73.555242855063312</v>
      </c>
    </row>
    <row r="100" spans="1:21" x14ac:dyDescent="0.25">
      <c r="A100" s="76" t="s">
        <v>479</v>
      </c>
      <c r="B100" s="76" t="s">
        <v>783</v>
      </c>
      <c r="C100" s="76" t="s">
        <v>16</v>
      </c>
      <c r="D100" s="76" t="s">
        <v>19</v>
      </c>
      <c r="E100" s="76">
        <v>1</v>
      </c>
      <c r="F100" s="84" t="s">
        <v>903</v>
      </c>
      <c r="G100" s="76">
        <v>2.0647000000000002</v>
      </c>
      <c r="H100" s="76">
        <v>1.9328000000000001</v>
      </c>
      <c r="I100" s="77">
        <f t="shared" si="6"/>
        <v>6.8242963576158999</v>
      </c>
      <c r="J100" s="53">
        <v>44944</v>
      </c>
      <c r="K100" s="78">
        <v>45002</v>
      </c>
      <c r="L100" s="76">
        <f t="shared" si="7"/>
        <v>58</v>
      </c>
      <c r="M100" s="76">
        <v>1.4605999999999999</v>
      </c>
      <c r="N100" s="76">
        <f t="shared" si="8"/>
        <v>0.47220000000000018</v>
      </c>
      <c r="O100" s="76">
        <v>1.2674000000000001</v>
      </c>
      <c r="P100" s="76">
        <v>0.13170000000000001</v>
      </c>
      <c r="Q100" s="76">
        <v>6.1499999999999999E-2</v>
      </c>
      <c r="R100" s="79">
        <f t="shared" si="9"/>
        <v>1.7396</v>
      </c>
      <c r="S100" s="76">
        <f t="shared" si="10"/>
        <v>27.144171073810071</v>
      </c>
      <c r="U100" s="18">
        <f t="shared" si="11"/>
        <v>72.855828926189929</v>
      </c>
    </row>
    <row r="101" spans="1:21" x14ac:dyDescent="0.25">
      <c r="A101" s="76" t="s">
        <v>479</v>
      </c>
      <c r="B101" s="76" t="s">
        <v>783</v>
      </c>
      <c r="C101" s="76" t="s">
        <v>16</v>
      </c>
      <c r="D101" s="76" t="s">
        <v>19</v>
      </c>
      <c r="E101" s="76">
        <v>2</v>
      </c>
      <c r="F101" s="84" t="s">
        <v>904</v>
      </c>
      <c r="G101" s="76">
        <v>2.3515999999999999</v>
      </c>
      <c r="H101" s="76">
        <v>2.1953</v>
      </c>
      <c r="I101" s="77">
        <f t="shared" si="6"/>
        <v>7.1197558420261418</v>
      </c>
      <c r="J101" s="53">
        <v>44944</v>
      </c>
      <c r="K101" s="78">
        <v>45002</v>
      </c>
      <c r="L101" s="76">
        <f t="shared" si="7"/>
        <v>58</v>
      </c>
      <c r="M101" s="76">
        <v>1.6498999999999999</v>
      </c>
      <c r="N101" s="76">
        <f t="shared" si="8"/>
        <v>0.54540000000000011</v>
      </c>
      <c r="O101" s="76">
        <v>1.4591000000000001</v>
      </c>
      <c r="P101" s="76">
        <v>0.1275</v>
      </c>
      <c r="Q101" s="76">
        <v>6.4000000000000001E-2</v>
      </c>
      <c r="R101" s="79">
        <f t="shared" si="9"/>
        <v>2.0038</v>
      </c>
      <c r="S101" s="76">
        <f t="shared" si="10"/>
        <v>27.183351631899388</v>
      </c>
      <c r="U101" s="18">
        <f t="shared" si="11"/>
        <v>72.816648368100616</v>
      </c>
    </row>
    <row r="102" spans="1:21" x14ac:dyDescent="0.25">
      <c r="A102" s="76" t="s">
        <v>479</v>
      </c>
      <c r="B102" s="76" t="s">
        <v>783</v>
      </c>
      <c r="C102" s="76" t="s">
        <v>16</v>
      </c>
      <c r="D102" s="76" t="s">
        <v>20</v>
      </c>
      <c r="E102" s="76">
        <v>1</v>
      </c>
      <c r="F102" s="84" t="s">
        <v>905</v>
      </c>
      <c r="G102" s="76">
        <v>2.2890000000000001</v>
      </c>
      <c r="H102" s="76">
        <v>2.1375999999999999</v>
      </c>
      <c r="I102" s="77">
        <f t="shared" si="6"/>
        <v>7.0827095808383325</v>
      </c>
      <c r="J102" s="53">
        <v>44944</v>
      </c>
      <c r="K102" s="78">
        <v>45002</v>
      </c>
      <c r="L102" s="76">
        <f t="shared" si="7"/>
        <v>58</v>
      </c>
      <c r="M102" s="76">
        <v>1.607</v>
      </c>
      <c r="N102" s="76">
        <f t="shared" si="8"/>
        <v>0.53059999999999996</v>
      </c>
      <c r="O102" s="76">
        <v>1.4148000000000001</v>
      </c>
      <c r="P102" s="76">
        <v>0.12670000000000001</v>
      </c>
      <c r="Q102" s="76">
        <v>6.6100000000000006E-2</v>
      </c>
      <c r="R102" s="79">
        <f t="shared" si="9"/>
        <v>1.9447999999999999</v>
      </c>
      <c r="S102" s="76">
        <f t="shared" si="10"/>
        <v>27.252159605100772</v>
      </c>
      <c r="U102" s="18">
        <f t="shared" si="11"/>
        <v>72.747840394899228</v>
      </c>
    </row>
    <row r="103" spans="1:21" x14ac:dyDescent="0.25">
      <c r="A103" s="76" t="s">
        <v>479</v>
      </c>
      <c r="B103" s="76" t="s">
        <v>783</v>
      </c>
      <c r="C103" s="76" t="s">
        <v>16</v>
      </c>
      <c r="D103" s="76" t="s">
        <v>20</v>
      </c>
      <c r="E103" s="76">
        <v>2</v>
      </c>
      <c r="F103" s="84" t="s">
        <v>906</v>
      </c>
      <c r="G103" s="76">
        <v>2.3451</v>
      </c>
      <c r="H103" s="76">
        <v>2.1901999999999999</v>
      </c>
      <c r="I103" s="77">
        <f t="shared" si="6"/>
        <v>7.0724134782211694</v>
      </c>
      <c r="J103" s="53">
        <v>44944</v>
      </c>
      <c r="K103" s="78">
        <v>45002</v>
      </c>
      <c r="L103" s="76">
        <f t="shared" si="7"/>
        <v>58</v>
      </c>
      <c r="M103" s="76">
        <v>1.6725000000000001</v>
      </c>
      <c r="N103" s="76">
        <f t="shared" si="8"/>
        <v>0.51769999999999983</v>
      </c>
      <c r="O103" s="76">
        <v>1.448</v>
      </c>
      <c r="P103" s="76">
        <v>0.14630000000000001</v>
      </c>
      <c r="Q103" s="76">
        <v>7.0999999999999994E-2</v>
      </c>
      <c r="R103" s="79">
        <f t="shared" si="9"/>
        <v>1.9728999999999999</v>
      </c>
      <c r="S103" s="76">
        <f t="shared" si="10"/>
        <v>26.605504587155959</v>
      </c>
      <c r="U103" s="18">
        <f t="shared" si="11"/>
        <v>73.394495412844037</v>
      </c>
    </row>
    <row r="104" spans="1:21" x14ac:dyDescent="0.25">
      <c r="F104" s="260" t="s">
        <v>119</v>
      </c>
      <c r="G104" s="258">
        <f>AVERAGE(G57:G103)</f>
        <v>2.2919489361702134</v>
      </c>
      <c r="H104" s="14">
        <f>AVERAGE(H57:H103)</f>
        <v>2.151202127659575</v>
      </c>
      <c r="O104" s="15"/>
      <c r="P104" s="16"/>
      <c r="Q104" s="16"/>
    </row>
    <row r="105" spans="1:21" x14ac:dyDescent="0.25">
      <c r="F105" s="259" t="s">
        <v>120</v>
      </c>
      <c r="G105" s="14">
        <f>STDEV(G57:G103)</f>
        <v>5.6405453299190299E-2</v>
      </c>
      <c r="H105" s="14">
        <f>STDEV(H57:H103)</f>
        <v>5.2035052940350594E-2</v>
      </c>
      <c r="O105" s="15"/>
      <c r="P105" s="16"/>
      <c r="Q105" s="16"/>
    </row>
    <row r="106" spans="1:21" x14ac:dyDescent="0.25">
      <c r="F106" s="13" t="s">
        <v>121</v>
      </c>
      <c r="G106" s="14">
        <f>CONFIDENCE(0.05,G105,COUNT(G57:G103))</f>
        <v>1.6125762373092978E-2</v>
      </c>
      <c r="H106" s="14">
        <f>CONFIDENCE(0.05,H105,COUNT(H57:H95))</f>
        <v>1.633096275176996E-2</v>
      </c>
      <c r="O106" s="15"/>
      <c r="P106" s="16"/>
      <c r="Q106" s="16"/>
    </row>
    <row r="107" spans="1:21" x14ac:dyDescent="0.25">
      <c r="F107" s="13" t="s">
        <v>122</v>
      </c>
      <c r="G107" s="14">
        <f>G104-G106</f>
        <v>2.2758231737971206</v>
      </c>
      <c r="H107" s="14">
        <f>H104-H106</f>
        <v>2.1348711649078052</v>
      </c>
      <c r="O107" s="15"/>
      <c r="P107" s="16"/>
      <c r="Q107" s="16"/>
    </row>
    <row r="108" spans="1:21" x14ac:dyDescent="0.25">
      <c r="F108" s="13" t="s">
        <v>123</v>
      </c>
      <c r="G108" s="14">
        <f>G104+G107</f>
        <v>4.5677721099673345</v>
      </c>
      <c r="H108" s="14">
        <f>H104+H107</f>
        <v>4.2860732925673801</v>
      </c>
      <c r="O108" s="15"/>
      <c r="P108" s="16"/>
      <c r="Q108" s="16"/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40" workbookViewId="0">
      <selection activeCell="E50" sqref="E50"/>
    </sheetView>
  </sheetViews>
  <sheetFormatPr baseColWidth="10" defaultRowHeight="15" x14ac:dyDescent="0.25"/>
  <cols>
    <col min="1" max="1" width="11.28515625" customWidth="1"/>
    <col min="2" max="2" width="14.42578125" customWidth="1"/>
    <col min="3" max="3" width="12.140625" customWidth="1"/>
    <col min="4" max="5" width="14.7109375" style="6" customWidth="1"/>
    <col min="8" max="8" width="16.85546875" customWidth="1"/>
  </cols>
  <sheetData>
    <row r="1" spans="1:8" ht="45" x14ac:dyDescent="0.25">
      <c r="A1" s="9" t="s">
        <v>1</v>
      </c>
      <c r="B1" s="9" t="s">
        <v>39</v>
      </c>
      <c r="C1" s="10" t="s">
        <v>0</v>
      </c>
      <c r="D1" s="11" t="s">
        <v>97</v>
      </c>
      <c r="E1" s="11" t="s">
        <v>98</v>
      </c>
      <c r="F1" s="11" t="s">
        <v>117</v>
      </c>
      <c r="G1" s="11" t="s">
        <v>118</v>
      </c>
      <c r="H1" s="11" t="s">
        <v>318</v>
      </c>
    </row>
    <row r="2" spans="1:8" x14ac:dyDescent="0.25">
      <c r="A2" s="88" t="s">
        <v>474</v>
      </c>
      <c r="B2" s="87" t="s">
        <v>100</v>
      </c>
      <c r="C2" s="9" t="s">
        <v>688</v>
      </c>
      <c r="D2" s="8" t="s">
        <v>61</v>
      </c>
      <c r="E2" s="8">
        <f>25*2.54</f>
        <v>63.5</v>
      </c>
      <c r="F2">
        <f>29.9*2.54</f>
        <v>75.945999999999998</v>
      </c>
      <c r="G2">
        <f t="shared" ref="G2:G50" si="0">(F2+10)-E2</f>
        <v>22.445999999999998</v>
      </c>
      <c r="H2" s="4">
        <f>AVERAGE(G2:G9)</f>
        <v>21.747500000000002</v>
      </c>
    </row>
    <row r="3" spans="1:8" x14ac:dyDescent="0.25">
      <c r="A3" s="88" t="s">
        <v>474</v>
      </c>
      <c r="B3" s="87" t="s">
        <v>100</v>
      </c>
      <c r="C3" s="9" t="s">
        <v>689</v>
      </c>
      <c r="D3" s="8" t="s">
        <v>61</v>
      </c>
      <c r="E3" s="8">
        <f>28.5*2.54</f>
        <v>72.39</v>
      </c>
      <c r="F3">
        <f>30.8*2.54</f>
        <v>78.231999999999999</v>
      </c>
      <c r="G3">
        <f t="shared" si="0"/>
        <v>15.841999999999999</v>
      </c>
    </row>
    <row r="4" spans="1:8" x14ac:dyDescent="0.25">
      <c r="A4" s="88" t="s">
        <v>474</v>
      </c>
      <c r="B4" s="87" t="s">
        <v>100</v>
      </c>
      <c r="C4" s="9" t="s">
        <v>690</v>
      </c>
      <c r="D4" s="8" t="s">
        <v>61</v>
      </c>
      <c r="E4" s="8">
        <f>26*2.54</f>
        <v>66.040000000000006</v>
      </c>
      <c r="F4">
        <f>30.1*2.54</f>
        <v>76.454000000000008</v>
      </c>
      <c r="G4">
        <f t="shared" si="0"/>
        <v>20.414000000000001</v>
      </c>
    </row>
    <row r="5" spans="1:8" x14ac:dyDescent="0.25">
      <c r="A5" s="88" t="s">
        <v>474</v>
      </c>
      <c r="B5" s="87" t="s">
        <v>100</v>
      </c>
      <c r="C5" s="9" t="s">
        <v>691</v>
      </c>
      <c r="D5" s="8" t="s">
        <v>61</v>
      </c>
      <c r="E5" s="8">
        <f>28*2.54</f>
        <v>71.12</v>
      </c>
      <c r="F5">
        <f>31*2.54</f>
        <v>78.739999999999995</v>
      </c>
      <c r="G5">
        <f t="shared" si="0"/>
        <v>17.61999999999999</v>
      </c>
    </row>
    <row r="6" spans="1:8" x14ac:dyDescent="0.25">
      <c r="A6" s="88" t="s">
        <v>474</v>
      </c>
      <c r="B6" s="87" t="s">
        <v>100</v>
      </c>
      <c r="C6" s="9" t="s">
        <v>692</v>
      </c>
      <c r="D6" s="8" t="s">
        <v>61</v>
      </c>
      <c r="E6" s="8">
        <f>27*2.54</f>
        <v>68.58</v>
      </c>
      <c r="F6">
        <f>29.9*2.54</f>
        <v>75.945999999999998</v>
      </c>
      <c r="G6">
        <f t="shared" si="0"/>
        <v>17.366</v>
      </c>
    </row>
    <row r="7" spans="1:8" x14ac:dyDescent="0.25">
      <c r="A7" s="88" t="s">
        <v>474</v>
      </c>
      <c r="B7" s="87" t="s">
        <v>100</v>
      </c>
      <c r="C7" s="9" t="s">
        <v>693</v>
      </c>
      <c r="D7" s="8" t="s">
        <v>61</v>
      </c>
      <c r="E7" s="8">
        <f>25*2.54</f>
        <v>63.5</v>
      </c>
      <c r="F7">
        <f>29.6*2.54</f>
        <v>75.184000000000012</v>
      </c>
      <c r="G7">
        <f t="shared" si="0"/>
        <v>21.684000000000012</v>
      </c>
    </row>
    <row r="8" spans="1:8" x14ac:dyDescent="0.25">
      <c r="A8" s="88" t="s">
        <v>474</v>
      </c>
      <c r="B8" s="87" t="s">
        <v>100</v>
      </c>
      <c r="C8" s="9" t="s">
        <v>694</v>
      </c>
      <c r="D8" s="8" t="s">
        <v>61</v>
      </c>
      <c r="E8" s="8">
        <f>24*2.54</f>
        <v>60.96</v>
      </c>
      <c r="F8">
        <f>29.9*2.54</f>
        <v>75.945999999999998</v>
      </c>
      <c r="G8">
        <f t="shared" si="0"/>
        <v>24.985999999999997</v>
      </c>
    </row>
    <row r="9" spans="1:8" x14ac:dyDescent="0.25">
      <c r="A9" s="88" t="s">
        <v>474</v>
      </c>
      <c r="B9" s="87" t="s">
        <v>100</v>
      </c>
      <c r="C9" s="9" t="s">
        <v>695</v>
      </c>
      <c r="D9" s="8" t="s">
        <v>61</v>
      </c>
      <c r="E9" s="8">
        <f>21*2.54</f>
        <v>53.34</v>
      </c>
      <c r="F9">
        <f>30.3*2.54</f>
        <v>76.962000000000003</v>
      </c>
      <c r="G9">
        <f t="shared" si="0"/>
        <v>33.622</v>
      </c>
    </row>
    <row r="10" spans="1:8" x14ac:dyDescent="0.25">
      <c r="A10" s="88" t="s">
        <v>475</v>
      </c>
      <c r="B10" s="87" t="s">
        <v>327</v>
      </c>
      <c r="C10" s="9" t="s">
        <v>784</v>
      </c>
      <c r="D10" s="8">
        <f>13.4*2.54</f>
        <v>34.036000000000001</v>
      </c>
      <c r="E10" s="8">
        <f>30.5*2.54</f>
        <v>77.47</v>
      </c>
      <c r="F10">
        <f>31.3*2.54</f>
        <v>79.50200000000001</v>
      </c>
      <c r="G10">
        <f t="shared" si="0"/>
        <v>12.032000000000011</v>
      </c>
    </row>
    <row r="11" spans="1:8" x14ac:dyDescent="0.25">
      <c r="A11" s="88" t="s">
        <v>475</v>
      </c>
      <c r="B11" s="87" t="s">
        <v>327</v>
      </c>
      <c r="C11" s="9" t="s">
        <v>696</v>
      </c>
      <c r="D11" s="8">
        <f>14.5*2.54</f>
        <v>36.83</v>
      </c>
      <c r="E11" s="8">
        <f>30.2*2.54</f>
        <v>76.707999999999998</v>
      </c>
      <c r="F11">
        <f>30.2*2.54</f>
        <v>76.707999999999998</v>
      </c>
      <c r="G11">
        <f t="shared" si="0"/>
        <v>10</v>
      </c>
    </row>
    <row r="12" spans="1:8" x14ac:dyDescent="0.25">
      <c r="A12" s="88" t="s">
        <v>475</v>
      </c>
      <c r="B12" s="87" t="s">
        <v>327</v>
      </c>
      <c r="C12" s="9" t="s">
        <v>697</v>
      </c>
      <c r="D12" s="8">
        <f>13.7*2.54</f>
        <v>34.798000000000002</v>
      </c>
      <c r="E12" s="8">
        <f>30*2.54</f>
        <v>76.2</v>
      </c>
      <c r="F12">
        <f>28.6*2.54</f>
        <v>72.644000000000005</v>
      </c>
      <c r="G12">
        <f t="shared" si="0"/>
        <v>6.4440000000000026</v>
      </c>
      <c r="H12" s="4">
        <f>AVERAGE(G11:G18)</f>
        <v>16.826250000000002</v>
      </c>
    </row>
    <row r="13" spans="1:8" x14ac:dyDescent="0.25">
      <c r="A13" s="88" t="s">
        <v>475</v>
      </c>
      <c r="B13" s="87" t="s">
        <v>327</v>
      </c>
      <c r="C13" s="9" t="s">
        <v>698</v>
      </c>
      <c r="D13" s="8">
        <f>16.3*2.54</f>
        <v>41.402000000000001</v>
      </c>
      <c r="E13" s="8">
        <f>24.6*2.54</f>
        <v>62.484000000000002</v>
      </c>
      <c r="F13">
        <f>29.9*2.54</f>
        <v>75.945999999999998</v>
      </c>
      <c r="G13">
        <f t="shared" si="0"/>
        <v>23.461999999999996</v>
      </c>
    </row>
    <row r="14" spans="1:8" x14ac:dyDescent="0.25">
      <c r="A14" s="88" t="s">
        <v>475</v>
      </c>
      <c r="B14" s="87" t="s">
        <v>327</v>
      </c>
      <c r="C14" s="9" t="s">
        <v>699</v>
      </c>
      <c r="D14" s="8">
        <f>17*2.54</f>
        <v>43.18</v>
      </c>
      <c r="E14" s="8">
        <f>23.2*2.54</f>
        <v>58.927999999999997</v>
      </c>
      <c r="F14">
        <f>30*2.54</f>
        <v>76.2</v>
      </c>
      <c r="G14">
        <f t="shared" si="0"/>
        <v>27.272000000000006</v>
      </c>
    </row>
    <row r="15" spans="1:8" x14ac:dyDescent="0.25">
      <c r="A15" s="88" t="s">
        <v>475</v>
      </c>
      <c r="B15" s="87" t="s">
        <v>327</v>
      </c>
      <c r="C15" s="9" t="s">
        <v>700</v>
      </c>
      <c r="D15" s="8">
        <f>15*2.54</f>
        <v>38.1</v>
      </c>
      <c r="E15" s="8">
        <f>22.2*2.54</f>
        <v>56.387999999999998</v>
      </c>
      <c r="F15">
        <f>30*2.54</f>
        <v>76.2</v>
      </c>
      <c r="G15">
        <f t="shared" si="0"/>
        <v>29.812000000000005</v>
      </c>
    </row>
    <row r="16" spans="1:8" x14ac:dyDescent="0.25">
      <c r="A16" s="88" t="s">
        <v>475</v>
      </c>
      <c r="B16" s="87" t="s">
        <v>327</v>
      </c>
      <c r="C16" s="9" t="s">
        <v>701</v>
      </c>
      <c r="D16" s="8">
        <f>17*2.54</f>
        <v>43.18</v>
      </c>
      <c r="E16" s="8">
        <f>29.3*2.54</f>
        <v>74.421999999999997</v>
      </c>
      <c r="F16">
        <f>30.5*2.54</f>
        <v>77.47</v>
      </c>
      <c r="G16">
        <f t="shared" si="0"/>
        <v>13.048000000000002</v>
      </c>
    </row>
    <row r="17" spans="1:8" x14ac:dyDescent="0.25">
      <c r="A17" s="88" t="s">
        <v>475</v>
      </c>
      <c r="B17" s="87" t="s">
        <v>327</v>
      </c>
      <c r="C17" s="9" t="s">
        <v>702</v>
      </c>
      <c r="D17" s="8">
        <f>12.5*2.54</f>
        <v>31.75</v>
      </c>
      <c r="E17" s="8">
        <f>27.5*2.54</f>
        <v>69.849999999999994</v>
      </c>
      <c r="F17">
        <f>29*2.54</f>
        <v>73.66</v>
      </c>
      <c r="G17">
        <f t="shared" si="0"/>
        <v>13.810000000000002</v>
      </c>
    </row>
    <row r="18" spans="1:8" x14ac:dyDescent="0.25">
      <c r="A18" s="88" t="s">
        <v>475</v>
      </c>
      <c r="B18" s="87" t="s">
        <v>327</v>
      </c>
      <c r="C18" s="9" t="s">
        <v>703</v>
      </c>
      <c r="D18" s="8">
        <f>14.5*2.54</f>
        <v>36.83</v>
      </c>
      <c r="E18" s="8">
        <f>30.5*2.54</f>
        <v>77.47</v>
      </c>
      <c r="F18">
        <f>30.8*2.54</f>
        <v>78.231999999999999</v>
      </c>
      <c r="G18">
        <f t="shared" si="0"/>
        <v>10.762</v>
      </c>
    </row>
    <row r="19" spans="1:8" x14ac:dyDescent="0.25">
      <c r="A19" s="88" t="s">
        <v>476</v>
      </c>
      <c r="B19" s="87" t="s">
        <v>328</v>
      </c>
      <c r="C19" s="9" t="s">
        <v>704</v>
      </c>
      <c r="D19" s="8">
        <f>4.7*2.54</f>
        <v>11.938000000000001</v>
      </c>
      <c r="E19" s="8">
        <f>29*2.54</f>
        <v>73.66</v>
      </c>
      <c r="F19">
        <f>29*2.54</f>
        <v>73.66</v>
      </c>
      <c r="G19">
        <f t="shared" si="0"/>
        <v>10</v>
      </c>
      <c r="H19" s="4">
        <f>AVERAGE(G19:G26)</f>
        <v>13.37457142857143</v>
      </c>
    </row>
    <row r="20" spans="1:8" x14ac:dyDescent="0.25">
      <c r="A20" s="88" t="s">
        <v>476</v>
      </c>
      <c r="B20" s="87" t="s">
        <v>328</v>
      </c>
      <c r="C20" s="9" t="s">
        <v>705</v>
      </c>
      <c r="D20" s="8">
        <f>5.1*2.54</f>
        <v>12.953999999999999</v>
      </c>
      <c r="E20" s="8">
        <f>28.5*2.54</f>
        <v>72.39</v>
      </c>
      <c r="F20">
        <f>29*2.54</f>
        <v>73.66</v>
      </c>
      <c r="G20">
        <f t="shared" si="0"/>
        <v>11.269999999999996</v>
      </c>
    </row>
    <row r="21" spans="1:8" x14ac:dyDescent="0.25">
      <c r="A21" s="88" t="s">
        <v>476</v>
      </c>
      <c r="B21" s="87" t="s">
        <v>328</v>
      </c>
      <c r="C21" s="9" t="s">
        <v>706</v>
      </c>
      <c r="D21" s="8">
        <f>8.2*2.54</f>
        <v>20.827999999999999</v>
      </c>
      <c r="E21" s="8">
        <f>29.4*2.54</f>
        <v>74.676000000000002</v>
      </c>
      <c r="F21">
        <f>29.6*2.54</f>
        <v>75.184000000000012</v>
      </c>
      <c r="G21">
        <f t="shared" si="0"/>
        <v>10.50800000000001</v>
      </c>
    </row>
    <row r="22" spans="1:8" x14ac:dyDescent="0.25">
      <c r="A22" s="88" t="s">
        <v>476</v>
      </c>
      <c r="B22" s="87" t="s">
        <v>328</v>
      </c>
      <c r="C22" s="9" t="s">
        <v>707</v>
      </c>
      <c r="D22" s="8">
        <f>6*2.54</f>
        <v>15.24</v>
      </c>
      <c r="E22" s="8">
        <f>28.5*2.54</f>
        <v>72.39</v>
      </c>
      <c r="F22">
        <f>29.2*2.54</f>
        <v>74.167999999999992</v>
      </c>
      <c r="G22">
        <f t="shared" si="0"/>
        <v>11.777999999999992</v>
      </c>
    </row>
    <row r="23" spans="1:8" x14ac:dyDescent="0.25">
      <c r="A23" s="88" t="s">
        <v>476</v>
      </c>
      <c r="B23" s="87" t="s">
        <v>328</v>
      </c>
      <c r="C23" s="9" t="s">
        <v>708</v>
      </c>
      <c r="D23" s="8">
        <f>6.2*2.54</f>
        <v>15.748000000000001</v>
      </c>
      <c r="E23" s="8">
        <f>29.5*2.54</f>
        <v>74.930000000000007</v>
      </c>
      <c r="F23">
        <f>29.4*2.54</f>
        <v>74.676000000000002</v>
      </c>
    </row>
    <row r="24" spans="1:8" x14ac:dyDescent="0.25">
      <c r="A24" s="88" t="s">
        <v>476</v>
      </c>
      <c r="B24" s="87" t="s">
        <v>328</v>
      </c>
      <c r="C24" s="9" t="s">
        <v>709</v>
      </c>
      <c r="D24" s="8">
        <f>4*2.54</f>
        <v>10.16</v>
      </c>
      <c r="E24" s="8">
        <f>27.3*2.54</f>
        <v>69.341999999999999</v>
      </c>
      <c r="F24">
        <f>29.6*2.54</f>
        <v>75.184000000000012</v>
      </c>
      <c r="G24">
        <f t="shared" si="0"/>
        <v>15.842000000000013</v>
      </c>
    </row>
    <row r="25" spans="1:8" x14ac:dyDescent="0.25">
      <c r="A25" s="88" t="s">
        <v>476</v>
      </c>
      <c r="B25" s="87" t="s">
        <v>328</v>
      </c>
      <c r="C25" s="9" t="s">
        <v>710</v>
      </c>
      <c r="D25" s="8">
        <f>2.4*2.54</f>
        <v>6.0960000000000001</v>
      </c>
      <c r="E25" s="8">
        <f>29.5*2.54</f>
        <v>74.930000000000007</v>
      </c>
      <c r="F25">
        <f>30.1*2.54</f>
        <v>76.454000000000008</v>
      </c>
      <c r="G25">
        <f t="shared" si="0"/>
        <v>11.524000000000001</v>
      </c>
    </row>
    <row r="26" spans="1:8" x14ac:dyDescent="0.25">
      <c r="A26" s="88" t="s">
        <v>476</v>
      </c>
      <c r="B26" s="87" t="s">
        <v>328</v>
      </c>
      <c r="C26" s="9" t="s">
        <v>711</v>
      </c>
      <c r="D26" s="8">
        <f>0.5*2.54</f>
        <v>1.27</v>
      </c>
      <c r="E26" s="8">
        <f>25*2.54</f>
        <v>63.5</v>
      </c>
      <c r="F26">
        <f>30*2.54</f>
        <v>76.2</v>
      </c>
      <c r="G26">
        <f t="shared" si="0"/>
        <v>22.700000000000003</v>
      </c>
    </row>
    <row r="27" spans="1:8" x14ac:dyDescent="0.25">
      <c r="A27" s="268" t="s">
        <v>477</v>
      </c>
      <c r="B27" s="87" t="s">
        <v>330</v>
      </c>
      <c r="C27" s="9" t="s">
        <v>712</v>
      </c>
      <c r="D27" s="8" t="s">
        <v>61</v>
      </c>
      <c r="E27" s="8">
        <f>29.2*2.54</f>
        <v>74.167999999999992</v>
      </c>
      <c r="F27">
        <f>30.8*2.54</f>
        <v>78.231999999999999</v>
      </c>
      <c r="G27">
        <f t="shared" si="0"/>
        <v>14.064000000000007</v>
      </c>
    </row>
    <row r="28" spans="1:8" x14ac:dyDescent="0.25">
      <c r="A28" s="268" t="s">
        <v>477</v>
      </c>
      <c r="B28" s="87" t="s">
        <v>330</v>
      </c>
      <c r="C28" s="9" t="s">
        <v>713</v>
      </c>
      <c r="D28" s="8" t="s">
        <v>61</v>
      </c>
      <c r="E28" s="8">
        <f>29*2.54</f>
        <v>73.66</v>
      </c>
      <c r="F28">
        <f>30.9*2.54</f>
        <v>78.486000000000004</v>
      </c>
      <c r="G28">
        <f t="shared" si="0"/>
        <v>14.826000000000008</v>
      </c>
      <c r="H28" s="4">
        <f>AVERAGE(G27:G34)</f>
        <v>20.654499999999999</v>
      </c>
    </row>
    <row r="29" spans="1:8" x14ac:dyDescent="0.25">
      <c r="A29" s="268" t="s">
        <v>477</v>
      </c>
      <c r="B29" s="87" t="s">
        <v>330</v>
      </c>
      <c r="C29" s="9" t="s">
        <v>714</v>
      </c>
      <c r="D29" s="8" t="s">
        <v>61</v>
      </c>
      <c r="E29" s="8">
        <f>28*2.54</f>
        <v>71.12</v>
      </c>
      <c r="F29">
        <f>30*2.54</f>
        <v>76.2</v>
      </c>
      <c r="G29">
        <f t="shared" si="0"/>
        <v>15.079999999999998</v>
      </c>
    </row>
    <row r="30" spans="1:8" x14ac:dyDescent="0.25">
      <c r="A30" s="268" t="s">
        <v>477</v>
      </c>
      <c r="B30" s="87" t="s">
        <v>330</v>
      </c>
      <c r="C30" s="9" t="s">
        <v>715</v>
      </c>
      <c r="D30" s="8" t="s">
        <v>61</v>
      </c>
      <c r="E30" s="8">
        <f>27.5*2.54</f>
        <v>69.849999999999994</v>
      </c>
      <c r="F30">
        <f>28.9*2.54</f>
        <v>73.405999999999992</v>
      </c>
      <c r="G30">
        <f t="shared" si="0"/>
        <v>13.555999999999997</v>
      </c>
    </row>
    <row r="31" spans="1:8" x14ac:dyDescent="0.25">
      <c r="A31" s="268" t="s">
        <v>477</v>
      </c>
      <c r="B31" s="87" t="s">
        <v>330</v>
      </c>
      <c r="C31" s="9" t="s">
        <v>716</v>
      </c>
      <c r="D31" s="8" t="s">
        <v>61</v>
      </c>
      <c r="E31" s="8">
        <f>26.2*2.54</f>
        <v>66.548000000000002</v>
      </c>
      <c r="F31">
        <f>29.2*2.54</f>
        <v>74.167999999999992</v>
      </c>
      <c r="G31">
        <f t="shared" si="0"/>
        <v>17.61999999999999</v>
      </c>
    </row>
    <row r="32" spans="1:8" x14ac:dyDescent="0.25">
      <c r="A32" s="268" t="s">
        <v>477</v>
      </c>
      <c r="B32" s="87" t="s">
        <v>330</v>
      </c>
      <c r="C32" s="9" t="s">
        <v>717</v>
      </c>
      <c r="D32" s="8" t="s">
        <v>61</v>
      </c>
      <c r="E32" s="8">
        <f>25.6*2.54</f>
        <v>65.024000000000001</v>
      </c>
      <c r="F32">
        <f>29*2.54</f>
        <v>73.66</v>
      </c>
      <c r="G32">
        <f t="shared" si="0"/>
        <v>18.635999999999996</v>
      </c>
    </row>
    <row r="33" spans="1:8" x14ac:dyDescent="0.25">
      <c r="A33" s="268" t="s">
        <v>477</v>
      </c>
      <c r="B33" s="87" t="s">
        <v>330</v>
      </c>
      <c r="C33" s="9" t="s">
        <v>718</v>
      </c>
      <c r="D33" s="8" t="s">
        <v>61</v>
      </c>
      <c r="E33" s="8">
        <f>27.54</f>
        <v>27.54</v>
      </c>
      <c r="F33">
        <f>29*2.54</f>
        <v>73.66</v>
      </c>
      <c r="G33">
        <f t="shared" si="0"/>
        <v>56.12</v>
      </c>
    </row>
    <row r="34" spans="1:8" x14ac:dyDescent="0.25">
      <c r="A34" s="268" t="s">
        <v>477</v>
      </c>
      <c r="B34" s="87" t="s">
        <v>330</v>
      </c>
      <c r="C34" s="9" t="s">
        <v>719</v>
      </c>
      <c r="D34" s="8" t="s">
        <v>61</v>
      </c>
      <c r="E34" s="8">
        <f>27*2.54</f>
        <v>68.58</v>
      </c>
      <c r="F34">
        <f>29.1*2.54</f>
        <v>73.914000000000001</v>
      </c>
      <c r="G34">
        <f t="shared" si="0"/>
        <v>15.334000000000003</v>
      </c>
    </row>
    <row r="35" spans="1:8" x14ac:dyDescent="0.25">
      <c r="A35" s="268" t="s">
        <v>478</v>
      </c>
      <c r="B35" s="87" t="s">
        <v>329</v>
      </c>
      <c r="C35" s="9" t="s">
        <v>720</v>
      </c>
      <c r="D35" s="8" t="s">
        <v>61</v>
      </c>
      <c r="E35" s="8">
        <f>27.7*2.54</f>
        <v>70.358000000000004</v>
      </c>
      <c r="F35">
        <f>29*2.54</f>
        <v>73.66</v>
      </c>
      <c r="G35">
        <f t="shared" si="0"/>
        <v>13.301999999999992</v>
      </c>
    </row>
    <row r="36" spans="1:8" x14ac:dyDescent="0.25">
      <c r="A36" s="268" t="s">
        <v>478</v>
      </c>
      <c r="B36" s="87" t="s">
        <v>329</v>
      </c>
      <c r="C36" s="9" t="s">
        <v>721</v>
      </c>
      <c r="D36" s="8" t="s">
        <v>61</v>
      </c>
      <c r="E36" s="8">
        <f>27.3*2.54</f>
        <v>69.341999999999999</v>
      </c>
      <c r="F36">
        <f>28.9*2.54</f>
        <v>73.405999999999992</v>
      </c>
      <c r="G36">
        <f t="shared" si="0"/>
        <v>14.063999999999993</v>
      </c>
      <c r="H36" s="4">
        <f>AVERAGE(G35:G42)</f>
        <v>15.302249999999995</v>
      </c>
    </row>
    <row r="37" spans="1:8" x14ac:dyDescent="0.25">
      <c r="A37" s="268" t="s">
        <v>478</v>
      </c>
      <c r="B37" s="87" t="s">
        <v>329</v>
      </c>
      <c r="C37" s="9" t="s">
        <v>722</v>
      </c>
      <c r="D37" s="8" t="s">
        <v>61</v>
      </c>
      <c r="E37" s="8">
        <f>26.2*2.54</f>
        <v>66.548000000000002</v>
      </c>
      <c r="F37">
        <f>29.3*2.54</f>
        <v>74.421999999999997</v>
      </c>
      <c r="G37">
        <f t="shared" si="0"/>
        <v>17.873999999999995</v>
      </c>
    </row>
    <row r="38" spans="1:8" x14ac:dyDescent="0.25">
      <c r="A38" s="268" t="s">
        <v>478</v>
      </c>
      <c r="B38" s="87" t="s">
        <v>329</v>
      </c>
      <c r="C38" s="9" t="s">
        <v>723</v>
      </c>
      <c r="D38" s="8" t="s">
        <v>61</v>
      </c>
      <c r="E38" s="8">
        <f>26.5*2.54</f>
        <v>67.31</v>
      </c>
      <c r="F38">
        <f>28.9*2.54</f>
        <v>73.405999999999992</v>
      </c>
      <c r="G38">
        <f t="shared" si="0"/>
        <v>16.095999999999989</v>
      </c>
    </row>
    <row r="39" spans="1:8" x14ac:dyDescent="0.25">
      <c r="A39" s="268" t="s">
        <v>478</v>
      </c>
      <c r="B39" s="87" t="s">
        <v>329</v>
      </c>
      <c r="C39" s="9" t="s">
        <v>724</v>
      </c>
      <c r="D39" s="8" t="s">
        <v>61</v>
      </c>
      <c r="E39" s="8">
        <f>27*2.54</f>
        <v>68.58</v>
      </c>
      <c r="F39">
        <f>29.5*2.54</f>
        <v>74.930000000000007</v>
      </c>
      <c r="G39">
        <f t="shared" si="0"/>
        <v>16.350000000000009</v>
      </c>
    </row>
    <row r="40" spans="1:8" x14ac:dyDescent="0.25">
      <c r="A40" s="268" t="s">
        <v>478</v>
      </c>
      <c r="B40" s="87" t="s">
        <v>329</v>
      </c>
      <c r="C40" s="9" t="s">
        <v>725</v>
      </c>
      <c r="D40" s="8" t="s">
        <v>61</v>
      </c>
      <c r="E40" s="8">
        <f>27.4*2.54</f>
        <v>69.596000000000004</v>
      </c>
      <c r="F40">
        <f>29.1*2.54</f>
        <v>73.914000000000001</v>
      </c>
      <c r="G40">
        <f t="shared" si="0"/>
        <v>14.317999999999998</v>
      </c>
    </row>
    <row r="41" spans="1:8" x14ac:dyDescent="0.25">
      <c r="A41" s="268" t="s">
        <v>478</v>
      </c>
      <c r="B41" s="87" t="s">
        <v>329</v>
      </c>
      <c r="C41" s="9" t="s">
        <v>726</v>
      </c>
      <c r="D41" s="8" t="s">
        <v>61</v>
      </c>
      <c r="E41" s="8">
        <f>28.3*2.54</f>
        <v>71.882000000000005</v>
      </c>
      <c r="F41">
        <f>30.5*2.54</f>
        <v>77.47</v>
      </c>
      <c r="G41">
        <f t="shared" si="0"/>
        <v>15.587999999999994</v>
      </c>
    </row>
    <row r="42" spans="1:8" x14ac:dyDescent="0.25">
      <c r="A42" s="268" t="s">
        <v>478</v>
      </c>
      <c r="B42" s="87" t="s">
        <v>329</v>
      </c>
      <c r="C42" s="9" t="s">
        <v>727</v>
      </c>
      <c r="D42" s="8" t="s">
        <v>61</v>
      </c>
      <c r="E42" s="8">
        <f>27*2.54</f>
        <v>68.58</v>
      </c>
      <c r="F42">
        <f>28.9*2.54</f>
        <v>73.405999999999992</v>
      </c>
      <c r="G42">
        <f t="shared" si="0"/>
        <v>14.825999999999993</v>
      </c>
    </row>
    <row r="43" spans="1:8" x14ac:dyDescent="0.25">
      <c r="A43" s="261" t="s">
        <v>479</v>
      </c>
      <c r="B43" s="262" t="s">
        <v>331</v>
      </c>
      <c r="C43" s="263" t="s">
        <v>882</v>
      </c>
      <c r="D43" s="264">
        <f>2.5*2.54</f>
        <v>6.35</v>
      </c>
      <c r="E43" s="264">
        <f>24.5*2.54</f>
        <v>62.230000000000004</v>
      </c>
      <c r="F43" s="262">
        <f>29.7*2.54</f>
        <v>75.438000000000002</v>
      </c>
      <c r="G43" s="262">
        <f t="shared" si="0"/>
        <v>23.207999999999998</v>
      </c>
      <c r="H43" s="265">
        <f>AVERAGE(G43:G50)</f>
        <v>23.97</v>
      </c>
    </row>
    <row r="44" spans="1:8" x14ac:dyDescent="0.25">
      <c r="A44" s="261" t="s">
        <v>479</v>
      </c>
      <c r="B44" s="262" t="s">
        <v>331</v>
      </c>
      <c r="C44" s="263" t="s">
        <v>883</v>
      </c>
      <c r="D44" s="264">
        <f>1.5*2.54</f>
        <v>3.81</v>
      </c>
      <c r="E44" s="264">
        <f>24.3*2.54</f>
        <v>61.722000000000001</v>
      </c>
      <c r="F44" s="262">
        <f>29.9*2.54</f>
        <v>75.945999999999998</v>
      </c>
      <c r="G44" s="262">
        <f t="shared" si="0"/>
        <v>24.223999999999997</v>
      </c>
      <c r="H44" s="262"/>
    </row>
    <row r="45" spans="1:8" x14ac:dyDescent="0.25">
      <c r="A45" s="261" t="s">
        <v>479</v>
      </c>
      <c r="B45" s="262" t="s">
        <v>331</v>
      </c>
      <c r="C45" s="263" t="s">
        <v>884</v>
      </c>
      <c r="D45" s="264">
        <v>0</v>
      </c>
      <c r="E45" s="264">
        <f>24*2.54</f>
        <v>60.96</v>
      </c>
      <c r="F45" s="262">
        <f>29.3*2.54</f>
        <v>74.421999999999997</v>
      </c>
      <c r="G45" s="262">
        <f t="shared" si="0"/>
        <v>23.461999999999996</v>
      </c>
      <c r="H45" s="262"/>
    </row>
    <row r="46" spans="1:8" x14ac:dyDescent="0.25">
      <c r="A46" s="261" t="s">
        <v>479</v>
      </c>
      <c r="B46" s="262" t="s">
        <v>331</v>
      </c>
      <c r="C46" s="263" t="s">
        <v>885</v>
      </c>
      <c r="D46" s="264">
        <f>2*2.54</f>
        <v>5.08</v>
      </c>
      <c r="E46" s="264">
        <f>24.3*2.54</f>
        <v>61.722000000000001</v>
      </c>
      <c r="F46" s="262">
        <f>30.8*2.54</f>
        <v>78.231999999999999</v>
      </c>
      <c r="G46" s="262">
        <f t="shared" si="0"/>
        <v>26.509999999999998</v>
      </c>
      <c r="H46" s="262"/>
    </row>
    <row r="47" spans="1:8" x14ac:dyDescent="0.25">
      <c r="A47" s="261" t="s">
        <v>479</v>
      </c>
      <c r="B47" s="262" t="s">
        <v>331</v>
      </c>
      <c r="C47" s="263" t="s">
        <v>886</v>
      </c>
      <c r="D47" s="264">
        <f>5.5*2.54</f>
        <v>13.97</v>
      </c>
      <c r="E47" s="264">
        <f>24*2.54</f>
        <v>60.96</v>
      </c>
      <c r="F47" s="262">
        <f>30.1*2.54</f>
        <v>76.454000000000008</v>
      </c>
      <c r="G47" s="262">
        <f t="shared" si="0"/>
        <v>25.494000000000007</v>
      </c>
      <c r="H47" s="262"/>
    </row>
    <row r="48" spans="1:8" x14ac:dyDescent="0.25">
      <c r="A48" s="261" t="s">
        <v>479</v>
      </c>
      <c r="B48" s="262" t="s">
        <v>331</v>
      </c>
      <c r="C48" s="263" t="s">
        <v>887</v>
      </c>
      <c r="D48" s="264">
        <f>3.8*2.54</f>
        <v>9.6519999999999992</v>
      </c>
      <c r="E48" s="264">
        <f>24.5*2.54</f>
        <v>62.230000000000004</v>
      </c>
      <c r="F48" s="262">
        <f>29*2.54</f>
        <v>73.66</v>
      </c>
      <c r="G48" s="262">
        <f t="shared" si="0"/>
        <v>21.429999999999993</v>
      </c>
      <c r="H48" s="262"/>
    </row>
    <row r="49" spans="1:8" x14ac:dyDescent="0.25">
      <c r="A49" s="261" t="s">
        <v>479</v>
      </c>
      <c r="B49" s="262" t="s">
        <v>331</v>
      </c>
      <c r="C49" s="263" t="s">
        <v>888</v>
      </c>
      <c r="D49" s="264">
        <f>3.8*2.54</f>
        <v>9.6519999999999992</v>
      </c>
      <c r="E49" s="264">
        <f>22.5*2.54</f>
        <v>57.15</v>
      </c>
      <c r="F49" s="262">
        <f>29.8*2.54</f>
        <v>75.692000000000007</v>
      </c>
      <c r="G49" s="262">
        <f t="shared" si="0"/>
        <v>28.542000000000009</v>
      </c>
      <c r="H49" s="262"/>
    </row>
    <row r="50" spans="1:8" x14ac:dyDescent="0.25">
      <c r="A50" s="266" t="s">
        <v>479</v>
      </c>
      <c r="B50" s="262" t="s">
        <v>331</v>
      </c>
      <c r="C50" s="263" t="s">
        <v>889</v>
      </c>
      <c r="D50" s="264">
        <f>4.5*2.54</f>
        <v>11.43</v>
      </c>
      <c r="E50" s="264">
        <f>25.5*2.54</f>
        <v>64.77</v>
      </c>
      <c r="F50" s="262">
        <f>29*2.54</f>
        <v>73.66</v>
      </c>
      <c r="G50" s="262">
        <f t="shared" si="0"/>
        <v>18.89</v>
      </c>
      <c r="H50" s="2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workbookViewId="0">
      <selection activeCell="M16" sqref="M16"/>
    </sheetView>
  </sheetViews>
  <sheetFormatPr baseColWidth="10" defaultRowHeight="15" x14ac:dyDescent="0.25"/>
  <sheetData>
    <row r="1" spans="1:14" ht="75" x14ac:dyDescent="0.25">
      <c r="A1" s="1" t="s">
        <v>0</v>
      </c>
      <c r="B1" s="2" t="s">
        <v>3</v>
      </c>
      <c r="C1" s="2" t="s">
        <v>11</v>
      </c>
      <c r="D1" s="2" t="s">
        <v>42</v>
      </c>
      <c r="E1" s="3" t="s">
        <v>2</v>
      </c>
      <c r="F1" s="1" t="s">
        <v>4</v>
      </c>
      <c r="G1" s="2" t="s">
        <v>5</v>
      </c>
      <c r="H1" s="3" t="s">
        <v>37</v>
      </c>
      <c r="I1" s="2" t="s">
        <v>6</v>
      </c>
      <c r="J1" s="3" t="s">
        <v>38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x14ac:dyDescent="0.25">
      <c r="A2" s="27" t="s">
        <v>273</v>
      </c>
      <c r="B2" s="27">
        <v>2.1335000000000002</v>
      </c>
      <c r="C2" s="30">
        <v>2.0385</v>
      </c>
      <c r="D2" s="28">
        <f t="shared" ref="D2:D6" si="0">((B2-C2)/C2)*100</f>
        <v>4.6602894285013585</v>
      </c>
      <c r="E2" s="60">
        <v>44648</v>
      </c>
      <c r="F2" s="29">
        <v>44708</v>
      </c>
      <c r="G2" s="27">
        <f t="shared" ref="G2:G6" si="1">F2-E2</f>
        <v>60</v>
      </c>
      <c r="H2" s="27">
        <v>0.63339999999999996</v>
      </c>
      <c r="I2" s="30">
        <f>C2-H2</f>
        <v>1.4051</v>
      </c>
      <c r="J2" s="27">
        <v>0.42430000000000001</v>
      </c>
      <c r="K2" s="27">
        <v>0.1419</v>
      </c>
      <c r="L2" s="27">
        <v>6.6699999999999995E-2</v>
      </c>
      <c r="M2" s="30">
        <f>C2-(K2+L2)</f>
        <v>1.8298999999999999</v>
      </c>
      <c r="N2" s="27">
        <f>((M2-J2)/M2)*100</f>
        <v>76.812940597846875</v>
      </c>
    </row>
    <row r="3" spans="1:14" x14ac:dyDescent="0.25">
      <c r="A3" s="27" t="s">
        <v>273</v>
      </c>
      <c r="B3" s="27">
        <v>2.1334</v>
      </c>
      <c r="C3" s="27">
        <v>2.0394999999999999</v>
      </c>
      <c r="D3" s="28">
        <f t="shared" si="0"/>
        <v>4.604069624908071</v>
      </c>
      <c r="E3" s="60">
        <v>44648</v>
      </c>
      <c r="F3" s="29">
        <v>44708</v>
      </c>
      <c r="G3" s="27">
        <f t="shared" si="1"/>
        <v>60</v>
      </c>
      <c r="H3" s="27">
        <v>0.63400000000000001</v>
      </c>
      <c r="I3" s="30">
        <f t="shared" ref="I3:I6" si="2">C3-H3</f>
        <v>1.4055</v>
      </c>
      <c r="J3" s="27">
        <v>0.4244</v>
      </c>
      <c r="K3" s="27">
        <v>0.1424</v>
      </c>
      <c r="L3" s="27">
        <v>6.7000000000000004E-2</v>
      </c>
      <c r="M3" s="30">
        <f t="shared" ref="M3:M6" si="3">C3-(K3+L3)</f>
        <v>1.8300999999999998</v>
      </c>
      <c r="N3" s="27">
        <f t="shared" ref="N3:N6" si="4">((M3-J3)/M3)*100</f>
        <v>76.810010381946341</v>
      </c>
    </row>
    <row r="4" spans="1:14" x14ac:dyDescent="0.25">
      <c r="A4" s="27" t="s">
        <v>273</v>
      </c>
      <c r="B4" s="27">
        <v>2.1337000000000002</v>
      </c>
      <c r="C4" s="30">
        <v>2.0404</v>
      </c>
      <c r="D4" s="28">
        <f t="shared" si="0"/>
        <v>4.5726328170946955</v>
      </c>
      <c r="E4" s="60">
        <v>44648</v>
      </c>
      <c r="F4" s="29">
        <v>44708</v>
      </c>
      <c r="G4" s="27">
        <f t="shared" si="1"/>
        <v>60</v>
      </c>
      <c r="H4" s="27">
        <v>0.63400000000000001</v>
      </c>
      <c r="I4" s="30">
        <f t="shared" si="2"/>
        <v>1.4064000000000001</v>
      </c>
      <c r="J4" s="27">
        <v>0.42459999999999998</v>
      </c>
      <c r="K4" s="27">
        <v>0.14219999999999999</v>
      </c>
      <c r="L4" s="27">
        <v>6.6299999999999998E-2</v>
      </c>
      <c r="M4" s="30">
        <f t="shared" si="3"/>
        <v>1.8319000000000001</v>
      </c>
      <c r="N4" s="27">
        <f t="shared" si="4"/>
        <v>76.821878923522036</v>
      </c>
    </row>
    <row r="5" spans="1:14" x14ac:dyDescent="0.25">
      <c r="A5" s="27" t="s">
        <v>273</v>
      </c>
      <c r="B5" s="27">
        <v>2.1335999999999999</v>
      </c>
      <c r="C5" s="30">
        <v>2.0406</v>
      </c>
      <c r="D5" s="28">
        <f t="shared" si="0"/>
        <v>4.5574830932078783</v>
      </c>
      <c r="E5" s="60">
        <v>44648</v>
      </c>
      <c r="F5" s="29">
        <v>44708</v>
      </c>
      <c r="G5" s="27">
        <f t="shared" si="1"/>
        <v>60</v>
      </c>
      <c r="H5" s="27">
        <v>0.63470000000000004</v>
      </c>
      <c r="I5" s="30">
        <f t="shared" si="2"/>
        <v>1.4058999999999999</v>
      </c>
      <c r="J5" s="27">
        <v>0.42470000000000002</v>
      </c>
      <c r="K5" s="27">
        <v>0.14180000000000001</v>
      </c>
      <c r="L5" s="27">
        <v>6.6299999999999998E-2</v>
      </c>
      <c r="M5" s="30">
        <f t="shared" si="3"/>
        <v>1.8325</v>
      </c>
      <c r="N5" s="27">
        <f t="shared" si="4"/>
        <v>76.824010914051826</v>
      </c>
    </row>
    <row r="6" spans="1:14" x14ac:dyDescent="0.25">
      <c r="A6" s="27" t="s">
        <v>273</v>
      </c>
      <c r="B6" s="27">
        <v>2.1335999999999999</v>
      </c>
      <c r="C6" s="27">
        <v>2.0413999999999999</v>
      </c>
      <c r="D6" s="28">
        <f t="shared" si="0"/>
        <v>4.5165082786323136</v>
      </c>
      <c r="E6" s="60">
        <v>44648</v>
      </c>
      <c r="F6" s="29">
        <v>44708</v>
      </c>
      <c r="G6" s="27">
        <f t="shared" si="1"/>
        <v>60</v>
      </c>
      <c r="H6" s="27">
        <v>0.63480000000000003</v>
      </c>
      <c r="I6" s="30">
        <f t="shared" si="2"/>
        <v>1.4065999999999999</v>
      </c>
      <c r="J6" s="27">
        <v>0.42459999999999998</v>
      </c>
      <c r="K6" s="27">
        <v>0.14149999999999999</v>
      </c>
      <c r="L6" s="27">
        <v>6.6299999999999998E-2</v>
      </c>
      <c r="M6" s="30">
        <f t="shared" si="3"/>
        <v>1.8335999999999999</v>
      </c>
      <c r="N6" s="27">
        <f t="shared" si="4"/>
        <v>76.843368237347292</v>
      </c>
    </row>
    <row r="7" spans="1:14" x14ac:dyDescent="0.25">
      <c r="B7">
        <f>AVERAGE(B2:B6)</f>
        <v>2.1335600000000001</v>
      </c>
      <c r="C7" s="7">
        <f>AVERAGE(C2:C6)</f>
        <v>2.0400799999999997</v>
      </c>
      <c r="D7" s="4">
        <f>AVERAGE(D2:D6)</f>
        <v>4.5821966484688632</v>
      </c>
      <c r="H7">
        <f>AVERAGE(H2:H6)</f>
        <v>0.63417999999999997</v>
      </c>
      <c r="I7" s="7">
        <f>AVERAGE(I2:I6)</f>
        <v>1.4059000000000001</v>
      </c>
      <c r="J7" s="7">
        <f t="shared" ref="J7:N7" si="5">AVERAGE(J2:J6)</f>
        <v>0.42451999999999995</v>
      </c>
      <c r="K7" s="7">
        <f t="shared" si="5"/>
        <v>0.14196</v>
      </c>
      <c r="L7" s="7">
        <f t="shared" si="5"/>
        <v>6.6519999999999996E-2</v>
      </c>
      <c r="M7" s="7">
        <f t="shared" si="5"/>
        <v>1.8315999999999999</v>
      </c>
      <c r="N7" s="7">
        <f t="shared" si="5"/>
        <v>76.822441810942877</v>
      </c>
    </row>
    <row r="11" spans="1:14" ht="75" x14ac:dyDescent="0.25">
      <c r="A11" s="1" t="s">
        <v>0</v>
      </c>
      <c r="B11" s="2" t="s">
        <v>3</v>
      </c>
      <c r="C11" s="2" t="s">
        <v>11</v>
      </c>
      <c r="D11" s="2" t="s">
        <v>42</v>
      </c>
      <c r="E11" s="3" t="s">
        <v>2</v>
      </c>
      <c r="F11" s="1" t="s">
        <v>4</v>
      </c>
      <c r="G11" s="2" t="s">
        <v>5</v>
      </c>
      <c r="H11" s="3" t="s">
        <v>37</v>
      </c>
      <c r="I11" s="2" t="s">
        <v>6</v>
      </c>
      <c r="J11" s="3" t="s">
        <v>38</v>
      </c>
      <c r="K11" s="2" t="s">
        <v>7</v>
      </c>
      <c r="L11" s="2" t="s">
        <v>8</v>
      </c>
      <c r="M11" s="2" t="s">
        <v>9</v>
      </c>
      <c r="N11" s="2" t="s">
        <v>10</v>
      </c>
    </row>
    <row r="12" spans="1:14" x14ac:dyDescent="0.25">
      <c r="A12" s="55" t="s">
        <v>274</v>
      </c>
      <c r="B12" s="55">
        <v>2.2782</v>
      </c>
      <c r="C12" s="55">
        <v>2.1473</v>
      </c>
      <c r="D12" s="56">
        <f t="shared" ref="D12:D16" si="6">((B12-C12)/C12)*100</f>
        <v>6.0960275695058925</v>
      </c>
      <c r="E12" s="59">
        <v>44648</v>
      </c>
      <c r="F12" s="57">
        <v>44708</v>
      </c>
      <c r="G12" s="55">
        <f t="shared" ref="G12:G16" si="7">F12-E12</f>
        <v>60</v>
      </c>
      <c r="H12" s="55">
        <v>1.5037</v>
      </c>
      <c r="I12" s="55">
        <f>C12-H12</f>
        <v>0.64359999999999995</v>
      </c>
      <c r="J12" s="55">
        <v>1.3056000000000001</v>
      </c>
      <c r="K12" s="55">
        <v>0.14349999999999999</v>
      </c>
      <c r="L12" s="55">
        <v>6.0400000000000002E-2</v>
      </c>
      <c r="M12" s="58">
        <f>C12-(K12+L12)</f>
        <v>1.9434</v>
      </c>
      <c r="N12" s="55">
        <f>((M12-J12)/M12)*100</f>
        <v>32.818771225686937</v>
      </c>
    </row>
    <row r="13" spans="1:14" x14ac:dyDescent="0.25">
      <c r="A13" s="55" t="s">
        <v>274</v>
      </c>
      <c r="B13" s="55">
        <v>2.2783000000000002</v>
      </c>
      <c r="C13" s="55">
        <v>2.1482999999999999</v>
      </c>
      <c r="D13" s="56">
        <f t="shared" si="6"/>
        <v>6.0512963738770349</v>
      </c>
      <c r="E13" s="59">
        <v>44648</v>
      </c>
      <c r="F13" s="57">
        <v>44708</v>
      </c>
      <c r="G13" s="55">
        <f t="shared" si="7"/>
        <v>60</v>
      </c>
      <c r="H13" s="55">
        <v>1.5044999999999999</v>
      </c>
      <c r="I13" s="55">
        <f t="shared" ref="I13:I16" si="8">C13-H13</f>
        <v>0.64379999999999993</v>
      </c>
      <c r="J13" s="55">
        <v>1.3064</v>
      </c>
      <c r="K13" s="55">
        <v>0.14330000000000001</v>
      </c>
      <c r="L13" s="55">
        <v>6.0299999999999999E-2</v>
      </c>
      <c r="M13" s="58">
        <f t="shared" ref="M13:M16" si="9">C13-(K13+L13)</f>
        <v>1.9446999999999999</v>
      </c>
      <c r="N13" s="55">
        <f t="shared" ref="N13:N16" si="10">((M13-J13)/M13)*100</f>
        <v>32.822543322877564</v>
      </c>
    </row>
    <row r="14" spans="1:14" x14ac:dyDescent="0.25">
      <c r="A14" s="55" t="s">
        <v>274</v>
      </c>
      <c r="B14" s="55">
        <v>2.2783000000000002</v>
      </c>
      <c r="C14" s="55">
        <v>2.1488999999999998</v>
      </c>
      <c r="D14" s="56">
        <f t="shared" si="6"/>
        <v>6.0216855135185643</v>
      </c>
      <c r="E14" s="59">
        <v>44648</v>
      </c>
      <c r="F14" s="57">
        <v>44708</v>
      </c>
      <c r="G14" s="55">
        <f t="shared" si="7"/>
        <v>60</v>
      </c>
      <c r="H14" s="55">
        <v>1.5056</v>
      </c>
      <c r="I14" s="55">
        <f t="shared" si="8"/>
        <v>0.64329999999999976</v>
      </c>
      <c r="J14" s="55">
        <v>1.3073999999999999</v>
      </c>
      <c r="K14" s="55">
        <v>0.14319999999999999</v>
      </c>
      <c r="L14" s="55">
        <v>6.0400000000000002E-2</v>
      </c>
      <c r="M14" s="58">
        <f t="shared" si="9"/>
        <v>1.9452999999999998</v>
      </c>
      <c r="N14" s="55">
        <f t="shared" si="10"/>
        <v>32.791857297074998</v>
      </c>
    </row>
    <row r="15" spans="1:14" x14ac:dyDescent="0.25">
      <c r="A15" s="55" t="s">
        <v>274</v>
      </c>
      <c r="B15" s="55">
        <v>2.2784</v>
      </c>
      <c r="C15" s="55">
        <v>2.1497000000000002</v>
      </c>
      <c r="D15" s="56">
        <f t="shared" si="6"/>
        <v>5.9868818904963392</v>
      </c>
      <c r="E15" s="59">
        <v>44648</v>
      </c>
      <c r="F15" s="57">
        <v>44708</v>
      </c>
      <c r="G15" s="55">
        <f t="shared" si="7"/>
        <v>60</v>
      </c>
      <c r="H15" s="55">
        <v>1.5063</v>
      </c>
      <c r="I15" s="55">
        <f t="shared" si="8"/>
        <v>0.64340000000000019</v>
      </c>
      <c r="J15" s="55">
        <v>1.3080000000000001</v>
      </c>
      <c r="K15" s="55">
        <v>0.14360000000000001</v>
      </c>
      <c r="L15" s="55">
        <v>6.0499999999999998E-2</v>
      </c>
      <c r="M15" s="58">
        <f t="shared" si="9"/>
        <v>1.9456000000000002</v>
      </c>
      <c r="N15" s="55">
        <f t="shared" si="10"/>
        <v>32.77138157894737</v>
      </c>
    </row>
    <row r="16" spans="1:14" x14ac:dyDescent="0.25">
      <c r="A16" s="55" t="s">
        <v>274</v>
      </c>
      <c r="B16" s="55">
        <v>2.2784</v>
      </c>
      <c r="C16" s="55">
        <v>2.1505999999999998</v>
      </c>
      <c r="D16" s="56">
        <f t="shared" si="6"/>
        <v>5.9425276666976723</v>
      </c>
      <c r="E16" s="59">
        <v>44648</v>
      </c>
      <c r="F16" s="57">
        <v>44708</v>
      </c>
      <c r="G16" s="55">
        <f t="shared" si="7"/>
        <v>60</v>
      </c>
      <c r="H16" s="55">
        <v>1.5079</v>
      </c>
      <c r="I16" s="55">
        <f t="shared" si="8"/>
        <v>0.64269999999999983</v>
      </c>
      <c r="J16" s="55">
        <v>1.3089</v>
      </c>
      <c r="K16" s="55">
        <v>0.1431</v>
      </c>
      <c r="L16" s="55">
        <v>6.0400000000000002E-2</v>
      </c>
      <c r="M16" s="58">
        <f t="shared" si="9"/>
        <v>1.9470999999999998</v>
      </c>
      <c r="N16" s="55">
        <f t="shared" si="10"/>
        <v>32.776950336397718</v>
      </c>
    </row>
    <row r="17" spans="2:14" x14ac:dyDescent="0.25">
      <c r="B17">
        <f>AVERAGE(B12:B16)</f>
        <v>2.2783199999999999</v>
      </c>
      <c r="C17">
        <f t="shared" ref="C17:D17" si="11">AVERAGE(C12:C16)</f>
        <v>2.1489600000000002</v>
      </c>
      <c r="D17">
        <f t="shared" si="11"/>
        <v>6.0196838028191006</v>
      </c>
      <c r="H17" s="7">
        <f>AVERAGE(H12:H16)</f>
        <v>1.5055999999999998</v>
      </c>
      <c r="I17" s="7">
        <f t="shared" ref="I17:N17" si="12">AVERAGE(I12:I16)</f>
        <v>0.64335999999999982</v>
      </c>
      <c r="J17" s="7">
        <f t="shared" si="12"/>
        <v>1.3072600000000001</v>
      </c>
      <c r="K17" s="7">
        <f t="shared" si="12"/>
        <v>0.14334</v>
      </c>
      <c r="L17" s="7">
        <f t="shared" si="12"/>
        <v>6.0399999999999995E-2</v>
      </c>
      <c r="M17" s="7">
        <f t="shared" si="12"/>
        <v>1.9452199999999997</v>
      </c>
      <c r="N17" s="7">
        <f t="shared" si="12"/>
        <v>32.79630075219692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7"/>
  <sheetViews>
    <sheetView topLeftCell="B1" zoomScale="70" zoomScaleNormal="70" zoomScaleSheetLayoutView="80" workbookViewId="0">
      <selection activeCell="U101" sqref="U101:U102"/>
    </sheetView>
  </sheetViews>
  <sheetFormatPr baseColWidth="10" defaultColWidth="9.140625" defaultRowHeight="15" x14ac:dyDescent="0.25"/>
  <cols>
    <col min="1" max="1" width="11.28515625" customWidth="1"/>
    <col min="2" max="2" width="19.28515625" customWidth="1"/>
    <col min="3" max="4" width="11.28515625" customWidth="1"/>
    <col min="5" max="5" width="14.7109375" customWidth="1"/>
    <col min="6" max="6" width="12.140625" customWidth="1"/>
    <col min="7" max="7" width="19.42578125" customWidth="1"/>
    <col min="8" max="9" width="20.140625" customWidth="1"/>
    <col min="10" max="10" width="14.7109375" customWidth="1"/>
    <col min="11" max="11" width="12.7109375" customWidth="1"/>
    <col min="12" max="12" width="13.7109375" customWidth="1"/>
    <col min="13" max="13" width="15.140625" customWidth="1"/>
    <col min="14" max="14" width="13.85546875" customWidth="1"/>
    <col min="15" max="15" width="17.85546875" customWidth="1"/>
    <col min="16" max="16" width="14.28515625" customWidth="1"/>
    <col min="17" max="17" width="13.5703125" customWidth="1"/>
    <col min="18" max="18" width="13.28515625" customWidth="1"/>
    <col min="20" max="20" width="18.140625" customWidth="1"/>
    <col min="21" max="21" width="13.42578125" customWidth="1"/>
  </cols>
  <sheetData>
    <row r="1" spans="1:25" ht="60" x14ac:dyDescent="0.25">
      <c r="A1" t="s">
        <v>1</v>
      </c>
      <c r="B1" t="s">
        <v>39</v>
      </c>
      <c r="C1" t="s">
        <v>12</v>
      </c>
      <c r="D1" t="s">
        <v>13</v>
      </c>
      <c r="E1" t="s">
        <v>40</v>
      </c>
      <c r="F1" s="1" t="s">
        <v>0</v>
      </c>
      <c r="G1" s="2" t="s">
        <v>3</v>
      </c>
      <c r="H1" s="2" t="s">
        <v>11</v>
      </c>
      <c r="I1" s="2" t="s">
        <v>42</v>
      </c>
      <c r="J1" s="3" t="s">
        <v>2</v>
      </c>
      <c r="K1" s="1" t="s">
        <v>4</v>
      </c>
      <c r="L1" s="2" t="s">
        <v>5</v>
      </c>
      <c r="M1" s="3" t="s">
        <v>37</v>
      </c>
      <c r="N1" s="2" t="s">
        <v>6</v>
      </c>
      <c r="O1" s="3" t="s">
        <v>38</v>
      </c>
      <c r="P1" s="2" t="s">
        <v>7</v>
      </c>
      <c r="Q1" s="2" t="s">
        <v>8</v>
      </c>
      <c r="R1" s="2" t="s">
        <v>9</v>
      </c>
      <c r="S1" s="2" t="s">
        <v>10</v>
      </c>
      <c r="T1" s="51" t="s">
        <v>190</v>
      </c>
      <c r="U1" s="52" t="s">
        <v>191</v>
      </c>
      <c r="V1" s="52" t="s">
        <v>119</v>
      </c>
      <c r="W1" s="52" t="s">
        <v>192</v>
      </c>
      <c r="X1" s="52" t="s">
        <v>119</v>
      </c>
      <c r="Y1" s="52" t="s">
        <v>192</v>
      </c>
    </row>
    <row r="2" spans="1:25" x14ac:dyDescent="0.25">
      <c r="A2" s="27" t="s">
        <v>474</v>
      </c>
      <c r="B2" s="27" t="s">
        <v>622</v>
      </c>
      <c r="C2" s="27" t="s">
        <v>15</v>
      </c>
      <c r="D2" s="27" t="s">
        <v>17</v>
      </c>
      <c r="E2" s="27">
        <v>1</v>
      </c>
      <c r="F2" s="80" t="s">
        <v>664</v>
      </c>
      <c r="G2" s="27">
        <v>2.0299</v>
      </c>
      <c r="H2" s="30">
        <v>1.9281999999999999</v>
      </c>
      <c r="I2" s="28">
        <f t="shared" ref="I2:I48" si="0">((G2-H2)/H2)*100</f>
        <v>5.2743491339072772</v>
      </c>
      <c r="J2" s="54">
        <v>44781</v>
      </c>
      <c r="K2" s="29">
        <v>44841</v>
      </c>
      <c r="L2" s="27">
        <f t="shared" ref="L2:L48" si="1">K2-J2</f>
        <v>60</v>
      </c>
      <c r="M2" s="27">
        <v>0.41510000000000002</v>
      </c>
      <c r="N2" s="30">
        <f>H2-M2</f>
        <v>1.5130999999999999</v>
      </c>
      <c r="O2" s="27">
        <v>0.2228</v>
      </c>
      <c r="P2" s="27">
        <v>0.13389999999999999</v>
      </c>
      <c r="Q2" s="27">
        <v>5.7299999999999997E-2</v>
      </c>
      <c r="R2" s="30">
        <f>H2-(P2+Q2)</f>
        <v>1.7369999999999999</v>
      </c>
      <c r="S2" s="27">
        <f>((R2-O2)/R2)*100</f>
        <v>87.173287276914209</v>
      </c>
      <c r="T2">
        <f>AVERAGE(O2:O9)</f>
        <v>0.2434875</v>
      </c>
      <c r="U2" s="18">
        <f>(O2/R2)*100</f>
        <v>12.826712723085782</v>
      </c>
      <c r="V2" s="7">
        <f>AVERAGE(U2:U9)</f>
        <v>13.675664244415772</v>
      </c>
      <c r="W2">
        <f>STDEV(U2:U9)</f>
        <v>1.3391688680120915</v>
      </c>
      <c r="X2">
        <f>AVERAGE(S2:S9)</f>
        <v>86.324335755584229</v>
      </c>
      <c r="Y2">
        <f>STDEV(S2:S9)</f>
        <v>1.3391688680120934</v>
      </c>
    </row>
    <row r="3" spans="1:25" x14ac:dyDescent="0.25">
      <c r="A3" s="27" t="s">
        <v>474</v>
      </c>
      <c r="B3" s="27" t="s">
        <v>622</v>
      </c>
      <c r="C3" s="27" t="s">
        <v>15</v>
      </c>
      <c r="D3" s="27" t="s">
        <v>17</v>
      </c>
      <c r="E3" s="27">
        <v>2</v>
      </c>
      <c r="F3" s="80" t="s">
        <v>665</v>
      </c>
      <c r="G3" s="27">
        <v>2.0808</v>
      </c>
      <c r="H3" s="27">
        <v>1.9765999999999999</v>
      </c>
      <c r="I3" s="28">
        <f t="shared" si="0"/>
        <v>5.2716786400890454</v>
      </c>
      <c r="J3" s="54">
        <v>44781</v>
      </c>
      <c r="K3" s="29">
        <v>44841</v>
      </c>
      <c r="L3" s="27">
        <f t="shared" si="1"/>
        <v>60</v>
      </c>
      <c r="M3" s="27">
        <v>0.42049999999999998</v>
      </c>
      <c r="N3" s="30">
        <f t="shared" ref="N3:N48" si="2">H3-M3</f>
        <v>1.5560999999999998</v>
      </c>
      <c r="O3" s="27">
        <v>0.22450000000000001</v>
      </c>
      <c r="P3" s="27">
        <v>0.1394</v>
      </c>
      <c r="Q3" s="27">
        <v>5.6500000000000002E-2</v>
      </c>
      <c r="R3" s="30">
        <f t="shared" ref="R3:R48" si="3">H3-(P3+Q3)</f>
        <v>1.7806999999999999</v>
      </c>
      <c r="S3" s="27">
        <f t="shared" ref="S3:S48" si="4">((R3-O3)/R3)*100</f>
        <v>87.392598416353124</v>
      </c>
      <c r="U3" s="18">
        <f t="shared" ref="U3:U48" si="5">(O3/R3)*100</f>
        <v>12.607401583646883</v>
      </c>
    </row>
    <row r="4" spans="1:25" x14ac:dyDescent="0.25">
      <c r="A4" s="27" t="s">
        <v>474</v>
      </c>
      <c r="B4" s="27" t="s">
        <v>622</v>
      </c>
      <c r="C4" s="27" t="s">
        <v>15</v>
      </c>
      <c r="D4" s="27" t="s">
        <v>18</v>
      </c>
      <c r="E4" s="27">
        <v>1</v>
      </c>
      <c r="F4" s="80" t="s">
        <v>666</v>
      </c>
      <c r="G4" s="27">
        <v>2.0790000000000002</v>
      </c>
      <c r="H4" s="30">
        <v>1.9741</v>
      </c>
      <c r="I4" s="28">
        <f t="shared" si="0"/>
        <v>5.3138138898738774</v>
      </c>
      <c r="J4" s="54">
        <v>44781</v>
      </c>
      <c r="K4" s="29">
        <v>44841</v>
      </c>
      <c r="L4" s="27">
        <f t="shared" si="1"/>
        <v>60</v>
      </c>
      <c r="M4" s="27">
        <v>0.40550000000000003</v>
      </c>
      <c r="N4" s="30">
        <f t="shared" si="2"/>
        <v>1.5686</v>
      </c>
      <c r="O4" s="27">
        <v>0.21029999999999999</v>
      </c>
      <c r="P4" s="27">
        <v>0.1381</v>
      </c>
      <c r="Q4" s="27">
        <v>5.67E-2</v>
      </c>
      <c r="R4" s="30">
        <f t="shared" si="3"/>
        <v>1.7792999999999999</v>
      </c>
      <c r="S4" s="27">
        <f t="shared" si="4"/>
        <v>88.180745236890914</v>
      </c>
      <c r="U4" s="18">
        <f t="shared" si="5"/>
        <v>11.819254763109088</v>
      </c>
    </row>
    <row r="5" spans="1:25" x14ac:dyDescent="0.25">
      <c r="A5" s="27" t="s">
        <v>474</v>
      </c>
      <c r="B5" s="27" t="s">
        <v>622</v>
      </c>
      <c r="C5" s="27" t="s">
        <v>15</v>
      </c>
      <c r="D5" s="27" t="s">
        <v>18</v>
      </c>
      <c r="E5" s="27">
        <v>2</v>
      </c>
      <c r="F5" s="80" t="s">
        <v>667</v>
      </c>
      <c r="G5" s="27">
        <v>2.0634000000000001</v>
      </c>
      <c r="H5" s="30">
        <v>1.9593</v>
      </c>
      <c r="I5" s="28">
        <f t="shared" si="0"/>
        <v>5.3131220333792726</v>
      </c>
      <c r="J5" s="54">
        <v>44781</v>
      </c>
      <c r="K5" s="29">
        <v>44841</v>
      </c>
      <c r="L5" s="27">
        <f t="shared" si="1"/>
        <v>60</v>
      </c>
      <c r="M5" s="27">
        <v>0.44159999999999999</v>
      </c>
      <c r="N5" s="30">
        <f t="shared" si="2"/>
        <v>1.5177</v>
      </c>
      <c r="O5" s="27">
        <v>0.25409999999999999</v>
      </c>
      <c r="P5" s="27">
        <v>0.1303</v>
      </c>
      <c r="Q5" s="27">
        <v>5.7500000000000002E-2</v>
      </c>
      <c r="R5" s="30">
        <f t="shared" si="3"/>
        <v>1.7715000000000001</v>
      </c>
      <c r="S5" s="27">
        <f t="shared" si="4"/>
        <v>85.656223539373414</v>
      </c>
      <c r="U5" s="18">
        <f t="shared" si="5"/>
        <v>14.343776460626586</v>
      </c>
    </row>
    <row r="6" spans="1:25" x14ac:dyDescent="0.25">
      <c r="A6" s="27" t="s">
        <v>474</v>
      </c>
      <c r="B6" s="27" t="s">
        <v>622</v>
      </c>
      <c r="C6" s="27" t="s">
        <v>15</v>
      </c>
      <c r="D6" s="27" t="s">
        <v>19</v>
      </c>
      <c r="E6" s="27">
        <v>1</v>
      </c>
      <c r="F6" s="80" t="s">
        <v>668</v>
      </c>
      <c r="G6" s="27">
        <v>2.1276999999999999</v>
      </c>
      <c r="H6" s="27">
        <v>2.0009999999999999</v>
      </c>
      <c r="I6" s="28">
        <f t="shared" si="0"/>
        <v>6.3318340829585233</v>
      </c>
      <c r="J6" s="54">
        <v>44781</v>
      </c>
      <c r="K6" s="29">
        <v>44841</v>
      </c>
      <c r="L6" s="27">
        <f t="shared" si="1"/>
        <v>60</v>
      </c>
      <c r="M6" s="27">
        <v>0.44779999999999998</v>
      </c>
      <c r="N6" s="30">
        <f t="shared" si="2"/>
        <v>1.5531999999999999</v>
      </c>
      <c r="O6" s="27">
        <v>0.25840000000000002</v>
      </c>
      <c r="P6" s="27">
        <v>0.13059999999999999</v>
      </c>
      <c r="Q6" s="27">
        <v>5.7599999999999998E-2</v>
      </c>
      <c r="R6" s="30">
        <f t="shared" si="3"/>
        <v>1.8128</v>
      </c>
      <c r="S6" s="27">
        <f t="shared" si="4"/>
        <v>85.745807590467777</v>
      </c>
      <c r="U6" s="18">
        <f t="shared" si="5"/>
        <v>14.254192409532216</v>
      </c>
    </row>
    <row r="7" spans="1:25" x14ac:dyDescent="0.25">
      <c r="A7" s="27" t="s">
        <v>474</v>
      </c>
      <c r="B7" s="27" t="s">
        <v>622</v>
      </c>
      <c r="C7" s="27" t="s">
        <v>15</v>
      </c>
      <c r="D7" s="27" t="s">
        <v>19</v>
      </c>
      <c r="E7" s="27">
        <v>2</v>
      </c>
      <c r="F7" s="80" t="s">
        <v>669</v>
      </c>
      <c r="G7" s="27">
        <v>2.1314000000000002</v>
      </c>
      <c r="H7" s="30">
        <v>2.0043000000000002</v>
      </c>
      <c r="I7" s="28">
        <f t="shared" si="0"/>
        <v>6.3413660629646245</v>
      </c>
      <c r="J7" s="54">
        <v>44781</v>
      </c>
      <c r="K7" s="29">
        <v>44841</v>
      </c>
      <c r="L7" s="27">
        <f t="shared" si="1"/>
        <v>60</v>
      </c>
      <c r="M7" s="27">
        <v>0.4748</v>
      </c>
      <c r="N7" s="30">
        <f t="shared" si="2"/>
        <v>1.5295000000000001</v>
      </c>
      <c r="O7" s="27">
        <v>0.27210000000000001</v>
      </c>
      <c r="P7" s="27">
        <v>0.1414</v>
      </c>
      <c r="Q7" s="27">
        <v>5.8099999999999999E-2</v>
      </c>
      <c r="R7" s="30">
        <f t="shared" si="3"/>
        <v>1.8048000000000002</v>
      </c>
      <c r="S7" s="27">
        <f t="shared" si="4"/>
        <v>84.923537234042556</v>
      </c>
      <c r="U7" s="18">
        <f t="shared" si="5"/>
        <v>15.076462765957446</v>
      </c>
    </row>
    <row r="8" spans="1:25" x14ac:dyDescent="0.25">
      <c r="A8" s="27" t="s">
        <v>474</v>
      </c>
      <c r="B8" s="27" t="s">
        <v>100</v>
      </c>
      <c r="C8" s="27" t="s">
        <v>15</v>
      </c>
      <c r="D8" s="27" t="s">
        <v>20</v>
      </c>
      <c r="E8" s="27">
        <v>1</v>
      </c>
      <c r="F8" s="80" t="s">
        <v>670</v>
      </c>
      <c r="G8" s="27">
        <v>2.0558999999999998</v>
      </c>
      <c r="H8" s="30">
        <v>1.9532</v>
      </c>
      <c r="I8" s="28">
        <f t="shared" si="0"/>
        <v>5.2580380913372817</v>
      </c>
      <c r="J8" s="54">
        <v>44781</v>
      </c>
      <c r="K8" s="29">
        <v>44841</v>
      </c>
      <c r="L8" s="27">
        <f t="shared" si="1"/>
        <v>60</v>
      </c>
      <c r="M8" s="27">
        <v>0.43330000000000002</v>
      </c>
      <c r="N8" s="30">
        <f t="shared" si="2"/>
        <v>1.5199</v>
      </c>
      <c r="O8" s="27">
        <v>0.27500000000000002</v>
      </c>
      <c r="P8" s="27">
        <v>0.13800000000000001</v>
      </c>
      <c r="Q8" s="27">
        <v>5.57E-2</v>
      </c>
      <c r="R8" s="30">
        <f t="shared" si="3"/>
        <v>1.7595000000000001</v>
      </c>
      <c r="S8" s="27">
        <f t="shared" si="4"/>
        <v>84.370559818130147</v>
      </c>
      <c r="U8" s="18">
        <f t="shared" si="5"/>
        <v>15.62944018186985</v>
      </c>
    </row>
    <row r="9" spans="1:25" x14ac:dyDescent="0.25">
      <c r="A9" s="27" t="s">
        <v>474</v>
      </c>
      <c r="B9" s="27" t="s">
        <v>622</v>
      </c>
      <c r="C9" s="27" t="s">
        <v>15</v>
      </c>
      <c r="D9" s="27" t="s">
        <v>20</v>
      </c>
      <c r="E9" s="27">
        <v>2</v>
      </c>
      <c r="F9" s="80" t="s">
        <v>671</v>
      </c>
      <c r="G9" s="27">
        <v>2.1080000000000001</v>
      </c>
      <c r="H9" s="27">
        <v>1.9843</v>
      </c>
      <c r="I9" s="28">
        <f t="shared" si="0"/>
        <v>6.2339364007458622</v>
      </c>
      <c r="J9" s="54">
        <v>44781</v>
      </c>
      <c r="K9" s="29">
        <v>44841</v>
      </c>
      <c r="L9" s="27">
        <f t="shared" si="1"/>
        <v>60</v>
      </c>
      <c r="M9" s="27">
        <v>0.4209</v>
      </c>
      <c r="N9" s="30">
        <f t="shared" si="2"/>
        <v>1.5633999999999999</v>
      </c>
      <c r="O9" s="27">
        <v>0.23069999999999999</v>
      </c>
      <c r="P9" s="27">
        <v>0.13150000000000001</v>
      </c>
      <c r="Q9" s="27">
        <v>5.7200000000000001E-2</v>
      </c>
      <c r="R9" s="30">
        <f t="shared" si="3"/>
        <v>1.7955999999999999</v>
      </c>
      <c r="S9" s="27">
        <f t="shared" si="4"/>
        <v>87.151926932501681</v>
      </c>
      <c r="U9" s="18">
        <f t="shared" si="5"/>
        <v>12.84807306749833</v>
      </c>
    </row>
    <row r="10" spans="1:25" x14ac:dyDescent="0.25">
      <c r="A10" s="31" t="s">
        <v>475</v>
      </c>
      <c r="B10" s="31" t="s">
        <v>327</v>
      </c>
      <c r="C10" s="31" t="s">
        <v>15</v>
      </c>
      <c r="D10" s="31" t="s">
        <v>17</v>
      </c>
      <c r="E10" s="31">
        <v>1</v>
      </c>
      <c r="F10" s="85" t="s">
        <v>785</v>
      </c>
      <c r="G10" s="31">
        <v>2.0026999999999999</v>
      </c>
      <c r="H10" s="31">
        <v>1.8952</v>
      </c>
      <c r="I10" s="32">
        <f t="shared" si="0"/>
        <v>5.6722245673279827</v>
      </c>
      <c r="J10" s="53">
        <v>44788</v>
      </c>
      <c r="K10" s="33">
        <v>44841</v>
      </c>
      <c r="L10" s="31">
        <f t="shared" si="1"/>
        <v>53</v>
      </c>
      <c r="M10" s="31">
        <v>0.55879999999999996</v>
      </c>
      <c r="N10" s="34">
        <f t="shared" si="2"/>
        <v>1.3364</v>
      </c>
      <c r="O10" s="31">
        <v>0.36299999999999999</v>
      </c>
      <c r="P10" s="31">
        <v>0.13250000000000001</v>
      </c>
      <c r="Q10" s="31">
        <v>6.0600000000000001E-2</v>
      </c>
      <c r="R10" s="34">
        <f t="shared" si="3"/>
        <v>1.7020999999999999</v>
      </c>
      <c r="S10" s="31">
        <f t="shared" si="4"/>
        <v>78.673403442805949</v>
      </c>
      <c r="T10">
        <f>AVERAGE(O10:O17)</f>
        <v>0.34913749999999999</v>
      </c>
      <c r="U10" s="18">
        <f t="shared" si="5"/>
        <v>21.326596557194055</v>
      </c>
      <c r="V10" s="7">
        <f>AVERAGE(U10:U17)</f>
        <v>20.453699189735442</v>
      </c>
      <c r="W10">
        <f>STDEV(U10:U17)</f>
        <v>1.7930548778972255</v>
      </c>
      <c r="X10">
        <f>AVERAGE(S10:S17)</f>
        <v>79.546300810264555</v>
      </c>
      <c r="Y10">
        <f>STDEV(S10:S17)</f>
        <v>1.793054877897226</v>
      </c>
    </row>
    <row r="11" spans="1:25" x14ac:dyDescent="0.25">
      <c r="A11" s="31" t="s">
        <v>475</v>
      </c>
      <c r="B11" s="31" t="s">
        <v>327</v>
      </c>
      <c r="C11" s="31" t="s">
        <v>15</v>
      </c>
      <c r="D11" s="31" t="s">
        <v>17</v>
      </c>
      <c r="E11" s="31">
        <v>2</v>
      </c>
      <c r="F11" s="85" t="s">
        <v>786</v>
      </c>
      <c r="G11" s="31">
        <v>2.08</v>
      </c>
      <c r="H11" s="31">
        <v>1.9689000000000001</v>
      </c>
      <c r="I11" s="32">
        <f t="shared" si="0"/>
        <v>5.6427446797704288</v>
      </c>
      <c r="J11" s="53">
        <v>44788</v>
      </c>
      <c r="K11" s="33">
        <v>44841</v>
      </c>
      <c r="L11" s="31">
        <f t="shared" si="1"/>
        <v>53</v>
      </c>
      <c r="M11" s="31">
        <v>0.53769999999999996</v>
      </c>
      <c r="N11" s="34">
        <f t="shared" si="2"/>
        <v>1.4312</v>
      </c>
      <c r="O11" s="31">
        <v>0.33710000000000001</v>
      </c>
      <c r="P11" s="31">
        <v>0.13739999999999999</v>
      </c>
      <c r="Q11" s="31">
        <v>6.0199999999999997E-2</v>
      </c>
      <c r="R11" s="34">
        <f t="shared" si="3"/>
        <v>1.7713000000000001</v>
      </c>
      <c r="S11" s="31">
        <f t="shared" si="4"/>
        <v>80.968779992096202</v>
      </c>
      <c r="U11" s="18">
        <f t="shared" si="5"/>
        <v>19.031220007903798</v>
      </c>
    </row>
    <row r="12" spans="1:25" x14ac:dyDescent="0.25">
      <c r="A12" s="31" t="s">
        <v>475</v>
      </c>
      <c r="B12" s="31" t="s">
        <v>327</v>
      </c>
      <c r="C12" s="31" t="s">
        <v>15</v>
      </c>
      <c r="D12" s="31" t="s">
        <v>18</v>
      </c>
      <c r="E12" s="31">
        <v>1</v>
      </c>
      <c r="F12" s="85" t="s">
        <v>787</v>
      </c>
      <c r="G12" s="31">
        <v>2.0731999999999999</v>
      </c>
      <c r="H12" s="34">
        <v>1.962</v>
      </c>
      <c r="I12" s="32">
        <f t="shared" si="0"/>
        <v>5.6676860346585105</v>
      </c>
      <c r="J12" s="53">
        <v>44788</v>
      </c>
      <c r="K12" s="33">
        <v>44841</v>
      </c>
      <c r="L12" s="31">
        <f t="shared" si="1"/>
        <v>53</v>
      </c>
      <c r="M12" s="31">
        <v>0.59140000000000004</v>
      </c>
      <c r="N12" s="34">
        <f t="shared" si="2"/>
        <v>1.3706</v>
      </c>
      <c r="O12" s="31">
        <v>0.3972</v>
      </c>
      <c r="P12" s="31">
        <v>0.13569999999999999</v>
      </c>
      <c r="Q12" s="34">
        <v>0.13569999999999999</v>
      </c>
      <c r="R12" s="34">
        <f t="shared" si="3"/>
        <v>1.6905999999999999</v>
      </c>
      <c r="S12" s="31">
        <f t="shared" si="4"/>
        <v>76.505382704365303</v>
      </c>
      <c r="U12" s="18">
        <f t="shared" si="5"/>
        <v>23.494617295634686</v>
      </c>
    </row>
    <row r="13" spans="1:25" x14ac:dyDescent="0.25">
      <c r="A13" s="31" t="s">
        <v>475</v>
      </c>
      <c r="B13" s="31" t="s">
        <v>327</v>
      </c>
      <c r="C13" s="31" t="s">
        <v>15</v>
      </c>
      <c r="D13" s="31" t="s">
        <v>18</v>
      </c>
      <c r="E13" s="31">
        <v>2</v>
      </c>
      <c r="F13" s="85" t="s">
        <v>788</v>
      </c>
      <c r="G13" s="31">
        <v>2.0840000000000001</v>
      </c>
      <c r="H13" s="31">
        <v>1.972</v>
      </c>
      <c r="I13" s="32">
        <f t="shared" si="0"/>
        <v>5.6795131845841835</v>
      </c>
      <c r="J13" s="53">
        <v>44788</v>
      </c>
      <c r="K13" s="33">
        <v>44841</v>
      </c>
      <c r="L13" s="31">
        <f t="shared" si="1"/>
        <v>53</v>
      </c>
      <c r="M13" s="31">
        <v>0.57010000000000005</v>
      </c>
      <c r="N13" s="34">
        <f t="shared" si="2"/>
        <v>1.4018999999999999</v>
      </c>
      <c r="O13" s="31">
        <v>0.37180000000000002</v>
      </c>
      <c r="P13" s="31">
        <v>0.13519999999999999</v>
      </c>
      <c r="Q13" s="31">
        <v>0.13519999999999999</v>
      </c>
      <c r="R13" s="34">
        <f t="shared" si="3"/>
        <v>1.7016</v>
      </c>
      <c r="S13" s="31">
        <f t="shared" si="4"/>
        <v>78.149976492712753</v>
      </c>
      <c r="U13" s="18">
        <f t="shared" si="5"/>
        <v>21.850023507287261</v>
      </c>
    </row>
    <row r="14" spans="1:25" x14ac:dyDescent="0.25">
      <c r="A14" s="31" t="s">
        <v>475</v>
      </c>
      <c r="B14" s="31" t="s">
        <v>327</v>
      </c>
      <c r="C14" s="31" t="s">
        <v>15</v>
      </c>
      <c r="D14" s="31" t="s">
        <v>19</v>
      </c>
      <c r="E14" s="31">
        <v>1</v>
      </c>
      <c r="F14" s="85" t="s">
        <v>789</v>
      </c>
      <c r="G14" s="34">
        <v>2.0596999999999999</v>
      </c>
      <c r="H14" s="31">
        <v>1.9492</v>
      </c>
      <c r="I14" s="32">
        <f t="shared" si="0"/>
        <v>5.6689924071413822</v>
      </c>
      <c r="J14" s="53">
        <v>44788</v>
      </c>
      <c r="K14" s="33">
        <v>44841</v>
      </c>
      <c r="L14" s="31">
        <f t="shared" si="1"/>
        <v>53</v>
      </c>
      <c r="M14" s="31">
        <v>0.55349999999999999</v>
      </c>
      <c r="N14" s="34">
        <f t="shared" si="2"/>
        <v>1.3957000000000002</v>
      </c>
      <c r="O14" s="31">
        <v>0.35089999999999999</v>
      </c>
      <c r="P14" s="31">
        <v>0.13769999999999999</v>
      </c>
      <c r="Q14" s="31">
        <v>0.13769999999999999</v>
      </c>
      <c r="R14" s="34">
        <f t="shared" si="3"/>
        <v>1.6738</v>
      </c>
      <c r="S14" s="31">
        <f t="shared" si="4"/>
        <v>79.035727088063084</v>
      </c>
      <c r="U14" s="18">
        <f t="shared" si="5"/>
        <v>20.964272911936909</v>
      </c>
    </row>
    <row r="15" spans="1:25" x14ac:dyDescent="0.25">
      <c r="A15" s="31" t="s">
        <v>475</v>
      </c>
      <c r="B15" s="31" t="s">
        <v>327</v>
      </c>
      <c r="C15" s="31" t="s">
        <v>15</v>
      </c>
      <c r="D15" s="31" t="s">
        <v>19</v>
      </c>
      <c r="E15" s="31">
        <v>2</v>
      </c>
      <c r="F15" s="85" t="s">
        <v>790</v>
      </c>
      <c r="G15" s="31">
        <v>2.0289000000000001</v>
      </c>
      <c r="H15" s="31">
        <v>1.9218999999999999</v>
      </c>
      <c r="I15" s="32">
        <f t="shared" si="0"/>
        <v>5.5674072532389927</v>
      </c>
      <c r="J15" s="53">
        <v>44788</v>
      </c>
      <c r="K15" s="33">
        <v>44841</v>
      </c>
      <c r="L15" s="31">
        <f t="shared" si="1"/>
        <v>53</v>
      </c>
      <c r="M15" s="31">
        <v>0.49120000000000003</v>
      </c>
      <c r="N15" s="34">
        <f t="shared" si="2"/>
        <v>1.4306999999999999</v>
      </c>
      <c r="O15" s="31">
        <v>0.2979</v>
      </c>
      <c r="P15" s="31">
        <v>0.1333</v>
      </c>
      <c r="Q15" s="31">
        <v>0.1333</v>
      </c>
      <c r="R15" s="34">
        <f t="shared" si="3"/>
        <v>1.6553</v>
      </c>
      <c r="S15" s="31">
        <f t="shared" si="4"/>
        <v>82.003262248535009</v>
      </c>
      <c r="U15" s="18">
        <f t="shared" si="5"/>
        <v>17.996737751464991</v>
      </c>
    </row>
    <row r="16" spans="1:25" x14ac:dyDescent="0.25">
      <c r="A16" s="31" t="s">
        <v>475</v>
      </c>
      <c r="B16" s="31" t="s">
        <v>327</v>
      </c>
      <c r="C16" s="31" t="s">
        <v>15</v>
      </c>
      <c r="D16" s="31" t="s">
        <v>20</v>
      </c>
      <c r="E16" s="31">
        <v>1</v>
      </c>
      <c r="F16" s="85" t="s">
        <v>791</v>
      </c>
      <c r="G16" s="31">
        <v>2.1171000000000002</v>
      </c>
      <c r="H16" s="31">
        <v>2.0057</v>
      </c>
      <c r="I16" s="32">
        <f t="shared" si="0"/>
        <v>5.5541706137508182</v>
      </c>
      <c r="J16" s="53">
        <v>44788</v>
      </c>
      <c r="K16" s="33">
        <v>44841</v>
      </c>
      <c r="L16" s="31">
        <f t="shared" si="1"/>
        <v>53</v>
      </c>
      <c r="M16" s="31">
        <v>0.54139999999999999</v>
      </c>
      <c r="N16" s="34">
        <f t="shared" si="2"/>
        <v>1.4643000000000002</v>
      </c>
      <c r="O16" s="31">
        <v>0.34510000000000002</v>
      </c>
      <c r="P16" s="31">
        <v>0.1356</v>
      </c>
      <c r="Q16" s="31">
        <v>0.1356</v>
      </c>
      <c r="R16" s="34">
        <f t="shared" si="3"/>
        <v>1.7345000000000002</v>
      </c>
      <c r="S16" s="31">
        <f t="shared" si="4"/>
        <v>80.103776304410502</v>
      </c>
      <c r="U16" s="18">
        <f t="shared" si="5"/>
        <v>19.896223695589509</v>
      </c>
    </row>
    <row r="17" spans="1:25" x14ac:dyDescent="0.25">
      <c r="A17" s="31" t="s">
        <v>475</v>
      </c>
      <c r="B17" s="31" t="s">
        <v>327</v>
      </c>
      <c r="C17" s="31" t="s">
        <v>15</v>
      </c>
      <c r="D17" s="31" t="s">
        <v>20</v>
      </c>
      <c r="E17" s="31">
        <v>2</v>
      </c>
      <c r="F17" s="85" t="s">
        <v>792</v>
      </c>
      <c r="G17" s="31">
        <v>2.1177000000000001</v>
      </c>
      <c r="H17" s="31">
        <v>2.0053999999999998</v>
      </c>
      <c r="I17" s="32">
        <f t="shared" si="0"/>
        <v>5.5998803231275707</v>
      </c>
      <c r="J17" s="53">
        <v>44788</v>
      </c>
      <c r="K17" s="33">
        <v>44841</v>
      </c>
      <c r="L17" s="31">
        <f t="shared" si="1"/>
        <v>53</v>
      </c>
      <c r="M17" s="31">
        <v>0.52680000000000005</v>
      </c>
      <c r="N17" s="34">
        <f t="shared" si="2"/>
        <v>1.4785999999999997</v>
      </c>
      <c r="O17" s="31">
        <v>0.3301</v>
      </c>
      <c r="P17" s="31">
        <v>0.13719999999999999</v>
      </c>
      <c r="Q17" s="31">
        <v>0.13719999999999999</v>
      </c>
      <c r="R17" s="34">
        <f t="shared" si="3"/>
        <v>1.7309999999999999</v>
      </c>
      <c r="S17" s="31">
        <f t="shared" si="4"/>
        <v>80.930098209127664</v>
      </c>
      <c r="U17" s="18">
        <f t="shared" si="5"/>
        <v>19.069901790872329</v>
      </c>
    </row>
    <row r="18" spans="1:25" x14ac:dyDescent="0.25">
      <c r="A18" s="39" t="s">
        <v>476</v>
      </c>
      <c r="B18" s="39" t="s">
        <v>623</v>
      </c>
      <c r="C18" s="39" t="s">
        <v>15</v>
      </c>
      <c r="D18" s="39" t="s">
        <v>17</v>
      </c>
      <c r="E18" s="39">
        <v>1</v>
      </c>
      <c r="F18" s="81" t="s">
        <v>793</v>
      </c>
      <c r="G18" s="39">
        <v>2.2463000000000002</v>
      </c>
      <c r="H18" s="39">
        <v>2.1493000000000002</v>
      </c>
      <c r="I18" s="40">
        <f t="shared" si="0"/>
        <v>4.5130972874889483</v>
      </c>
      <c r="J18" s="53">
        <v>44802</v>
      </c>
      <c r="K18" s="41">
        <v>44855</v>
      </c>
      <c r="L18" s="39">
        <f t="shared" si="1"/>
        <v>53</v>
      </c>
      <c r="M18" s="39">
        <v>0.52149999999999996</v>
      </c>
      <c r="N18" s="42">
        <f t="shared" si="2"/>
        <v>1.6278000000000001</v>
      </c>
      <c r="O18" s="39">
        <v>0.30709999999999998</v>
      </c>
      <c r="P18" s="39">
        <v>0.1537</v>
      </c>
      <c r="Q18" s="39">
        <v>6.1800000000000001E-2</v>
      </c>
      <c r="R18" s="42">
        <f t="shared" si="3"/>
        <v>1.9338000000000002</v>
      </c>
      <c r="S18" s="39">
        <f t="shared" si="4"/>
        <v>84.119350501603066</v>
      </c>
      <c r="T18">
        <f>AVERAGE(O18:O25)</f>
        <v>0.38182500000000003</v>
      </c>
      <c r="U18" s="18">
        <f t="shared" si="5"/>
        <v>15.880649498396938</v>
      </c>
      <c r="V18" s="7">
        <f>AVERAGE(U18:U25)</f>
        <v>21.105455135840536</v>
      </c>
      <c r="W18">
        <f>STDEV(U18:U25)</f>
        <v>3.2439584011458322</v>
      </c>
      <c r="X18">
        <f>AVERAGE(S18:S25)</f>
        <v>78.894544864159457</v>
      </c>
      <c r="Y18">
        <f>STDEV(S18:S25)</f>
        <v>3.2439584011458189</v>
      </c>
    </row>
    <row r="19" spans="1:25" x14ac:dyDescent="0.25">
      <c r="A19" s="39" t="s">
        <v>476</v>
      </c>
      <c r="B19" s="39" t="s">
        <v>623</v>
      </c>
      <c r="C19" s="39" t="s">
        <v>15</v>
      </c>
      <c r="D19" s="39" t="s">
        <v>17</v>
      </c>
      <c r="E19" s="39">
        <v>2</v>
      </c>
      <c r="F19" s="81" t="s">
        <v>794</v>
      </c>
      <c r="G19" s="39">
        <v>2.1730999999999998</v>
      </c>
      <c r="H19" s="39">
        <v>2.0819999999999999</v>
      </c>
      <c r="I19" s="40">
        <f t="shared" si="0"/>
        <v>4.3756003842459164</v>
      </c>
      <c r="J19" s="53">
        <v>44802</v>
      </c>
      <c r="K19" s="41">
        <v>44855</v>
      </c>
      <c r="L19" s="39">
        <f t="shared" si="1"/>
        <v>53</v>
      </c>
      <c r="M19" s="39">
        <v>0.57369999999999999</v>
      </c>
      <c r="N19" s="42">
        <f t="shared" si="2"/>
        <v>1.5082999999999998</v>
      </c>
      <c r="O19" s="39">
        <v>0.36080000000000001</v>
      </c>
      <c r="P19" s="39">
        <v>0.14480000000000001</v>
      </c>
      <c r="Q19" s="39">
        <v>6.8500000000000005E-2</v>
      </c>
      <c r="R19" s="42">
        <f t="shared" si="3"/>
        <v>1.8686999999999998</v>
      </c>
      <c r="S19" s="39">
        <f t="shared" si="4"/>
        <v>80.692459998929735</v>
      </c>
      <c r="U19" s="18">
        <f t="shared" si="5"/>
        <v>19.307540001070265</v>
      </c>
    </row>
    <row r="20" spans="1:25" x14ac:dyDescent="0.25">
      <c r="A20" s="39" t="s">
        <v>476</v>
      </c>
      <c r="B20" s="39" t="s">
        <v>623</v>
      </c>
      <c r="C20" s="39" t="s">
        <v>15</v>
      </c>
      <c r="D20" s="39" t="s">
        <v>18</v>
      </c>
      <c r="E20" s="39">
        <v>1</v>
      </c>
      <c r="F20" s="81" t="s">
        <v>795</v>
      </c>
      <c r="G20" s="39">
        <v>2.0082</v>
      </c>
      <c r="H20" s="39">
        <v>1.9218999999999999</v>
      </c>
      <c r="I20" s="40">
        <f t="shared" si="0"/>
        <v>4.4903480930329387</v>
      </c>
      <c r="J20" s="53">
        <v>44802</v>
      </c>
      <c r="K20" s="41">
        <v>44855</v>
      </c>
      <c r="L20" s="39">
        <f t="shared" si="1"/>
        <v>53</v>
      </c>
      <c r="M20" s="39">
        <v>0.55610000000000004</v>
      </c>
      <c r="N20" s="42">
        <f t="shared" si="2"/>
        <v>1.3657999999999999</v>
      </c>
      <c r="O20" s="39">
        <v>0.3392</v>
      </c>
      <c r="P20" s="39">
        <v>0.153</v>
      </c>
      <c r="Q20" s="39">
        <v>6.4899999999999999E-2</v>
      </c>
      <c r="R20" s="42">
        <f t="shared" si="3"/>
        <v>1.704</v>
      </c>
      <c r="S20" s="39">
        <f t="shared" si="4"/>
        <v>80.093896713615038</v>
      </c>
      <c r="U20" s="18">
        <f t="shared" si="5"/>
        <v>19.906103286384976</v>
      </c>
    </row>
    <row r="21" spans="1:25" x14ac:dyDescent="0.25">
      <c r="A21" s="39" t="s">
        <v>476</v>
      </c>
      <c r="B21" s="39" t="s">
        <v>623</v>
      </c>
      <c r="C21" s="39" t="s">
        <v>15</v>
      </c>
      <c r="D21" s="39" t="s">
        <v>18</v>
      </c>
      <c r="E21" s="39">
        <v>2</v>
      </c>
      <c r="F21" s="81" t="s">
        <v>796</v>
      </c>
      <c r="G21" s="39">
        <v>2.0703999999999998</v>
      </c>
      <c r="H21" s="39">
        <v>1.9805999999999999</v>
      </c>
      <c r="I21" s="40">
        <f t="shared" si="0"/>
        <v>4.533979602140759</v>
      </c>
      <c r="J21" s="53">
        <v>44802</v>
      </c>
      <c r="K21" s="41">
        <v>44855</v>
      </c>
      <c r="L21" s="39">
        <f t="shared" si="1"/>
        <v>53</v>
      </c>
      <c r="M21" s="39">
        <v>0.62419999999999998</v>
      </c>
      <c r="N21" s="42">
        <f t="shared" si="2"/>
        <v>1.3563999999999998</v>
      </c>
      <c r="O21" s="39">
        <v>0.42380000000000001</v>
      </c>
      <c r="P21" s="39">
        <v>0.14710000000000001</v>
      </c>
      <c r="Q21" s="39">
        <v>5.6500000000000002E-2</v>
      </c>
      <c r="R21" s="42">
        <f t="shared" si="3"/>
        <v>1.7769999999999999</v>
      </c>
      <c r="S21" s="39">
        <f t="shared" si="4"/>
        <v>76.150815981992125</v>
      </c>
      <c r="U21" s="18">
        <f t="shared" si="5"/>
        <v>23.849184018007879</v>
      </c>
    </row>
    <row r="22" spans="1:25" x14ac:dyDescent="0.25">
      <c r="A22" s="39" t="s">
        <v>476</v>
      </c>
      <c r="B22" s="39" t="s">
        <v>623</v>
      </c>
      <c r="C22" s="39" t="s">
        <v>15</v>
      </c>
      <c r="D22" s="39" t="s">
        <v>19</v>
      </c>
      <c r="E22" s="39">
        <v>1</v>
      </c>
      <c r="F22" s="81" t="s">
        <v>797</v>
      </c>
      <c r="G22" s="39">
        <v>2.0438999999999998</v>
      </c>
      <c r="H22" s="39">
        <v>1.9564999999999999</v>
      </c>
      <c r="I22" s="40">
        <f t="shared" si="0"/>
        <v>4.4671607462305101</v>
      </c>
      <c r="J22" s="53">
        <v>44802</v>
      </c>
      <c r="K22" s="41">
        <v>44855</v>
      </c>
      <c r="L22" s="39">
        <f t="shared" si="1"/>
        <v>53</v>
      </c>
      <c r="M22" s="39">
        <v>0.54930000000000001</v>
      </c>
      <c r="N22" s="42">
        <f t="shared" si="2"/>
        <v>1.4072</v>
      </c>
      <c r="O22" s="39">
        <v>0.34350000000000003</v>
      </c>
      <c r="P22" s="39">
        <v>0.1424</v>
      </c>
      <c r="Q22" s="39">
        <v>5.8200000000000002E-2</v>
      </c>
      <c r="R22" s="42">
        <f t="shared" si="3"/>
        <v>1.7559</v>
      </c>
      <c r="S22" s="39">
        <f t="shared" si="4"/>
        <v>80.437382538868945</v>
      </c>
      <c r="U22" s="18">
        <f t="shared" si="5"/>
        <v>19.562617461131047</v>
      </c>
    </row>
    <row r="23" spans="1:25" x14ac:dyDescent="0.25">
      <c r="A23" s="39" t="s">
        <v>476</v>
      </c>
      <c r="B23" s="39" t="s">
        <v>623</v>
      </c>
      <c r="C23" s="39" t="s">
        <v>15</v>
      </c>
      <c r="D23" s="39" t="s">
        <v>19</v>
      </c>
      <c r="E23" s="39">
        <v>2</v>
      </c>
      <c r="F23" s="81" t="s">
        <v>798</v>
      </c>
      <c r="G23" s="39">
        <v>2.1334</v>
      </c>
      <c r="H23" s="39">
        <v>2.0411000000000001</v>
      </c>
      <c r="I23" s="40">
        <f t="shared" si="0"/>
        <v>4.5220714320709332</v>
      </c>
      <c r="J23" s="53">
        <v>44802</v>
      </c>
      <c r="K23" s="41">
        <v>44855</v>
      </c>
      <c r="L23" s="39">
        <f t="shared" si="1"/>
        <v>53</v>
      </c>
      <c r="M23" s="39">
        <v>0.62890000000000001</v>
      </c>
      <c r="N23" s="42">
        <f t="shared" si="2"/>
        <v>1.4122000000000001</v>
      </c>
      <c r="O23" s="39">
        <v>0.37080000000000002</v>
      </c>
      <c r="P23" s="39">
        <v>0.1452</v>
      </c>
      <c r="Q23" s="39">
        <v>6.9800000000000001E-2</v>
      </c>
      <c r="R23" s="42">
        <f t="shared" si="3"/>
        <v>1.8261000000000001</v>
      </c>
      <c r="S23" s="39">
        <f t="shared" si="4"/>
        <v>79.694430754066033</v>
      </c>
      <c r="U23" s="18">
        <f t="shared" si="5"/>
        <v>20.305569245933956</v>
      </c>
    </row>
    <row r="24" spans="1:25" x14ac:dyDescent="0.25">
      <c r="A24" s="39" t="s">
        <v>476</v>
      </c>
      <c r="B24" s="39" t="s">
        <v>623</v>
      </c>
      <c r="C24" s="39" t="s">
        <v>15</v>
      </c>
      <c r="D24" s="39" t="s">
        <v>20</v>
      </c>
      <c r="E24" s="39">
        <v>1</v>
      </c>
      <c r="F24" s="81" t="s">
        <v>799</v>
      </c>
      <c r="G24" s="39">
        <v>2.1560999999999999</v>
      </c>
      <c r="H24" s="39">
        <v>2.0640000000000001</v>
      </c>
      <c r="I24" s="40">
        <f t="shared" si="0"/>
        <v>4.462209302325574</v>
      </c>
      <c r="J24" s="53">
        <v>44802</v>
      </c>
      <c r="K24" s="41">
        <v>44855</v>
      </c>
      <c r="L24" s="39">
        <f t="shared" si="1"/>
        <v>53</v>
      </c>
      <c r="M24" s="39">
        <v>0.68899999999999995</v>
      </c>
      <c r="N24" s="42">
        <f t="shared" si="2"/>
        <v>1.375</v>
      </c>
      <c r="O24" s="39">
        <v>0.47539999999999999</v>
      </c>
      <c r="P24" s="39">
        <v>0.15040000000000001</v>
      </c>
      <c r="Q24" s="39">
        <v>5.2600000000000001E-2</v>
      </c>
      <c r="R24" s="42">
        <f t="shared" si="3"/>
        <v>1.861</v>
      </c>
      <c r="S24" s="39">
        <f t="shared" si="4"/>
        <v>74.454594304137558</v>
      </c>
      <c r="U24" s="18">
        <f t="shared" si="5"/>
        <v>25.545405695862438</v>
      </c>
    </row>
    <row r="25" spans="1:25" x14ac:dyDescent="0.25">
      <c r="A25" s="39" t="s">
        <v>476</v>
      </c>
      <c r="B25" s="39" t="s">
        <v>623</v>
      </c>
      <c r="C25" s="39" t="s">
        <v>15</v>
      </c>
      <c r="D25" s="39" t="s">
        <v>20</v>
      </c>
      <c r="E25" s="39">
        <v>2</v>
      </c>
      <c r="F25" s="81" t="s">
        <v>800</v>
      </c>
      <c r="G25" s="39">
        <v>2.0728</v>
      </c>
      <c r="H25" s="39">
        <v>1.9883999999999999</v>
      </c>
      <c r="I25" s="40">
        <f t="shared" si="0"/>
        <v>4.2446187889760632</v>
      </c>
      <c r="J25" s="53">
        <v>44802</v>
      </c>
      <c r="K25" s="41">
        <v>44855</v>
      </c>
      <c r="L25" s="39">
        <f t="shared" si="1"/>
        <v>53</v>
      </c>
      <c r="M25" s="39">
        <v>0.6492</v>
      </c>
      <c r="N25" s="42">
        <f t="shared" si="2"/>
        <v>1.3391999999999999</v>
      </c>
      <c r="O25" s="39">
        <v>0.434</v>
      </c>
      <c r="P25" s="39">
        <v>0.1459</v>
      </c>
      <c r="Q25" s="39">
        <v>7.0099999999999996E-2</v>
      </c>
      <c r="R25" s="42">
        <f t="shared" si="3"/>
        <v>1.7724</v>
      </c>
      <c r="S25" s="39">
        <f t="shared" si="4"/>
        <v>75.513428120063196</v>
      </c>
      <c r="U25" s="18">
        <f t="shared" si="5"/>
        <v>24.486571879936808</v>
      </c>
    </row>
    <row r="26" spans="1:25" x14ac:dyDescent="0.25">
      <c r="A26" s="43" t="s">
        <v>478</v>
      </c>
      <c r="B26" s="43" t="s">
        <v>329</v>
      </c>
      <c r="C26" s="43" t="s">
        <v>15</v>
      </c>
      <c r="D26" s="43" t="s">
        <v>17</v>
      </c>
      <c r="E26" s="43">
        <v>1</v>
      </c>
      <c r="F26" s="82" t="s">
        <v>801</v>
      </c>
      <c r="G26" s="43">
        <v>2.1959</v>
      </c>
      <c r="H26" s="43">
        <v>2.0924999999999998</v>
      </c>
      <c r="I26" s="44">
        <f t="shared" si="0"/>
        <v>4.9414575866188848</v>
      </c>
      <c r="J26" s="53">
        <v>44811</v>
      </c>
      <c r="K26" s="45">
        <v>44869</v>
      </c>
      <c r="L26" s="43">
        <f t="shared" si="1"/>
        <v>58</v>
      </c>
      <c r="M26" s="43">
        <v>0.54790000000000005</v>
      </c>
      <c r="N26" s="46">
        <f t="shared" si="2"/>
        <v>1.5445999999999998</v>
      </c>
      <c r="O26" s="43">
        <v>0.34360000000000002</v>
      </c>
      <c r="P26" s="43">
        <v>0.1487</v>
      </c>
      <c r="Q26" s="43">
        <v>5.3900000000000003E-2</v>
      </c>
      <c r="R26" s="46">
        <f t="shared" si="3"/>
        <v>1.8898999999999999</v>
      </c>
      <c r="S26" s="43">
        <f t="shared" si="4"/>
        <v>81.819143870046034</v>
      </c>
      <c r="T26">
        <f>AVERAGE(O26:O33)</f>
        <v>0.34688750000000002</v>
      </c>
      <c r="U26" s="18">
        <f t="shared" si="5"/>
        <v>18.180856129953966</v>
      </c>
      <c r="V26" s="7">
        <f>AVERAGE(U26:U33)</f>
        <v>19.188148562266395</v>
      </c>
      <c r="W26">
        <f>STDEV(U26:U33)</f>
        <v>1.1945182449854803</v>
      </c>
      <c r="X26">
        <f>AVERAGE(S26:S33)</f>
        <v>80.811851437733608</v>
      </c>
      <c r="Y26">
        <f>STDEV(S26:S33)</f>
        <v>1.1945182449854828</v>
      </c>
    </row>
    <row r="27" spans="1:25" x14ac:dyDescent="0.25">
      <c r="A27" s="43" t="s">
        <v>478</v>
      </c>
      <c r="B27" s="43" t="s">
        <v>329</v>
      </c>
      <c r="C27" s="43" t="s">
        <v>15</v>
      </c>
      <c r="D27" s="43" t="s">
        <v>17</v>
      </c>
      <c r="E27" s="43">
        <v>2</v>
      </c>
      <c r="F27" s="82" t="s">
        <v>802</v>
      </c>
      <c r="G27" s="43">
        <v>2.1234999999999999</v>
      </c>
      <c r="H27" s="43">
        <v>2.0245000000000002</v>
      </c>
      <c r="I27" s="44">
        <f t="shared" si="0"/>
        <v>4.89009632007902</v>
      </c>
      <c r="J27" s="53">
        <v>44811</v>
      </c>
      <c r="K27" s="45">
        <v>44869</v>
      </c>
      <c r="L27" s="43">
        <f t="shared" si="1"/>
        <v>58</v>
      </c>
      <c r="M27" s="43">
        <v>0.55810000000000004</v>
      </c>
      <c r="N27" s="46">
        <f t="shared" si="2"/>
        <v>1.4664000000000001</v>
      </c>
      <c r="O27" s="43">
        <v>0.3508</v>
      </c>
      <c r="P27" s="43">
        <v>0.1459</v>
      </c>
      <c r="Q27" s="43">
        <v>6.1499999999999999E-2</v>
      </c>
      <c r="R27" s="46">
        <f t="shared" si="3"/>
        <v>1.8171000000000002</v>
      </c>
      <c r="S27" s="43">
        <f t="shared" si="4"/>
        <v>80.694513235375055</v>
      </c>
      <c r="U27" s="18">
        <f t="shared" si="5"/>
        <v>19.305486764624948</v>
      </c>
    </row>
    <row r="28" spans="1:25" x14ac:dyDescent="0.25">
      <c r="A28" s="43" t="s">
        <v>478</v>
      </c>
      <c r="B28" s="43" t="s">
        <v>329</v>
      </c>
      <c r="C28" s="43" t="s">
        <v>15</v>
      </c>
      <c r="D28" s="43" t="s">
        <v>18</v>
      </c>
      <c r="E28" s="43">
        <v>1</v>
      </c>
      <c r="F28" s="82" t="s">
        <v>803</v>
      </c>
      <c r="G28" s="43">
        <v>2.0699999999999998</v>
      </c>
      <c r="H28" s="43">
        <v>1.9756</v>
      </c>
      <c r="I28" s="44">
        <f t="shared" si="0"/>
        <v>4.7782952014577758</v>
      </c>
      <c r="J28" s="53">
        <v>44811</v>
      </c>
      <c r="K28" s="45">
        <v>44869</v>
      </c>
      <c r="L28" s="43">
        <f t="shared" si="1"/>
        <v>58</v>
      </c>
      <c r="M28" s="43">
        <v>0.58089999999999997</v>
      </c>
      <c r="N28" s="46">
        <f t="shared" si="2"/>
        <v>1.3947000000000001</v>
      </c>
      <c r="O28" s="43">
        <v>0.37319999999999998</v>
      </c>
      <c r="P28" s="43">
        <v>0.1472</v>
      </c>
      <c r="Q28" s="43">
        <v>5.8400000000000001E-2</v>
      </c>
      <c r="R28" s="46">
        <f t="shared" si="3"/>
        <v>1.77</v>
      </c>
      <c r="S28" s="43">
        <f t="shared" si="4"/>
        <v>78.915254237288138</v>
      </c>
      <c r="U28" s="18">
        <f t="shared" si="5"/>
        <v>21.084745762711862</v>
      </c>
    </row>
    <row r="29" spans="1:25" x14ac:dyDescent="0.25">
      <c r="A29" s="43" t="s">
        <v>478</v>
      </c>
      <c r="B29" s="43" t="s">
        <v>329</v>
      </c>
      <c r="C29" s="43" t="s">
        <v>15</v>
      </c>
      <c r="D29" s="43" t="s">
        <v>18</v>
      </c>
      <c r="E29" s="43">
        <v>2</v>
      </c>
      <c r="F29" s="82" t="s">
        <v>804</v>
      </c>
      <c r="G29" s="43">
        <v>2.0213000000000001</v>
      </c>
      <c r="H29" s="43">
        <v>1.9296</v>
      </c>
      <c r="I29" s="44">
        <f t="shared" si="0"/>
        <v>4.7522802653399729</v>
      </c>
      <c r="J29" s="53">
        <v>44811</v>
      </c>
      <c r="K29" s="45">
        <v>44869</v>
      </c>
      <c r="L29" s="43">
        <f t="shared" si="1"/>
        <v>58</v>
      </c>
      <c r="M29" s="43">
        <v>0.56079999999999997</v>
      </c>
      <c r="N29" s="46">
        <f t="shared" si="2"/>
        <v>1.3688</v>
      </c>
      <c r="O29" s="43">
        <v>0.3407</v>
      </c>
      <c r="P29" s="43">
        <v>0.152</v>
      </c>
      <c r="Q29" s="43">
        <v>6.3100000000000003E-2</v>
      </c>
      <c r="R29" s="46">
        <f t="shared" si="3"/>
        <v>1.7144999999999999</v>
      </c>
      <c r="S29" s="43">
        <f t="shared" si="4"/>
        <v>80.128317293671628</v>
      </c>
      <c r="U29" s="18">
        <f t="shared" si="5"/>
        <v>19.871682706328379</v>
      </c>
    </row>
    <row r="30" spans="1:25" x14ac:dyDescent="0.25">
      <c r="A30" s="43" t="s">
        <v>478</v>
      </c>
      <c r="B30" s="43" t="s">
        <v>329</v>
      </c>
      <c r="C30" s="43" t="s">
        <v>15</v>
      </c>
      <c r="D30" s="43" t="s">
        <v>19</v>
      </c>
      <c r="E30" s="43">
        <v>1</v>
      </c>
      <c r="F30" s="82" t="s">
        <v>805</v>
      </c>
      <c r="G30" s="43">
        <v>2.1038000000000001</v>
      </c>
      <c r="H30" s="43">
        <v>2.0061</v>
      </c>
      <c r="I30" s="44">
        <f t="shared" si="0"/>
        <v>4.8701460545336781</v>
      </c>
      <c r="J30" s="53">
        <v>44811</v>
      </c>
      <c r="K30" s="45">
        <v>44869</v>
      </c>
      <c r="L30" s="43">
        <f t="shared" si="1"/>
        <v>58</v>
      </c>
      <c r="M30" s="43">
        <v>0.53439999999999999</v>
      </c>
      <c r="N30" s="46">
        <f t="shared" si="2"/>
        <v>1.4717</v>
      </c>
      <c r="O30" s="43">
        <v>0.33090000000000003</v>
      </c>
      <c r="P30" s="43">
        <v>0.14449999999999999</v>
      </c>
      <c r="Q30" s="43">
        <v>5.8200000000000002E-2</v>
      </c>
      <c r="R30" s="46">
        <f t="shared" si="3"/>
        <v>1.8033999999999999</v>
      </c>
      <c r="S30" s="43">
        <f t="shared" si="4"/>
        <v>81.651325274481536</v>
      </c>
      <c r="U30" s="18">
        <f t="shared" si="5"/>
        <v>18.348674725518467</v>
      </c>
    </row>
    <row r="31" spans="1:25" x14ac:dyDescent="0.25">
      <c r="A31" s="43" t="s">
        <v>478</v>
      </c>
      <c r="B31" s="43" t="s">
        <v>329</v>
      </c>
      <c r="C31" s="43" t="s">
        <v>15</v>
      </c>
      <c r="D31" s="43" t="s">
        <v>19</v>
      </c>
      <c r="E31" s="43">
        <v>2</v>
      </c>
      <c r="F31" s="82" t="s">
        <v>806</v>
      </c>
      <c r="G31" s="43">
        <v>2.1876000000000002</v>
      </c>
      <c r="H31" s="43">
        <v>2.0886</v>
      </c>
      <c r="I31" s="44">
        <f t="shared" si="0"/>
        <v>4.7400172364263238</v>
      </c>
      <c r="J31" s="53">
        <v>44811</v>
      </c>
      <c r="K31" s="45">
        <v>44869</v>
      </c>
      <c r="L31" s="43">
        <f t="shared" si="1"/>
        <v>58</v>
      </c>
      <c r="M31" s="43">
        <v>0.55000000000000004</v>
      </c>
      <c r="N31" s="46">
        <f t="shared" si="2"/>
        <v>1.5386</v>
      </c>
      <c r="O31" s="43">
        <v>0.32919999999999999</v>
      </c>
      <c r="P31" s="43">
        <v>0.1573</v>
      </c>
      <c r="Q31" s="43">
        <v>5.8299999999999998E-2</v>
      </c>
      <c r="R31" s="46">
        <f t="shared" si="3"/>
        <v>1.873</v>
      </c>
      <c r="S31" s="43">
        <f t="shared" si="4"/>
        <v>82.423918846769894</v>
      </c>
      <c r="U31" s="18">
        <f t="shared" si="5"/>
        <v>17.57608115323011</v>
      </c>
    </row>
    <row r="32" spans="1:25" x14ac:dyDescent="0.25">
      <c r="A32" s="43" t="s">
        <v>478</v>
      </c>
      <c r="B32" s="43" t="s">
        <v>329</v>
      </c>
      <c r="C32" s="43" t="s">
        <v>15</v>
      </c>
      <c r="D32" s="43" t="s">
        <v>20</v>
      </c>
      <c r="E32" s="43">
        <v>1</v>
      </c>
      <c r="F32" s="82" t="s">
        <v>807</v>
      </c>
      <c r="G32" s="46">
        <v>2.04</v>
      </c>
      <c r="H32" s="43">
        <v>1.9479</v>
      </c>
      <c r="I32" s="44">
        <f t="shared" si="0"/>
        <v>4.728168797166183</v>
      </c>
      <c r="J32" s="53">
        <v>44811</v>
      </c>
      <c r="K32" s="45">
        <v>44869</v>
      </c>
      <c r="L32" s="43">
        <f t="shared" si="1"/>
        <v>58</v>
      </c>
      <c r="M32" s="43">
        <v>0.56679999999999997</v>
      </c>
      <c r="N32" s="46">
        <f t="shared" si="2"/>
        <v>1.3811</v>
      </c>
      <c r="O32" s="43">
        <v>0.35360000000000003</v>
      </c>
      <c r="P32" s="43">
        <v>0.14280000000000001</v>
      </c>
      <c r="Q32" s="43">
        <v>6.9699999999999998E-2</v>
      </c>
      <c r="R32" s="46">
        <f t="shared" si="3"/>
        <v>1.7353999999999998</v>
      </c>
      <c r="S32" s="43">
        <f t="shared" si="4"/>
        <v>79.624294110867794</v>
      </c>
      <c r="U32" s="18">
        <f t="shared" si="5"/>
        <v>20.375705889132192</v>
      </c>
    </row>
    <row r="33" spans="1:25" x14ac:dyDescent="0.25">
      <c r="A33" s="43" t="s">
        <v>478</v>
      </c>
      <c r="B33" s="43" t="s">
        <v>329</v>
      </c>
      <c r="C33" s="43" t="s">
        <v>15</v>
      </c>
      <c r="D33" s="43" t="s">
        <v>20</v>
      </c>
      <c r="E33" s="43">
        <v>2</v>
      </c>
      <c r="F33" s="82" t="s">
        <v>808</v>
      </c>
      <c r="G33" s="43">
        <v>2.2191999999999998</v>
      </c>
      <c r="H33" s="43">
        <v>2.1177000000000001</v>
      </c>
      <c r="I33" s="44">
        <f t="shared" si="0"/>
        <v>4.7929357321622374</v>
      </c>
      <c r="J33" s="53">
        <v>44811</v>
      </c>
      <c r="K33" s="45">
        <v>44869</v>
      </c>
      <c r="L33" s="43">
        <f t="shared" si="1"/>
        <v>58</v>
      </c>
      <c r="M33" s="43">
        <v>0.58199999999999996</v>
      </c>
      <c r="N33" s="46">
        <f t="shared" si="2"/>
        <v>1.5357000000000003</v>
      </c>
      <c r="O33" s="43">
        <v>0.35310000000000002</v>
      </c>
      <c r="P33" s="43">
        <v>0.1696</v>
      </c>
      <c r="Q33" s="43">
        <v>6.6100000000000006E-2</v>
      </c>
      <c r="R33" s="46">
        <f t="shared" si="3"/>
        <v>1.8820000000000001</v>
      </c>
      <c r="S33" s="43">
        <f t="shared" si="4"/>
        <v>81.238044633368759</v>
      </c>
      <c r="U33" s="18">
        <f t="shared" si="5"/>
        <v>18.761955366631245</v>
      </c>
    </row>
    <row r="34" spans="1:25" x14ac:dyDescent="0.25">
      <c r="A34" s="47" t="s">
        <v>477</v>
      </c>
      <c r="B34" s="47" t="s">
        <v>330</v>
      </c>
      <c r="C34" s="47" t="s">
        <v>15</v>
      </c>
      <c r="D34" s="47" t="s">
        <v>17</v>
      </c>
      <c r="E34" s="47">
        <v>1</v>
      </c>
      <c r="F34" s="83" t="s">
        <v>809</v>
      </c>
      <c r="G34" s="48">
        <v>2.0973000000000002</v>
      </c>
      <c r="H34" s="48">
        <v>1.9681999999999999</v>
      </c>
      <c r="I34" s="49">
        <f t="shared" si="0"/>
        <v>6.5592927548013522</v>
      </c>
      <c r="J34" s="53">
        <v>44816</v>
      </c>
      <c r="K34" s="50">
        <v>44869</v>
      </c>
      <c r="L34" s="47">
        <f t="shared" si="1"/>
        <v>53</v>
      </c>
      <c r="M34" s="47">
        <v>0.51780000000000004</v>
      </c>
      <c r="N34" s="48">
        <f t="shared" si="2"/>
        <v>1.4503999999999999</v>
      </c>
      <c r="O34" s="47">
        <v>0.30869999999999997</v>
      </c>
      <c r="P34" s="47">
        <v>0.13919999999999999</v>
      </c>
      <c r="Q34" s="47">
        <v>6.59E-2</v>
      </c>
      <c r="R34" s="48">
        <f t="shared" si="3"/>
        <v>1.7630999999999999</v>
      </c>
      <c r="S34" s="47">
        <f t="shared" si="4"/>
        <v>82.491066870852478</v>
      </c>
      <c r="T34">
        <f>AVERAGE(O34:O41)</f>
        <v>0.326625</v>
      </c>
      <c r="U34" s="18">
        <f t="shared" si="5"/>
        <v>17.508933129147525</v>
      </c>
      <c r="V34" s="7">
        <f>AVERAGE(U34:U41)</f>
        <v>18.560484914588493</v>
      </c>
      <c r="W34">
        <f>STDEV(U34:U41)</f>
        <v>2.3175965165617503</v>
      </c>
      <c r="X34">
        <f>AVERAGE(S34:S41)</f>
        <v>81.4395150854115</v>
      </c>
      <c r="Y34">
        <f>STDEV(S34:S41)</f>
        <v>2.3175965165617241</v>
      </c>
    </row>
    <row r="35" spans="1:25" x14ac:dyDescent="0.25">
      <c r="A35" s="47" t="s">
        <v>477</v>
      </c>
      <c r="B35" s="47" t="s">
        <v>330</v>
      </c>
      <c r="C35" s="47" t="s">
        <v>15</v>
      </c>
      <c r="D35" s="47" t="s">
        <v>17</v>
      </c>
      <c r="E35" s="47">
        <v>2</v>
      </c>
      <c r="F35" s="83" t="s">
        <v>810</v>
      </c>
      <c r="G35" s="47">
        <v>2.1080999999999999</v>
      </c>
      <c r="H35" s="47">
        <v>1.9781</v>
      </c>
      <c r="I35" s="49">
        <f t="shared" si="0"/>
        <v>6.5719629947929779</v>
      </c>
      <c r="J35" s="53">
        <v>44816</v>
      </c>
      <c r="K35" s="50">
        <v>44869</v>
      </c>
      <c r="L35" s="47">
        <f t="shared" si="1"/>
        <v>53</v>
      </c>
      <c r="M35" s="47">
        <v>0.55589999999999995</v>
      </c>
      <c r="N35" s="48">
        <f t="shared" si="2"/>
        <v>1.4222000000000001</v>
      </c>
      <c r="O35" s="47">
        <v>0.34360000000000002</v>
      </c>
      <c r="P35" s="47">
        <v>0.1416</v>
      </c>
      <c r="Q35" s="47">
        <v>6.9400000000000003E-2</v>
      </c>
      <c r="R35" s="48">
        <f t="shared" si="3"/>
        <v>1.7670999999999999</v>
      </c>
      <c r="S35" s="47">
        <f t="shared" si="4"/>
        <v>80.555712749702892</v>
      </c>
      <c r="U35" s="18">
        <f t="shared" si="5"/>
        <v>19.444287250297098</v>
      </c>
    </row>
    <row r="36" spans="1:25" x14ac:dyDescent="0.25">
      <c r="A36" s="47" t="s">
        <v>477</v>
      </c>
      <c r="B36" s="47" t="s">
        <v>330</v>
      </c>
      <c r="C36" s="47" t="s">
        <v>15</v>
      </c>
      <c r="D36" s="47" t="s">
        <v>18</v>
      </c>
      <c r="E36" s="47">
        <v>1</v>
      </c>
      <c r="F36" s="83" t="s">
        <v>811</v>
      </c>
      <c r="G36" s="47">
        <v>2.1484999999999999</v>
      </c>
      <c r="H36" s="48">
        <v>2.0182000000000002</v>
      </c>
      <c r="I36" s="49">
        <f t="shared" si="0"/>
        <v>6.4562481419086133</v>
      </c>
      <c r="J36" s="53">
        <v>44816</v>
      </c>
      <c r="K36" s="50">
        <v>44869</v>
      </c>
      <c r="L36" s="47">
        <f t="shared" si="1"/>
        <v>53</v>
      </c>
      <c r="M36" s="47">
        <v>0.65939999999999999</v>
      </c>
      <c r="N36" s="48">
        <f t="shared" si="2"/>
        <v>1.3588000000000002</v>
      </c>
      <c r="O36" s="47">
        <v>0.42609999999999998</v>
      </c>
      <c r="P36" s="47">
        <v>0.1658</v>
      </c>
      <c r="Q36" s="47">
        <v>6.4799999999999996E-2</v>
      </c>
      <c r="R36" s="48">
        <f t="shared" si="3"/>
        <v>1.7876000000000003</v>
      </c>
      <c r="S36" s="47">
        <f t="shared" si="4"/>
        <v>76.163571268740213</v>
      </c>
      <c r="U36" s="18">
        <f t="shared" si="5"/>
        <v>23.836428731259783</v>
      </c>
    </row>
    <row r="37" spans="1:25" x14ac:dyDescent="0.25">
      <c r="A37" s="47" t="s">
        <v>477</v>
      </c>
      <c r="B37" s="47" t="s">
        <v>330</v>
      </c>
      <c r="C37" s="47" t="s">
        <v>15</v>
      </c>
      <c r="D37" s="47" t="s">
        <v>18</v>
      </c>
      <c r="E37" s="47">
        <v>2</v>
      </c>
      <c r="F37" s="83" t="s">
        <v>812</v>
      </c>
      <c r="G37" s="47">
        <v>2.0617000000000001</v>
      </c>
      <c r="H37" s="47">
        <v>1.9351</v>
      </c>
      <c r="I37" s="49">
        <f t="shared" si="0"/>
        <v>6.5422975556818797</v>
      </c>
      <c r="J37" s="53">
        <v>44816</v>
      </c>
      <c r="K37" s="50">
        <v>44869</v>
      </c>
      <c r="L37" s="47">
        <f t="shared" si="1"/>
        <v>53</v>
      </c>
      <c r="M37" s="47">
        <v>0.57340000000000002</v>
      </c>
      <c r="N37" s="48">
        <f t="shared" si="2"/>
        <v>1.3616999999999999</v>
      </c>
      <c r="O37" s="47">
        <v>0.31230000000000002</v>
      </c>
      <c r="P37" s="47">
        <v>0.15240000000000001</v>
      </c>
      <c r="Q37" s="47">
        <v>6.8599999999999994E-2</v>
      </c>
      <c r="R37" s="48">
        <f t="shared" si="3"/>
        <v>1.7141</v>
      </c>
      <c r="S37" s="47">
        <f t="shared" si="4"/>
        <v>81.780526223674229</v>
      </c>
      <c r="U37" s="18">
        <f t="shared" si="5"/>
        <v>18.219473776325771</v>
      </c>
    </row>
    <row r="38" spans="1:25" x14ac:dyDescent="0.25">
      <c r="A38" s="47" t="s">
        <v>477</v>
      </c>
      <c r="B38" s="47" t="s">
        <v>330</v>
      </c>
      <c r="C38" s="47" t="s">
        <v>15</v>
      </c>
      <c r="D38" s="47" t="s">
        <v>19</v>
      </c>
      <c r="E38" s="47">
        <v>1</v>
      </c>
      <c r="F38" s="83" t="s">
        <v>813</v>
      </c>
      <c r="G38" s="47">
        <v>2.1823000000000001</v>
      </c>
      <c r="H38" s="47">
        <v>2.0474999999999999</v>
      </c>
      <c r="I38" s="49">
        <f t="shared" si="0"/>
        <v>6.5836385836385958</v>
      </c>
      <c r="J38" s="53">
        <v>44816</v>
      </c>
      <c r="K38" s="50">
        <v>44869</v>
      </c>
      <c r="L38" s="47">
        <f t="shared" si="1"/>
        <v>53</v>
      </c>
      <c r="M38" s="47">
        <v>0.55630000000000002</v>
      </c>
      <c r="N38" s="48">
        <f t="shared" si="2"/>
        <v>1.4911999999999999</v>
      </c>
      <c r="O38" s="47">
        <v>0.33289999999999997</v>
      </c>
      <c r="P38" s="47">
        <v>0.1535</v>
      </c>
      <c r="Q38" s="47">
        <v>6.6199999999999995E-2</v>
      </c>
      <c r="R38" s="48">
        <f t="shared" si="3"/>
        <v>1.8277999999999999</v>
      </c>
      <c r="S38" s="47">
        <f t="shared" si="4"/>
        <v>81.786847576321264</v>
      </c>
      <c r="U38" s="18">
        <f t="shared" si="5"/>
        <v>18.213152423678739</v>
      </c>
    </row>
    <row r="39" spans="1:25" x14ac:dyDescent="0.25">
      <c r="A39" s="47" t="s">
        <v>477</v>
      </c>
      <c r="B39" s="47" t="s">
        <v>330</v>
      </c>
      <c r="C39" s="47" t="s">
        <v>15</v>
      </c>
      <c r="D39" s="47" t="s">
        <v>19</v>
      </c>
      <c r="E39" s="47">
        <v>2</v>
      </c>
      <c r="F39" s="83" t="s">
        <v>814</v>
      </c>
      <c r="G39" s="47">
        <v>2.0884</v>
      </c>
      <c r="H39" s="47">
        <v>1.9632000000000001</v>
      </c>
      <c r="I39" s="49">
        <f t="shared" si="0"/>
        <v>6.3773431132844323</v>
      </c>
      <c r="J39" s="53">
        <v>44816</v>
      </c>
      <c r="K39" s="50">
        <v>44869</v>
      </c>
      <c r="L39" s="47">
        <f t="shared" si="1"/>
        <v>53</v>
      </c>
      <c r="M39" s="47">
        <v>0.50270000000000004</v>
      </c>
      <c r="N39" s="48">
        <f t="shared" si="2"/>
        <v>1.4605000000000001</v>
      </c>
      <c r="O39" s="47">
        <v>0.28560000000000002</v>
      </c>
      <c r="P39" s="47">
        <v>0.15160000000000001</v>
      </c>
      <c r="Q39" s="47">
        <v>6.6100000000000006E-2</v>
      </c>
      <c r="R39" s="48">
        <f t="shared" si="3"/>
        <v>1.7455000000000001</v>
      </c>
      <c r="S39" s="47">
        <f t="shared" si="4"/>
        <v>83.637926095674587</v>
      </c>
      <c r="U39" s="18">
        <f t="shared" si="5"/>
        <v>16.36207390432541</v>
      </c>
    </row>
    <row r="40" spans="1:25" x14ac:dyDescent="0.25">
      <c r="A40" s="47" t="s">
        <v>477</v>
      </c>
      <c r="B40" s="47" t="s">
        <v>330</v>
      </c>
      <c r="C40" s="47" t="s">
        <v>15</v>
      </c>
      <c r="D40" s="47" t="s">
        <v>20</v>
      </c>
      <c r="E40" s="47">
        <v>1</v>
      </c>
      <c r="F40" s="83" t="s">
        <v>815</v>
      </c>
      <c r="G40" s="47">
        <v>2.0872999999999999</v>
      </c>
      <c r="H40" s="47">
        <v>1.9597</v>
      </c>
      <c r="I40" s="49">
        <f t="shared" si="0"/>
        <v>6.5112006939837697</v>
      </c>
      <c r="J40" s="53">
        <v>44816</v>
      </c>
      <c r="K40" s="50">
        <v>44869</v>
      </c>
      <c r="L40" s="47">
        <f t="shared" si="1"/>
        <v>53</v>
      </c>
      <c r="M40" s="47">
        <v>0.53639999999999999</v>
      </c>
      <c r="N40" s="48">
        <f t="shared" si="2"/>
        <v>1.4233</v>
      </c>
      <c r="O40" s="47">
        <v>0.29360000000000003</v>
      </c>
      <c r="P40" s="47">
        <v>0.1676</v>
      </c>
      <c r="Q40" s="47">
        <v>6.8900000000000003E-2</v>
      </c>
      <c r="R40" s="48">
        <f t="shared" si="3"/>
        <v>1.7232000000000001</v>
      </c>
      <c r="S40" s="47">
        <f t="shared" si="4"/>
        <v>82.96193129062209</v>
      </c>
      <c r="U40" s="18">
        <f t="shared" si="5"/>
        <v>17.038068709377903</v>
      </c>
    </row>
    <row r="41" spans="1:25" x14ac:dyDescent="0.25">
      <c r="A41" s="47" t="s">
        <v>477</v>
      </c>
      <c r="B41" s="47" t="s">
        <v>330</v>
      </c>
      <c r="C41" s="47" t="s">
        <v>15</v>
      </c>
      <c r="D41" s="47" t="s">
        <v>20</v>
      </c>
      <c r="E41" s="47">
        <v>2</v>
      </c>
      <c r="F41" s="83" t="s">
        <v>816</v>
      </c>
      <c r="G41" s="47">
        <v>2.0796999999999999</v>
      </c>
      <c r="H41" s="47">
        <v>1.9519</v>
      </c>
      <c r="I41" s="49">
        <f t="shared" si="0"/>
        <v>6.5474665710333477</v>
      </c>
      <c r="J41" s="53">
        <v>44816</v>
      </c>
      <c r="K41" s="50">
        <v>44869</v>
      </c>
      <c r="L41" s="47">
        <f t="shared" si="1"/>
        <v>53</v>
      </c>
      <c r="M41" s="47">
        <v>0.5252</v>
      </c>
      <c r="N41" s="48">
        <f t="shared" si="2"/>
        <v>1.4266999999999999</v>
      </c>
      <c r="O41" s="47">
        <v>0.31019999999999998</v>
      </c>
      <c r="P41" s="47">
        <v>0.14949999999999999</v>
      </c>
      <c r="Q41" s="47">
        <v>6.5699999999999995E-2</v>
      </c>
      <c r="R41" s="48">
        <f t="shared" si="3"/>
        <v>1.7366999999999999</v>
      </c>
      <c r="S41" s="47">
        <f t="shared" si="4"/>
        <v>82.138538607704263</v>
      </c>
      <c r="U41" s="18">
        <f t="shared" si="5"/>
        <v>17.861461392295734</v>
      </c>
    </row>
    <row r="42" spans="1:25" x14ac:dyDescent="0.25">
      <c r="A42" s="76" t="s">
        <v>479</v>
      </c>
      <c r="B42" s="76" t="s">
        <v>783</v>
      </c>
      <c r="C42" s="76" t="s">
        <v>15</v>
      </c>
      <c r="D42" s="76" t="s">
        <v>17</v>
      </c>
      <c r="E42" s="76">
        <v>1</v>
      </c>
      <c r="F42" s="84" t="s">
        <v>915</v>
      </c>
      <c r="G42" s="76">
        <v>2.1536</v>
      </c>
      <c r="H42" s="76">
        <v>2.0566</v>
      </c>
      <c r="I42" s="77">
        <f t="shared" si="0"/>
        <v>4.7165224156374581</v>
      </c>
      <c r="J42" s="53">
        <v>45005</v>
      </c>
      <c r="K42" s="78">
        <v>45065</v>
      </c>
      <c r="L42" s="76">
        <f t="shared" si="1"/>
        <v>60</v>
      </c>
      <c r="M42" s="76">
        <v>0.64100000000000001</v>
      </c>
      <c r="N42" s="79">
        <f t="shared" si="2"/>
        <v>1.4156</v>
      </c>
      <c r="O42" s="76">
        <v>0.43080000000000002</v>
      </c>
      <c r="P42" s="76">
        <v>0.1426</v>
      </c>
      <c r="Q42" s="76">
        <v>6.7100000000000007E-2</v>
      </c>
      <c r="R42" s="79">
        <f t="shared" si="3"/>
        <v>1.8469</v>
      </c>
      <c r="S42" s="76">
        <f t="shared" si="4"/>
        <v>76.674427418918185</v>
      </c>
      <c r="T42">
        <f>AVERAGE(O42:O48)</f>
        <v>0.35048571428571423</v>
      </c>
      <c r="U42" s="18">
        <f t="shared" si="5"/>
        <v>23.325572581081815</v>
      </c>
      <c r="V42" s="7">
        <f>AVERAGE(U42:U48)</f>
        <v>19.576253847638505</v>
      </c>
      <c r="W42">
        <f>STDEV(U42:U48)</f>
        <v>2.21217805340711</v>
      </c>
      <c r="X42">
        <f>AVERAGE(S42:S48)</f>
        <v>80.423746152361517</v>
      </c>
      <c r="Y42">
        <f>STDEV(S42:S48)</f>
        <v>2.2121780534071074</v>
      </c>
    </row>
    <row r="43" spans="1:25" x14ac:dyDescent="0.25">
      <c r="A43" s="76" t="s">
        <v>479</v>
      </c>
      <c r="B43" s="76" t="s">
        <v>783</v>
      </c>
      <c r="C43" s="76" t="s">
        <v>15</v>
      </c>
      <c r="D43" s="76" t="s">
        <v>17</v>
      </c>
      <c r="E43" s="76">
        <v>2</v>
      </c>
      <c r="F43" s="84" t="s">
        <v>916</v>
      </c>
      <c r="G43" s="76">
        <v>2.0026999999999999</v>
      </c>
      <c r="H43" s="76">
        <v>1.9129</v>
      </c>
      <c r="I43" s="77">
        <f t="shared" si="0"/>
        <v>4.6944429923153264</v>
      </c>
      <c r="J43" s="53">
        <v>45005</v>
      </c>
      <c r="K43" s="78">
        <v>45065</v>
      </c>
      <c r="L43" s="76">
        <f t="shared" si="1"/>
        <v>60</v>
      </c>
      <c r="M43" s="76">
        <v>0.57020000000000004</v>
      </c>
      <c r="N43" s="79">
        <f t="shared" si="2"/>
        <v>1.3427</v>
      </c>
      <c r="O43" s="76">
        <v>0.3695</v>
      </c>
      <c r="P43" s="76">
        <v>0.13830000000000001</v>
      </c>
      <c r="Q43" s="76">
        <v>6.1100000000000002E-2</v>
      </c>
      <c r="R43" s="79">
        <f t="shared" si="3"/>
        <v>1.7135</v>
      </c>
      <c r="S43" s="76">
        <f t="shared" si="4"/>
        <v>78.435949810329745</v>
      </c>
      <c r="U43" s="18">
        <f t="shared" si="5"/>
        <v>21.564050189670265</v>
      </c>
    </row>
    <row r="44" spans="1:25" x14ac:dyDescent="0.25">
      <c r="A44" s="76" t="s">
        <v>479</v>
      </c>
      <c r="B44" s="76" t="s">
        <v>783</v>
      </c>
      <c r="C44" s="76" t="s">
        <v>15</v>
      </c>
      <c r="D44" s="76" t="s">
        <v>18</v>
      </c>
      <c r="E44" s="76">
        <v>1</v>
      </c>
      <c r="F44" s="84" t="s">
        <v>917</v>
      </c>
      <c r="G44" s="76">
        <v>2.1114000000000002</v>
      </c>
      <c r="H44" s="76">
        <v>2.0177</v>
      </c>
      <c r="I44" s="77">
        <f t="shared" si="0"/>
        <v>4.6439014719730443</v>
      </c>
      <c r="J44" s="53">
        <v>45005</v>
      </c>
      <c r="K44" s="78">
        <v>45065</v>
      </c>
      <c r="L44" s="76">
        <f t="shared" si="1"/>
        <v>60</v>
      </c>
      <c r="M44" s="76">
        <v>0.51700000000000002</v>
      </c>
      <c r="N44" s="79">
        <f t="shared" si="2"/>
        <v>1.5007000000000001</v>
      </c>
      <c r="O44" s="76">
        <v>0.31309999999999999</v>
      </c>
      <c r="P44" s="76">
        <v>0.14000000000000001</v>
      </c>
      <c r="Q44" s="76">
        <v>6.1499999999999999E-2</v>
      </c>
      <c r="R44" s="79">
        <f t="shared" si="3"/>
        <v>1.8162</v>
      </c>
      <c r="S44" s="76">
        <f t="shared" si="4"/>
        <v>82.760709172998574</v>
      </c>
      <c r="U44" s="18">
        <f t="shared" si="5"/>
        <v>17.23929082700143</v>
      </c>
    </row>
    <row r="45" spans="1:25" x14ac:dyDescent="0.25">
      <c r="A45" s="76" t="s">
        <v>479</v>
      </c>
      <c r="B45" s="76" t="s">
        <v>783</v>
      </c>
      <c r="C45" s="76" t="s">
        <v>15</v>
      </c>
      <c r="D45" s="76" t="s">
        <v>18</v>
      </c>
      <c r="E45" s="76">
        <v>2</v>
      </c>
      <c r="F45" s="84" t="s">
        <v>918</v>
      </c>
      <c r="G45" s="76">
        <v>2.0798999999999999</v>
      </c>
      <c r="H45" s="76">
        <v>1.9877</v>
      </c>
      <c r="I45" s="77">
        <f t="shared" si="0"/>
        <v>4.6385269406852059</v>
      </c>
      <c r="J45" s="53">
        <v>45005</v>
      </c>
      <c r="K45" s="78">
        <v>45065</v>
      </c>
      <c r="L45" s="76">
        <f t="shared" si="1"/>
        <v>60</v>
      </c>
      <c r="M45" s="76">
        <v>0.5554</v>
      </c>
      <c r="N45" s="79">
        <f t="shared" si="2"/>
        <v>1.4323000000000001</v>
      </c>
      <c r="O45" s="76">
        <v>0.34100000000000003</v>
      </c>
      <c r="P45" s="76">
        <v>0.14080000000000001</v>
      </c>
      <c r="Q45" s="76">
        <v>7.0000000000000007E-2</v>
      </c>
      <c r="R45" s="79">
        <f t="shared" si="3"/>
        <v>1.7768999999999999</v>
      </c>
      <c r="S45" s="76">
        <f t="shared" si="4"/>
        <v>80.809274579323542</v>
      </c>
      <c r="U45" s="18">
        <f t="shared" si="5"/>
        <v>19.190725420676461</v>
      </c>
    </row>
    <row r="46" spans="1:25" x14ac:dyDescent="0.25">
      <c r="A46" s="76" t="s">
        <v>479</v>
      </c>
      <c r="B46" s="76" t="s">
        <v>783</v>
      </c>
      <c r="C46" s="76" t="s">
        <v>15</v>
      </c>
      <c r="D46" s="76" t="s">
        <v>19</v>
      </c>
      <c r="E46" s="76">
        <v>1</v>
      </c>
      <c r="F46" s="84" t="s">
        <v>919</v>
      </c>
      <c r="G46" s="76">
        <v>2.0697999999999999</v>
      </c>
      <c r="H46" s="76">
        <v>1.9769000000000001</v>
      </c>
      <c r="I46" s="77">
        <f t="shared" si="0"/>
        <v>4.699276645252656</v>
      </c>
      <c r="J46" s="53">
        <v>45005</v>
      </c>
      <c r="K46" s="78">
        <v>45065</v>
      </c>
      <c r="L46" s="76">
        <f t="shared" si="1"/>
        <v>60</v>
      </c>
      <c r="M46" s="76">
        <v>0.54169999999999996</v>
      </c>
      <c r="N46" s="79">
        <f t="shared" si="2"/>
        <v>1.4352</v>
      </c>
      <c r="O46" s="76">
        <v>0.34699999999999998</v>
      </c>
      <c r="P46" s="76">
        <v>0.1328</v>
      </c>
      <c r="Q46" s="76">
        <v>5.91E-2</v>
      </c>
      <c r="R46" s="79">
        <f t="shared" si="3"/>
        <v>1.7850000000000001</v>
      </c>
      <c r="S46" s="76">
        <f t="shared" si="4"/>
        <v>80.560224089635852</v>
      </c>
      <c r="U46" s="18">
        <f t="shared" si="5"/>
        <v>19.439775910364144</v>
      </c>
    </row>
    <row r="47" spans="1:25" x14ac:dyDescent="0.25">
      <c r="A47" s="76" t="s">
        <v>479</v>
      </c>
      <c r="B47" s="76" t="s">
        <v>783</v>
      </c>
      <c r="C47" s="76" t="s">
        <v>15</v>
      </c>
      <c r="D47" s="76" t="s">
        <v>20</v>
      </c>
      <c r="E47" s="76">
        <v>1</v>
      </c>
      <c r="F47" s="84" t="s">
        <v>920</v>
      </c>
      <c r="G47" s="76">
        <v>2.1274999999999999</v>
      </c>
      <c r="H47" s="76">
        <v>2.0329999999999999</v>
      </c>
      <c r="I47" s="77">
        <f t="shared" si="0"/>
        <v>4.6483030004918851</v>
      </c>
      <c r="J47" s="53">
        <v>45005</v>
      </c>
      <c r="K47" s="78">
        <v>45065</v>
      </c>
      <c r="L47" s="76">
        <f t="shared" si="1"/>
        <v>60</v>
      </c>
      <c r="M47" s="76">
        <v>0.54569999999999996</v>
      </c>
      <c r="N47" s="79">
        <f t="shared" si="2"/>
        <v>1.4872999999999998</v>
      </c>
      <c r="O47" s="76">
        <v>0.34960000000000002</v>
      </c>
      <c r="P47" s="76">
        <v>0.13689999999999999</v>
      </c>
      <c r="Q47" s="76">
        <v>5.8700000000000002E-2</v>
      </c>
      <c r="R47" s="79">
        <f t="shared" si="3"/>
        <v>1.8373999999999999</v>
      </c>
      <c r="S47" s="76">
        <f t="shared" si="4"/>
        <v>80.973114183084789</v>
      </c>
      <c r="U47" s="18">
        <f t="shared" si="5"/>
        <v>19.026885816915211</v>
      </c>
    </row>
    <row r="48" spans="1:25" x14ac:dyDescent="0.25">
      <c r="A48" s="76" t="s">
        <v>479</v>
      </c>
      <c r="B48" s="76" t="s">
        <v>783</v>
      </c>
      <c r="C48" s="76" t="s">
        <v>15</v>
      </c>
      <c r="D48" s="76" t="s">
        <v>20</v>
      </c>
      <c r="E48" s="76">
        <v>2</v>
      </c>
      <c r="F48" s="84" t="s">
        <v>921</v>
      </c>
      <c r="G48" s="76">
        <v>2.0415999999999999</v>
      </c>
      <c r="H48" s="76">
        <v>1.9501999999999999</v>
      </c>
      <c r="I48" s="77">
        <f t="shared" si="0"/>
        <v>4.6866988001230601</v>
      </c>
      <c r="J48" s="53">
        <v>45005</v>
      </c>
      <c r="K48" s="78">
        <v>45065</v>
      </c>
      <c r="L48" s="76">
        <f t="shared" si="1"/>
        <v>60</v>
      </c>
      <c r="M48" s="76">
        <v>0.50260000000000005</v>
      </c>
      <c r="N48" s="79">
        <f t="shared" si="2"/>
        <v>1.4476</v>
      </c>
      <c r="O48" s="76">
        <v>0.3024</v>
      </c>
      <c r="P48" s="76">
        <v>0.13669999999999999</v>
      </c>
      <c r="Q48" s="76">
        <v>6.0199999999999997E-2</v>
      </c>
      <c r="R48" s="79">
        <f t="shared" si="3"/>
        <v>1.7532999999999999</v>
      </c>
      <c r="S48" s="76">
        <f t="shared" si="4"/>
        <v>82.752523812239772</v>
      </c>
      <c r="U48" s="18">
        <f t="shared" si="5"/>
        <v>17.247476187760224</v>
      </c>
    </row>
    <row r="49" spans="1:25" x14ac:dyDescent="0.25">
      <c r="F49" s="13" t="s">
        <v>119</v>
      </c>
      <c r="G49" s="14">
        <f>AVERAGE(G2:G48)</f>
        <v>2.0966957446808512</v>
      </c>
      <c r="H49" s="14">
        <f>AVERAGE(H2:H48)</f>
        <v>1.9911595744680852</v>
      </c>
      <c r="I49" s="4"/>
      <c r="J49" s="5"/>
      <c r="K49" s="5"/>
      <c r="O49" s="15"/>
      <c r="P49" s="16"/>
      <c r="Q49" s="16"/>
    </row>
    <row r="50" spans="1:25" x14ac:dyDescent="0.25">
      <c r="F50" s="13" t="s">
        <v>120</v>
      </c>
      <c r="G50" s="14">
        <f>STDEV(G2:G48)</f>
        <v>5.6009529303529787E-2</v>
      </c>
      <c r="H50" s="14">
        <f>STDEV(H2:H48)</f>
        <v>5.5391518184389116E-2</v>
      </c>
      <c r="I50" s="4"/>
      <c r="J50" s="5"/>
      <c r="K50" s="5"/>
      <c r="O50" s="15"/>
      <c r="P50" s="16"/>
      <c r="Q50" s="16"/>
    </row>
    <row r="51" spans="1:25" x14ac:dyDescent="0.25">
      <c r="F51" s="13" t="s">
        <v>121</v>
      </c>
      <c r="G51" s="14">
        <f>CONFIDENCE(0.05,G50,COUNT(G2:G48))</f>
        <v>1.6012571610526789E-2</v>
      </c>
      <c r="H51" s="14">
        <f>CONFIDENCE(0.05,H50,COUNT(H2:H41))</f>
        <v>1.7165693901246074E-2</v>
      </c>
      <c r="I51" s="4"/>
      <c r="J51" s="5"/>
      <c r="K51" s="5"/>
      <c r="O51" s="15"/>
      <c r="P51" s="16"/>
      <c r="Q51" s="16"/>
    </row>
    <row r="52" spans="1:25" x14ac:dyDescent="0.25">
      <c r="F52" s="13" t="s">
        <v>122</v>
      </c>
      <c r="G52" s="14">
        <f>G49-G51</f>
        <v>2.0806831730703244</v>
      </c>
      <c r="H52" s="14">
        <f>H49-H51</f>
        <v>1.9739938805668391</v>
      </c>
      <c r="I52" s="4"/>
      <c r="J52" s="5"/>
      <c r="K52" s="5"/>
      <c r="O52" s="15"/>
      <c r="P52" s="16"/>
      <c r="Q52" s="16"/>
    </row>
    <row r="53" spans="1:25" x14ac:dyDescent="0.25">
      <c r="F53" s="13" t="s">
        <v>123</v>
      </c>
      <c r="G53" s="14">
        <f>G49+G52</f>
        <v>4.1773789177511755</v>
      </c>
      <c r="H53" s="14">
        <f>H49+H52</f>
        <v>3.9651534550349243</v>
      </c>
      <c r="I53" s="4"/>
      <c r="J53" s="5"/>
      <c r="K53" s="5"/>
      <c r="O53" s="15"/>
      <c r="P53" s="16"/>
      <c r="Q53" s="16"/>
    </row>
    <row r="54" spans="1:25" x14ac:dyDescent="0.25">
      <c r="F54" s="12"/>
    </row>
    <row r="55" spans="1:25" ht="60" x14ac:dyDescent="0.25">
      <c r="A55" t="s">
        <v>1</v>
      </c>
      <c r="B55" t="s">
        <v>39</v>
      </c>
      <c r="C55" t="s">
        <v>12</v>
      </c>
      <c r="D55" t="s">
        <v>13</v>
      </c>
      <c r="E55" t="s">
        <v>40</v>
      </c>
      <c r="F55" s="1" t="s">
        <v>0</v>
      </c>
      <c r="G55" s="2" t="s">
        <v>3</v>
      </c>
      <c r="H55" s="2" t="s">
        <v>11</v>
      </c>
      <c r="I55" s="2" t="s">
        <v>42</v>
      </c>
      <c r="J55" s="3" t="s">
        <v>2</v>
      </c>
      <c r="K55" s="1" t="s">
        <v>4</v>
      </c>
      <c r="L55" s="2" t="s">
        <v>5</v>
      </c>
      <c r="M55" s="3" t="s">
        <v>37</v>
      </c>
      <c r="N55" s="2" t="s">
        <v>6</v>
      </c>
      <c r="O55" s="3" t="s">
        <v>38</v>
      </c>
      <c r="P55" s="2" t="s">
        <v>7</v>
      </c>
      <c r="Q55" s="2" t="s">
        <v>8</v>
      </c>
      <c r="R55" s="2" t="s">
        <v>9</v>
      </c>
      <c r="S55" s="2" t="s">
        <v>10</v>
      </c>
      <c r="T55" s="51" t="s">
        <v>190</v>
      </c>
      <c r="U55" s="52" t="s">
        <v>191</v>
      </c>
      <c r="V55" s="52" t="s">
        <v>119</v>
      </c>
      <c r="W55" s="52" t="s">
        <v>192</v>
      </c>
      <c r="X55" s="52" t="s">
        <v>119</v>
      </c>
      <c r="Y55" s="52" t="s">
        <v>192</v>
      </c>
    </row>
    <row r="56" spans="1:25" x14ac:dyDescent="0.25">
      <c r="A56" s="27" t="s">
        <v>474</v>
      </c>
      <c r="B56" s="27" t="s">
        <v>622</v>
      </c>
      <c r="C56" s="27" t="s">
        <v>16</v>
      </c>
      <c r="D56" s="27" t="s">
        <v>17</v>
      </c>
      <c r="E56" s="27">
        <v>1</v>
      </c>
      <c r="F56" s="80" t="s">
        <v>775</v>
      </c>
      <c r="G56" s="27">
        <v>2.2965</v>
      </c>
      <c r="H56" s="27">
        <v>2.1480999999999999</v>
      </c>
      <c r="I56" s="28">
        <f t="shared" ref="I56:I102" si="6">((G56-H56)/H56)*100</f>
        <v>6.9084307062054888</v>
      </c>
      <c r="J56" s="54">
        <v>44781</v>
      </c>
      <c r="K56" s="29">
        <v>44841</v>
      </c>
      <c r="L56" s="27">
        <f t="shared" ref="L56:L102" si="7">K56-J56</f>
        <v>60</v>
      </c>
      <c r="M56" s="27">
        <v>1.3369</v>
      </c>
      <c r="N56" s="27">
        <f>H56-M56</f>
        <v>0.81119999999999992</v>
      </c>
      <c r="O56" s="27">
        <v>1.1399999999999999</v>
      </c>
      <c r="P56" s="27">
        <v>0.14019999999999999</v>
      </c>
      <c r="Q56" s="27">
        <v>5.6800000000000003E-2</v>
      </c>
      <c r="R56" s="30">
        <f>H56-(P56+Q56)</f>
        <v>1.9510999999999998</v>
      </c>
      <c r="S56" s="27">
        <f>((R56-O56)/R56)*100</f>
        <v>41.571421249551541</v>
      </c>
      <c r="T56">
        <f>AVERAGE(O56:O63)</f>
        <v>1.219975</v>
      </c>
      <c r="U56" s="18">
        <f>(O56/R56)*100</f>
        <v>58.428578750448466</v>
      </c>
      <c r="V56" s="7">
        <f>AVERAGE(U56:U63)</f>
        <v>62.182859447900299</v>
      </c>
      <c r="W56">
        <f>STDEV(U56:U63)</f>
        <v>2.2996112601298697</v>
      </c>
      <c r="X56">
        <f>AVERAGE(S56:S63)</f>
        <v>37.817140552099701</v>
      </c>
      <c r="Y56">
        <f>STDEV(S56:S63)</f>
        <v>2.299611260129871</v>
      </c>
    </row>
    <row r="57" spans="1:25" x14ac:dyDescent="0.25">
      <c r="A57" s="27" t="s">
        <v>474</v>
      </c>
      <c r="B57" s="27" t="s">
        <v>622</v>
      </c>
      <c r="C57" s="27" t="s">
        <v>16</v>
      </c>
      <c r="D57" s="27" t="s">
        <v>17</v>
      </c>
      <c r="E57" s="27">
        <v>2</v>
      </c>
      <c r="F57" s="80" t="s">
        <v>776</v>
      </c>
      <c r="G57" s="27">
        <v>2.3214000000000001</v>
      </c>
      <c r="H57" s="27">
        <v>2.1707999999999998</v>
      </c>
      <c r="I57" s="28">
        <f t="shared" si="6"/>
        <v>6.9375345494748624</v>
      </c>
      <c r="J57" s="54">
        <v>44781</v>
      </c>
      <c r="K57" s="29">
        <v>44841</v>
      </c>
      <c r="L57" s="27">
        <f t="shared" si="7"/>
        <v>60</v>
      </c>
      <c r="M57" s="27">
        <v>1.3920999999999999</v>
      </c>
      <c r="N57" s="27">
        <f t="shared" ref="N57:N102" si="8">H57-M57</f>
        <v>0.77869999999999995</v>
      </c>
      <c r="O57" s="27">
        <v>1.1932</v>
      </c>
      <c r="P57" s="27">
        <v>0.14330000000000001</v>
      </c>
      <c r="Q57" s="27">
        <v>5.6099999999999997E-2</v>
      </c>
      <c r="R57" s="30">
        <f t="shared" ref="R57:R102" si="9">H57-(P57+Q57)</f>
        <v>1.9713999999999998</v>
      </c>
      <c r="S57" s="27">
        <f t="shared" ref="S57:S102" si="10">((R57-O57)/R57)*100</f>
        <v>39.474485137465756</v>
      </c>
      <c r="U57" s="18">
        <f t="shared" ref="U57:U102" si="11">(O57/R57)*100</f>
        <v>60.525514862534244</v>
      </c>
    </row>
    <row r="58" spans="1:25" x14ac:dyDescent="0.25">
      <c r="A58" s="27" t="s">
        <v>474</v>
      </c>
      <c r="B58" s="27" t="s">
        <v>622</v>
      </c>
      <c r="C58" s="27" t="s">
        <v>16</v>
      </c>
      <c r="D58" s="27" t="s">
        <v>18</v>
      </c>
      <c r="E58" s="27">
        <v>1</v>
      </c>
      <c r="F58" s="80" t="s">
        <v>777</v>
      </c>
      <c r="G58" s="27">
        <v>2.3090000000000002</v>
      </c>
      <c r="H58" s="27">
        <v>2.1598999999999999</v>
      </c>
      <c r="I58" s="28">
        <f t="shared" si="6"/>
        <v>6.9030973656187893</v>
      </c>
      <c r="J58" s="54">
        <v>44781</v>
      </c>
      <c r="K58" s="29">
        <v>44841</v>
      </c>
      <c r="L58" s="27">
        <f t="shared" si="7"/>
        <v>60</v>
      </c>
      <c r="M58" s="27">
        <v>1.3824000000000001</v>
      </c>
      <c r="N58" s="27">
        <f t="shared" si="8"/>
        <v>0.77749999999999986</v>
      </c>
      <c r="O58" s="27">
        <v>1.2707999999999999</v>
      </c>
      <c r="P58" s="27">
        <v>0.13830000000000001</v>
      </c>
      <c r="Q58" s="27">
        <v>5.6599999999999998E-2</v>
      </c>
      <c r="R58" s="30">
        <f t="shared" si="9"/>
        <v>1.9649999999999999</v>
      </c>
      <c r="S58" s="27">
        <f t="shared" si="10"/>
        <v>35.328244274809165</v>
      </c>
      <c r="U58" s="18">
        <f t="shared" si="11"/>
        <v>64.671755725190835</v>
      </c>
    </row>
    <row r="59" spans="1:25" x14ac:dyDescent="0.25">
      <c r="A59" s="27" t="s">
        <v>474</v>
      </c>
      <c r="B59" s="27" t="s">
        <v>622</v>
      </c>
      <c r="C59" s="27" t="s">
        <v>16</v>
      </c>
      <c r="D59" s="27" t="s">
        <v>18</v>
      </c>
      <c r="E59" s="27">
        <v>2</v>
      </c>
      <c r="F59" s="80" t="s">
        <v>778</v>
      </c>
      <c r="G59" s="27">
        <v>2.3210999999999999</v>
      </c>
      <c r="H59" s="27">
        <v>2.1724000000000001</v>
      </c>
      <c r="I59" s="28">
        <f t="shared" si="6"/>
        <v>6.844964095010118</v>
      </c>
      <c r="J59" s="54">
        <v>44781</v>
      </c>
      <c r="K59" s="29">
        <v>44841</v>
      </c>
      <c r="L59" s="27">
        <f t="shared" si="7"/>
        <v>60</v>
      </c>
      <c r="M59" s="27">
        <v>1.3903000000000001</v>
      </c>
      <c r="N59" s="27">
        <f t="shared" si="8"/>
        <v>0.78210000000000002</v>
      </c>
      <c r="O59" s="27">
        <v>1.1982999999999999</v>
      </c>
      <c r="P59" s="27">
        <v>0.13400000000000001</v>
      </c>
      <c r="Q59" s="27">
        <v>5.7200000000000001E-2</v>
      </c>
      <c r="R59" s="30">
        <f t="shared" si="9"/>
        <v>1.9812000000000001</v>
      </c>
      <c r="S59" s="27">
        <f t="shared" si="10"/>
        <v>39.516454673934994</v>
      </c>
      <c r="U59" s="18">
        <f t="shared" si="11"/>
        <v>60.483545326065006</v>
      </c>
    </row>
    <row r="60" spans="1:25" x14ac:dyDescent="0.25">
      <c r="A60" s="27" t="s">
        <v>474</v>
      </c>
      <c r="B60" s="27" t="s">
        <v>622</v>
      </c>
      <c r="C60" s="27" t="s">
        <v>16</v>
      </c>
      <c r="D60" s="27" t="s">
        <v>19</v>
      </c>
      <c r="E60" s="27">
        <v>1</v>
      </c>
      <c r="F60" s="80" t="s">
        <v>779</v>
      </c>
      <c r="G60" s="27">
        <v>2.3685999999999998</v>
      </c>
      <c r="H60" s="27">
        <v>2.2113</v>
      </c>
      <c r="I60" s="28">
        <f t="shared" si="6"/>
        <v>7.1134626690182143</v>
      </c>
      <c r="J60" s="54">
        <v>44781</v>
      </c>
      <c r="K60" s="29">
        <v>44841</v>
      </c>
      <c r="L60" s="27">
        <f t="shared" si="7"/>
        <v>60</v>
      </c>
      <c r="M60" s="27">
        <v>1.4776</v>
      </c>
      <c r="N60" s="27">
        <f t="shared" si="8"/>
        <v>0.73370000000000002</v>
      </c>
      <c r="O60" s="27">
        <v>1.2823</v>
      </c>
      <c r="P60" s="27">
        <v>0.1353</v>
      </c>
      <c r="Q60" s="27">
        <v>5.8099999999999999E-2</v>
      </c>
      <c r="R60" s="30">
        <f t="shared" si="9"/>
        <v>2.0179</v>
      </c>
      <c r="S60" s="27">
        <f t="shared" si="10"/>
        <v>36.453739035631102</v>
      </c>
      <c r="U60" s="18">
        <f t="shared" si="11"/>
        <v>63.546260964368898</v>
      </c>
    </row>
    <row r="61" spans="1:25" x14ac:dyDescent="0.25">
      <c r="A61" s="27" t="s">
        <v>474</v>
      </c>
      <c r="B61" s="27" t="s">
        <v>622</v>
      </c>
      <c r="C61" s="27" t="s">
        <v>16</v>
      </c>
      <c r="D61" s="27" t="s">
        <v>19</v>
      </c>
      <c r="E61" s="27">
        <v>2</v>
      </c>
      <c r="F61" s="80" t="s">
        <v>780</v>
      </c>
      <c r="G61" s="27">
        <v>2.3268</v>
      </c>
      <c r="H61" s="27">
        <v>2.1772999999999998</v>
      </c>
      <c r="I61" s="28">
        <f t="shared" si="6"/>
        <v>6.8663023010150273</v>
      </c>
      <c r="J61" s="54">
        <v>44781</v>
      </c>
      <c r="K61" s="29">
        <v>44841</v>
      </c>
      <c r="L61" s="27">
        <f t="shared" si="7"/>
        <v>60</v>
      </c>
      <c r="M61" s="27">
        <v>1.4731000000000001</v>
      </c>
      <c r="N61" s="27">
        <f t="shared" si="8"/>
        <v>0.70419999999999972</v>
      </c>
      <c r="O61" s="27">
        <v>1.2724</v>
      </c>
      <c r="P61" s="27">
        <v>0.1411</v>
      </c>
      <c r="Q61" s="27">
        <v>5.67E-2</v>
      </c>
      <c r="R61" s="30">
        <f t="shared" si="9"/>
        <v>1.9794999999999998</v>
      </c>
      <c r="S61" s="27">
        <f t="shared" si="10"/>
        <v>35.721141702450112</v>
      </c>
      <c r="U61" s="18">
        <f t="shared" si="11"/>
        <v>64.278858297549888</v>
      </c>
    </row>
    <row r="62" spans="1:25" x14ac:dyDescent="0.25">
      <c r="A62" s="27" t="s">
        <v>474</v>
      </c>
      <c r="B62" s="27" t="s">
        <v>100</v>
      </c>
      <c r="C62" s="27" t="s">
        <v>16</v>
      </c>
      <c r="D62" s="27" t="s">
        <v>20</v>
      </c>
      <c r="E62" s="27">
        <v>1</v>
      </c>
      <c r="F62" s="80" t="s">
        <v>781</v>
      </c>
      <c r="G62" s="27">
        <v>2.2176999999999998</v>
      </c>
      <c r="H62" s="27">
        <v>2.0608</v>
      </c>
      <c r="I62" s="28">
        <f t="shared" si="6"/>
        <v>7.613548136645953</v>
      </c>
      <c r="J62" s="54">
        <v>44781</v>
      </c>
      <c r="K62" s="29">
        <v>44841</v>
      </c>
      <c r="L62" s="27">
        <f t="shared" si="7"/>
        <v>60</v>
      </c>
      <c r="M62" s="27">
        <v>1.3955</v>
      </c>
      <c r="N62" s="27">
        <f t="shared" si="8"/>
        <v>0.6653</v>
      </c>
      <c r="O62" s="27">
        <v>1.1949000000000001</v>
      </c>
      <c r="P62" s="27">
        <v>0.14069999999999999</v>
      </c>
      <c r="Q62" s="27">
        <v>5.91E-2</v>
      </c>
      <c r="R62" s="30">
        <f t="shared" si="9"/>
        <v>1.861</v>
      </c>
      <c r="S62" s="27">
        <f t="shared" si="10"/>
        <v>35.792584631918317</v>
      </c>
      <c r="U62" s="18">
        <f t="shared" si="11"/>
        <v>64.207415368081683</v>
      </c>
    </row>
    <row r="63" spans="1:25" x14ac:dyDescent="0.25">
      <c r="A63" s="27" t="s">
        <v>474</v>
      </c>
      <c r="B63" s="27" t="s">
        <v>622</v>
      </c>
      <c r="C63" s="27" t="s">
        <v>16</v>
      </c>
      <c r="D63" s="27" t="s">
        <v>20</v>
      </c>
      <c r="E63" s="27">
        <v>2</v>
      </c>
      <c r="F63" s="80" t="s">
        <v>782</v>
      </c>
      <c r="G63" s="27">
        <v>2.3113000000000001</v>
      </c>
      <c r="H63" s="27">
        <v>2.16</v>
      </c>
      <c r="I63" s="28">
        <f t="shared" si="6"/>
        <v>7.0046296296296289</v>
      </c>
      <c r="J63" s="54">
        <v>44781</v>
      </c>
      <c r="K63" s="29">
        <v>44841</v>
      </c>
      <c r="L63" s="27">
        <f t="shared" si="7"/>
        <v>60</v>
      </c>
      <c r="M63" s="27">
        <v>1.4000999999999999</v>
      </c>
      <c r="N63" s="27">
        <f t="shared" si="8"/>
        <v>0.75990000000000024</v>
      </c>
      <c r="O63" s="27">
        <v>1.2079</v>
      </c>
      <c r="P63" s="27">
        <v>0.13370000000000001</v>
      </c>
      <c r="Q63" s="27">
        <v>5.6500000000000002E-2</v>
      </c>
      <c r="R63" s="30">
        <f t="shared" si="9"/>
        <v>1.9698000000000002</v>
      </c>
      <c r="S63" s="27">
        <f t="shared" si="10"/>
        <v>38.679053711036659</v>
      </c>
      <c r="U63" s="18">
        <f t="shared" si="11"/>
        <v>61.320946288963341</v>
      </c>
    </row>
    <row r="64" spans="1:25" x14ac:dyDescent="0.25">
      <c r="A64" s="31" t="s">
        <v>475</v>
      </c>
      <c r="B64" s="31" t="s">
        <v>327</v>
      </c>
      <c r="C64" s="35" t="s">
        <v>16</v>
      </c>
      <c r="D64" s="35" t="s">
        <v>17</v>
      </c>
      <c r="E64" s="35">
        <v>1</v>
      </c>
      <c r="F64" s="85" t="s">
        <v>817</v>
      </c>
      <c r="G64" s="35">
        <v>2.36</v>
      </c>
      <c r="H64" s="35">
        <v>2.1977000000000002</v>
      </c>
      <c r="I64" s="36">
        <f t="shared" si="6"/>
        <v>7.3849934021931869</v>
      </c>
      <c r="J64" s="53">
        <v>44788</v>
      </c>
      <c r="K64" s="33">
        <v>44848</v>
      </c>
      <c r="L64" s="35">
        <f t="shared" si="7"/>
        <v>60</v>
      </c>
      <c r="M64" s="35">
        <v>1.5432999999999999</v>
      </c>
      <c r="N64" s="35">
        <f t="shared" si="8"/>
        <v>0.65440000000000031</v>
      </c>
      <c r="O64" s="35">
        <v>1.3449</v>
      </c>
      <c r="P64" s="35">
        <v>0.13170000000000001</v>
      </c>
      <c r="Q64" s="35">
        <v>6.0699999999999997E-2</v>
      </c>
      <c r="R64" s="38">
        <f t="shared" si="9"/>
        <v>2.0053000000000001</v>
      </c>
      <c r="S64" s="35">
        <f t="shared" si="10"/>
        <v>32.932728270084283</v>
      </c>
      <c r="T64">
        <f>AVERAGE(O64:O71)</f>
        <v>1.341825</v>
      </c>
      <c r="U64" s="18">
        <f t="shared" si="11"/>
        <v>67.067271729915717</v>
      </c>
      <c r="V64" s="7">
        <f>AVERAGE(U64:U71)</f>
        <v>67.213078145251913</v>
      </c>
      <c r="W64">
        <f>STDEV(U64:U71)</f>
        <v>1.5873454588292122</v>
      </c>
      <c r="X64">
        <f>AVERAGE(S64:S71)</f>
        <v>32.786921854748087</v>
      </c>
      <c r="Y64">
        <f>STDEV(S64:S71)</f>
        <v>1.5873454588292111</v>
      </c>
    </row>
    <row r="65" spans="1:25" x14ac:dyDescent="0.25">
      <c r="A65" s="31" t="s">
        <v>475</v>
      </c>
      <c r="B65" s="31" t="s">
        <v>327</v>
      </c>
      <c r="C65" s="35" t="s">
        <v>16</v>
      </c>
      <c r="D65" s="35" t="s">
        <v>17</v>
      </c>
      <c r="E65" s="35">
        <v>2</v>
      </c>
      <c r="F65" s="85" t="s">
        <v>818</v>
      </c>
      <c r="G65" s="35">
        <v>2.2947000000000002</v>
      </c>
      <c r="H65" s="35">
        <v>2.1381000000000001</v>
      </c>
      <c r="I65" s="36">
        <f t="shared" si="6"/>
        <v>7.3242598568822812</v>
      </c>
      <c r="J65" s="53">
        <v>44788</v>
      </c>
      <c r="K65" s="33">
        <v>44848</v>
      </c>
      <c r="L65" s="35">
        <f t="shared" si="7"/>
        <v>60</v>
      </c>
      <c r="M65" s="35">
        <v>1.5579000000000001</v>
      </c>
      <c r="N65" s="35">
        <f t="shared" si="8"/>
        <v>0.58020000000000005</v>
      </c>
      <c r="O65" s="35">
        <v>1.3504</v>
      </c>
      <c r="P65" s="35">
        <v>0.14000000000000001</v>
      </c>
      <c r="Q65" s="35">
        <v>6.4500000000000002E-2</v>
      </c>
      <c r="R65" s="38">
        <f t="shared" si="9"/>
        <v>1.9336000000000002</v>
      </c>
      <c r="S65" s="35">
        <f t="shared" si="10"/>
        <v>30.161357054199428</v>
      </c>
      <c r="U65" s="18">
        <f t="shared" si="11"/>
        <v>69.838642945800572</v>
      </c>
    </row>
    <row r="66" spans="1:25" x14ac:dyDescent="0.25">
      <c r="A66" s="31" t="s">
        <v>475</v>
      </c>
      <c r="B66" s="31" t="s">
        <v>327</v>
      </c>
      <c r="C66" s="35" t="s">
        <v>16</v>
      </c>
      <c r="D66" s="35" t="s">
        <v>18</v>
      </c>
      <c r="E66" s="35">
        <v>1</v>
      </c>
      <c r="F66" s="85" t="s">
        <v>819</v>
      </c>
      <c r="G66" s="35">
        <v>2.351</v>
      </c>
      <c r="H66" s="35">
        <v>2.1918000000000002</v>
      </c>
      <c r="I66" s="36">
        <f t="shared" si="6"/>
        <v>7.2634364449310969</v>
      </c>
      <c r="J66" s="53">
        <v>44788</v>
      </c>
      <c r="K66" s="33">
        <v>44848</v>
      </c>
      <c r="L66" s="35">
        <f t="shared" si="7"/>
        <v>60</v>
      </c>
      <c r="M66" s="35">
        <v>1.5183</v>
      </c>
      <c r="N66" s="35">
        <f t="shared" si="8"/>
        <v>0.67350000000000021</v>
      </c>
      <c r="O66" s="35">
        <v>1.3187</v>
      </c>
      <c r="P66" s="35">
        <v>0.1361</v>
      </c>
      <c r="Q66" s="35">
        <v>6.1600000000000002E-2</v>
      </c>
      <c r="R66" s="38">
        <f t="shared" si="9"/>
        <v>1.9941000000000002</v>
      </c>
      <c r="S66" s="35">
        <f t="shared" si="10"/>
        <v>33.869916252946197</v>
      </c>
      <c r="U66" s="18">
        <f t="shared" si="11"/>
        <v>66.130083747053803</v>
      </c>
    </row>
    <row r="67" spans="1:25" x14ac:dyDescent="0.25">
      <c r="A67" s="31" t="s">
        <v>475</v>
      </c>
      <c r="B67" s="31" t="s">
        <v>327</v>
      </c>
      <c r="C67" s="35" t="s">
        <v>16</v>
      </c>
      <c r="D67" s="35" t="s">
        <v>18</v>
      </c>
      <c r="E67" s="35">
        <v>2</v>
      </c>
      <c r="F67" s="85" t="s">
        <v>820</v>
      </c>
      <c r="G67" s="35">
        <v>2.3641000000000001</v>
      </c>
      <c r="H67" s="35">
        <v>2.2042999999999999</v>
      </c>
      <c r="I67" s="36">
        <f t="shared" si="6"/>
        <v>7.249466950959496</v>
      </c>
      <c r="J67" s="53">
        <v>44788</v>
      </c>
      <c r="K67" s="33">
        <v>44848</v>
      </c>
      <c r="L67" s="35">
        <f t="shared" si="7"/>
        <v>60</v>
      </c>
      <c r="M67" s="35">
        <v>1.5573999999999999</v>
      </c>
      <c r="N67" s="35">
        <f t="shared" si="8"/>
        <v>0.64690000000000003</v>
      </c>
      <c r="O67" s="35">
        <v>1.3547</v>
      </c>
      <c r="P67" s="35">
        <v>0.1358</v>
      </c>
      <c r="Q67" s="35">
        <v>6.2100000000000002E-2</v>
      </c>
      <c r="R67" s="38">
        <f t="shared" si="9"/>
        <v>2.0063999999999997</v>
      </c>
      <c r="S67" s="35">
        <f t="shared" si="10"/>
        <v>32.481060606060595</v>
      </c>
      <c r="U67" s="18">
        <f t="shared" si="11"/>
        <v>67.518939393939405</v>
      </c>
    </row>
    <row r="68" spans="1:25" x14ac:dyDescent="0.25">
      <c r="A68" s="31" t="s">
        <v>475</v>
      </c>
      <c r="B68" s="31" t="s">
        <v>327</v>
      </c>
      <c r="C68" s="35" t="s">
        <v>16</v>
      </c>
      <c r="D68" s="35" t="s">
        <v>19</v>
      </c>
      <c r="E68" s="35">
        <v>1</v>
      </c>
      <c r="F68" s="85" t="s">
        <v>821</v>
      </c>
      <c r="G68" s="35">
        <v>2.3771</v>
      </c>
      <c r="H68" s="35">
        <v>2.2178</v>
      </c>
      <c r="I68" s="36">
        <f t="shared" si="6"/>
        <v>7.1827937595815667</v>
      </c>
      <c r="J68" s="53">
        <v>44788</v>
      </c>
      <c r="K68" s="33">
        <v>44848</v>
      </c>
      <c r="L68" s="35">
        <f t="shared" si="7"/>
        <v>60</v>
      </c>
      <c r="M68" s="35">
        <v>1.579</v>
      </c>
      <c r="N68" s="35">
        <f t="shared" si="8"/>
        <v>0.63880000000000003</v>
      </c>
      <c r="O68" s="35">
        <v>1.3827</v>
      </c>
      <c r="P68" s="35">
        <v>0.1341</v>
      </c>
      <c r="Q68" s="35">
        <v>5.74E-2</v>
      </c>
      <c r="R68" s="38">
        <f t="shared" si="9"/>
        <v>2.0263</v>
      </c>
      <c r="S68" s="35">
        <f t="shared" si="10"/>
        <v>31.762325420717563</v>
      </c>
      <c r="U68" s="18">
        <f t="shared" si="11"/>
        <v>68.237674579282441</v>
      </c>
    </row>
    <row r="69" spans="1:25" x14ac:dyDescent="0.25">
      <c r="A69" s="31" t="s">
        <v>475</v>
      </c>
      <c r="B69" s="31" t="s">
        <v>327</v>
      </c>
      <c r="C69" s="35"/>
      <c r="D69" s="35"/>
      <c r="E69" s="35">
        <v>2</v>
      </c>
      <c r="F69" s="85" t="s">
        <v>822</v>
      </c>
      <c r="G69" s="35">
        <v>2.3885999999999998</v>
      </c>
      <c r="H69" s="35">
        <v>2.2292000000000001</v>
      </c>
      <c r="I69" s="36">
        <f t="shared" si="6"/>
        <v>7.1505472815359665</v>
      </c>
      <c r="J69" s="53">
        <v>44788</v>
      </c>
      <c r="K69" s="33">
        <v>44848</v>
      </c>
      <c r="L69" s="35">
        <f t="shared" si="7"/>
        <v>60</v>
      </c>
      <c r="M69" s="35">
        <v>1.5333000000000001</v>
      </c>
      <c r="N69" s="35">
        <f t="shared" si="8"/>
        <v>0.69589999999999996</v>
      </c>
      <c r="O69" s="35">
        <v>1.3371999999999999</v>
      </c>
      <c r="P69" s="35">
        <v>0.13919999999999999</v>
      </c>
      <c r="Q69" s="35">
        <v>5.6300000000000003E-2</v>
      </c>
      <c r="R69" s="38">
        <f t="shared" si="9"/>
        <v>2.0337000000000001</v>
      </c>
      <c r="S69" s="35">
        <f t="shared" si="10"/>
        <v>34.247922505777652</v>
      </c>
      <c r="U69" s="18">
        <f t="shared" si="11"/>
        <v>65.752077494222348</v>
      </c>
    </row>
    <row r="70" spans="1:25" x14ac:dyDescent="0.25">
      <c r="A70" s="31" t="s">
        <v>475</v>
      </c>
      <c r="B70" s="31" t="s">
        <v>327</v>
      </c>
      <c r="C70" s="35" t="s">
        <v>16</v>
      </c>
      <c r="D70" s="35" t="s">
        <v>20</v>
      </c>
      <c r="E70" s="35">
        <v>1</v>
      </c>
      <c r="F70" s="85" t="s">
        <v>823</v>
      </c>
      <c r="G70" s="35">
        <v>2.3344</v>
      </c>
      <c r="H70" s="35">
        <v>2.1772999999999998</v>
      </c>
      <c r="I70" s="36">
        <f t="shared" si="6"/>
        <v>7.2153584715014123</v>
      </c>
      <c r="J70" s="53">
        <v>44788</v>
      </c>
      <c r="K70" s="33">
        <v>44848</v>
      </c>
      <c r="L70" s="35">
        <f t="shared" si="7"/>
        <v>60</v>
      </c>
      <c r="M70" s="35">
        <v>1.5476000000000001</v>
      </c>
      <c r="N70" s="35">
        <f t="shared" si="8"/>
        <v>0.6296999999999997</v>
      </c>
      <c r="O70" s="35">
        <v>1.3541000000000001</v>
      </c>
      <c r="P70" s="35">
        <v>0.1366</v>
      </c>
      <c r="Q70" s="35">
        <v>5.62E-2</v>
      </c>
      <c r="R70" s="38">
        <f t="shared" si="9"/>
        <v>1.9844999999999997</v>
      </c>
      <c r="S70" s="35">
        <f t="shared" si="10"/>
        <v>31.766187956664133</v>
      </c>
      <c r="U70" s="18">
        <f t="shared" si="11"/>
        <v>68.23381204333586</v>
      </c>
    </row>
    <row r="71" spans="1:25" x14ac:dyDescent="0.25">
      <c r="A71" s="31" t="s">
        <v>475</v>
      </c>
      <c r="B71" s="31" t="s">
        <v>327</v>
      </c>
      <c r="C71" s="35" t="s">
        <v>16</v>
      </c>
      <c r="D71" s="35" t="s">
        <v>20</v>
      </c>
      <c r="E71" s="35">
        <v>2</v>
      </c>
      <c r="F71" s="85" t="s">
        <v>824</v>
      </c>
      <c r="G71" s="35">
        <v>2.3422000000000001</v>
      </c>
      <c r="H71" s="38">
        <v>2.1856</v>
      </c>
      <c r="I71" s="36">
        <f t="shared" si="6"/>
        <v>7.1650805270863867</v>
      </c>
      <c r="J71" s="53">
        <v>44788</v>
      </c>
      <c r="K71" s="33">
        <v>44848</v>
      </c>
      <c r="L71" s="35">
        <f t="shared" si="7"/>
        <v>60</v>
      </c>
      <c r="M71" s="35">
        <v>1.4903999999999999</v>
      </c>
      <c r="N71" s="35">
        <f t="shared" si="8"/>
        <v>0.69520000000000004</v>
      </c>
      <c r="O71" s="35">
        <v>1.2919</v>
      </c>
      <c r="P71" s="35">
        <v>0.14030000000000001</v>
      </c>
      <c r="Q71" s="35">
        <v>5.5500000000000001E-2</v>
      </c>
      <c r="R71" s="38">
        <f t="shared" si="9"/>
        <v>1.9898</v>
      </c>
      <c r="S71" s="35">
        <f t="shared" si="10"/>
        <v>35.07387677153482</v>
      </c>
      <c r="U71" s="18">
        <f t="shared" si="11"/>
        <v>64.926123228465173</v>
      </c>
    </row>
    <row r="72" spans="1:25" x14ac:dyDescent="0.25">
      <c r="A72" s="39" t="s">
        <v>476</v>
      </c>
      <c r="B72" s="39" t="s">
        <v>623</v>
      </c>
      <c r="C72" s="39" t="s">
        <v>16</v>
      </c>
      <c r="D72" s="39" t="s">
        <v>17</v>
      </c>
      <c r="E72" s="39">
        <v>1</v>
      </c>
      <c r="F72" s="81" t="s">
        <v>825</v>
      </c>
      <c r="G72" s="39">
        <v>2.3633999999999999</v>
      </c>
      <c r="H72" s="39">
        <v>2.2507999999999999</v>
      </c>
      <c r="I72" s="40">
        <f t="shared" si="6"/>
        <v>5.0026657188555195</v>
      </c>
      <c r="J72" s="53">
        <v>44802</v>
      </c>
      <c r="K72" s="41">
        <v>44862</v>
      </c>
      <c r="L72" s="39">
        <f t="shared" si="7"/>
        <v>60</v>
      </c>
      <c r="M72" s="39">
        <v>1.5495000000000001</v>
      </c>
      <c r="N72" s="39">
        <f t="shared" si="8"/>
        <v>0.70129999999999981</v>
      </c>
      <c r="O72" s="39">
        <v>1.3398000000000001</v>
      </c>
      <c r="P72" s="39">
        <v>0.1472</v>
      </c>
      <c r="Q72" s="39">
        <v>6.5500000000000003E-2</v>
      </c>
      <c r="R72" s="42">
        <f t="shared" si="9"/>
        <v>2.0381</v>
      </c>
      <c r="S72" s="39">
        <f t="shared" si="10"/>
        <v>34.262303125459979</v>
      </c>
      <c r="T72">
        <f>AVERAGE(O72:O79)</f>
        <v>1.3573000000000002</v>
      </c>
      <c r="U72" s="18">
        <f t="shared" si="11"/>
        <v>65.737696874540021</v>
      </c>
      <c r="V72" s="7">
        <f>AVERAGE(U72:U79)</f>
        <v>68.056142966541444</v>
      </c>
      <c r="W72">
        <f>STDEV(U72:U79)</f>
        <v>1.9353997418975437</v>
      </c>
      <c r="X72">
        <f>AVERAGE(S72:S79)</f>
        <v>31.943857033458553</v>
      </c>
      <c r="Y72">
        <f>STDEV(S72:S79)</f>
        <v>1.9353997418975428</v>
      </c>
    </row>
    <row r="73" spans="1:25" x14ac:dyDescent="0.25">
      <c r="A73" s="39" t="s">
        <v>476</v>
      </c>
      <c r="B73" s="39" t="s">
        <v>623</v>
      </c>
      <c r="C73" s="39" t="s">
        <v>16</v>
      </c>
      <c r="D73" s="39" t="s">
        <v>17</v>
      </c>
      <c r="E73" s="39">
        <v>2</v>
      </c>
      <c r="F73" s="81" t="s">
        <v>826</v>
      </c>
      <c r="G73" s="39">
        <v>2.2743000000000002</v>
      </c>
      <c r="H73" s="39">
        <v>2.1674000000000002</v>
      </c>
      <c r="I73" s="40">
        <f t="shared" si="6"/>
        <v>4.9321768016978869</v>
      </c>
      <c r="J73" s="53">
        <v>44802</v>
      </c>
      <c r="K73" s="41">
        <v>44862</v>
      </c>
      <c r="L73" s="39">
        <f t="shared" si="7"/>
        <v>60</v>
      </c>
      <c r="M73" s="39">
        <v>1.5322</v>
      </c>
      <c r="N73" s="39">
        <f t="shared" si="8"/>
        <v>0.63520000000000021</v>
      </c>
      <c r="O73" s="39">
        <v>1.3299000000000001</v>
      </c>
      <c r="P73" s="39">
        <v>0.13600000000000001</v>
      </c>
      <c r="Q73" s="39">
        <v>6.8599999999999994E-2</v>
      </c>
      <c r="R73" s="42">
        <f t="shared" si="9"/>
        <v>1.9628000000000001</v>
      </c>
      <c r="S73" s="39">
        <f t="shared" si="10"/>
        <v>32.244752394538409</v>
      </c>
      <c r="U73" s="18">
        <f t="shared" si="11"/>
        <v>67.755247605461591</v>
      </c>
    </row>
    <row r="74" spans="1:25" x14ac:dyDescent="0.25">
      <c r="A74" s="39" t="s">
        <v>476</v>
      </c>
      <c r="B74" s="39" t="s">
        <v>623</v>
      </c>
      <c r="C74" s="39" t="s">
        <v>16</v>
      </c>
      <c r="D74" s="39" t="s">
        <v>18</v>
      </c>
      <c r="E74" s="39">
        <v>1</v>
      </c>
      <c r="F74" s="81" t="s">
        <v>827</v>
      </c>
      <c r="G74" s="39">
        <v>2.2256999999999998</v>
      </c>
      <c r="H74" s="39">
        <v>2.1257000000000001</v>
      </c>
      <c r="I74" s="40">
        <f t="shared" si="6"/>
        <v>4.7043326904078491</v>
      </c>
      <c r="J74" s="53">
        <v>44802</v>
      </c>
      <c r="K74" s="41">
        <v>44862</v>
      </c>
      <c r="L74" s="39">
        <f t="shared" si="7"/>
        <v>60</v>
      </c>
      <c r="M74" s="39">
        <v>1.4558</v>
      </c>
      <c r="N74" s="39">
        <f t="shared" si="8"/>
        <v>0.66990000000000016</v>
      </c>
      <c r="O74" s="39">
        <v>1.2577</v>
      </c>
      <c r="P74" s="39">
        <v>0.1331</v>
      </c>
      <c r="Q74" s="39">
        <v>6.7100000000000007E-2</v>
      </c>
      <c r="R74" s="42">
        <f t="shared" si="9"/>
        <v>1.9255000000000002</v>
      </c>
      <c r="S74" s="39">
        <f t="shared" si="10"/>
        <v>34.681900804985723</v>
      </c>
      <c r="U74" s="18">
        <f t="shared" si="11"/>
        <v>65.318099195014284</v>
      </c>
    </row>
    <row r="75" spans="1:25" x14ac:dyDescent="0.25">
      <c r="A75" s="39" t="s">
        <v>476</v>
      </c>
      <c r="B75" s="39" t="s">
        <v>623</v>
      </c>
      <c r="C75" s="39" t="s">
        <v>16</v>
      </c>
      <c r="D75" s="39" t="s">
        <v>18</v>
      </c>
      <c r="E75" s="39">
        <v>2</v>
      </c>
      <c r="F75" s="81" t="s">
        <v>828</v>
      </c>
      <c r="G75" s="39">
        <v>2.2791000000000001</v>
      </c>
      <c r="H75" s="39">
        <v>2.173</v>
      </c>
      <c r="I75" s="40">
        <f t="shared" si="6"/>
        <v>4.88265071329959</v>
      </c>
      <c r="J75" s="53">
        <v>44802</v>
      </c>
      <c r="K75" s="41">
        <v>44862</v>
      </c>
      <c r="L75" s="39">
        <f t="shared" si="7"/>
        <v>60</v>
      </c>
      <c r="M75" s="39">
        <v>1.5521</v>
      </c>
      <c r="N75" s="39">
        <f t="shared" si="8"/>
        <v>0.62090000000000001</v>
      </c>
      <c r="O75" s="39">
        <v>1.3575999999999999</v>
      </c>
      <c r="P75" s="39">
        <v>0.13769999999999999</v>
      </c>
      <c r="Q75" s="39">
        <v>5.8999999999999997E-2</v>
      </c>
      <c r="R75" s="42">
        <f t="shared" si="9"/>
        <v>1.9763000000000002</v>
      </c>
      <c r="S75" s="39">
        <f t="shared" si="10"/>
        <v>31.305975813388663</v>
      </c>
      <c r="U75" s="18">
        <f t="shared" si="11"/>
        <v>68.69402418661133</v>
      </c>
    </row>
    <row r="76" spans="1:25" x14ac:dyDescent="0.25">
      <c r="A76" s="39" t="s">
        <v>476</v>
      </c>
      <c r="B76" s="39" t="s">
        <v>623</v>
      </c>
      <c r="C76" s="39" t="s">
        <v>16</v>
      </c>
      <c r="D76" s="39" t="s">
        <v>19</v>
      </c>
      <c r="E76" s="39">
        <v>1</v>
      </c>
      <c r="F76" s="81" t="s">
        <v>829</v>
      </c>
      <c r="G76" s="39">
        <v>2.3094000000000001</v>
      </c>
      <c r="H76" s="39">
        <v>2.2054</v>
      </c>
      <c r="I76" s="40">
        <f t="shared" si="6"/>
        <v>4.7156978325927312</v>
      </c>
      <c r="J76" s="53">
        <v>44802</v>
      </c>
      <c r="K76" s="41">
        <v>44862</v>
      </c>
      <c r="L76" s="39">
        <f t="shared" si="7"/>
        <v>60</v>
      </c>
      <c r="M76" s="39">
        <v>1.6184000000000001</v>
      </c>
      <c r="N76" s="39">
        <f t="shared" si="8"/>
        <v>0.58699999999999997</v>
      </c>
      <c r="O76" s="39">
        <v>1.4176</v>
      </c>
      <c r="P76" s="39">
        <v>0.13880000000000001</v>
      </c>
      <c r="Q76" s="39">
        <v>7.0400000000000004E-2</v>
      </c>
      <c r="R76" s="42">
        <f t="shared" si="9"/>
        <v>1.9962</v>
      </c>
      <c r="S76" s="39">
        <f t="shared" si="10"/>
        <v>28.985071636108607</v>
      </c>
      <c r="U76" s="18">
        <f t="shared" si="11"/>
        <v>71.0149283638914</v>
      </c>
    </row>
    <row r="77" spans="1:25" x14ac:dyDescent="0.25">
      <c r="A77" s="39" t="s">
        <v>476</v>
      </c>
      <c r="B77" s="39" t="s">
        <v>623</v>
      </c>
      <c r="C77" s="39" t="s">
        <v>16</v>
      </c>
      <c r="D77" s="39" t="s">
        <v>19</v>
      </c>
      <c r="E77" s="39">
        <v>2</v>
      </c>
      <c r="F77" s="81" t="s">
        <v>830</v>
      </c>
      <c r="G77" s="39">
        <v>2.3241999999999998</v>
      </c>
      <c r="H77" s="39">
        <v>2.2176</v>
      </c>
      <c r="I77" s="40">
        <f t="shared" si="6"/>
        <v>4.8069985569985487</v>
      </c>
      <c r="J77" s="53">
        <v>44802</v>
      </c>
      <c r="K77" s="41">
        <v>44862</v>
      </c>
      <c r="L77" s="39">
        <f t="shared" si="7"/>
        <v>60</v>
      </c>
      <c r="M77" s="39">
        <v>1.5932999999999999</v>
      </c>
      <c r="N77" s="39">
        <f t="shared" si="8"/>
        <v>0.62430000000000008</v>
      </c>
      <c r="O77" s="39">
        <v>1.3960999999999999</v>
      </c>
      <c r="P77" s="39">
        <v>0.13880000000000001</v>
      </c>
      <c r="Q77" s="39">
        <v>6.2899999999999998E-2</v>
      </c>
      <c r="R77" s="42">
        <f t="shared" si="9"/>
        <v>2.0159000000000002</v>
      </c>
      <c r="S77" s="39">
        <f t="shared" si="10"/>
        <v>30.7455726970584</v>
      </c>
      <c r="U77" s="18">
        <f t="shared" si="11"/>
        <v>69.254427302941608</v>
      </c>
    </row>
    <row r="78" spans="1:25" x14ac:dyDescent="0.25">
      <c r="A78" s="39" t="s">
        <v>476</v>
      </c>
      <c r="B78" s="39" t="s">
        <v>623</v>
      </c>
      <c r="C78" s="39" t="s">
        <v>16</v>
      </c>
      <c r="D78" s="39" t="s">
        <v>20</v>
      </c>
      <c r="E78" s="39">
        <v>1</v>
      </c>
      <c r="F78" s="81" t="s">
        <v>831</v>
      </c>
      <c r="G78" s="39">
        <v>2.3906999999999998</v>
      </c>
      <c r="H78" s="39">
        <v>2.2831000000000001</v>
      </c>
      <c r="I78" s="40">
        <f t="shared" si="6"/>
        <v>4.7128903683587975</v>
      </c>
      <c r="J78" s="53">
        <v>44802</v>
      </c>
      <c r="K78" s="41">
        <v>44862</v>
      </c>
      <c r="L78" s="39">
        <f t="shared" si="7"/>
        <v>60</v>
      </c>
      <c r="M78" s="39">
        <v>1.5991</v>
      </c>
      <c r="N78" s="39">
        <f t="shared" si="8"/>
        <v>0.68400000000000016</v>
      </c>
      <c r="O78" s="39">
        <v>1.4000999999999999</v>
      </c>
      <c r="P78" s="39">
        <v>0.1366</v>
      </c>
      <c r="Q78" s="39">
        <v>6.3600000000000004E-2</v>
      </c>
      <c r="R78" s="42">
        <f t="shared" si="9"/>
        <v>2.0829</v>
      </c>
      <c r="S78" s="39">
        <f t="shared" si="10"/>
        <v>32.781218493446637</v>
      </c>
      <c r="U78" s="18">
        <f t="shared" si="11"/>
        <v>67.218781506553356</v>
      </c>
    </row>
    <row r="79" spans="1:25" x14ac:dyDescent="0.25">
      <c r="A79" s="39" t="s">
        <v>476</v>
      </c>
      <c r="B79" s="39" t="s">
        <v>623</v>
      </c>
      <c r="C79" s="39" t="s">
        <v>16</v>
      </c>
      <c r="D79" s="39" t="s">
        <v>20</v>
      </c>
      <c r="E79" s="39">
        <v>2</v>
      </c>
      <c r="F79" s="81" t="s">
        <v>832</v>
      </c>
      <c r="G79" s="39">
        <v>2.2551999999999999</v>
      </c>
      <c r="H79" s="39">
        <v>2.1623000000000001</v>
      </c>
      <c r="I79" s="40">
        <f t="shared" si="6"/>
        <v>4.2963511076168786</v>
      </c>
      <c r="J79" s="53">
        <v>44802</v>
      </c>
      <c r="K79" s="41">
        <v>44862</v>
      </c>
      <c r="L79" s="39">
        <f t="shared" si="7"/>
        <v>60</v>
      </c>
      <c r="M79" s="39">
        <v>1.5657000000000001</v>
      </c>
      <c r="N79" s="39">
        <f t="shared" si="8"/>
        <v>0.59660000000000002</v>
      </c>
      <c r="O79" s="39">
        <v>1.3595999999999999</v>
      </c>
      <c r="P79" s="39">
        <v>0.1351</v>
      </c>
      <c r="Q79" s="39">
        <v>6.9699999999999998E-2</v>
      </c>
      <c r="R79" s="42">
        <f t="shared" si="9"/>
        <v>1.9575</v>
      </c>
      <c r="S79" s="39">
        <f t="shared" si="10"/>
        <v>30.544061302681996</v>
      </c>
      <c r="U79" s="18">
        <f t="shared" si="11"/>
        <v>69.455938697318004</v>
      </c>
    </row>
    <row r="80" spans="1:25" x14ac:dyDescent="0.25">
      <c r="A80" s="43" t="s">
        <v>478</v>
      </c>
      <c r="B80" s="43" t="s">
        <v>329</v>
      </c>
      <c r="C80" s="43" t="s">
        <v>16</v>
      </c>
      <c r="D80" s="43" t="s">
        <v>17</v>
      </c>
      <c r="E80" s="43">
        <v>1</v>
      </c>
      <c r="F80" s="82" t="s">
        <v>833</v>
      </c>
      <c r="G80" s="43">
        <v>2.2509999999999999</v>
      </c>
      <c r="H80" s="43">
        <v>2.1309</v>
      </c>
      <c r="I80" s="44">
        <f t="shared" si="6"/>
        <v>5.6361161950349556</v>
      </c>
      <c r="J80" s="53">
        <v>44809</v>
      </c>
      <c r="K80" s="45">
        <v>44869</v>
      </c>
      <c r="L80" s="43">
        <f t="shared" si="7"/>
        <v>60</v>
      </c>
      <c r="M80" s="43">
        <v>1.5496000000000001</v>
      </c>
      <c r="N80" s="43">
        <f t="shared" si="8"/>
        <v>0.58129999999999993</v>
      </c>
      <c r="O80" s="43">
        <v>1.3338000000000001</v>
      </c>
      <c r="P80" s="43">
        <v>0.1512</v>
      </c>
      <c r="Q80" s="43">
        <v>6.3299999999999995E-2</v>
      </c>
      <c r="R80" s="46">
        <f t="shared" si="9"/>
        <v>1.9164000000000001</v>
      </c>
      <c r="S80" s="43">
        <f t="shared" si="10"/>
        <v>30.400751408891669</v>
      </c>
      <c r="T80">
        <f>AVERAGE(O80:O87)</f>
        <v>1.3110750000000002</v>
      </c>
      <c r="U80" s="18">
        <f t="shared" si="11"/>
        <v>69.599248591108335</v>
      </c>
      <c r="V80" s="7">
        <f>AVERAGE(U80:U87)</f>
        <v>67.355611685632169</v>
      </c>
      <c r="W80">
        <f>STDEV(U80:U87)</f>
        <v>1.8783489110899898</v>
      </c>
      <c r="X80">
        <f>AVERAGE(S80:S87)</f>
        <v>32.644388314367838</v>
      </c>
      <c r="Y80">
        <f>STDEV(S80:S87)</f>
        <v>1.8783489110899889</v>
      </c>
    </row>
    <row r="81" spans="1:25" x14ac:dyDescent="0.25">
      <c r="A81" s="43" t="s">
        <v>478</v>
      </c>
      <c r="B81" s="43" t="s">
        <v>329</v>
      </c>
      <c r="C81" s="43" t="s">
        <v>16</v>
      </c>
      <c r="D81" s="43" t="s">
        <v>17</v>
      </c>
      <c r="E81" s="43">
        <v>2</v>
      </c>
      <c r="F81" s="82" t="s">
        <v>834</v>
      </c>
      <c r="G81" s="43">
        <v>2.2852999999999999</v>
      </c>
      <c r="H81" s="43">
        <v>2.1652</v>
      </c>
      <c r="I81" s="44">
        <f t="shared" si="6"/>
        <v>5.5468317014594435</v>
      </c>
      <c r="J81" s="53">
        <v>44809</v>
      </c>
      <c r="K81" s="45">
        <v>44869</v>
      </c>
      <c r="L81" s="43">
        <f t="shared" si="7"/>
        <v>60</v>
      </c>
      <c r="M81" s="43">
        <v>1.5198</v>
      </c>
      <c r="N81" s="43">
        <f t="shared" si="8"/>
        <v>0.64539999999999997</v>
      </c>
      <c r="O81" s="43">
        <v>1.3118000000000001</v>
      </c>
      <c r="P81" s="43">
        <v>0.14499999999999999</v>
      </c>
      <c r="Q81" s="43">
        <v>6.5600000000000006E-2</v>
      </c>
      <c r="R81" s="46">
        <f t="shared" si="9"/>
        <v>1.9546000000000001</v>
      </c>
      <c r="S81" s="43">
        <f t="shared" si="10"/>
        <v>32.886524097001946</v>
      </c>
      <c r="U81" s="18">
        <f t="shared" si="11"/>
        <v>67.113475902998061</v>
      </c>
    </row>
    <row r="82" spans="1:25" x14ac:dyDescent="0.25">
      <c r="A82" s="43" t="s">
        <v>478</v>
      </c>
      <c r="B82" s="43" t="s">
        <v>329</v>
      </c>
      <c r="C82" s="43" t="s">
        <v>16</v>
      </c>
      <c r="D82" s="43" t="s">
        <v>18</v>
      </c>
      <c r="E82" s="43">
        <v>1</v>
      </c>
      <c r="F82" s="82" t="s">
        <v>835</v>
      </c>
      <c r="G82" s="46">
        <v>2.3359000000000001</v>
      </c>
      <c r="H82" s="43">
        <v>2.2105999999999999</v>
      </c>
      <c r="I82" s="44">
        <f t="shared" si="6"/>
        <v>5.668144395186836</v>
      </c>
      <c r="J82" s="53">
        <v>44809</v>
      </c>
      <c r="K82" s="45">
        <v>44869</v>
      </c>
      <c r="L82" s="43">
        <f t="shared" si="7"/>
        <v>60</v>
      </c>
      <c r="M82" s="43">
        <v>1.5658000000000001</v>
      </c>
      <c r="N82" s="43">
        <f t="shared" si="8"/>
        <v>0.64479999999999982</v>
      </c>
      <c r="O82" s="43">
        <v>1.3574999999999999</v>
      </c>
      <c r="P82" s="43">
        <v>0.14199999999999999</v>
      </c>
      <c r="Q82" s="43">
        <v>6.3899999999999998E-2</v>
      </c>
      <c r="R82" s="46">
        <f t="shared" si="9"/>
        <v>2.0046999999999997</v>
      </c>
      <c r="S82" s="43">
        <f t="shared" si="10"/>
        <v>32.284132289120556</v>
      </c>
      <c r="U82" s="18">
        <f t="shared" si="11"/>
        <v>67.715867710879436</v>
      </c>
    </row>
    <row r="83" spans="1:25" x14ac:dyDescent="0.25">
      <c r="A83" s="43" t="s">
        <v>478</v>
      </c>
      <c r="B83" s="43" t="s">
        <v>329</v>
      </c>
      <c r="C83" s="43" t="s">
        <v>16</v>
      </c>
      <c r="D83" s="43" t="s">
        <v>18</v>
      </c>
      <c r="E83" s="43">
        <v>2</v>
      </c>
      <c r="F83" s="82" t="s">
        <v>836</v>
      </c>
      <c r="G83" s="46">
        <v>2.2824</v>
      </c>
      <c r="H83" s="43">
        <v>2.1608000000000001</v>
      </c>
      <c r="I83" s="44">
        <f t="shared" si="6"/>
        <v>5.6275453535727475</v>
      </c>
      <c r="J83" s="53">
        <v>44809</v>
      </c>
      <c r="K83" s="45">
        <v>44869</v>
      </c>
      <c r="L83" s="43">
        <f t="shared" si="7"/>
        <v>60</v>
      </c>
      <c r="M83" s="43">
        <v>1.5369999999999999</v>
      </c>
      <c r="N83" s="43">
        <f t="shared" si="8"/>
        <v>0.62380000000000013</v>
      </c>
      <c r="O83" s="43">
        <v>1.3184</v>
      </c>
      <c r="P83" s="43">
        <v>0.14599999999999999</v>
      </c>
      <c r="Q83" s="43">
        <v>6.59E-2</v>
      </c>
      <c r="R83" s="46">
        <f t="shared" si="9"/>
        <v>1.9489000000000001</v>
      </c>
      <c r="S83" s="43">
        <f t="shared" si="10"/>
        <v>32.351582944224951</v>
      </c>
      <c r="U83" s="18">
        <f t="shared" si="11"/>
        <v>67.648417055775042</v>
      </c>
    </row>
    <row r="84" spans="1:25" x14ac:dyDescent="0.25">
      <c r="A84" s="43" t="s">
        <v>478</v>
      </c>
      <c r="B84" s="43" t="s">
        <v>329</v>
      </c>
      <c r="C84" s="43" t="s">
        <v>16</v>
      </c>
      <c r="D84" s="43" t="s">
        <v>19</v>
      </c>
      <c r="E84" s="43">
        <v>1</v>
      </c>
      <c r="F84" s="82" t="s">
        <v>837</v>
      </c>
      <c r="G84" s="43">
        <v>2.3050999999999999</v>
      </c>
      <c r="H84" s="43">
        <v>2.1838000000000002</v>
      </c>
      <c r="I84" s="44">
        <f t="shared" si="6"/>
        <v>5.5545379613517598</v>
      </c>
      <c r="J84" s="53">
        <v>44809</v>
      </c>
      <c r="K84" s="45">
        <v>44869</v>
      </c>
      <c r="L84" s="43">
        <f t="shared" si="7"/>
        <v>60</v>
      </c>
      <c r="M84" s="43">
        <v>1.488</v>
      </c>
      <c r="N84" s="43">
        <f t="shared" si="8"/>
        <v>0.6958000000000002</v>
      </c>
      <c r="O84" s="43">
        <v>1.2737000000000001</v>
      </c>
      <c r="P84" s="43">
        <v>0.1542</v>
      </c>
      <c r="Q84" s="43">
        <v>6.0900000000000003E-2</v>
      </c>
      <c r="R84" s="46">
        <f t="shared" si="9"/>
        <v>1.9687000000000001</v>
      </c>
      <c r="S84" s="43">
        <f t="shared" si="10"/>
        <v>35.302483872606288</v>
      </c>
      <c r="U84" s="18">
        <f t="shared" si="11"/>
        <v>64.697516127393712</v>
      </c>
    </row>
    <row r="85" spans="1:25" x14ac:dyDescent="0.25">
      <c r="A85" s="43" t="s">
        <v>478</v>
      </c>
      <c r="B85" s="43" t="s">
        <v>329</v>
      </c>
      <c r="C85" s="43" t="s">
        <v>16</v>
      </c>
      <c r="D85" s="43" t="s">
        <v>19</v>
      </c>
      <c r="E85" s="43">
        <v>2</v>
      </c>
      <c r="F85" s="82" t="s">
        <v>838</v>
      </c>
      <c r="G85" s="43">
        <v>2.2423000000000002</v>
      </c>
      <c r="H85" s="43">
        <v>2.1269999999999998</v>
      </c>
      <c r="I85" s="44">
        <f t="shared" si="6"/>
        <v>5.42078044193702</v>
      </c>
      <c r="J85" s="53">
        <v>44809</v>
      </c>
      <c r="K85" s="45">
        <v>44869</v>
      </c>
      <c r="L85" s="43">
        <f t="shared" si="7"/>
        <v>60</v>
      </c>
      <c r="M85" s="43">
        <v>1.4895</v>
      </c>
      <c r="N85" s="43">
        <f t="shared" si="8"/>
        <v>0.63749999999999973</v>
      </c>
      <c r="O85" s="43">
        <v>1.2658</v>
      </c>
      <c r="P85" s="43">
        <v>0.16220000000000001</v>
      </c>
      <c r="Q85" s="43">
        <v>6.0499999999999998E-2</v>
      </c>
      <c r="R85" s="46">
        <f t="shared" si="9"/>
        <v>1.9042999999999997</v>
      </c>
      <c r="S85" s="43">
        <f t="shared" si="10"/>
        <v>33.529380874862142</v>
      </c>
      <c r="U85" s="18">
        <f t="shared" si="11"/>
        <v>66.470619125137858</v>
      </c>
    </row>
    <row r="86" spans="1:25" x14ac:dyDescent="0.25">
      <c r="A86" s="43" t="s">
        <v>478</v>
      </c>
      <c r="B86" s="43" t="s">
        <v>329</v>
      </c>
      <c r="C86" s="43" t="s">
        <v>16</v>
      </c>
      <c r="D86" s="43" t="s">
        <v>20</v>
      </c>
      <c r="E86" s="43">
        <v>1</v>
      </c>
      <c r="F86" s="82" t="s">
        <v>839</v>
      </c>
      <c r="G86" s="43">
        <v>2.266</v>
      </c>
      <c r="H86" s="46">
        <v>2.1467000000000001</v>
      </c>
      <c r="I86" s="44">
        <f t="shared" si="6"/>
        <v>5.5573671216285438</v>
      </c>
      <c r="J86" s="53">
        <v>44809</v>
      </c>
      <c r="K86" s="45">
        <v>44869</v>
      </c>
      <c r="L86" s="43">
        <f t="shared" si="7"/>
        <v>60</v>
      </c>
      <c r="M86" s="43">
        <v>1.4736</v>
      </c>
      <c r="N86" s="46">
        <f t="shared" si="8"/>
        <v>0.67310000000000003</v>
      </c>
      <c r="O86" s="43">
        <v>1.2687999999999999</v>
      </c>
      <c r="P86" s="43">
        <v>0.1497</v>
      </c>
      <c r="Q86" s="43">
        <v>5.8099999999999999E-2</v>
      </c>
      <c r="R86" s="46">
        <f t="shared" si="9"/>
        <v>1.9389000000000001</v>
      </c>
      <c r="S86" s="43">
        <f t="shared" si="10"/>
        <v>34.560833462272427</v>
      </c>
      <c r="U86" s="18">
        <f t="shared" si="11"/>
        <v>65.439166537727573</v>
      </c>
    </row>
    <row r="87" spans="1:25" x14ac:dyDescent="0.25">
      <c r="A87" s="43" t="s">
        <v>478</v>
      </c>
      <c r="B87" s="43" t="s">
        <v>329</v>
      </c>
      <c r="C87" s="43" t="s">
        <v>16</v>
      </c>
      <c r="D87" s="43" t="s">
        <v>20</v>
      </c>
      <c r="E87" s="43">
        <v>2</v>
      </c>
      <c r="F87" s="82" t="s">
        <v>840</v>
      </c>
      <c r="G87" s="43">
        <v>2.3115999999999999</v>
      </c>
      <c r="H87" s="43">
        <v>2.1909000000000001</v>
      </c>
      <c r="I87" s="44">
        <f t="shared" si="6"/>
        <v>5.5091514902551371</v>
      </c>
      <c r="J87" s="53">
        <v>44809</v>
      </c>
      <c r="K87" s="45">
        <v>44869</v>
      </c>
      <c r="L87" s="43">
        <f t="shared" si="7"/>
        <v>60</v>
      </c>
      <c r="M87" s="43">
        <v>1.6117999999999999</v>
      </c>
      <c r="N87" s="43">
        <f t="shared" si="8"/>
        <v>0.57910000000000017</v>
      </c>
      <c r="O87" s="43">
        <v>1.3588</v>
      </c>
      <c r="P87" s="43">
        <v>0.161</v>
      </c>
      <c r="Q87" s="43">
        <v>9.3200000000000005E-2</v>
      </c>
      <c r="R87" s="46">
        <f t="shared" si="9"/>
        <v>1.9367000000000001</v>
      </c>
      <c r="S87" s="43">
        <f t="shared" si="10"/>
        <v>29.839417565962723</v>
      </c>
      <c r="U87" s="18">
        <f t="shared" si="11"/>
        <v>70.160582434037281</v>
      </c>
    </row>
    <row r="88" spans="1:25" x14ac:dyDescent="0.25">
      <c r="A88" s="47" t="s">
        <v>477</v>
      </c>
      <c r="B88" s="47" t="s">
        <v>330</v>
      </c>
      <c r="C88" s="47" t="s">
        <v>16</v>
      </c>
      <c r="D88" s="47" t="s">
        <v>17</v>
      </c>
      <c r="E88" s="47">
        <v>1</v>
      </c>
      <c r="F88" s="83" t="s">
        <v>841</v>
      </c>
      <c r="G88" s="47">
        <v>2.3618999999999999</v>
      </c>
      <c r="H88" s="47">
        <v>2.1661999999999999</v>
      </c>
      <c r="I88" s="49">
        <f t="shared" si="6"/>
        <v>9.0342535315298669</v>
      </c>
      <c r="J88" s="53">
        <v>44816</v>
      </c>
      <c r="K88" s="50">
        <v>44876</v>
      </c>
      <c r="L88" s="47">
        <f t="shared" si="7"/>
        <v>60</v>
      </c>
      <c r="M88" s="47">
        <v>1.5385</v>
      </c>
      <c r="N88" s="47">
        <f t="shared" si="8"/>
        <v>0.62769999999999992</v>
      </c>
      <c r="O88" s="47">
        <v>1.3258000000000001</v>
      </c>
      <c r="P88" s="47">
        <v>0.13420000000000001</v>
      </c>
      <c r="Q88" s="47">
        <v>8.2799999999999999E-2</v>
      </c>
      <c r="R88" s="48">
        <f t="shared" si="9"/>
        <v>1.9491999999999998</v>
      </c>
      <c r="S88" s="47">
        <f t="shared" si="10"/>
        <v>31.982351734044723</v>
      </c>
      <c r="T88">
        <f>AVERAGE(O88:O95)</f>
        <v>1.2333375</v>
      </c>
      <c r="U88" s="18">
        <f t="shared" si="11"/>
        <v>68.017648265955273</v>
      </c>
      <c r="V88" s="7">
        <f>AVERAGE(U88:U95)</f>
        <v>64.31293699934669</v>
      </c>
      <c r="W88">
        <f>STDEV(U88:U95)</f>
        <v>2.085508300645845</v>
      </c>
      <c r="X88">
        <f>AVERAGE(S88:S95)</f>
        <v>35.68706300065331</v>
      </c>
      <c r="Y88">
        <f>STDEV(S88:S95)</f>
        <v>2.085508300645845</v>
      </c>
    </row>
    <row r="89" spans="1:25" x14ac:dyDescent="0.25">
      <c r="A89" s="47" t="s">
        <v>477</v>
      </c>
      <c r="B89" s="47" t="s">
        <v>330</v>
      </c>
      <c r="C89" s="47" t="s">
        <v>16</v>
      </c>
      <c r="D89" s="47" t="s">
        <v>17</v>
      </c>
      <c r="E89" s="47">
        <v>2</v>
      </c>
      <c r="F89" s="83" t="s">
        <v>842</v>
      </c>
      <c r="G89" s="47">
        <v>2.3227000000000002</v>
      </c>
      <c r="H89" s="47">
        <v>2.1316999999999999</v>
      </c>
      <c r="I89" s="49">
        <f t="shared" si="6"/>
        <v>8.9599849885068394</v>
      </c>
      <c r="J89" s="53">
        <v>44816</v>
      </c>
      <c r="K89" s="50">
        <v>44876</v>
      </c>
      <c r="L89" s="47">
        <f t="shared" si="7"/>
        <v>60</v>
      </c>
      <c r="M89" s="47">
        <v>1.4761</v>
      </c>
      <c r="N89" s="47">
        <f t="shared" si="8"/>
        <v>0.65559999999999996</v>
      </c>
      <c r="O89" s="47">
        <v>1.278</v>
      </c>
      <c r="P89" s="47">
        <v>0.13200000000000001</v>
      </c>
      <c r="Q89" s="47">
        <v>6.8500000000000005E-2</v>
      </c>
      <c r="R89" s="48">
        <f t="shared" si="9"/>
        <v>1.9312</v>
      </c>
      <c r="S89" s="47">
        <f t="shared" si="10"/>
        <v>33.82352941176471</v>
      </c>
      <c r="U89" s="18">
        <f t="shared" si="11"/>
        <v>66.17647058823529</v>
      </c>
    </row>
    <row r="90" spans="1:25" x14ac:dyDescent="0.25">
      <c r="A90" s="47" t="s">
        <v>477</v>
      </c>
      <c r="B90" s="47" t="s">
        <v>330</v>
      </c>
      <c r="C90" s="47" t="s">
        <v>16</v>
      </c>
      <c r="D90" s="47" t="s">
        <v>18</v>
      </c>
      <c r="E90" s="47">
        <v>1</v>
      </c>
      <c r="F90" s="83" t="s">
        <v>843</v>
      </c>
      <c r="G90" s="47">
        <v>2.2296999999999998</v>
      </c>
      <c r="H90" s="47">
        <v>2.0472999999999999</v>
      </c>
      <c r="I90" s="49">
        <f t="shared" si="6"/>
        <v>8.9092951692472973</v>
      </c>
      <c r="J90" s="53">
        <v>44816</v>
      </c>
      <c r="K90" s="50">
        <v>44876</v>
      </c>
      <c r="L90" s="47">
        <f t="shared" si="7"/>
        <v>60</v>
      </c>
      <c r="M90" s="47">
        <v>1.3552999999999999</v>
      </c>
      <c r="N90" s="47">
        <f t="shared" si="8"/>
        <v>0.69199999999999995</v>
      </c>
      <c r="O90" s="47">
        <v>1.1417999999999999</v>
      </c>
      <c r="P90" s="47">
        <v>0.1452</v>
      </c>
      <c r="Q90" s="47">
        <v>6.9699999999999998E-2</v>
      </c>
      <c r="R90" s="48">
        <f t="shared" si="9"/>
        <v>1.8323999999999998</v>
      </c>
      <c r="S90" s="47">
        <f t="shared" si="10"/>
        <v>37.688277668631301</v>
      </c>
      <c r="U90" s="18">
        <f t="shared" si="11"/>
        <v>62.311722331368699</v>
      </c>
    </row>
    <row r="91" spans="1:25" x14ac:dyDescent="0.25">
      <c r="A91" s="47" t="s">
        <v>477</v>
      </c>
      <c r="B91" s="47" t="s">
        <v>330</v>
      </c>
      <c r="C91" s="47" t="s">
        <v>16</v>
      </c>
      <c r="D91" s="47" t="s">
        <v>18</v>
      </c>
      <c r="E91" s="47">
        <v>2</v>
      </c>
      <c r="F91" s="83" t="s">
        <v>844</v>
      </c>
      <c r="G91" s="48">
        <v>2.3660000000000001</v>
      </c>
      <c r="H91" s="47">
        <v>2.1715</v>
      </c>
      <c r="I91" s="49">
        <f t="shared" si="6"/>
        <v>8.9569422058484971</v>
      </c>
      <c r="J91" s="53">
        <v>44816</v>
      </c>
      <c r="K91" s="50">
        <v>44876</v>
      </c>
      <c r="L91" s="47">
        <f t="shared" si="7"/>
        <v>60</v>
      </c>
      <c r="M91" s="47">
        <v>1.4419</v>
      </c>
      <c r="N91" s="47">
        <f t="shared" si="8"/>
        <v>0.72960000000000003</v>
      </c>
      <c r="O91" s="47">
        <v>1.2242999999999999</v>
      </c>
      <c r="P91" s="47">
        <v>0.15329999999999999</v>
      </c>
      <c r="Q91" s="47">
        <v>6.8000000000000005E-2</v>
      </c>
      <c r="R91" s="48">
        <f t="shared" si="9"/>
        <v>1.9501999999999999</v>
      </c>
      <c r="S91" s="47">
        <f t="shared" si="10"/>
        <v>37.221823402727928</v>
      </c>
      <c r="U91" s="18">
        <f t="shared" si="11"/>
        <v>62.778176597272072</v>
      </c>
    </row>
    <row r="92" spans="1:25" x14ac:dyDescent="0.25">
      <c r="A92" s="47" t="s">
        <v>477</v>
      </c>
      <c r="B92" s="47" t="s">
        <v>330</v>
      </c>
      <c r="C92" s="47" t="s">
        <v>16</v>
      </c>
      <c r="D92" s="47" t="s">
        <v>19</v>
      </c>
      <c r="E92" s="47">
        <v>1</v>
      </c>
      <c r="F92" s="83" t="s">
        <v>845</v>
      </c>
      <c r="G92" s="47">
        <v>2.3401000000000001</v>
      </c>
      <c r="H92" s="47">
        <v>2.1469</v>
      </c>
      <c r="I92" s="49">
        <f t="shared" si="6"/>
        <v>8.9990218454515833</v>
      </c>
      <c r="J92" s="53">
        <v>44816</v>
      </c>
      <c r="K92" s="50">
        <v>44876</v>
      </c>
      <c r="L92" s="47">
        <f t="shared" si="7"/>
        <v>60</v>
      </c>
      <c r="M92" s="47">
        <v>1.4379</v>
      </c>
      <c r="N92" s="47">
        <f t="shared" si="8"/>
        <v>0.70900000000000007</v>
      </c>
      <c r="O92" s="47">
        <v>1.2411000000000001</v>
      </c>
      <c r="P92" s="47">
        <v>0.13489999999999999</v>
      </c>
      <c r="Q92" s="47">
        <v>6.4500000000000002E-2</v>
      </c>
      <c r="R92" s="48">
        <f t="shared" si="9"/>
        <v>1.9475</v>
      </c>
      <c r="S92" s="47">
        <f t="shared" si="10"/>
        <v>36.272143774069313</v>
      </c>
      <c r="U92" s="18">
        <f t="shared" si="11"/>
        <v>63.727856225930694</v>
      </c>
    </row>
    <row r="93" spans="1:25" x14ac:dyDescent="0.25">
      <c r="A93" s="47" t="s">
        <v>477</v>
      </c>
      <c r="B93" s="47" t="s">
        <v>330</v>
      </c>
      <c r="C93" s="47" t="s">
        <v>16</v>
      </c>
      <c r="D93" s="47" t="s">
        <v>19</v>
      </c>
      <c r="E93" s="47">
        <v>2</v>
      </c>
      <c r="F93" s="83" t="s">
        <v>846</v>
      </c>
      <c r="G93" s="47">
        <v>2.3146</v>
      </c>
      <c r="H93" s="47">
        <v>2.1295000000000002</v>
      </c>
      <c r="I93" s="49">
        <f t="shared" si="6"/>
        <v>8.6921812632073152</v>
      </c>
      <c r="J93" s="53">
        <v>44816</v>
      </c>
      <c r="K93" s="50">
        <v>44876</v>
      </c>
      <c r="L93" s="47">
        <f t="shared" si="7"/>
        <v>60</v>
      </c>
      <c r="M93" s="47">
        <v>1.4235</v>
      </c>
      <c r="N93" s="47">
        <f t="shared" si="8"/>
        <v>0.70600000000000018</v>
      </c>
      <c r="O93" s="47">
        <v>1.2212000000000001</v>
      </c>
      <c r="P93" s="47">
        <v>0.1361</v>
      </c>
      <c r="Q93" s="47">
        <v>6.7900000000000002E-2</v>
      </c>
      <c r="R93" s="48">
        <f t="shared" si="9"/>
        <v>1.9255000000000002</v>
      </c>
      <c r="S93" s="47">
        <f t="shared" si="10"/>
        <v>36.577512334458582</v>
      </c>
      <c r="U93" s="18">
        <f t="shared" si="11"/>
        <v>63.422487665541418</v>
      </c>
    </row>
    <row r="94" spans="1:25" x14ac:dyDescent="0.25">
      <c r="A94" s="47" t="s">
        <v>477</v>
      </c>
      <c r="B94" s="47" t="s">
        <v>330</v>
      </c>
      <c r="C94" s="47" t="s">
        <v>16</v>
      </c>
      <c r="D94" s="47" t="s">
        <v>20</v>
      </c>
      <c r="E94" s="47">
        <v>1</v>
      </c>
      <c r="F94" s="83" t="s">
        <v>847</v>
      </c>
      <c r="G94" s="47">
        <v>2.3003999999999998</v>
      </c>
      <c r="H94" s="47">
        <v>2.1088</v>
      </c>
      <c r="I94" s="49">
        <f t="shared" si="6"/>
        <v>9.0857359635811719</v>
      </c>
      <c r="J94" s="53">
        <v>44816</v>
      </c>
      <c r="K94" s="50">
        <v>44876</v>
      </c>
      <c r="L94" s="47">
        <f t="shared" si="7"/>
        <v>60</v>
      </c>
      <c r="M94" s="47">
        <v>1.4608000000000001</v>
      </c>
      <c r="N94" s="47">
        <f t="shared" si="8"/>
        <v>0.64799999999999991</v>
      </c>
      <c r="O94" s="47">
        <v>1.2399</v>
      </c>
      <c r="P94" s="47">
        <v>0.1532</v>
      </c>
      <c r="Q94" s="47">
        <v>6.8599999999999994E-2</v>
      </c>
      <c r="R94" s="48">
        <f t="shared" si="9"/>
        <v>1.887</v>
      </c>
      <c r="S94" s="47">
        <f t="shared" si="10"/>
        <v>34.292527821939586</v>
      </c>
      <c r="U94" s="18">
        <f t="shared" si="11"/>
        <v>65.707472178060414</v>
      </c>
    </row>
    <row r="95" spans="1:25" x14ac:dyDescent="0.25">
      <c r="A95" s="47" t="s">
        <v>477</v>
      </c>
      <c r="B95" s="47" t="s">
        <v>330</v>
      </c>
      <c r="C95" s="47" t="s">
        <v>16</v>
      </c>
      <c r="D95" s="47" t="s">
        <v>20</v>
      </c>
      <c r="E95" s="47">
        <v>2</v>
      </c>
      <c r="F95" s="83" t="s">
        <v>848</v>
      </c>
      <c r="G95" s="47">
        <v>2.3166000000000002</v>
      </c>
      <c r="H95" s="47">
        <v>2.1288</v>
      </c>
      <c r="I95" s="49">
        <f t="shared" si="6"/>
        <v>8.8218714768883952</v>
      </c>
      <c r="J95" s="53">
        <v>44816</v>
      </c>
      <c r="K95" s="50">
        <v>44876</v>
      </c>
      <c r="L95" s="47">
        <f t="shared" si="7"/>
        <v>60</v>
      </c>
      <c r="M95" s="47">
        <v>1.4067000000000001</v>
      </c>
      <c r="N95" s="47">
        <f t="shared" si="8"/>
        <v>0.72209999999999996</v>
      </c>
      <c r="O95" s="47">
        <v>1.1946000000000001</v>
      </c>
      <c r="P95" s="47">
        <v>0.14510000000000001</v>
      </c>
      <c r="Q95" s="47">
        <v>6.8099999999999994E-2</v>
      </c>
      <c r="R95" s="48">
        <f t="shared" si="9"/>
        <v>1.9156</v>
      </c>
      <c r="S95" s="47">
        <f t="shared" si="10"/>
        <v>37.638337857590301</v>
      </c>
      <c r="U95" s="18">
        <f t="shared" si="11"/>
        <v>62.361662142409692</v>
      </c>
    </row>
    <row r="96" spans="1:25" x14ac:dyDescent="0.25">
      <c r="A96" s="76" t="s">
        <v>479</v>
      </c>
      <c r="B96" s="76" t="s">
        <v>783</v>
      </c>
      <c r="C96" s="76" t="s">
        <v>16</v>
      </c>
      <c r="D96" s="76" t="s">
        <v>17</v>
      </c>
      <c r="E96" s="76">
        <v>1</v>
      </c>
      <c r="F96" s="84" t="s">
        <v>922</v>
      </c>
      <c r="G96" s="76">
        <v>2.2978000000000001</v>
      </c>
      <c r="H96" s="76">
        <v>2.1583999999999999</v>
      </c>
      <c r="I96" s="77">
        <f t="shared" si="6"/>
        <v>6.4584877687175775</v>
      </c>
      <c r="J96" s="53">
        <v>45005</v>
      </c>
      <c r="K96" s="78">
        <v>45065</v>
      </c>
      <c r="L96" s="76">
        <f t="shared" si="7"/>
        <v>60</v>
      </c>
      <c r="M96" s="76">
        <v>1.5667</v>
      </c>
      <c r="N96" s="76">
        <f t="shared" si="8"/>
        <v>0.59169999999999989</v>
      </c>
      <c r="O96" s="76">
        <v>1.3602000000000001</v>
      </c>
      <c r="P96" s="76">
        <v>0.14169999999999999</v>
      </c>
      <c r="Q96" s="76">
        <v>6.4699999999999994E-2</v>
      </c>
      <c r="R96" s="79">
        <f t="shared" si="9"/>
        <v>1.952</v>
      </c>
      <c r="S96" s="76">
        <f t="shared" si="10"/>
        <v>30.317622950819668</v>
      </c>
      <c r="T96">
        <f>AVERAGE(O96:O102)</f>
        <v>1.3110714285714287</v>
      </c>
      <c r="U96" s="18">
        <f t="shared" si="11"/>
        <v>69.682377049180332</v>
      </c>
      <c r="V96" s="7">
        <f>AVERAGE(U96:U102)</f>
        <v>68.642130777454994</v>
      </c>
      <c r="W96">
        <f>STDEV(U96:U102)</f>
        <v>2.7756845077366026</v>
      </c>
      <c r="X96">
        <f>AVERAGE(S96:S102)</f>
        <v>31.357869222544998</v>
      </c>
      <c r="Y96">
        <f>STDEV(S96:S102)</f>
        <v>2.775684507736607</v>
      </c>
    </row>
    <row r="97" spans="1:21" x14ac:dyDescent="0.25">
      <c r="A97" s="76" t="s">
        <v>479</v>
      </c>
      <c r="B97" s="76" t="s">
        <v>783</v>
      </c>
      <c r="C97" s="76" t="s">
        <v>16</v>
      </c>
      <c r="D97" s="76" t="s">
        <v>17</v>
      </c>
      <c r="E97" s="76">
        <v>2</v>
      </c>
      <c r="F97" s="84" t="s">
        <v>923</v>
      </c>
      <c r="G97" s="76">
        <v>2.1922999999999999</v>
      </c>
      <c r="H97" s="76">
        <v>2.0594000000000001</v>
      </c>
      <c r="I97" s="77">
        <f t="shared" si="6"/>
        <v>6.4533359230843832</v>
      </c>
      <c r="J97" s="53">
        <v>45005</v>
      </c>
      <c r="K97" s="78">
        <v>45065</v>
      </c>
      <c r="L97" s="76">
        <f t="shared" si="7"/>
        <v>60</v>
      </c>
      <c r="M97" s="76">
        <v>1.5065</v>
      </c>
      <c r="N97" s="76">
        <f t="shared" si="8"/>
        <v>0.55290000000000017</v>
      </c>
      <c r="O97" s="76">
        <v>1.3137000000000001</v>
      </c>
      <c r="P97" s="76">
        <v>0.1353</v>
      </c>
      <c r="Q97" s="76">
        <v>5.8000000000000003E-2</v>
      </c>
      <c r="R97" s="79">
        <f t="shared" si="9"/>
        <v>1.8661000000000001</v>
      </c>
      <c r="S97" s="76">
        <f t="shared" si="10"/>
        <v>29.60184341675151</v>
      </c>
      <c r="U97" s="18">
        <f t="shared" si="11"/>
        <v>70.398156583248479</v>
      </c>
    </row>
    <row r="98" spans="1:21" x14ac:dyDescent="0.25">
      <c r="A98" s="76" t="s">
        <v>479</v>
      </c>
      <c r="B98" s="76" t="s">
        <v>783</v>
      </c>
      <c r="C98" s="76" t="s">
        <v>16</v>
      </c>
      <c r="D98" s="76" t="s">
        <v>18</v>
      </c>
      <c r="E98" s="76">
        <v>1</v>
      </c>
      <c r="F98" s="84" t="s">
        <v>924</v>
      </c>
      <c r="G98" s="76">
        <v>2.2538999999999998</v>
      </c>
      <c r="H98" s="76">
        <v>2.1154999999999999</v>
      </c>
      <c r="I98" s="77">
        <f t="shared" si="6"/>
        <v>6.5421886078941087</v>
      </c>
      <c r="J98" s="53">
        <v>45005</v>
      </c>
      <c r="K98" s="78">
        <v>45065</v>
      </c>
      <c r="L98" s="76">
        <f t="shared" si="7"/>
        <v>60</v>
      </c>
      <c r="M98" s="76">
        <v>1.5476000000000001</v>
      </c>
      <c r="N98" s="76">
        <f t="shared" si="8"/>
        <v>0.56789999999999985</v>
      </c>
      <c r="O98" s="76">
        <v>1.3391</v>
      </c>
      <c r="P98" s="76">
        <v>0.1406</v>
      </c>
      <c r="Q98" s="76">
        <v>6.7299999999999999E-2</v>
      </c>
      <c r="R98" s="79">
        <f t="shared" si="9"/>
        <v>1.9076</v>
      </c>
      <c r="S98" s="76">
        <f t="shared" si="10"/>
        <v>29.80184525057664</v>
      </c>
      <c r="U98" s="18">
        <f t="shared" si="11"/>
        <v>70.198154749423352</v>
      </c>
    </row>
    <row r="99" spans="1:21" x14ac:dyDescent="0.25">
      <c r="A99" s="76" t="s">
        <v>479</v>
      </c>
      <c r="B99" s="76" t="s">
        <v>783</v>
      </c>
      <c r="C99" s="76" t="s">
        <v>16</v>
      </c>
      <c r="D99" s="76" t="s">
        <v>18</v>
      </c>
      <c r="E99" s="76">
        <v>2</v>
      </c>
      <c r="F99" s="84" t="s">
        <v>925</v>
      </c>
      <c r="G99" s="76">
        <v>2.1545000000000001</v>
      </c>
      <c r="H99" s="76">
        <v>2.0236000000000001</v>
      </c>
      <c r="I99" s="77">
        <f t="shared" si="6"/>
        <v>6.4686696975686893</v>
      </c>
      <c r="J99" s="53">
        <v>45005</v>
      </c>
      <c r="K99" s="78">
        <v>45065</v>
      </c>
      <c r="L99" s="76">
        <f t="shared" si="7"/>
        <v>60</v>
      </c>
      <c r="M99" s="76">
        <v>1.5266999999999999</v>
      </c>
      <c r="N99" s="76">
        <f t="shared" si="8"/>
        <v>0.49690000000000012</v>
      </c>
      <c r="O99" s="76">
        <v>1.3229</v>
      </c>
      <c r="P99" s="76">
        <v>0.13189999999999999</v>
      </c>
      <c r="Q99" s="76">
        <v>7.0300000000000001E-2</v>
      </c>
      <c r="R99" s="79">
        <f t="shared" si="9"/>
        <v>1.8214000000000001</v>
      </c>
      <c r="S99" s="76">
        <f t="shared" si="10"/>
        <v>27.369056769517957</v>
      </c>
      <c r="U99" s="18">
        <f t="shared" si="11"/>
        <v>72.630943230482032</v>
      </c>
    </row>
    <row r="100" spans="1:21" x14ac:dyDescent="0.25">
      <c r="A100" s="76" t="s">
        <v>479</v>
      </c>
      <c r="B100" s="76" t="s">
        <v>783</v>
      </c>
      <c r="C100" s="76" t="s">
        <v>16</v>
      </c>
      <c r="D100" s="76" t="s">
        <v>19</v>
      </c>
      <c r="E100" s="76">
        <v>1</v>
      </c>
      <c r="F100" s="84" t="s">
        <v>926</v>
      </c>
      <c r="G100" s="76">
        <v>2.3252000000000002</v>
      </c>
      <c r="H100" s="76">
        <v>2.1839</v>
      </c>
      <c r="I100" s="77">
        <f t="shared" si="6"/>
        <v>6.4700764687027883</v>
      </c>
      <c r="J100" s="53">
        <v>45005</v>
      </c>
      <c r="K100" s="78">
        <v>45065</v>
      </c>
      <c r="L100" s="76">
        <f t="shared" si="7"/>
        <v>60</v>
      </c>
      <c r="M100" s="76">
        <v>1.5021</v>
      </c>
      <c r="N100" s="76">
        <f t="shared" si="8"/>
        <v>0.68179999999999996</v>
      </c>
      <c r="O100" s="76">
        <v>1.2984</v>
      </c>
      <c r="P100" s="76">
        <v>0.13930000000000001</v>
      </c>
      <c r="Q100" s="76">
        <v>6.4600000000000005E-2</v>
      </c>
      <c r="R100" s="79">
        <f t="shared" si="9"/>
        <v>1.98</v>
      </c>
      <c r="S100" s="76">
        <f t="shared" si="10"/>
        <v>34.424242424242422</v>
      </c>
      <c r="U100" s="18">
        <f t="shared" si="11"/>
        <v>65.575757575757578</v>
      </c>
    </row>
    <row r="101" spans="1:21" x14ac:dyDescent="0.25">
      <c r="A101" s="76" t="s">
        <v>479</v>
      </c>
      <c r="B101" s="76" t="s">
        <v>783</v>
      </c>
      <c r="C101" s="76" t="s">
        <v>16</v>
      </c>
      <c r="D101" s="76" t="s">
        <v>20</v>
      </c>
      <c r="E101" s="76">
        <v>1</v>
      </c>
      <c r="F101" s="84" t="s">
        <v>927</v>
      </c>
      <c r="G101" s="76">
        <v>2.2770999999999999</v>
      </c>
      <c r="H101" s="76">
        <v>2.1423999999999999</v>
      </c>
      <c r="I101" s="77">
        <f t="shared" si="6"/>
        <v>6.287341299477224</v>
      </c>
      <c r="J101" s="53">
        <v>45005</v>
      </c>
      <c r="K101" s="78">
        <v>45065</v>
      </c>
      <c r="L101" s="76">
        <v>60</v>
      </c>
      <c r="M101" s="76">
        <v>1.4941</v>
      </c>
      <c r="N101" s="76">
        <f t="shared" si="8"/>
        <v>0.64829999999999988</v>
      </c>
      <c r="O101" s="76">
        <v>1.2878000000000001</v>
      </c>
      <c r="P101" s="76">
        <v>0.14360000000000001</v>
      </c>
      <c r="Q101" s="76">
        <v>6.1100000000000002E-2</v>
      </c>
      <c r="R101" s="79">
        <f t="shared" si="9"/>
        <v>1.9377</v>
      </c>
      <c r="S101" s="76">
        <f t="shared" si="10"/>
        <v>33.539763637301952</v>
      </c>
      <c r="U101" s="18">
        <f t="shared" si="11"/>
        <v>66.460236362698041</v>
      </c>
    </row>
    <row r="102" spans="1:21" x14ac:dyDescent="0.25">
      <c r="A102" s="76" t="s">
        <v>479</v>
      </c>
      <c r="B102" s="76" t="s">
        <v>783</v>
      </c>
      <c r="C102" s="76" t="s">
        <v>16</v>
      </c>
      <c r="D102" s="76" t="s">
        <v>20</v>
      </c>
      <c r="E102" s="76">
        <v>2</v>
      </c>
      <c r="F102" s="84" t="s">
        <v>928</v>
      </c>
      <c r="G102" s="76">
        <v>2.2551000000000001</v>
      </c>
      <c r="H102" s="76">
        <v>2.1223000000000001</v>
      </c>
      <c r="I102" s="77">
        <f t="shared" si="6"/>
        <v>6.2573622956226744</v>
      </c>
      <c r="J102" s="53">
        <v>45005</v>
      </c>
      <c r="K102" s="78">
        <v>45065</v>
      </c>
      <c r="L102" s="76">
        <f t="shared" si="7"/>
        <v>60</v>
      </c>
      <c r="M102" s="76">
        <v>1.4630000000000001</v>
      </c>
      <c r="N102" s="76">
        <f t="shared" si="8"/>
        <v>0.6593</v>
      </c>
      <c r="O102" s="76">
        <v>1.2554000000000001</v>
      </c>
      <c r="P102" s="76">
        <v>0.1381</v>
      </c>
      <c r="Q102" s="76">
        <v>6.9000000000000006E-2</v>
      </c>
      <c r="R102" s="79">
        <f t="shared" si="9"/>
        <v>1.9152</v>
      </c>
      <c r="S102" s="76">
        <f t="shared" si="10"/>
        <v>34.450710108604845</v>
      </c>
      <c r="U102" s="18">
        <f t="shared" si="11"/>
        <v>65.549289891395162</v>
      </c>
    </row>
    <row r="103" spans="1:21" x14ac:dyDescent="0.25">
      <c r="F103" s="260" t="s">
        <v>119</v>
      </c>
      <c r="G103" s="258">
        <f>AVERAGE(G56:G102)</f>
        <v>2.3041276595744677</v>
      </c>
      <c r="H103" s="14">
        <f>AVERAGE(H56:H102)</f>
        <v>2.1604212765957445</v>
      </c>
      <c r="O103" s="15"/>
      <c r="P103" s="16"/>
      <c r="Q103" s="16"/>
    </row>
    <row r="104" spans="1:21" x14ac:dyDescent="0.25">
      <c r="F104" s="259" t="s">
        <v>120</v>
      </c>
      <c r="G104" s="14">
        <f>STDEV(G56:G102)</f>
        <v>5.1886295845601123E-2</v>
      </c>
      <c r="H104" s="14">
        <f>STDEV(H56:H102)</f>
        <v>4.9982335732650575E-2</v>
      </c>
      <c r="O104" s="15"/>
      <c r="P104" s="16"/>
      <c r="Q104" s="16"/>
    </row>
    <row r="105" spans="1:21" x14ac:dyDescent="0.25">
      <c r="F105" s="13" t="s">
        <v>121</v>
      </c>
      <c r="G105" s="14">
        <f>CONFIDENCE(0.05,G104,COUNT(G56:G102))</f>
        <v>1.4833779861462013E-2</v>
      </c>
      <c r="H105" s="14">
        <f>CONFIDENCE(0.05,H104,COUNT(H56:H95))</f>
        <v>1.54894016950378E-2</v>
      </c>
      <c r="O105" s="15"/>
      <c r="P105" s="16"/>
      <c r="Q105" s="16"/>
    </row>
    <row r="106" spans="1:21" x14ac:dyDescent="0.25">
      <c r="F106" s="13" t="s">
        <v>122</v>
      </c>
      <c r="G106" s="14">
        <f>G103-G105</f>
        <v>2.2892938797130058</v>
      </c>
      <c r="H106" s="14">
        <f>H103-H105</f>
        <v>2.1449318749007067</v>
      </c>
      <c r="O106" s="15"/>
      <c r="P106" s="16"/>
      <c r="Q106" s="16"/>
    </row>
    <row r="107" spans="1:21" x14ac:dyDescent="0.25">
      <c r="F107" s="13" t="s">
        <v>123</v>
      </c>
      <c r="G107" s="14">
        <f>G103+G106</f>
        <v>4.5934215392874735</v>
      </c>
      <c r="H107" s="14">
        <f>H103+H106</f>
        <v>4.3053531514964511</v>
      </c>
      <c r="O107" s="15"/>
      <c r="P107" s="16"/>
      <c r="Q107" s="16"/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34" workbookViewId="0">
      <selection activeCell="H43" sqref="H43"/>
    </sheetView>
  </sheetViews>
  <sheetFormatPr baseColWidth="10" defaultRowHeight="15" x14ac:dyDescent="0.25"/>
  <cols>
    <col min="1" max="1" width="11.28515625" customWidth="1"/>
    <col min="2" max="2" width="14.42578125" customWidth="1"/>
    <col min="3" max="3" width="12.140625" customWidth="1"/>
    <col min="4" max="5" width="14.7109375" style="6" customWidth="1"/>
    <col min="8" max="8" width="16.85546875" customWidth="1"/>
  </cols>
  <sheetData>
    <row r="1" spans="1:8" ht="45" x14ac:dyDescent="0.25">
      <c r="A1" s="9" t="s">
        <v>1</v>
      </c>
      <c r="B1" s="9" t="s">
        <v>39</v>
      </c>
      <c r="C1" s="10" t="s">
        <v>0</v>
      </c>
      <c r="D1" s="11" t="s">
        <v>97</v>
      </c>
      <c r="E1" s="11" t="s">
        <v>98</v>
      </c>
      <c r="F1" s="11" t="s">
        <v>117</v>
      </c>
      <c r="G1" s="11" t="s">
        <v>118</v>
      </c>
      <c r="H1" s="11" t="s">
        <v>318</v>
      </c>
    </row>
    <row r="2" spans="1:8" x14ac:dyDescent="0.25">
      <c r="A2" s="88" t="s">
        <v>474</v>
      </c>
      <c r="B2" s="87" t="s">
        <v>100</v>
      </c>
      <c r="C2" s="9" t="s">
        <v>728</v>
      </c>
      <c r="D2" s="8">
        <f>18.7*2.54</f>
        <v>47.497999999999998</v>
      </c>
      <c r="E2" s="8">
        <f>22.3*2.54</f>
        <v>56.642000000000003</v>
      </c>
      <c r="F2">
        <f>30*2.54</f>
        <v>76.2</v>
      </c>
      <c r="G2">
        <f t="shared" ref="G2:G50" si="0">(F2+10)-E2</f>
        <v>29.558</v>
      </c>
      <c r="H2" s="4">
        <f>AVERAGE(G2:G9)</f>
        <v>25.906750000000002</v>
      </c>
    </row>
    <row r="3" spans="1:8" x14ac:dyDescent="0.25">
      <c r="A3" s="88" t="s">
        <v>474</v>
      </c>
      <c r="B3" s="87" t="s">
        <v>100</v>
      </c>
      <c r="C3" s="9" t="s">
        <v>729</v>
      </c>
      <c r="D3" s="8">
        <f>19.5*2.54</f>
        <v>49.53</v>
      </c>
      <c r="E3" s="8">
        <f>24*2.54</f>
        <v>60.96</v>
      </c>
      <c r="F3">
        <f>29.25*2.54</f>
        <v>74.295000000000002</v>
      </c>
      <c r="G3">
        <f t="shared" si="0"/>
        <v>23.335000000000001</v>
      </c>
    </row>
    <row r="4" spans="1:8" x14ac:dyDescent="0.25">
      <c r="A4" s="88" t="s">
        <v>474</v>
      </c>
      <c r="B4" s="87" t="s">
        <v>100</v>
      </c>
      <c r="C4" s="9" t="s">
        <v>730</v>
      </c>
      <c r="D4" s="8">
        <f>20.4*2.54</f>
        <v>51.815999999999995</v>
      </c>
      <c r="E4" s="8">
        <f>24.1*2.54</f>
        <v>61.214000000000006</v>
      </c>
      <c r="F4">
        <f>29.75*2.54</f>
        <v>75.564999999999998</v>
      </c>
      <c r="G4">
        <f t="shared" si="0"/>
        <v>24.350999999999992</v>
      </c>
    </row>
    <row r="5" spans="1:8" x14ac:dyDescent="0.25">
      <c r="A5" s="88" t="s">
        <v>474</v>
      </c>
      <c r="B5" s="87" t="s">
        <v>100</v>
      </c>
      <c r="C5" s="9" t="s">
        <v>731</v>
      </c>
      <c r="D5" s="8">
        <f>21.3*2.54</f>
        <v>54.102000000000004</v>
      </c>
      <c r="E5" s="8">
        <f>24*2.54</f>
        <v>60.96</v>
      </c>
      <c r="F5">
        <f>30*2.54</f>
        <v>76.2</v>
      </c>
      <c r="G5">
        <f t="shared" si="0"/>
        <v>25.240000000000002</v>
      </c>
    </row>
    <row r="6" spans="1:8" x14ac:dyDescent="0.25">
      <c r="A6" s="88" t="s">
        <v>474</v>
      </c>
      <c r="B6" s="87" t="s">
        <v>100</v>
      </c>
      <c r="C6" s="9" t="s">
        <v>732</v>
      </c>
      <c r="D6" s="8">
        <f>19.8*2.54</f>
        <v>50.292000000000002</v>
      </c>
      <c r="E6" s="8">
        <f>23*2.54</f>
        <v>58.42</v>
      </c>
      <c r="F6">
        <f>30*2.54</f>
        <v>76.2</v>
      </c>
      <c r="G6">
        <f t="shared" si="0"/>
        <v>27.78</v>
      </c>
    </row>
    <row r="7" spans="1:8" x14ac:dyDescent="0.25">
      <c r="A7" s="88" t="s">
        <v>474</v>
      </c>
      <c r="B7" s="87" t="s">
        <v>100</v>
      </c>
      <c r="C7" s="9" t="s">
        <v>733</v>
      </c>
      <c r="D7" s="8">
        <f>20.8*2.54</f>
        <v>52.832000000000001</v>
      </c>
      <c r="E7" s="8">
        <f>24*2.54</f>
        <v>60.96</v>
      </c>
      <c r="F7">
        <f>29.5*2.54</f>
        <v>74.930000000000007</v>
      </c>
      <c r="G7">
        <f t="shared" si="0"/>
        <v>23.970000000000006</v>
      </c>
    </row>
    <row r="8" spans="1:8" x14ac:dyDescent="0.25">
      <c r="A8" s="88" t="s">
        <v>474</v>
      </c>
      <c r="B8" s="87" t="s">
        <v>100</v>
      </c>
      <c r="C8" s="9" t="s">
        <v>734</v>
      </c>
      <c r="D8" s="8">
        <f>19.2*2.54</f>
        <v>48.768000000000001</v>
      </c>
      <c r="E8" s="8">
        <f>22*2.54</f>
        <v>55.88</v>
      </c>
      <c r="F8">
        <f>29*2.54</f>
        <v>73.66</v>
      </c>
      <c r="G8">
        <f t="shared" si="0"/>
        <v>27.779999999999994</v>
      </c>
    </row>
    <row r="9" spans="1:8" x14ac:dyDescent="0.25">
      <c r="A9" s="88" t="s">
        <v>474</v>
      </c>
      <c r="B9" s="87" t="s">
        <v>100</v>
      </c>
      <c r="C9" s="9" t="s">
        <v>735</v>
      </c>
      <c r="D9" s="8">
        <f>20.5*2.54</f>
        <v>52.07</v>
      </c>
      <c r="E9" s="8">
        <f>23*2.54</f>
        <v>58.42</v>
      </c>
      <c r="F9">
        <f>29*2.54</f>
        <v>73.66</v>
      </c>
      <c r="G9">
        <f t="shared" si="0"/>
        <v>25.239999999999995</v>
      </c>
    </row>
    <row r="10" spans="1:8" x14ac:dyDescent="0.25">
      <c r="A10" s="88" t="s">
        <v>475</v>
      </c>
      <c r="B10" s="87" t="s">
        <v>327</v>
      </c>
      <c r="C10" s="9" t="s">
        <v>881</v>
      </c>
      <c r="D10" s="8">
        <f>19.5*2.54</f>
        <v>49.53</v>
      </c>
      <c r="E10" s="8">
        <f>26.2*2.54</f>
        <v>66.548000000000002</v>
      </c>
      <c r="F10">
        <f>29.9*2.54</f>
        <v>75.945999999999998</v>
      </c>
      <c r="G10">
        <f t="shared" si="0"/>
        <v>19.397999999999996</v>
      </c>
    </row>
    <row r="11" spans="1:8" x14ac:dyDescent="0.25">
      <c r="A11" s="88" t="s">
        <v>475</v>
      </c>
      <c r="B11" s="87" t="s">
        <v>327</v>
      </c>
      <c r="C11" s="9" t="s">
        <v>849</v>
      </c>
      <c r="D11" s="8">
        <f>13.1*2.54</f>
        <v>33.274000000000001</v>
      </c>
      <c r="E11" s="8">
        <f>23*2.54</f>
        <v>58.42</v>
      </c>
      <c r="F11">
        <f>30.9*2.54</f>
        <v>78.486000000000004</v>
      </c>
      <c r="G11">
        <f t="shared" si="0"/>
        <v>30.066000000000003</v>
      </c>
    </row>
    <row r="12" spans="1:8" x14ac:dyDescent="0.25">
      <c r="A12" s="88" t="s">
        <v>475</v>
      </c>
      <c r="B12" s="87" t="s">
        <v>327</v>
      </c>
      <c r="C12" s="9" t="s">
        <v>850</v>
      </c>
      <c r="D12" s="8">
        <f>11.5*2.54</f>
        <v>29.21</v>
      </c>
      <c r="E12" s="8">
        <f>20*2.54</f>
        <v>50.8</v>
      </c>
      <c r="F12">
        <f>30.4*2.54</f>
        <v>77.215999999999994</v>
      </c>
      <c r="G12">
        <f t="shared" si="0"/>
        <v>36.415999999999997</v>
      </c>
      <c r="H12" s="4">
        <f>AVERAGE(G11:G18)</f>
        <v>26.002000000000002</v>
      </c>
    </row>
    <row r="13" spans="1:8" x14ac:dyDescent="0.25">
      <c r="A13" s="88" t="s">
        <v>475</v>
      </c>
      <c r="B13" s="87" t="s">
        <v>327</v>
      </c>
      <c r="C13" s="9" t="s">
        <v>851</v>
      </c>
      <c r="D13" s="8">
        <f>22.2*2.54</f>
        <v>56.387999999999998</v>
      </c>
      <c r="E13" s="8">
        <f>27.5*2.54</f>
        <v>69.849999999999994</v>
      </c>
      <c r="F13">
        <f>29.7*2.54</f>
        <v>75.438000000000002</v>
      </c>
      <c r="G13">
        <f t="shared" si="0"/>
        <v>15.588000000000008</v>
      </c>
    </row>
    <row r="14" spans="1:8" x14ac:dyDescent="0.25">
      <c r="A14" s="88" t="s">
        <v>475</v>
      </c>
      <c r="B14" s="87" t="s">
        <v>327</v>
      </c>
      <c r="C14" s="9" t="s">
        <v>852</v>
      </c>
      <c r="D14" s="8">
        <f>21.3*2.54</f>
        <v>54.102000000000004</v>
      </c>
      <c r="E14" s="8">
        <f>25*2.54</f>
        <v>63.5</v>
      </c>
      <c r="F14">
        <f>29.8*2.54</f>
        <v>75.692000000000007</v>
      </c>
      <c r="G14">
        <f t="shared" si="0"/>
        <v>22.192000000000007</v>
      </c>
    </row>
    <row r="15" spans="1:8" x14ac:dyDescent="0.25">
      <c r="A15" s="88" t="s">
        <v>475</v>
      </c>
      <c r="B15" s="87" t="s">
        <v>327</v>
      </c>
      <c r="C15" s="9" t="s">
        <v>853</v>
      </c>
      <c r="D15" s="8">
        <f>17.5*2.54</f>
        <v>44.45</v>
      </c>
      <c r="E15" s="8">
        <f>22*2.54</f>
        <v>55.88</v>
      </c>
      <c r="F15">
        <f>30.8*2.54</f>
        <v>78.231999999999999</v>
      </c>
      <c r="G15">
        <f t="shared" si="0"/>
        <v>32.351999999999997</v>
      </c>
    </row>
    <row r="16" spans="1:8" x14ac:dyDescent="0.25">
      <c r="A16" s="88" t="s">
        <v>475</v>
      </c>
      <c r="B16" s="87" t="s">
        <v>327</v>
      </c>
      <c r="C16" s="9" t="s">
        <v>854</v>
      </c>
      <c r="D16" s="8">
        <f>17.8*2.54</f>
        <v>45.212000000000003</v>
      </c>
      <c r="E16" s="8">
        <f>22.5*2.54</f>
        <v>57.15</v>
      </c>
      <c r="F16">
        <f>28.9*2.54</f>
        <v>73.405999999999992</v>
      </c>
      <c r="G16">
        <f t="shared" si="0"/>
        <v>26.255999999999993</v>
      </c>
    </row>
    <row r="17" spans="1:8" x14ac:dyDescent="0.25">
      <c r="A17" s="88" t="s">
        <v>475</v>
      </c>
      <c r="B17" s="87" t="s">
        <v>327</v>
      </c>
      <c r="C17" s="9" t="s">
        <v>855</v>
      </c>
      <c r="D17" s="8">
        <f>19.9*2.54</f>
        <v>50.545999999999999</v>
      </c>
      <c r="E17" s="8">
        <f>26.1*2.54</f>
        <v>66.294000000000011</v>
      </c>
      <c r="F17">
        <f>30.1*2.54</f>
        <v>76.454000000000008</v>
      </c>
      <c r="G17">
        <f t="shared" si="0"/>
        <v>20.159999999999997</v>
      </c>
    </row>
    <row r="18" spans="1:8" x14ac:dyDescent="0.25">
      <c r="A18" s="88" t="s">
        <v>475</v>
      </c>
      <c r="B18" s="87" t="s">
        <v>327</v>
      </c>
      <c r="C18" s="9" t="s">
        <v>856</v>
      </c>
      <c r="D18" s="8">
        <f>22.5*2.54</f>
        <v>57.15</v>
      </c>
      <c r="E18" s="8">
        <f>25*2.54</f>
        <v>63.5</v>
      </c>
      <c r="F18">
        <f>30.9*2.54</f>
        <v>78.486000000000004</v>
      </c>
      <c r="G18">
        <f t="shared" si="0"/>
        <v>24.986000000000004</v>
      </c>
    </row>
    <row r="19" spans="1:8" x14ac:dyDescent="0.25">
      <c r="A19" s="88" t="s">
        <v>476</v>
      </c>
      <c r="B19" s="87" t="s">
        <v>328</v>
      </c>
      <c r="C19" s="9" t="s">
        <v>857</v>
      </c>
      <c r="D19" s="8">
        <f>19.3*2.54</f>
        <v>49.022000000000006</v>
      </c>
      <c r="E19" s="8">
        <f>23.3*2.54</f>
        <v>59.182000000000002</v>
      </c>
      <c r="F19">
        <f>29.2*2.54</f>
        <v>74.167999999999992</v>
      </c>
      <c r="G19">
        <f t="shared" si="0"/>
        <v>24.98599999999999</v>
      </c>
      <c r="H19" s="4">
        <f>AVERAGE(G19:G26)</f>
        <v>19.461499999999997</v>
      </c>
    </row>
    <row r="20" spans="1:8" x14ac:dyDescent="0.25">
      <c r="A20" s="88" t="s">
        <v>476</v>
      </c>
      <c r="B20" s="87" t="s">
        <v>328</v>
      </c>
      <c r="C20" s="9" t="s">
        <v>858</v>
      </c>
      <c r="D20" s="8">
        <f>21*2.54</f>
        <v>53.34</v>
      </c>
      <c r="E20" s="8">
        <f>25*2.54</f>
        <v>63.5</v>
      </c>
      <c r="F20">
        <f>29.5*2.54</f>
        <v>74.930000000000007</v>
      </c>
      <c r="G20">
        <f t="shared" si="0"/>
        <v>21.430000000000007</v>
      </c>
    </row>
    <row r="21" spans="1:8" x14ac:dyDescent="0.25">
      <c r="A21" s="88" t="s">
        <v>476</v>
      </c>
      <c r="B21" s="87" t="s">
        <v>328</v>
      </c>
      <c r="C21" s="9" t="s">
        <v>859</v>
      </c>
      <c r="D21" s="8" t="s">
        <v>61</v>
      </c>
      <c r="E21" s="8">
        <f>24*2.54</f>
        <v>60.96</v>
      </c>
      <c r="F21">
        <f>28.9*2.54</f>
        <v>73.405999999999992</v>
      </c>
      <c r="G21">
        <f t="shared" si="0"/>
        <v>22.445999999999991</v>
      </c>
    </row>
    <row r="22" spans="1:8" x14ac:dyDescent="0.25">
      <c r="A22" s="88" t="s">
        <v>476</v>
      </c>
      <c r="B22" s="87" t="s">
        <v>328</v>
      </c>
      <c r="C22" s="9" t="s">
        <v>860</v>
      </c>
      <c r="D22" s="8" t="s">
        <v>61</v>
      </c>
      <c r="E22" s="8">
        <f>25.5*2.54</f>
        <v>64.77</v>
      </c>
      <c r="F22">
        <f>28.8*2.54</f>
        <v>73.152000000000001</v>
      </c>
      <c r="G22">
        <f t="shared" si="0"/>
        <v>18.382000000000005</v>
      </c>
    </row>
    <row r="23" spans="1:8" x14ac:dyDescent="0.25">
      <c r="A23" s="88" t="s">
        <v>476</v>
      </c>
      <c r="B23" s="87" t="s">
        <v>328</v>
      </c>
      <c r="C23" s="9" t="s">
        <v>861</v>
      </c>
      <c r="D23" s="8">
        <f>21.2*2.54</f>
        <v>53.847999999999999</v>
      </c>
      <c r="E23" s="8">
        <f>26.4*2.54</f>
        <v>67.055999999999997</v>
      </c>
      <c r="F23">
        <f>29.1*2.54</f>
        <v>73.914000000000001</v>
      </c>
      <c r="G23">
        <f t="shared" si="0"/>
        <v>16.858000000000004</v>
      </c>
    </row>
    <row r="24" spans="1:8" x14ac:dyDescent="0.25">
      <c r="A24" s="88" t="s">
        <v>476</v>
      </c>
      <c r="B24" s="87" t="s">
        <v>328</v>
      </c>
      <c r="C24" s="9" t="s">
        <v>862</v>
      </c>
      <c r="D24" s="8">
        <f>20.4*2.54</f>
        <v>51.815999999999995</v>
      </c>
      <c r="E24" s="8">
        <f>25.5*2.54</f>
        <v>64.77</v>
      </c>
      <c r="F24">
        <f>28.9*2.54</f>
        <v>73.405999999999992</v>
      </c>
      <c r="G24">
        <f t="shared" si="0"/>
        <v>18.635999999999996</v>
      </c>
    </row>
    <row r="25" spans="1:8" x14ac:dyDescent="0.25">
      <c r="A25" s="88" t="s">
        <v>476</v>
      </c>
      <c r="B25" s="87" t="s">
        <v>328</v>
      </c>
      <c r="C25" s="9" t="s">
        <v>863</v>
      </c>
      <c r="D25" s="8">
        <f>20.9*2.54</f>
        <v>53.085999999999999</v>
      </c>
      <c r="E25" s="8">
        <f>27*2.54</f>
        <v>68.58</v>
      </c>
      <c r="F25">
        <f>29.9*2.54</f>
        <v>75.945999999999998</v>
      </c>
      <c r="G25">
        <f t="shared" si="0"/>
        <v>17.366</v>
      </c>
    </row>
    <row r="26" spans="1:8" x14ac:dyDescent="0.25">
      <c r="A26" s="88" t="s">
        <v>476</v>
      </c>
      <c r="B26" s="87" t="s">
        <v>328</v>
      </c>
      <c r="C26" s="9" t="s">
        <v>864</v>
      </c>
      <c r="D26" s="8">
        <f>20.4*2.54</f>
        <v>51.815999999999995</v>
      </c>
      <c r="E26" s="8">
        <f>26.8*2.54</f>
        <v>68.072000000000003</v>
      </c>
      <c r="F26">
        <f>29*2.54</f>
        <v>73.66</v>
      </c>
      <c r="G26">
        <f t="shared" si="0"/>
        <v>15.587999999999994</v>
      </c>
    </row>
    <row r="27" spans="1:8" x14ac:dyDescent="0.25">
      <c r="A27" s="88" t="s">
        <v>478</v>
      </c>
      <c r="B27" s="87" t="s">
        <v>329</v>
      </c>
      <c r="C27" s="9" t="s">
        <v>865</v>
      </c>
      <c r="D27" s="8" t="s">
        <v>61</v>
      </c>
      <c r="E27" s="8">
        <f>28*2.54</f>
        <v>71.12</v>
      </c>
      <c r="F27">
        <f>30*2.54</f>
        <v>76.2</v>
      </c>
      <c r="G27">
        <f t="shared" si="0"/>
        <v>15.079999999999998</v>
      </c>
    </row>
    <row r="28" spans="1:8" x14ac:dyDescent="0.25">
      <c r="A28" s="88" t="s">
        <v>478</v>
      </c>
      <c r="B28" s="87" t="s">
        <v>329</v>
      </c>
      <c r="C28" s="9" t="s">
        <v>866</v>
      </c>
      <c r="D28" s="8" t="s">
        <v>61</v>
      </c>
      <c r="E28" s="8">
        <f>29*2.54</f>
        <v>73.66</v>
      </c>
      <c r="F28">
        <f>30.8*2.54</f>
        <v>78.231999999999999</v>
      </c>
      <c r="G28">
        <f t="shared" si="0"/>
        <v>14.572000000000003</v>
      </c>
      <c r="H28" s="4">
        <f>AVERAGE(G27:G34)</f>
        <v>15.1435</v>
      </c>
    </row>
    <row r="29" spans="1:8" x14ac:dyDescent="0.25">
      <c r="A29" s="88" t="s">
        <v>478</v>
      </c>
      <c r="B29" s="87" t="s">
        <v>329</v>
      </c>
      <c r="C29" s="9" t="s">
        <v>867</v>
      </c>
      <c r="D29" s="8" t="s">
        <v>61</v>
      </c>
      <c r="E29" s="8">
        <f>27.5*2.54</f>
        <v>69.849999999999994</v>
      </c>
      <c r="F29">
        <f>30*2.54</f>
        <v>76.2</v>
      </c>
      <c r="G29">
        <f t="shared" si="0"/>
        <v>16.350000000000009</v>
      </c>
    </row>
    <row r="30" spans="1:8" x14ac:dyDescent="0.25">
      <c r="A30" s="88" t="s">
        <v>478</v>
      </c>
      <c r="B30" s="87" t="s">
        <v>329</v>
      </c>
      <c r="C30" s="9" t="s">
        <v>868</v>
      </c>
      <c r="D30" s="8" t="s">
        <v>61</v>
      </c>
      <c r="E30" s="8">
        <f>28.3*2.54</f>
        <v>71.882000000000005</v>
      </c>
      <c r="F30">
        <f>31*2.54</f>
        <v>78.739999999999995</v>
      </c>
      <c r="G30">
        <f t="shared" si="0"/>
        <v>16.85799999999999</v>
      </c>
    </row>
    <row r="31" spans="1:8" x14ac:dyDescent="0.25">
      <c r="A31" s="88" t="s">
        <v>478</v>
      </c>
      <c r="B31" s="87" t="s">
        <v>329</v>
      </c>
      <c r="C31" s="9" t="s">
        <v>869</v>
      </c>
      <c r="D31" s="8" t="s">
        <v>61</v>
      </c>
      <c r="E31" s="8">
        <f>27*2.54</f>
        <v>68.58</v>
      </c>
      <c r="F31">
        <f>29.1*2.54</f>
        <v>73.914000000000001</v>
      </c>
      <c r="G31">
        <f t="shared" si="0"/>
        <v>15.334000000000003</v>
      </c>
    </row>
    <row r="32" spans="1:8" x14ac:dyDescent="0.25">
      <c r="A32" s="88" t="s">
        <v>478</v>
      </c>
      <c r="B32" s="87" t="s">
        <v>329</v>
      </c>
      <c r="C32" s="9" t="s">
        <v>870</v>
      </c>
      <c r="D32" s="8" t="s">
        <v>61</v>
      </c>
      <c r="E32" s="8">
        <f>26.5*2.54</f>
        <v>67.31</v>
      </c>
      <c r="F32">
        <f>29*2.54</f>
        <v>73.66</v>
      </c>
      <c r="G32">
        <f t="shared" si="0"/>
        <v>16.349999999999994</v>
      </c>
    </row>
    <row r="33" spans="1:8" x14ac:dyDescent="0.25">
      <c r="A33" s="88" t="s">
        <v>478</v>
      </c>
      <c r="B33" s="87" t="s">
        <v>329</v>
      </c>
      <c r="C33" s="9" t="s">
        <v>871</v>
      </c>
      <c r="D33" s="8" t="s">
        <v>61</v>
      </c>
      <c r="E33" s="8">
        <f>29.5*2.54</f>
        <v>74.930000000000007</v>
      </c>
      <c r="F33">
        <f>30.5*2.54</f>
        <v>77.47</v>
      </c>
      <c r="G33">
        <f t="shared" si="0"/>
        <v>12.539999999999992</v>
      </c>
    </row>
    <row r="34" spans="1:8" x14ac:dyDescent="0.25">
      <c r="A34" s="88" t="s">
        <v>478</v>
      </c>
      <c r="B34" s="87" t="s">
        <v>329</v>
      </c>
      <c r="C34" s="9" t="s">
        <v>872</v>
      </c>
      <c r="D34" s="8" t="s">
        <v>61</v>
      </c>
      <c r="E34" s="8">
        <f>29*2.54</f>
        <v>73.66</v>
      </c>
      <c r="F34">
        <f>30.6*2.54</f>
        <v>77.724000000000004</v>
      </c>
      <c r="G34">
        <f t="shared" si="0"/>
        <v>14.064000000000007</v>
      </c>
    </row>
    <row r="35" spans="1:8" x14ac:dyDescent="0.25">
      <c r="A35" s="88" t="s">
        <v>477</v>
      </c>
      <c r="B35" s="87" t="s">
        <v>330</v>
      </c>
      <c r="C35" s="9" t="s">
        <v>873</v>
      </c>
      <c r="D35" s="8" t="s">
        <v>61</v>
      </c>
      <c r="E35" s="8">
        <f>25.6*2.54</f>
        <v>65.024000000000001</v>
      </c>
      <c r="F35">
        <f>29.8*2.54</f>
        <v>75.692000000000007</v>
      </c>
      <c r="G35">
        <f t="shared" si="0"/>
        <v>20.668000000000006</v>
      </c>
    </row>
    <row r="36" spans="1:8" x14ac:dyDescent="0.25">
      <c r="A36" s="88" t="s">
        <v>477</v>
      </c>
      <c r="B36" s="87" t="s">
        <v>330</v>
      </c>
      <c r="C36" s="9" t="s">
        <v>874</v>
      </c>
      <c r="D36" s="8" t="s">
        <v>61</v>
      </c>
      <c r="E36" s="8">
        <f>27.5*2.54</f>
        <v>69.849999999999994</v>
      </c>
      <c r="F36">
        <f>30.3*2.54</f>
        <v>76.962000000000003</v>
      </c>
      <c r="G36">
        <f t="shared" si="0"/>
        <v>17.112000000000009</v>
      </c>
      <c r="H36" s="4">
        <f>AVERAGE(G35:G42)</f>
        <v>14.191000000000004</v>
      </c>
    </row>
    <row r="37" spans="1:8" x14ac:dyDescent="0.25">
      <c r="A37" s="88" t="s">
        <v>477</v>
      </c>
      <c r="B37" s="87" t="s">
        <v>330</v>
      </c>
      <c r="C37" s="9" t="s">
        <v>875</v>
      </c>
      <c r="D37" s="8" t="s">
        <v>61</v>
      </c>
      <c r="E37" s="8">
        <f>27.5*2.54</f>
        <v>69.849999999999994</v>
      </c>
      <c r="F37">
        <f>29.4*2.54</f>
        <v>74.676000000000002</v>
      </c>
      <c r="G37">
        <f t="shared" si="0"/>
        <v>14.826000000000008</v>
      </c>
    </row>
    <row r="38" spans="1:8" x14ac:dyDescent="0.25">
      <c r="A38" s="88" t="s">
        <v>477</v>
      </c>
      <c r="B38" s="87" t="s">
        <v>330</v>
      </c>
      <c r="C38" s="9" t="s">
        <v>876</v>
      </c>
      <c r="D38" s="8" t="s">
        <v>61</v>
      </c>
      <c r="E38" s="8">
        <f>29*2.54</f>
        <v>73.66</v>
      </c>
      <c r="F38">
        <f>29.4*2.54</f>
        <v>74.676000000000002</v>
      </c>
      <c r="G38">
        <f t="shared" si="0"/>
        <v>11.016000000000005</v>
      </c>
    </row>
    <row r="39" spans="1:8" x14ac:dyDescent="0.25">
      <c r="A39" s="88" t="s">
        <v>477</v>
      </c>
      <c r="B39" s="87" t="s">
        <v>330</v>
      </c>
      <c r="C39" s="9" t="s">
        <v>877</v>
      </c>
      <c r="D39" s="8" t="s">
        <v>61</v>
      </c>
      <c r="E39" s="8">
        <f>29*2.54</f>
        <v>73.66</v>
      </c>
      <c r="F39">
        <f>30.3*2.54</f>
        <v>76.962000000000003</v>
      </c>
      <c r="G39">
        <f t="shared" si="0"/>
        <v>13.302000000000007</v>
      </c>
    </row>
    <row r="40" spans="1:8" x14ac:dyDescent="0.25">
      <c r="A40" s="88" t="s">
        <v>477</v>
      </c>
      <c r="B40" s="87" t="s">
        <v>330</v>
      </c>
      <c r="C40" s="9" t="s">
        <v>878</v>
      </c>
      <c r="D40" s="8" t="s">
        <v>61</v>
      </c>
      <c r="E40" s="8">
        <f>29.5*2.54</f>
        <v>74.930000000000007</v>
      </c>
      <c r="F40">
        <f>30.4*2.54</f>
        <v>77.215999999999994</v>
      </c>
      <c r="G40">
        <f t="shared" si="0"/>
        <v>12.285999999999987</v>
      </c>
    </row>
    <row r="41" spans="1:8" x14ac:dyDescent="0.25">
      <c r="A41" s="88" t="s">
        <v>477</v>
      </c>
      <c r="B41" s="87" t="s">
        <v>330</v>
      </c>
      <c r="C41" s="9" t="s">
        <v>879</v>
      </c>
      <c r="D41" s="8" t="s">
        <v>61</v>
      </c>
      <c r="E41" s="8">
        <f>29*2.54</f>
        <v>73.66</v>
      </c>
      <c r="F41">
        <f>29.7*2.54</f>
        <v>75.438000000000002</v>
      </c>
      <c r="G41">
        <f t="shared" si="0"/>
        <v>11.778000000000006</v>
      </c>
    </row>
    <row r="42" spans="1:8" x14ac:dyDescent="0.25">
      <c r="A42" s="88" t="s">
        <v>477</v>
      </c>
      <c r="B42" s="87" t="s">
        <v>330</v>
      </c>
      <c r="C42" s="9" t="s">
        <v>880</v>
      </c>
      <c r="D42" s="8" t="s">
        <v>61</v>
      </c>
      <c r="E42" s="8">
        <f>29*2.54</f>
        <v>73.66</v>
      </c>
      <c r="F42">
        <f>30*2.54</f>
        <v>76.2</v>
      </c>
      <c r="G42">
        <f t="shared" si="0"/>
        <v>12.540000000000006</v>
      </c>
    </row>
    <row r="43" spans="1:8" x14ac:dyDescent="0.25">
      <c r="A43" s="261" t="s">
        <v>479</v>
      </c>
      <c r="B43" s="262" t="s">
        <v>331</v>
      </c>
      <c r="C43" s="263" t="s">
        <v>907</v>
      </c>
      <c r="D43" s="264">
        <f>9.2*2.54</f>
        <v>23.367999999999999</v>
      </c>
      <c r="E43" s="264">
        <f>25.5*2.54</f>
        <v>64.77</v>
      </c>
      <c r="F43" s="262">
        <f>28.9*2.54</f>
        <v>73.405999999999992</v>
      </c>
      <c r="G43" s="262">
        <f t="shared" si="0"/>
        <v>18.635999999999996</v>
      </c>
      <c r="H43" s="265">
        <f>AVERAGE(G43:G50)</f>
        <v>17.683499999999999</v>
      </c>
    </row>
    <row r="44" spans="1:8" x14ac:dyDescent="0.25">
      <c r="A44" s="261" t="s">
        <v>479</v>
      </c>
      <c r="B44" s="262" t="s">
        <v>331</v>
      </c>
      <c r="C44" s="263" t="s">
        <v>908</v>
      </c>
      <c r="D44" s="264">
        <f>8.5*2.54</f>
        <v>21.59</v>
      </c>
      <c r="E44" s="264">
        <f>25.3*2.54</f>
        <v>64.262</v>
      </c>
      <c r="F44" s="262">
        <f>29.1*2.54</f>
        <v>73.914000000000001</v>
      </c>
      <c r="G44" s="262">
        <f t="shared" si="0"/>
        <v>19.652000000000001</v>
      </c>
      <c r="H44" s="262"/>
    </row>
    <row r="45" spans="1:8" x14ac:dyDescent="0.25">
      <c r="A45" s="261" t="s">
        <v>479</v>
      </c>
      <c r="B45" s="262" t="s">
        <v>331</v>
      </c>
      <c r="C45" s="263" t="s">
        <v>909</v>
      </c>
      <c r="D45" s="264">
        <f>7.5*2.54</f>
        <v>19.05</v>
      </c>
      <c r="E45" s="264">
        <f>27*2.54</f>
        <v>68.58</v>
      </c>
      <c r="F45" s="262">
        <f>29.2*2.54</f>
        <v>74.167999999999992</v>
      </c>
      <c r="G45" s="262">
        <f t="shared" si="0"/>
        <v>15.587999999999994</v>
      </c>
      <c r="H45" s="262"/>
    </row>
    <row r="46" spans="1:8" x14ac:dyDescent="0.25">
      <c r="A46" s="261" t="s">
        <v>479</v>
      </c>
      <c r="B46" s="262" t="s">
        <v>331</v>
      </c>
      <c r="C46" s="263" t="s">
        <v>910</v>
      </c>
      <c r="D46" s="264">
        <f>10.5*2.54</f>
        <v>26.67</v>
      </c>
      <c r="E46" s="264">
        <f>23*2.54</f>
        <v>58.42</v>
      </c>
      <c r="F46" s="262">
        <f>29.8*2.54</f>
        <v>75.692000000000007</v>
      </c>
      <c r="G46" s="262">
        <f t="shared" si="0"/>
        <v>27.272000000000006</v>
      </c>
      <c r="H46" s="262"/>
    </row>
    <row r="47" spans="1:8" x14ac:dyDescent="0.25">
      <c r="A47" s="261" t="s">
        <v>479</v>
      </c>
      <c r="B47" s="262" t="s">
        <v>331</v>
      </c>
      <c r="C47" s="263" t="s">
        <v>911</v>
      </c>
      <c r="D47" s="264">
        <f>12.1*2.54</f>
        <v>30.733999999999998</v>
      </c>
      <c r="E47" s="264">
        <f>28*2.54</f>
        <v>71.12</v>
      </c>
      <c r="F47" s="262">
        <f>29*2.54</f>
        <v>73.66</v>
      </c>
      <c r="G47" s="262">
        <f t="shared" si="0"/>
        <v>12.539999999999992</v>
      </c>
      <c r="H47" s="262"/>
    </row>
    <row r="48" spans="1:8" x14ac:dyDescent="0.25">
      <c r="A48" s="261" t="s">
        <v>479</v>
      </c>
      <c r="B48" s="262" t="s">
        <v>331</v>
      </c>
      <c r="C48" s="263" t="s">
        <v>912</v>
      </c>
      <c r="D48" s="264">
        <f>11.8*2.54</f>
        <v>29.972000000000001</v>
      </c>
      <c r="E48" s="264">
        <f>28.1*2.54</f>
        <v>71.374000000000009</v>
      </c>
      <c r="F48" s="262">
        <f>30*2.54</f>
        <v>76.2</v>
      </c>
      <c r="G48" s="262">
        <f t="shared" si="0"/>
        <v>14.825999999999993</v>
      </c>
      <c r="H48" s="262"/>
    </row>
    <row r="49" spans="1:8" x14ac:dyDescent="0.25">
      <c r="A49" s="261" t="s">
        <v>479</v>
      </c>
      <c r="B49" s="262" t="s">
        <v>331</v>
      </c>
      <c r="C49" s="263" t="s">
        <v>913</v>
      </c>
      <c r="D49" s="264">
        <f>12.5*2.54</f>
        <v>31.75</v>
      </c>
      <c r="E49" s="264">
        <f>27.2*2.54</f>
        <v>69.087999999999994</v>
      </c>
      <c r="F49" s="262">
        <f>29.5*2.54</f>
        <v>74.930000000000007</v>
      </c>
      <c r="G49" s="262">
        <f t="shared" si="0"/>
        <v>15.842000000000013</v>
      </c>
      <c r="H49" s="262"/>
    </row>
    <row r="50" spans="1:8" x14ac:dyDescent="0.25">
      <c r="A50" s="266" t="s">
        <v>479</v>
      </c>
      <c r="B50" s="262" t="s">
        <v>331</v>
      </c>
      <c r="C50" s="263" t="s">
        <v>914</v>
      </c>
      <c r="D50" s="264">
        <f>12.5*2.54</f>
        <v>31.75</v>
      </c>
      <c r="E50" s="264">
        <f>26.2*2.54</f>
        <v>66.548000000000002</v>
      </c>
      <c r="F50" s="262">
        <f>29*2.54</f>
        <v>73.66</v>
      </c>
      <c r="G50" s="262">
        <f t="shared" si="0"/>
        <v>17.111999999999995</v>
      </c>
      <c r="H50" s="26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topLeftCell="A2" workbookViewId="0">
      <selection activeCell="L17" sqref="L17"/>
    </sheetView>
  </sheetViews>
  <sheetFormatPr baseColWidth="10" defaultRowHeight="15" x14ac:dyDescent="0.25"/>
  <sheetData>
    <row r="1" spans="1:14" ht="75" x14ac:dyDescent="0.25">
      <c r="A1" s="1" t="s">
        <v>0</v>
      </c>
      <c r="B1" s="2" t="s">
        <v>3</v>
      </c>
      <c r="C1" s="2" t="s">
        <v>11</v>
      </c>
      <c r="D1" s="2" t="s">
        <v>42</v>
      </c>
      <c r="E1" s="3" t="s">
        <v>2</v>
      </c>
      <c r="F1" s="1" t="s">
        <v>4</v>
      </c>
      <c r="G1" s="2" t="s">
        <v>5</v>
      </c>
      <c r="H1" s="3" t="s">
        <v>37</v>
      </c>
      <c r="I1" s="2" t="s">
        <v>6</v>
      </c>
      <c r="J1" s="3" t="s">
        <v>38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x14ac:dyDescent="0.25">
      <c r="A2" s="27" t="s">
        <v>273</v>
      </c>
      <c r="B2" s="27">
        <v>2.0781999999999998</v>
      </c>
      <c r="C2" s="30">
        <v>1.9669000000000001</v>
      </c>
      <c r="D2" s="28">
        <f t="shared" ref="D2:D6" si="0">((B2-C2)/C2)*100</f>
        <v>5.6586506685647322</v>
      </c>
      <c r="E2" s="60">
        <v>44788</v>
      </c>
      <c r="F2" s="29">
        <v>44848</v>
      </c>
      <c r="G2" s="27">
        <f t="shared" ref="G2:G6" si="1">F2-E2</f>
        <v>60</v>
      </c>
      <c r="H2" s="27">
        <v>0.53180000000000005</v>
      </c>
      <c r="I2" s="30">
        <f>C2-H2</f>
        <v>1.4351</v>
      </c>
      <c r="J2" s="27">
        <v>0.33579999999999999</v>
      </c>
      <c r="K2" s="27">
        <v>0.1351</v>
      </c>
      <c r="L2" s="27">
        <v>5.7299999999999997E-2</v>
      </c>
      <c r="M2" s="30">
        <f>C2-(K2+L2)</f>
        <v>1.7745000000000002</v>
      </c>
      <c r="N2" s="27">
        <f>((M2-J2)/M2)*100</f>
        <v>81.076359537898014</v>
      </c>
    </row>
    <row r="3" spans="1:14" x14ac:dyDescent="0.25">
      <c r="A3" s="27" t="s">
        <v>273</v>
      </c>
      <c r="B3" s="27">
        <v>2.0785</v>
      </c>
      <c r="C3" s="27">
        <v>1.9674</v>
      </c>
      <c r="D3" s="28">
        <f t="shared" si="0"/>
        <v>5.647046863881263</v>
      </c>
      <c r="E3" s="60">
        <v>44788</v>
      </c>
      <c r="F3" s="29">
        <v>44848</v>
      </c>
      <c r="G3" s="27">
        <f t="shared" si="1"/>
        <v>60</v>
      </c>
      <c r="H3" s="27">
        <v>0.53169999999999995</v>
      </c>
      <c r="I3" s="30">
        <f t="shared" ref="I3:I6" si="2">C3-H3</f>
        <v>1.4357000000000002</v>
      </c>
      <c r="J3" s="27">
        <v>0.3357</v>
      </c>
      <c r="K3" s="27">
        <v>0.13500000000000001</v>
      </c>
      <c r="L3" s="27">
        <v>5.7299999999999997E-2</v>
      </c>
      <c r="M3" s="30">
        <f t="shared" ref="M3:M6" si="3">C3-(K3+L3)</f>
        <v>1.7751000000000001</v>
      </c>
      <c r="N3" s="27">
        <f t="shared" ref="N3:N6" si="4">((M3-J3)/M3)*100</f>
        <v>81.088389386513427</v>
      </c>
    </row>
    <row r="4" spans="1:14" x14ac:dyDescent="0.25">
      <c r="A4" s="27" t="s">
        <v>273</v>
      </c>
      <c r="B4" s="27">
        <v>2.0787</v>
      </c>
      <c r="C4" s="30">
        <v>1.9677</v>
      </c>
      <c r="D4" s="28">
        <f t="shared" si="0"/>
        <v>5.6411038268028655</v>
      </c>
      <c r="E4" s="60">
        <v>44788</v>
      </c>
      <c r="F4" s="29">
        <v>44848</v>
      </c>
      <c r="G4" s="27">
        <f t="shared" si="1"/>
        <v>60</v>
      </c>
      <c r="H4" s="27">
        <v>0.53139999999999998</v>
      </c>
      <c r="I4" s="30">
        <f t="shared" si="2"/>
        <v>1.4363000000000001</v>
      </c>
      <c r="J4" s="27">
        <v>0.33579999999999999</v>
      </c>
      <c r="K4" s="27">
        <v>0.1348</v>
      </c>
      <c r="L4" s="27">
        <v>5.7200000000000001E-2</v>
      </c>
      <c r="M4" s="30">
        <f t="shared" si="3"/>
        <v>1.7757000000000001</v>
      </c>
      <c r="N4" s="27">
        <f t="shared" si="4"/>
        <v>81.089147941656819</v>
      </c>
    </row>
    <row r="5" spans="1:14" x14ac:dyDescent="0.25">
      <c r="A5" s="27" t="s">
        <v>273</v>
      </c>
      <c r="B5" s="27">
        <v>2.0790000000000002</v>
      </c>
      <c r="C5" s="30">
        <v>1.9681999999999999</v>
      </c>
      <c r="D5" s="28">
        <f t="shared" si="0"/>
        <v>5.6295091962199084</v>
      </c>
      <c r="E5" s="60">
        <v>44788</v>
      </c>
      <c r="F5" s="29">
        <v>44848</v>
      </c>
      <c r="G5" s="27">
        <f t="shared" si="1"/>
        <v>60</v>
      </c>
      <c r="H5" s="27">
        <v>0.53149999999999997</v>
      </c>
      <c r="I5" s="30">
        <f t="shared" si="2"/>
        <v>1.4367000000000001</v>
      </c>
      <c r="J5" s="27">
        <v>0.33589999999999998</v>
      </c>
      <c r="K5" s="27">
        <v>0.13500000000000001</v>
      </c>
      <c r="L5" s="27">
        <v>5.7299999999999997E-2</v>
      </c>
      <c r="M5" s="30">
        <f t="shared" si="3"/>
        <v>1.7759</v>
      </c>
      <c r="N5" s="27">
        <f t="shared" si="4"/>
        <v>81.085646714342019</v>
      </c>
    </row>
    <row r="6" spans="1:14" x14ac:dyDescent="0.25">
      <c r="A6" s="27" t="s">
        <v>273</v>
      </c>
      <c r="B6" s="27">
        <v>2.0790999999999999</v>
      </c>
      <c r="C6" s="27">
        <v>1.9683999999999999</v>
      </c>
      <c r="D6" s="28">
        <f t="shared" si="0"/>
        <v>5.6238569396464149</v>
      </c>
      <c r="E6" s="60">
        <v>44788</v>
      </c>
      <c r="F6" s="29">
        <v>44848</v>
      </c>
      <c r="G6" s="27">
        <f t="shared" si="1"/>
        <v>60</v>
      </c>
      <c r="H6" s="27">
        <v>0.53169999999999995</v>
      </c>
      <c r="I6" s="30">
        <f t="shared" si="2"/>
        <v>1.4367000000000001</v>
      </c>
      <c r="J6" s="27">
        <v>0.33610000000000001</v>
      </c>
      <c r="K6" s="27">
        <v>0.1351</v>
      </c>
      <c r="L6" s="27">
        <v>5.7200000000000001E-2</v>
      </c>
      <c r="M6" s="30">
        <f t="shared" si="3"/>
        <v>1.7761</v>
      </c>
      <c r="N6" s="27">
        <f t="shared" si="4"/>
        <v>81.07651596193908</v>
      </c>
    </row>
    <row r="7" spans="1:14" x14ac:dyDescent="0.25">
      <c r="B7">
        <f>AVERAGE(B2:B6)</f>
        <v>2.0787000000000004</v>
      </c>
      <c r="C7" s="7">
        <f>AVERAGE(C2:C6)</f>
        <v>1.9677199999999999</v>
      </c>
      <c r="D7" s="4">
        <f>AVERAGE(D2:D6)</f>
        <v>5.6400334990230361</v>
      </c>
      <c r="H7">
        <f>AVERAGE(H2:H6)</f>
        <v>0.53161999999999998</v>
      </c>
      <c r="I7" s="7">
        <f>AVERAGE(I2:I6)</f>
        <v>1.4361000000000002</v>
      </c>
      <c r="J7" s="7">
        <f t="shared" ref="J7:N7" si="5">AVERAGE(J2:J6)</f>
        <v>0.33585999999999999</v>
      </c>
      <c r="K7" s="7">
        <f t="shared" si="5"/>
        <v>0.13500000000000001</v>
      </c>
      <c r="L7" s="7">
        <f t="shared" si="5"/>
        <v>5.7259999999999998E-2</v>
      </c>
      <c r="M7" s="7">
        <f t="shared" si="5"/>
        <v>1.77546</v>
      </c>
      <c r="N7" s="7">
        <f t="shared" si="5"/>
        <v>81.083211908469877</v>
      </c>
    </row>
    <row r="11" spans="1:14" ht="75" x14ac:dyDescent="0.25">
      <c r="A11" s="1" t="s">
        <v>0</v>
      </c>
      <c r="B11" s="2" t="s">
        <v>3</v>
      </c>
      <c r="C11" s="2" t="s">
        <v>11</v>
      </c>
      <c r="D11" s="2" t="s">
        <v>42</v>
      </c>
      <c r="E11" s="3" t="s">
        <v>2</v>
      </c>
      <c r="F11" s="1" t="s">
        <v>4</v>
      </c>
      <c r="G11" s="2" t="s">
        <v>5</v>
      </c>
      <c r="H11" s="3" t="s">
        <v>37</v>
      </c>
      <c r="I11" s="2" t="s">
        <v>6</v>
      </c>
      <c r="J11" s="3" t="s">
        <v>38</v>
      </c>
      <c r="K11" s="2" t="s">
        <v>7</v>
      </c>
      <c r="L11" s="2" t="s">
        <v>8</v>
      </c>
      <c r="M11" s="2" t="s">
        <v>9</v>
      </c>
      <c r="N11" s="2" t="s">
        <v>10</v>
      </c>
    </row>
    <row r="12" spans="1:14" x14ac:dyDescent="0.25">
      <c r="A12" s="55" t="s">
        <v>274</v>
      </c>
      <c r="B12" s="55">
        <v>2.3296999999999999</v>
      </c>
      <c r="C12" s="55">
        <v>2.1728999999999998</v>
      </c>
      <c r="D12" s="56">
        <f t="shared" ref="D12:D16" si="6">((B12-C12)/C12)*100</f>
        <v>7.2161627318330366</v>
      </c>
      <c r="E12" s="59">
        <v>44788</v>
      </c>
      <c r="F12" s="57">
        <v>44848</v>
      </c>
      <c r="G12" s="55">
        <f t="shared" ref="G12:G16" si="7">F12-E12</f>
        <v>60</v>
      </c>
      <c r="H12" s="55">
        <v>1.5407</v>
      </c>
      <c r="I12" s="55">
        <f>C12-H12</f>
        <v>0.63219999999999987</v>
      </c>
      <c r="J12" s="55">
        <v>1.3365</v>
      </c>
      <c r="K12" s="55">
        <v>0.1401</v>
      </c>
      <c r="L12" s="55">
        <v>5.9400000000000001E-2</v>
      </c>
      <c r="M12" s="58">
        <f>C12-(K12+L12)</f>
        <v>1.9733999999999998</v>
      </c>
      <c r="N12" s="55">
        <f>((M12-J12)/M12)*100</f>
        <v>32.274247491638789</v>
      </c>
    </row>
    <row r="13" spans="1:14" x14ac:dyDescent="0.25">
      <c r="A13" s="55" t="s">
        <v>274</v>
      </c>
      <c r="B13" s="55">
        <v>2.33</v>
      </c>
      <c r="C13" s="55">
        <v>2.1739999999999999</v>
      </c>
      <c r="D13" s="56">
        <f t="shared" si="6"/>
        <v>7.1757129714811478</v>
      </c>
      <c r="E13" s="59">
        <v>44788</v>
      </c>
      <c r="F13" s="57">
        <v>44848</v>
      </c>
      <c r="G13" s="55">
        <f t="shared" si="7"/>
        <v>60</v>
      </c>
      <c r="H13" s="55">
        <v>1.5419</v>
      </c>
      <c r="I13" s="55">
        <f t="shared" ref="I13:I16" si="8">C13-H13</f>
        <v>0.63209999999999988</v>
      </c>
      <c r="J13" s="55">
        <v>1.3371</v>
      </c>
      <c r="K13" s="55">
        <v>0.1399</v>
      </c>
      <c r="L13" s="55">
        <v>5.9299999999999999E-2</v>
      </c>
      <c r="M13" s="58">
        <f t="shared" ref="M13:M16" si="9">C13-(K13+L13)</f>
        <v>1.9747999999999999</v>
      </c>
      <c r="N13" s="55">
        <f t="shared" ref="N13:N16" si="10">((M13-J13)/M13)*100</f>
        <v>32.291877658497057</v>
      </c>
    </row>
    <row r="14" spans="1:14" x14ac:dyDescent="0.25">
      <c r="A14" s="55" t="s">
        <v>274</v>
      </c>
      <c r="B14" s="55">
        <v>2.3304</v>
      </c>
      <c r="C14" s="55">
        <v>2.1751999999999998</v>
      </c>
      <c r="D14" s="56">
        <f t="shared" si="6"/>
        <v>7.1349760941522735</v>
      </c>
      <c r="E14" s="59">
        <v>44788</v>
      </c>
      <c r="F14" s="57">
        <v>44848</v>
      </c>
      <c r="G14" s="55">
        <f t="shared" si="7"/>
        <v>60</v>
      </c>
      <c r="H14" s="55">
        <v>1.5427</v>
      </c>
      <c r="I14" s="55">
        <f t="shared" si="8"/>
        <v>0.63249999999999984</v>
      </c>
      <c r="J14" s="55">
        <v>1.3375999999999999</v>
      </c>
      <c r="K14" s="55">
        <v>0.1399</v>
      </c>
      <c r="L14" s="55">
        <v>5.9400000000000001E-2</v>
      </c>
      <c r="M14" s="58">
        <f t="shared" si="9"/>
        <v>1.9758999999999998</v>
      </c>
      <c r="N14" s="55">
        <f t="shared" si="10"/>
        <v>32.304266410243429</v>
      </c>
    </row>
    <row r="15" spans="1:14" x14ac:dyDescent="0.25">
      <c r="A15" s="55" t="s">
        <v>274</v>
      </c>
      <c r="B15" s="55">
        <v>2.3306</v>
      </c>
      <c r="C15" s="55">
        <v>2.1764000000000001</v>
      </c>
      <c r="D15" s="56">
        <f t="shared" si="6"/>
        <v>7.0850946517184292</v>
      </c>
      <c r="E15" s="59">
        <v>44788</v>
      </c>
      <c r="F15" s="57">
        <v>44848</v>
      </c>
      <c r="G15" s="55">
        <f t="shared" si="7"/>
        <v>60</v>
      </c>
      <c r="H15" s="55">
        <v>1.5434000000000001</v>
      </c>
      <c r="I15" s="55">
        <f t="shared" si="8"/>
        <v>0.63300000000000001</v>
      </c>
      <c r="J15" s="55">
        <v>1.3374999999999999</v>
      </c>
      <c r="K15" s="55">
        <v>0.1399</v>
      </c>
      <c r="L15" s="55">
        <v>5.9200000000000003E-2</v>
      </c>
      <c r="M15" s="58">
        <f t="shared" si="9"/>
        <v>1.9773000000000001</v>
      </c>
      <c r="N15" s="55">
        <f t="shared" si="10"/>
        <v>32.357254842461955</v>
      </c>
    </row>
    <row r="16" spans="1:14" x14ac:dyDescent="0.25">
      <c r="A16" s="55" t="s">
        <v>274</v>
      </c>
      <c r="B16" s="55">
        <v>2.331</v>
      </c>
      <c r="C16" s="55">
        <v>2.1772999999999998</v>
      </c>
      <c r="D16" s="56">
        <f t="shared" si="6"/>
        <v>7.0592017636522382</v>
      </c>
      <c r="E16" s="59">
        <v>44788</v>
      </c>
      <c r="F16" s="57">
        <v>44848</v>
      </c>
      <c r="G16" s="55">
        <f t="shared" si="7"/>
        <v>60</v>
      </c>
      <c r="H16" s="55">
        <v>1.5445</v>
      </c>
      <c r="I16" s="55">
        <f t="shared" si="8"/>
        <v>0.63279999999999981</v>
      </c>
      <c r="J16" s="55">
        <v>1.3382000000000001</v>
      </c>
      <c r="K16" s="55">
        <v>0.1399</v>
      </c>
      <c r="L16" s="55">
        <v>5.9400000000000001E-2</v>
      </c>
      <c r="M16" s="58">
        <f t="shared" si="9"/>
        <v>1.9779999999999998</v>
      </c>
      <c r="N16" s="55">
        <f t="shared" si="10"/>
        <v>32.3458038422649</v>
      </c>
    </row>
    <row r="17" spans="2:14" x14ac:dyDescent="0.25">
      <c r="B17">
        <f>AVERAGE(B12:B16)</f>
        <v>2.3303400000000001</v>
      </c>
      <c r="C17">
        <f t="shared" ref="C17:D17" si="11">AVERAGE(C12:C16)</f>
        <v>2.1751599999999995</v>
      </c>
      <c r="D17">
        <f t="shared" si="11"/>
        <v>7.1342296425674245</v>
      </c>
      <c r="H17" s="7">
        <f>AVERAGE(H12:H16)</f>
        <v>1.54264</v>
      </c>
      <c r="I17" s="7">
        <f t="shared" ref="I17:N17" si="12">AVERAGE(I12:I16)</f>
        <v>0.63251999999999986</v>
      </c>
      <c r="J17" s="7">
        <f t="shared" si="12"/>
        <v>1.33738</v>
      </c>
      <c r="K17" s="7">
        <f t="shared" si="12"/>
        <v>0.13994000000000001</v>
      </c>
      <c r="L17" s="7">
        <f t="shared" si="12"/>
        <v>5.9340000000000004E-2</v>
      </c>
      <c r="M17" s="7">
        <f t="shared" si="12"/>
        <v>1.9758799999999996</v>
      </c>
      <c r="N17" s="7">
        <f t="shared" si="12"/>
        <v>32.314690049021223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"/>
  <sheetViews>
    <sheetView zoomScale="80" zoomScaleNormal="80" workbookViewId="0">
      <selection activeCell="F2" sqref="F2:F4"/>
    </sheetView>
  </sheetViews>
  <sheetFormatPr baseColWidth="10" defaultRowHeight="15" x14ac:dyDescent="0.25"/>
  <cols>
    <col min="2" max="2" width="20.140625" customWidth="1"/>
    <col min="3" max="3" width="17.7109375" customWidth="1"/>
    <col min="4" max="4" width="13.42578125" customWidth="1"/>
    <col min="5" max="5" width="13.85546875" customWidth="1"/>
    <col min="6" max="6" width="13.7109375" customWidth="1"/>
    <col min="8" max="8" width="16.140625" customWidth="1"/>
    <col min="10" max="10" width="15.7109375" customWidth="1"/>
    <col min="12" max="12" width="13.5703125" customWidth="1"/>
    <col min="13" max="13" width="15.7109375" customWidth="1"/>
  </cols>
  <sheetData>
    <row r="1" spans="1:16" ht="45" x14ac:dyDescent="0.25">
      <c r="A1" s="1" t="s">
        <v>0</v>
      </c>
      <c r="B1" s="2" t="s">
        <v>3</v>
      </c>
      <c r="C1" s="2" t="s">
        <v>11</v>
      </c>
      <c r="D1" s="2" t="s">
        <v>42</v>
      </c>
      <c r="E1" s="3" t="s">
        <v>2</v>
      </c>
      <c r="F1" s="1" t="s">
        <v>4</v>
      </c>
      <c r="G1" s="2" t="s">
        <v>5</v>
      </c>
      <c r="H1" s="3" t="s">
        <v>37</v>
      </c>
      <c r="I1" s="2" t="s">
        <v>6</v>
      </c>
      <c r="J1" s="3" t="s">
        <v>38</v>
      </c>
      <c r="K1" s="2" t="s">
        <v>7</v>
      </c>
      <c r="L1" s="2" t="s">
        <v>8</v>
      </c>
      <c r="M1" s="2" t="s">
        <v>9</v>
      </c>
      <c r="N1" s="2" t="s">
        <v>10</v>
      </c>
      <c r="O1" s="3" t="s">
        <v>319</v>
      </c>
      <c r="P1" s="3" t="s">
        <v>320</v>
      </c>
    </row>
    <row r="2" spans="1:16" x14ac:dyDescent="0.25">
      <c r="A2" t="s">
        <v>184</v>
      </c>
      <c r="B2">
        <v>2.0990000000000002</v>
      </c>
      <c r="C2">
        <v>2.0112000000000001</v>
      </c>
      <c r="D2" s="17">
        <f t="shared" ref="D2:D7" si="0">((B2-C2)/C2)*100</f>
        <v>4.3655529037390659</v>
      </c>
      <c r="E2" s="5">
        <v>44307</v>
      </c>
      <c r="F2" s="5">
        <v>44312</v>
      </c>
      <c r="G2">
        <f t="shared" ref="G2:G7" si="1">F2-E2</f>
        <v>5</v>
      </c>
      <c r="H2">
        <v>1.4911000000000001</v>
      </c>
      <c r="I2" s="9">
        <f>C2-H2</f>
        <v>0.52010000000000001</v>
      </c>
      <c r="J2" s="9">
        <v>1.0327999999999999</v>
      </c>
      <c r="K2" s="9">
        <v>0.2868</v>
      </c>
      <c r="L2" s="9">
        <v>0.15740000000000001</v>
      </c>
      <c r="M2" s="7">
        <f>C2-(K2+L2)</f>
        <v>1.5670000000000002</v>
      </c>
      <c r="N2" s="17">
        <f>((M2-J2)/M2)</f>
        <v>0.34090619017230389</v>
      </c>
      <c r="O2" s="65">
        <f>AVERAGE(N2:N4)</f>
        <v>0.35334529903427825</v>
      </c>
      <c r="P2">
        <f>STDEV(N2:N4)</f>
        <v>1.9325557151578431E-2</v>
      </c>
    </row>
    <row r="3" spans="1:16" x14ac:dyDescent="0.25">
      <c r="A3" t="s">
        <v>185</v>
      </c>
      <c r="B3">
        <v>2.0954999999999999</v>
      </c>
      <c r="C3">
        <v>2.0074999999999998</v>
      </c>
      <c r="D3" s="17">
        <f t="shared" si="0"/>
        <v>4.3835616438356206</v>
      </c>
      <c r="E3" s="5">
        <v>44307</v>
      </c>
      <c r="F3" s="5">
        <v>44312</v>
      </c>
      <c r="G3">
        <f t="shared" si="1"/>
        <v>5</v>
      </c>
      <c r="H3">
        <v>1.4441999999999999</v>
      </c>
      <c r="I3" s="9">
        <f t="shared" ref="I3:I7" si="2">C3-H3</f>
        <v>0.56329999999999991</v>
      </c>
      <c r="J3" s="9">
        <v>0.94769999999999999</v>
      </c>
      <c r="K3" s="9">
        <v>0.31559999999999999</v>
      </c>
      <c r="L3" s="9">
        <v>0.1741</v>
      </c>
      <c r="M3" s="7">
        <f t="shared" ref="M3:M7" si="3">C3-(K3+L3)</f>
        <v>1.5177999999999998</v>
      </c>
      <c r="N3" s="17">
        <f t="shared" ref="N3:N7" si="4">((M3-J3)/M3)</f>
        <v>0.37560943470813013</v>
      </c>
    </row>
    <row r="4" spans="1:16" x14ac:dyDescent="0.25">
      <c r="A4" t="s">
        <v>186</v>
      </c>
      <c r="B4">
        <v>2.0847000000000002</v>
      </c>
      <c r="C4">
        <v>1.9977</v>
      </c>
      <c r="D4" s="17">
        <f t="shared" si="0"/>
        <v>4.3550082594984323</v>
      </c>
      <c r="E4" s="5">
        <v>44307</v>
      </c>
      <c r="F4" s="5">
        <v>44312</v>
      </c>
      <c r="G4">
        <f t="shared" si="1"/>
        <v>5</v>
      </c>
      <c r="H4">
        <v>1.4692000000000001</v>
      </c>
      <c r="I4" s="9">
        <f t="shared" si="2"/>
        <v>0.52849999999999997</v>
      </c>
      <c r="J4" s="9">
        <v>1.0225</v>
      </c>
      <c r="K4" s="9">
        <v>0.2515</v>
      </c>
      <c r="L4" s="9">
        <v>0.18865000000000001</v>
      </c>
      <c r="M4" s="7">
        <f t="shared" si="3"/>
        <v>1.55755</v>
      </c>
      <c r="N4" s="17">
        <f t="shared" si="4"/>
        <v>0.34352027222240056</v>
      </c>
    </row>
    <row r="5" spans="1:16" x14ac:dyDescent="0.25">
      <c r="A5" t="s">
        <v>187</v>
      </c>
      <c r="B5">
        <v>2.3067000000000002</v>
      </c>
      <c r="C5">
        <v>2.2002000000000002</v>
      </c>
      <c r="D5" s="17">
        <f t="shared" si="0"/>
        <v>4.840469048268341</v>
      </c>
      <c r="E5" s="5">
        <v>44307</v>
      </c>
      <c r="F5" s="5">
        <v>44312</v>
      </c>
      <c r="G5">
        <f t="shared" si="1"/>
        <v>5</v>
      </c>
      <c r="H5">
        <v>1.9879</v>
      </c>
      <c r="I5" s="9">
        <f t="shared" si="2"/>
        <v>0.21230000000000016</v>
      </c>
      <c r="J5" s="9">
        <v>1.6836</v>
      </c>
      <c r="K5" s="9">
        <v>0.16400000000000001</v>
      </c>
      <c r="L5" s="9">
        <v>0.1391</v>
      </c>
      <c r="M5" s="7">
        <f t="shared" si="3"/>
        <v>1.8971</v>
      </c>
      <c r="N5" s="17">
        <f t="shared" si="4"/>
        <v>0.11254019292604503</v>
      </c>
      <c r="O5" s="65">
        <f>AVERAGE(N5:N7)</f>
        <v>0.10894095613792783</v>
      </c>
      <c r="P5">
        <f>STDEV(N5:N7)</f>
        <v>3.9189318633007196E-3</v>
      </c>
    </row>
    <row r="6" spans="1:16" x14ac:dyDescent="0.25">
      <c r="A6" t="s">
        <v>188</v>
      </c>
      <c r="B6">
        <v>2.2151999999999998</v>
      </c>
      <c r="C6">
        <v>2.113</v>
      </c>
      <c r="D6" s="17">
        <f t="shared" si="0"/>
        <v>4.8367250354945508</v>
      </c>
      <c r="E6" s="5">
        <v>44307</v>
      </c>
      <c r="F6" s="5">
        <v>44312</v>
      </c>
      <c r="G6">
        <f t="shared" si="1"/>
        <v>5</v>
      </c>
      <c r="H6">
        <v>1.9238</v>
      </c>
      <c r="I6" s="9">
        <f t="shared" si="2"/>
        <v>0.18920000000000003</v>
      </c>
      <c r="J6" s="9">
        <v>1.601</v>
      </c>
      <c r="K6" s="9">
        <v>0.1726</v>
      </c>
      <c r="L6" s="9">
        <v>0.14249999999999999</v>
      </c>
      <c r="M6" s="7">
        <f t="shared" si="3"/>
        <v>1.7979000000000001</v>
      </c>
      <c r="N6" s="17">
        <f t="shared" si="4"/>
        <v>0.10951665832359979</v>
      </c>
    </row>
    <row r="7" spans="1:16" x14ac:dyDescent="0.25">
      <c r="A7" t="s">
        <v>189</v>
      </c>
      <c r="B7">
        <v>2.2629000000000001</v>
      </c>
      <c r="C7">
        <v>2.1604999999999999</v>
      </c>
      <c r="D7" s="17">
        <f t="shared" si="0"/>
        <v>4.7396436010182956</v>
      </c>
      <c r="E7" s="5">
        <v>44307</v>
      </c>
      <c r="F7" s="5">
        <v>44312</v>
      </c>
      <c r="G7">
        <f t="shared" si="1"/>
        <v>5</v>
      </c>
      <c r="H7">
        <v>1.9665999999999999</v>
      </c>
      <c r="I7" s="9">
        <f t="shared" si="2"/>
        <v>0.19389999999999996</v>
      </c>
      <c r="J7" s="9">
        <v>1.6586000000000001</v>
      </c>
      <c r="K7" s="9">
        <v>0.15770000000000001</v>
      </c>
      <c r="L7" s="9">
        <v>0.15010000000000001</v>
      </c>
      <c r="M7" s="7">
        <f t="shared" si="3"/>
        <v>1.8526999999999998</v>
      </c>
      <c r="N7" s="17">
        <f t="shared" si="4"/>
        <v>0.10476601716413868</v>
      </c>
    </row>
    <row r="9" spans="1:16" x14ac:dyDescent="0.25">
      <c r="B9" s="65">
        <f>AVERAGE(B2:B4)</f>
        <v>2.0930666666666666</v>
      </c>
      <c r="C9" s="65">
        <f>STDEV(B2:B4)</f>
        <v>7.454081655934048E-3</v>
      </c>
      <c r="K9" s="65">
        <f>AVERAGE(K2:K4)</f>
        <v>0.28463333333333335</v>
      </c>
      <c r="L9" s="65">
        <f>STDEV(K2:K4)</f>
        <v>3.2104880210543273E-2</v>
      </c>
    </row>
    <row r="10" spans="1:16" x14ac:dyDescent="0.25">
      <c r="B10" s="65">
        <f>AVERAGE(B5:B7)</f>
        <v>2.2616000000000001</v>
      </c>
      <c r="C10" s="65">
        <f>STDEV(B5:B7)</f>
        <v>4.5763850362486071E-2</v>
      </c>
      <c r="K10" s="65">
        <f>AVERAGE(K5:K7)</f>
        <v>0.16476666666666667</v>
      </c>
      <c r="L10" s="65">
        <f>STDEV(K5:K7)</f>
        <v>7.4795276143171836E-3</v>
      </c>
    </row>
    <row r="11" spans="1:16" x14ac:dyDescent="0.25">
      <c r="C11" t="s">
        <v>929</v>
      </c>
      <c r="E11" t="s">
        <v>930</v>
      </c>
      <c r="L11" s="4"/>
      <c r="M11" s="65">
        <f>AVERAGE(M2:M4)</f>
        <v>1.5474500000000002</v>
      </c>
      <c r="N11" s="65">
        <f>STDEV(M2:M4)</f>
        <v>2.6108762896774881E-2</v>
      </c>
    </row>
    <row r="12" spans="1:16" x14ac:dyDescent="0.25">
      <c r="C12" t="s">
        <v>931</v>
      </c>
      <c r="D12" t="s">
        <v>932</v>
      </c>
      <c r="E12" t="s">
        <v>931</v>
      </c>
      <c r="F12" t="s">
        <v>932</v>
      </c>
      <c r="L12" s="4"/>
      <c r="M12" s="65">
        <f>AVERAGE(M5:M7)</f>
        <v>1.8492333333333333</v>
      </c>
      <c r="N12" s="65">
        <f>STDEV(M5:M7)</f>
        <v>4.9690777145596443E-2</v>
      </c>
    </row>
    <row r="13" spans="1:16" ht="30" x14ac:dyDescent="0.25">
      <c r="B13" s="283" t="s">
        <v>934</v>
      </c>
    </row>
    <row r="14" spans="1:16" x14ac:dyDescent="0.25">
      <c r="B14" t="s">
        <v>933</v>
      </c>
    </row>
    <row r="15" spans="1:16" x14ac:dyDescent="0.25">
      <c r="B15" t="s">
        <v>935</v>
      </c>
    </row>
    <row r="16" spans="1:16" x14ac:dyDescent="0.25">
      <c r="B16" t="s">
        <v>936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6" workbookViewId="0">
      <selection activeCell="A26" sqref="A26:A33"/>
    </sheetView>
  </sheetViews>
  <sheetFormatPr baseColWidth="10" defaultRowHeight="15" x14ac:dyDescent="0.25"/>
  <cols>
    <col min="1" max="2" width="11.28515625" customWidth="1"/>
    <col min="3" max="3" width="12.140625" customWidth="1"/>
    <col min="4" max="5" width="14.7109375" style="6" customWidth="1"/>
    <col min="8" max="8" width="16.5703125" customWidth="1"/>
  </cols>
  <sheetData>
    <row r="1" spans="1:8" ht="60" x14ac:dyDescent="0.25">
      <c r="A1" s="9" t="s">
        <v>1</v>
      </c>
      <c r="B1" s="9" t="s">
        <v>39</v>
      </c>
      <c r="C1" s="10" t="s">
        <v>0</v>
      </c>
      <c r="D1" s="11" t="s">
        <v>97</v>
      </c>
      <c r="E1" s="11" t="s">
        <v>98</v>
      </c>
      <c r="F1" s="11" t="s">
        <v>117</v>
      </c>
      <c r="G1" s="11" t="s">
        <v>118</v>
      </c>
      <c r="H1" s="11" t="s">
        <v>318</v>
      </c>
    </row>
    <row r="2" spans="1:8" x14ac:dyDescent="0.25">
      <c r="A2" t="s">
        <v>59</v>
      </c>
      <c r="B2" t="s">
        <v>41</v>
      </c>
      <c r="C2" s="9" t="s">
        <v>144</v>
      </c>
      <c r="D2" s="8" t="s">
        <v>61</v>
      </c>
      <c r="E2" s="8">
        <f>28*2.54</f>
        <v>71.12</v>
      </c>
      <c r="F2">
        <f>30.5*2.54</f>
        <v>77.47</v>
      </c>
      <c r="G2">
        <f t="shared" ref="G2:G41" si="0">(F2+10)-E2</f>
        <v>16.349999999999994</v>
      </c>
      <c r="H2">
        <f>AVERAGE(G2:G9)</f>
        <v>17.62</v>
      </c>
    </row>
    <row r="3" spans="1:8" x14ac:dyDescent="0.25">
      <c r="A3" t="s">
        <v>59</v>
      </c>
      <c r="B3" t="s">
        <v>41</v>
      </c>
      <c r="C3" s="9" t="s">
        <v>145</v>
      </c>
      <c r="D3" s="8" t="s">
        <v>61</v>
      </c>
      <c r="E3" s="8">
        <f>27.5*2.54</f>
        <v>69.849999999999994</v>
      </c>
      <c r="F3">
        <f>30.6*2.54</f>
        <v>77.724000000000004</v>
      </c>
      <c r="G3">
        <f t="shared" si="0"/>
        <v>17.874000000000009</v>
      </c>
    </row>
    <row r="4" spans="1:8" x14ac:dyDescent="0.25">
      <c r="A4" t="s">
        <v>59</v>
      </c>
      <c r="B4" t="s">
        <v>41</v>
      </c>
      <c r="C4" s="9" t="s">
        <v>146</v>
      </c>
      <c r="D4" s="8" t="s">
        <v>61</v>
      </c>
      <c r="E4" s="8">
        <f>27.7*2.54</f>
        <v>70.358000000000004</v>
      </c>
      <c r="F4">
        <f>30*2.54</f>
        <v>76.2</v>
      </c>
      <c r="G4">
        <f t="shared" si="0"/>
        <v>15.841999999999999</v>
      </c>
    </row>
    <row r="5" spans="1:8" x14ac:dyDescent="0.25">
      <c r="A5" t="s">
        <v>59</v>
      </c>
      <c r="B5" t="s">
        <v>41</v>
      </c>
      <c r="C5" s="9" t="s">
        <v>147</v>
      </c>
      <c r="D5" s="8" t="s">
        <v>61</v>
      </c>
      <c r="E5" s="8">
        <f>26.2*2.54</f>
        <v>66.548000000000002</v>
      </c>
      <c r="F5">
        <f>29.6*2.54</f>
        <v>75.184000000000012</v>
      </c>
      <c r="G5">
        <f t="shared" si="0"/>
        <v>18.63600000000001</v>
      </c>
    </row>
    <row r="6" spans="1:8" x14ac:dyDescent="0.25">
      <c r="A6" t="s">
        <v>59</v>
      </c>
      <c r="B6" t="s">
        <v>41</v>
      </c>
      <c r="C6" s="9" t="s">
        <v>148</v>
      </c>
      <c r="D6" s="8" t="s">
        <v>61</v>
      </c>
      <c r="E6" s="8">
        <f>26.9*2.54</f>
        <v>68.325999999999993</v>
      </c>
      <c r="F6">
        <f>30.1*2.54</f>
        <v>76.454000000000008</v>
      </c>
      <c r="G6">
        <f t="shared" si="0"/>
        <v>18.128000000000014</v>
      </c>
    </row>
    <row r="7" spans="1:8" x14ac:dyDescent="0.25">
      <c r="A7" t="s">
        <v>59</v>
      </c>
      <c r="B7" t="s">
        <v>41</v>
      </c>
      <c r="C7" s="9" t="s">
        <v>149</v>
      </c>
      <c r="D7" s="8" t="s">
        <v>61</v>
      </c>
      <c r="E7" s="8">
        <f>27.2*2.54</f>
        <v>69.087999999999994</v>
      </c>
      <c r="F7">
        <f>30.4*2.54</f>
        <v>77.215999999999994</v>
      </c>
      <c r="G7">
        <f t="shared" si="0"/>
        <v>18.128</v>
      </c>
    </row>
    <row r="8" spans="1:8" x14ac:dyDescent="0.25">
      <c r="A8" t="s">
        <v>59</v>
      </c>
      <c r="B8" t="s">
        <v>41</v>
      </c>
      <c r="C8" s="9" t="s">
        <v>150</v>
      </c>
      <c r="D8" s="8" t="s">
        <v>61</v>
      </c>
      <c r="E8" s="8">
        <f>27.8*2.54</f>
        <v>70.612000000000009</v>
      </c>
      <c r="F8">
        <f>29.7*2.54</f>
        <v>75.438000000000002</v>
      </c>
      <c r="G8">
        <f t="shared" si="0"/>
        <v>14.825999999999993</v>
      </c>
    </row>
    <row r="9" spans="1:8" x14ac:dyDescent="0.25">
      <c r="A9" t="s">
        <v>59</v>
      </c>
      <c r="B9" t="s">
        <v>41</v>
      </c>
      <c r="C9" s="9" t="s">
        <v>151</v>
      </c>
      <c r="D9" s="8" t="s">
        <v>61</v>
      </c>
      <c r="E9" s="8">
        <f>24.3*2.54</f>
        <v>61.722000000000001</v>
      </c>
      <c r="F9">
        <f>28.7*2.54</f>
        <v>72.897999999999996</v>
      </c>
      <c r="G9">
        <f t="shared" si="0"/>
        <v>21.175999999999995</v>
      </c>
    </row>
    <row r="10" spans="1:8" x14ac:dyDescent="0.25">
      <c r="A10" t="s">
        <v>14</v>
      </c>
      <c r="B10" t="s">
        <v>60</v>
      </c>
      <c r="C10" s="9" t="s">
        <v>152</v>
      </c>
      <c r="D10" s="8">
        <f>23*2.54</f>
        <v>58.42</v>
      </c>
      <c r="E10" s="8">
        <f>27*2.54</f>
        <v>68.58</v>
      </c>
      <c r="F10">
        <f>29.9*2.54</f>
        <v>75.945999999999998</v>
      </c>
      <c r="G10">
        <f t="shared" si="0"/>
        <v>17.366</v>
      </c>
      <c r="H10">
        <f>AVERAGE(G10:G17)</f>
        <v>18.477249999999998</v>
      </c>
    </row>
    <row r="11" spans="1:8" x14ac:dyDescent="0.25">
      <c r="A11" t="s">
        <v>14</v>
      </c>
      <c r="B11" t="s">
        <v>60</v>
      </c>
      <c r="C11" s="9" t="s">
        <v>153</v>
      </c>
      <c r="D11" s="8">
        <f>23.5*2.54</f>
        <v>59.69</v>
      </c>
      <c r="E11" s="8">
        <f>27.3*2.54</f>
        <v>69.341999999999999</v>
      </c>
      <c r="F11">
        <f>30.1*2.54</f>
        <v>76.454000000000008</v>
      </c>
      <c r="G11">
        <f t="shared" si="0"/>
        <v>17.112000000000009</v>
      </c>
    </row>
    <row r="12" spans="1:8" x14ac:dyDescent="0.25">
      <c r="A12" t="s">
        <v>14</v>
      </c>
      <c r="B12" t="s">
        <v>60</v>
      </c>
      <c r="C12" s="9" t="s">
        <v>154</v>
      </c>
      <c r="D12" s="8">
        <f>21*2.54</f>
        <v>53.34</v>
      </c>
      <c r="E12" s="8">
        <f>29.5*2.54</f>
        <v>74.930000000000007</v>
      </c>
      <c r="F12">
        <f>30.8*2.54</f>
        <v>78.231999999999999</v>
      </c>
      <c r="G12">
        <f t="shared" si="0"/>
        <v>13.301999999999992</v>
      </c>
    </row>
    <row r="13" spans="1:8" x14ac:dyDescent="0.25">
      <c r="A13" t="s">
        <v>14</v>
      </c>
      <c r="B13" t="s">
        <v>60</v>
      </c>
      <c r="C13" s="9" t="s">
        <v>155</v>
      </c>
      <c r="D13" s="8">
        <f>21*2.54</f>
        <v>53.34</v>
      </c>
      <c r="E13" s="8">
        <f>28.5*2.54</f>
        <v>72.39</v>
      </c>
      <c r="F13">
        <f>31.5*2.54</f>
        <v>80.010000000000005</v>
      </c>
      <c r="G13">
        <f t="shared" si="0"/>
        <v>17.620000000000005</v>
      </c>
    </row>
    <row r="14" spans="1:8" x14ac:dyDescent="0.25">
      <c r="A14" t="s">
        <v>14</v>
      </c>
      <c r="B14" t="s">
        <v>60</v>
      </c>
      <c r="C14" s="9" t="s">
        <v>156</v>
      </c>
      <c r="D14" s="8">
        <f>15.8*2.54</f>
        <v>40.132000000000005</v>
      </c>
      <c r="E14" s="8">
        <f>27*2.54</f>
        <v>68.58</v>
      </c>
      <c r="F14">
        <f>30.4*2.54</f>
        <v>77.215999999999994</v>
      </c>
      <c r="G14">
        <f t="shared" si="0"/>
        <v>18.635999999999996</v>
      </c>
    </row>
    <row r="15" spans="1:8" x14ac:dyDescent="0.25">
      <c r="A15" t="s">
        <v>14</v>
      </c>
      <c r="B15" t="s">
        <v>60</v>
      </c>
      <c r="C15" s="9" t="s">
        <v>157</v>
      </c>
      <c r="D15" s="8">
        <f>19.1*2.54</f>
        <v>48.514000000000003</v>
      </c>
      <c r="E15" s="8">
        <f>26.5*2.54</f>
        <v>67.31</v>
      </c>
      <c r="F15">
        <f>31.2*2.54</f>
        <v>79.248000000000005</v>
      </c>
      <c r="G15">
        <f t="shared" si="0"/>
        <v>21.938000000000002</v>
      </c>
    </row>
    <row r="16" spans="1:8" x14ac:dyDescent="0.25">
      <c r="A16" t="s">
        <v>14</v>
      </c>
      <c r="B16" t="s">
        <v>60</v>
      </c>
      <c r="C16" s="9" t="s">
        <v>158</v>
      </c>
      <c r="D16" s="8">
        <f>19.7*2.54</f>
        <v>50.037999999999997</v>
      </c>
      <c r="E16" s="8">
        <f>25.8*2.54</f>
        <v>65.531999999999996</v>
      </c>
      <c r="F16">
        <f>30.5*2.54</f>
        <v>77.47</v>
      </c>
      <c r="G16">
        <f t="shared" si="0"/>
        <v>21.938000000000002</v>
      </c>
    </row>
    <row r="17" spans="1:8" x14ac:dyDescent="0.25">
      <c r="A17" t="s">
        <v>14</v>
      </c>
      <c r="B17" t="s">
        <v>60</v>
      </c>
      <c r="C17" s="9" t="s">
        <v>159</v>
      </c>
      <c r="D17" s="8">
        <f>20.1*2.54</f>
        <v>51.054000000000002</v>
      </c>
      <c r="E17" s="8">
        <f>26*2.54</f>
        <v>66.040000000000006</v>
      </c>
      <c r="F17">
        <f>29.9*2.54</f>
        <v>75.945999999999998</v>
      </c>
      <c r="G17">
        <f t="shared" si="0"/>
        <v>19.905999999999992</v>
      </c>
    </row>
    <row r="18" spans="1:8" x14ac:dyDescent="0.25">
      <c r="A18" t="s">
        <v>62</v>
      </c>
      <c r="B18" t="s">
        <v>63</v>
      </c>
      <c r="C18" s="9" t="s">
        <v>160</v>
      </c>
      <c r="D18" s="8">
        <f>20*2.54</f>
        <v>50.8</v>
      </c>
      <c r="E18" s="8">
        <f>25*2.54</f>
        <v>63.5</v>
      </c>
      <c r="F18">
        <f>30.5*2.54</f>
        <v>77.47</v>
      </c>
      <c r="G18">
        <f t="shared" si="0"/>
        <v>23.97</v>
      </c>
      <c r="H18">
        <f>AVERAGE(G18:G25)</f>
        <v>26.224249999999998</v>
      </c>
    </row>
    <row r="19" spans="1:8" x14ac:dyDescent="0.25">
      <c r="A19" t="s">
        <v>62</v>
      </c>
      <c r="B19" t="s">
        <v>63</v>
      </c>
      <c r="C19" s="9" t="s">
        <v>161</v>
      </c>
      <c r="D19" s="8">
        <f>19*2.54</f>
        <v>48.26</v>
      </c>
      <c r="E19" s="8">
        <f>20*2.54</f>
        <v>50.8</v>
      </c>
      <c r="F19">
        <f>30.8*2.54</f>
        <v>78.231999999999999</v>
      </c>
      <c r="G19">
        <f t="shared" si="0"/>
        <v>37.432000000000002</v>
      </c>
    </row>
    <row r="20" spans="1:8" x14ac:dyDescent="0.25">
      <c r="A20" t="s">
        <v>62</v>
      </c>
      <c r="B20" t="s">
        <v>63</v>
      </c>
      <c r="C20" s="9" t="s">
        <v>162</v>
      </c>
      <c r="D20" s="8">
        <f>11*2.54</f>
        <v>27.94</v>
      </c>
      <c r="E20" s="8">
        <f>22*2.54</f>
        <v>55.88</v>
      </c>
      <c r="F20">
        <f>30.5*2.54</f>
        <v>77.47</v>
      </c>
      <c r="G20">
        <f t="shared" si="0"/>
        <v>31.589999999999996</v>
      </c>
    </row>
    <row r="21" spans="1:8" x14ac:dyDescent="0.25">
      <c r="A21" t="s">
        <v>62</v>
      </c>
      <c r="B21" t="s">
        <v>63</v>
      </c>
      <c r="C21" s="9" t="s">
        <v>163</v>
      </c>
      <c r="D21" s="8">
        <f>10*2.54</f>
        <v>25.4</v>
      </c>
      <c r="E21" s="8">
        <f>21*2.54</f>
        <v>53.34</v>
      </c>
      <c r="F21">
        <f>28.7*2.54</f>
        <v>72.897999999999996</v>
      </c>
      <c r="G21">
        <f t="shared" si="0"/>
        <v>29.557999999999993</v>
      </c>
    </row>
    <row r="22" spans="1:8" x14ac:dyDescent="0.25">
      <c r="A22" t="s">
        <v>62</v>
      </c>
      <c r="B22" t="s">
        <v>63</v>
      </c>
      <c r="C22" s="9" t="s">
        <v>164</v>
      </c>
      <c r="D22" s="8">
        <f>12.1*2.54</f>
        <v>30.733999999999998</v>
      </c>
      <c r="E22" s="8">
        <f>22*2.54</f>
        <v>55.88</v>
      </c>
      <c r="F22">
        <f>27.7*2.54</f>
        <v>70.358000000000004</v>
      </c>
      <c r="G22">
        <f t="shared" si="0"/>
        <v>24.478000000000002</v>
      </c>
    </row>
    <row r="23" spans="1:8" x14ac:dyDescent="0.25">
      <c r="A23" t="s">
        <v>62</v>
      </c>
      <c r="B23" t="s">
        <v>63</v>
      </c>
      <c r="C23" s="9" t="s">
        <v>165</v>
      </c>
      <c r="D23" s="8">
        <f>14*2.54</f>
        <v>35.56</v>
      </c>
      <c r="E23" s="8">
        <f>23*2.54</f>
        <v>58.42</v>
      </c>
      <c r="F23">
        <f>30.3*2.54</f>
        <v>76.962000000000003</v>
      </c>
      <c r="G23">
        <f t="shared" si="0"/>
        <v>28.542000000000002</v>
      </c>
    </row>
    <row r="24" spans="1:8" x14ac:dyDescent="0.25">
      <c r="A24" t="s">
        <v>62</v>
      </c>
      <c r="B24" t="s">
        <v>63</v>
      </c>
      <c r="C24" s="9" t="s">
        <v>166</v>
      </c>
      <c r="D24" s="8">
        <f>17*2.54</f>
        <v>43.18</v>
      </c>
      <c r="E24" s="8">
        <f>25*2.54</f>
        <v>63.5</v>
      </c>
      <c r="F24">
        <f>29.9*2.54</f>
        <v>75.945999999999998</v>
      </c>
      <c r="G24">
        <f t="shared" si="0"/>
        <v>22.445999999999998</v>
      </c>
    </row>
    <row r="25" spans="1:8" x14ac:dyDescent="0.25">
      <c r="A25" t="s">
        <v>62</v>
      </c>
      <c r="B25" t="s">
        <v>63</v>
      </c>
      <c r="C25" s="9" t="s">
        <v>167</v>
      </c>
      <c r="D25" s="8">
        <f>17*2.54</f>
        <v>43.18</v>
      </c>
      <c r="E25" s="8">
        <f>25*2.54</f>
        <v>63.5</v>
      </c>
      <c r="F25">
        <f>25.7*2.54</f>
        <v>65.278000000000006</v>
      </c>
      <c r="G25">
        <f t="shared" si="0"/>
        <v>11.778000000000006</v>
      </c>
    </row>
    <row r="26" spans="1:8" x14ac:dyDescent="0.25">
      <c r="A26" t="s">
        <v>300</v>
      </c>
      <c r="B26" t="s">
        <v>80</v>
      </c>
      <c r="C26" s="9" t="s">
        <v>168</v>
      </c>
      <c r="D26" s="8" t="s">
        <v>61</v>
      </c>
      <c r="E26" s="8">
        <f>23.9*2.54</f>
        <v>60.705999999999996</v>
      </c>
      <c r="F26">
        <f>30.1*2.54</f>
        <v>76.454000000000008</v>
      </c>
      <c r="G26">
        <f t="shared" si="0"/>
        <v>25.748000000000012</v>
      </c>
      <c r="H26">
        <f>AVERAGE(G26:G33)</f>
        <v>19.874250000000004</v>
      </c>
    </row>
    <row r="27" spans="1:8" x14ac:dyDescent="0.25">
      <c r="A27" t="s">
        <v>300</v>
      </c>
      <c r="B27" t="s">
        <v>80</v>
      </c>
      <c r="C27" s="9" t="s">
        <v>169</v>
      </c>
      <c r="D27" s="8" t="s">
        <v>61</v>
      </c>
      <c r="E27" s="8">
        <f>25.1*2.54</f>
        <v>63.754000000000005</v>
      </c>
      <c r="F27">
        <f>29.9*2.54</f>
        <v>75.945999999999998</v>
      </c>
      <c r="G27">
        <f t="shared" si="0"/>
        <v>22.191999999999993</v>
      </c>
    </row>
    <row r="28" spans="1:8" x14ac:dyDescent="0.25">
      <c r="A28" t="s">
        <v>300</v>
      </c>
      <c r="B28" t="s">
        <v>80</v>
      </c>
      <c r="C28" s="9" t="s">
        <v>170</v>
      </c>
      <c r="D28" s="8" t="s">
        <v>61</v>
      </c>
      <c r="E28" s="8">
        <f>30*2.54</f>
        <v>76.2</v>
      </c>
      <c r="F28">
        <f>30.5*2.54</f>
        <v>77.47</v>
      </c>
      <c r="G28">
        <f t="shared" si="0"/>
        <v>11.269999999999996</v>
      </c>
    </row>
    <row r="29" spans="1:8" x14ac:dyDescent="0.25">
      <c r="A29" t="s">
        <v>300</v>
      </c>
      <c r="B29" t="s">
        <v>80</v>
      </c>
      <c r="C29" s="9" t="s">
        <v>171</v>
      </c>
      <c r="D29" s="8" t="s">
        <v>61</v>
      </c>
      <c r="E29" s="8">
        <f>27.8*2.54</f>
        <v>70.612000000000009</v>
      </c>
      <c r="F29">
        <f>29.7*2.54</f>
        <v>75.438000000000002</v>
      </c>
      <c r="G29">
        <f t="shared" si="0"/>
        <v>14.825999999999993</v>
      </c>
    </row>
    <row r="30" spans="1:8" x14ac:dyDescent="0.25">
      <c r="A30" t="s">
        <v>300</v>
      </c>
      <c r="B30" t="s">
        <v>80</v>
      </c>
      <c r="C30" s="9" t="s">
        <v>172</v>
      </c>
      <c r="D30" s="8" t="s">
        <v>61</v>
      </c>
      <c r="E30" s="8">
        <f>27.5*2.54</f>
        <v>69.849999999999994</v>
      </c>
      <c r="F30">
        <f>30.5*2.54</f>
        <v>77.47</v>
      </c>
      <c r="G30">
        <f t="shared" si="0"/>
        <v>17.620000000000005</v>
      </c>
    </row>
    <row r="31" spans="1:8" x14ac:dyDescent="0.25">
      <c r="A31" t="s">
        <v>300</v>
      </c>
      <c r="B31" t="s">
        <v>80</v>
      </c>
      <c r="C31" s="9" t="s">
        <v>173</v>
      </c>
      <c r="D31" s="8" t="s">
        <v>61</v>
      </c>
      <c r="E31" s="8">
        <f>23*2.54</f>
        <v>58.42</v>
      </c>
      <c r="F31">
        <f>31.3*2.54</f>
        <v>79.50200000000001</v>
      </c>
      <c r="G31">
        <f t="shared" si="0"/>
        <v>31.082000000000008</v>
      </c>
    </row>
    <row r="32" spans="1:8" x14ac:dyDescent="0.25">
      <c r="A32" t="s">
        <v>300</v>
      </c>
      <c r="B32" t="s">
        <v>80</v>
      </c>
      <c r="C32" s="9" t="s">
        <v>174</v>
      </c>
      <c r="D32" s="8" t="s">
        <v>61</v>
      </c>
      <c r="E32" s="8">
        <f>27.5*2.54</f>
        <v>69.849999999999994</v>
      </c>
      <c r="F32">
        <f>31*2.54</f>
        <v>78.739999999999995</v>
      </c>
      <c r="G32">
        <f t="shared" si="0"/>
        <v>18.89</v>
      </c>
    </row>
    <row r="33" spans="1:8" x14ac:dyDescent="0.25">
      <c r="A33" t="s">
        <v>300</v>
      </c>
      <c r="B33" t="s">
        <v>80</v>
      </c>
      <c r="C33" s="9" t="s">
        <v>175</v>
      </c>
      <c r="D33" s="8" t="s">
        <v>61</v>
      </c>
      <c r="E33" s="8">
        <f>27.2*2.54</f>
        <v>69.087999999999994</v>
      </c>
      <c r="F33">
        <f>30.1*2.54</f>
        <v>76.454000000000008</v>
      </c>
      <c r="G33">
        <f t="shared" si="0"/>
        <v>17.366000000000014</v>
      </c>
    </row>
    <row r="34" spans="1:8" x14ac:dyDescent="0.25">
      <c r="A34" t="s">
        <v>99</v>
      </c>
      <c r="B34" t="s">
        <v>100</v>
      </c>
      <c r="C34" s="9" t="s">
        <v>176</v>
      </c>
      <c r="D34" s="8">
        <f>20.5*2.54</f>
        <v>52.07</v>
      </c>
      <c r="E34" s="8">
        <f>26*2.54</f>
        <v>66.040000000000006</v>
      </c>
      <c r="F34">
        <f>30*2.54</f>
        <v>76.2</v>
      </c>
      <c r="G34">
        <f t="shared" si="0"/>
        <v>20.159999999999997</v>
      </c>
      <c r="H34">
        <f>AVERAGE(G34:G41)</f>
        <v>22.509499999999996</v>
      </c>
    </row>
    <row r="35" spans="1:8" x14ac:dyDescent="0.25">
      <c r="A35" t="s">
        <v>99</v>
      </c>
      <c r="B35" t="s">
        <v>100</v>
      </c>
      <c r="C35" s="9" t="s">
        <v>177</v>
      </c>
      <c r="D35" s="8">
        <f>22*2.54</f>
        <v>55.88</v>
      </c>
      <c r="E35" s="8">
        <f>26.2*2.54</f>
        <v>66.548000000000002</v>
      </c>
      <c r="F35">
        <f>30*2.54</f>
        <v>76.2</v>
      </c>
      <c r="G35">
        <f t="shared" si="0"/>
        <v>19.652000000000001</v>
      </c>
    </row>
    <row r="36" spans="1:8" x14ac:dyDescent="0.25">
      <c r="A36" t="s">
        <v>99</v>
      </c>
      <c r="B36" t="s">
        <v>100</v>
      </c>
      <c r="C36" s="9" t="s">
        <v>178</v>
      </c>
      <c r="D36" s="8">
        <f>15.3*2.54</f>
        <v>38.862000000000002</v>
      </c>
      <c r="E36" s="8">
        <f>26.8*2.54</f>
        <v>68.072000000000003</v>
      </c>
      <c r="F36">
        <f>29.9*2.54</f>
        <v>75.945999999999998</v>
      </c>
      <c r="G36">
        <f t="shared" si="0"/>
        <v>17.873999999999995</v>
      </c>
    </row>
    <row r="37" spans="1:8" x14ac:dyDescent="0.25">
      <c r="A37" t="s">
        <v>99</v>
      </c>
      <c r="B37" t="s">
        <v>100</v>
      </c>
      <c r="C37" s="9" t="s">
        <v>179</v>
      </c>
      <c r="D37" s="8">
        <f>13.5*2.54</f>
        <v>34.29</v>
      </c>
      <c r="E37" s="8">
        <f>25*2.54</f>
        <v>63.5</v>
      </c>
      <c r="F37">
        <f>30.1*2.54</f>
        <v>76.454000000000008</v>
      </c>
      <c r="G37">
        <f t="shared" si="0"/>
        <v>22.954000000000008</v>
      </c>
    </row>
    <row r="38" spans="1:8" x14ac:dyDescent="0.25">
      <c r="A38" t="s">
        <v>99</v>
      </c>
      <c r="B38" t="s">
        <v>100</v>
      </c>
      <c r="C38" s="9" t="s">
        <v>180</v>
      </c>
      <c r="D38" s="8">
        <f>16.6*2.54</f>
        <v>42.164000000000001</v>
      </c>
      <c r="E38" s="8">
        <f>21*2.54</f>
        <v>53.34</v>
      </c>
      <c r="F38">
        <f>29.9*2.54</f>
        <v>75.945999999999998</v>
      </c>
      <c r="G38">
        <f t="shared" si="0"/>
        <v>32.605999999999995</v>
      </c>
    </row>
    <row r="39" spans="1:8" x14ac:dyDescent="0.25">
      <c r="A39" t="s">
        <v>99</v>
      </c>
      <c r="B39" t="s">
        <v>100</v>
      </c>
      <c r="C39" s="9" t="s">
        <v>181</v>
      </c>
      <c r="D39" s="8">
        <f>18.7*2.54</f>
        <v>47.497999999999998</v>
      </c>
      <c r="E39" s="8">
        <f>22*2.54</f>
        <v>55.88</v>
      </c>
      <c r="F39">
        <f>29.8*2.54</f>
        <v>75.692000000000007</v>
      </c>
      <c r="G39">
        <f t="shared" si="0"/>
        <v>29.812000000000005</v>
      </c>
    </row>
    <row r="40" spans="1:8" x14ac:dyDescent="0.25">
      <c r="A40" t="s">
        <v>99</v>
      </c>
      <c r="B40" t="s">
        <v>100</v>
      </c>
      <c r="C40" s="9" t="s">
        <v>182</v>
      </c>
      <c r="D40" s="8">
        <f>21.1*2.54</f>
        <v>53.594000000000001</v>
      </c>
      <c r="E40" s="8">
        <f>26.3*2.54</f>
        <v>66.802000000000007</v>
      </c>
      <c r="F40">
        <f>29.8*2.54</f>
        <v>75.692000000000007</v>
      </c>
      <c r="G40">
        <f t="shared" si="0"/>
        <v>18.89</v>
      </c>
    </row>
    <row r="41" spans="1:8" x14ac:dyDescent="0.25">
      <c r="A41" t="s">
        <v>99</v>
      </c>
      <c r="B41" t="s">
        <v>100</v>
      </c>
      <c r="C41" s="9" t="s">
        <v>183</v>
      </c>
      <c r="D41" s="8">
        <f>20*2.54</f>
        <v>50.8</v>
      </c>
      <c r="E41" s="8">
        <f>26.7*2.54</f>
        <v>67.817999999999998</v>
      </c>
      <c r="F41">
        <f>29.9*2.54</f>
        <v>75.945999999999998</v>
      </c>
      <c r="G41">
        <f t="shared" si="0"/>
        <v>18.128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3"/>
  <sheetViews>
    <sheetView tabSelected="1" topLeftCell="A241" zoomScale="70" zoomScaleNormal="70" workbookViewId="0">
      <pane xSplit="2" topLeftCell="T1" activePane="topRight" state="frozen"/>
      <selection pane="topRight" activeCell="AA266" sqref="AA266:AA270"/>
    </sheetView>
  </sheetViews>
  <sheetFormatPr baseColWidth="10" defaultRowHeight="15" x14ac:dyDescent="0.25"/>
  <cols>
    <col min="1" max="1" width="15" customWidth="1"/>
    <col min="2" max="2" width="21.7109375" customWidth="1"/>
    <col min="3" max="3" width="14.42578125" customWidth="1"/>
    <col min="6" max="6" width="17.28515625" customWidth="1"/>
    <col min="7" max="7" width="20.28515625" style="9" customWidth="1"/>
    <col min="8" max="10" width="18" style="9" customWidth="1"/>
    <col min="11" max="11" width="19" style="9" customWidth="1"/>
    <col min="12" max="12" width="24.140625" style="9" customWidth="1"/>
    <col min="13" max="13" width="19.28515625" customWidth="1"/>
    <col min="14" max="16" width="22.5703125" customWidth="1"/>
    <col min="17" max="19" width="21.7109375" customWidth="1"/>
    <col min="20" max="20" width="21.140625" customWidth="1"/>
    <col min="21" max="21" width="23.42578125" customWidth="1"/>
    <col min="22" max="22" width="17.85546875" customWidth="1"/>
    <col min="24" max="24" width="20.140625" customWidth="1"/>
    <col min="25" max="25" width="19.85546875" customWidth="1"/>
    <col min="26" max="26" width="19.140625" customWidth="1"/>
    <col min="28" max="28" width="12.42578125" customWidth="1"/>
    <col min="29" max="29" width="13.28515625" customWidth="1"/>
  </cols>
  <sheetData>
    <row r="1" spans="1:35" ht="45" x14ac:dyDescent="0.25">
      <c r="A1" s="108" t="s">
        <v>124</v>
      </c>
      <c r="B1" s="109" t="s">
        <v>125</v>
      </c>
      <c r="C1" s="110" t="s">
        <v>126</v>
      </c>
      <c r="D1" s="109" t="s">
        <v>127</v>
      </c>
      <c r="E1" s="109" t="s">
        <v>13</v>
      </c>
      <c r="F1" s="111" t="s">
        <v>128</v>
      </c>
      <c r="G1" s="112" t="s">
        <v>129</v>
      </c>
      <c r="H1" s="112" t="s">
        <v>130</v>
      </c>
      <c r="I1" s="113" t="s">
        <v>321</v>
      </c>
      <c r="J1" s="114" t="s">
        <v>322</v>
      </c>
      <c r="K1" s="112" t="s">
        <v>131</v>
      </c>
      <c r="L1" s="112" t="s">
        <v>132</v>
      </c>
      <c r="M1" s="111" t="s">
        <v>133</v>
      </c>
      <c r="N1" s="115" t="s">
        <v>134</v>
      </c>
      <c r="O1" s="116" t="s">
        <v>323</v>
      </c>
      <c r="P1" s="116" t="s">
        <v>324</v>
      </c>
      <c r="Q1" s="115" t="s">
        <v>135</v>
      </c>
      <c r="R1" s="116" t="s">
        <v>325</v>
      </c>
      <c r="S1" s="116" t="s">
        <v>326</v>
      </c>
      <c r="T1" s="109" t="s">
        <v>136</v>
      </c>
      <c r="U1" s="109" t="s">
        <v>137</v>
      </c>
      <c r="V1" s="117" t="s">
        <v>138</v>
      </c>
      <c r="W1" s="117" t="s">
        <v>15</v>
      </c>
      <c r="X1" s="118" t="s">
        <v>139</v>
      </c>
      <c r="Y1" s="118" t="s">
        <v>140</v>
      </c>
      <c r="Z1" s="119" t="s">
        <v>141</v>
      </c>
      <c r="AA1" s="120" t="s">
        <v>142</v>
      </c>
      <c r="AB1" s="113" t="s">
        <v>321</v>
      </c>
      <c r="AC1" s="114" t="s">
        <v>322</v>
      </c>
      <c r="AD1" s="121" t="s">
        <v>119</v>
      </c>
      <c r="AE1" s="121" t="s">
        <v>192</v>
      </c>
      <c r="AF1" s="121" t="s">
        <v>119</v>
      </c>
      <c r="AG1" s="121" t="s">
        <v>192</v>
      </c>
      <c r="AH1" s="113" t="s">
        <v>321</v>
      </c>
      <c r="AI1" s="114" t="s">
        <v>322</v>
      </c>
    </row>
    <row r="2" spans="1:35" x14ac:dyDescent="0.25">
      <c r="A2" s="89" t="s">
        <v>144</v>
      </c>
      <c r="B2" s="23" t="s">
        <v>41</v>
      </c>
      <c r="C2" s="22" t="s">
        <v>143</v>
      </c>
      <c r="D2" s="61">
        <v>1</v>
      </c>
      <c r="E2" t="s">
        <v>17</v>
      </c>
      <c r="F2" s="24">
        <v>44228</v>
      </c>
      <c r="G2" s="26">
        <f>'Datos Crudos SE2-Ref'!H2</f>
        <v>1.96</v>
      </c>
      <c r="H2" s="26">
        <f>'Datos Crudos SE2-Ref'!H49</f>
        <v>2.0099999999999998</v>
      </c>
      <c r="I2" s="25">
        <f>'Datos Crudos SE2-Ref'!I2</f>
        <v>3.5714285714285636</v>
      </c>
      <c r="J2" s="25">
        <f>'Datos Crudos SE2-Ref'!I49</f>
        <v>4.9751243781094576</v>
      </c>
      <c r="K2" s="22">
        <f>'Datos Crudos SE2-Ref'!R2</f>
        <v>1.7610999999999999</v>
      </c>
      <c r="L2" s="22">
        <f>'Datos Crudos SE2-Ref'!R49</f>
        <v>1.8130999999999997</v>
      </c>
      <c r="M2" s="24">
        <v>44286</v>
      </c>
      <c r="N2" s="22">
        <f>'Datos Crudos SE2-Ref'!M2</f>
        <v>0.4955</v>
      </c>
      <c r="O2" s="26">
        <f>'Datos Crudos SE2-Ref'!P2</f>
        <v>0.1356</v>
      </c>
      <c r="P2" s="22">
        <f>'Datos Crudos SE2-Ref'!Q2</f>
        <v>6.3299999999999995E-2</v>
      </c>
      <c r="Q2" s="22">
        <f>'Datos Crudos SE2-Ref'!M49</f>
        <v>1.3726</v>
      </c>
      <c r="R2" s="22">
        <f>'Datos Crudos SE2-Ref'!P49</f>
        <v>0.13009999999999999</v>
      </c>
      <c r="S2" s="22">
        <f>'Datos Crudos SE2-Ref'!Q49</f>
        <v>6.6799999999999998E-2</v>
      </c>
      <c r="T2" s="22">
        <f>'Datos Crudos SE2-Ref'!O2</f>
        <v>0.29659999999999997</v>
      </c>
      <c r="U2" s="22">
        <f>'Datos Crudos SE2-Ref'!O49</f>
        <v>1.1763999999999999</v>
      </c>
      <c r="V2" s="19">
        <f>1-FINAL_WEIGHT_GREEN/INITIAL_WEIGHT_GREEN</f>
        <v>0.83158253364374546</v>
      </c>
      <c r="W2" s="19">
        <f t="shared" ref="W2:W66" si="0">1-(V2/0.842)</f>
        <v>1.2372287834031437E-2</v>
      </c>
      <c r="X2" s="21">
        <f t="shared" ref="X2:X66" si="1">0.552*(1-W2)</f>
        <v>0.54517049711561472</v>
      </c>
      <c r="Y2" s="21">
        <f t="shared" ref="Y2:Y66" si="2">FINAL_WEIGHT_RED/INITIAL_WEIGHT_RED</f>
        <v>0.64883348960344167</v>
      </c>
      <c r="Z2" s="22">
        <f>M2-F2</f>
        <v>58</v>
      </c>
      <c r="AA2" s="242">
        <f t="shared" ref="AA2:AA66" si="3">LN(X2/(Y2-(1-X2)))/Z2</f>
        <v>1.7814135785056001E-2</v>
      </c>
      <c r="AB2" s="66">
        <f>'Datos Crudos SE2-Ref'!S2</f>
        <v>83.158253364374531</v>
      </c>
      <c r="AC2" s="66">
        <f>'Datos Crudos SE2-Ref'!S49</f>
        <v>35.116651039655835</v>
      </c>
      <c r="AD2" s="106">
        <f>AVERAGE(W2:W9)</f>
        <v>-6.1038059505315323E-4</v>
      </c>
      <c r="AE2" s="23">
        <f>STDEV(W2:W9)</f>
        <v>1.5179645753333585E-2</v>
      </c>
      <c r="AF2" s="107">
        <f>AVERAGE(AA2:AA9)</f>
        <v>1.7732403690395925E-2</v>
      </c>
      <c r="AG2" s="95">
        <f>STDEV(AA2:AA9)</f>
        <v>1.1396187810109794E-3</v>
      </c>
      <c r="AH2" s="66">
        <f>'Datos Crudos SE2-Ref'!U2</f>
        <v>16.841746635625459</v>
      </c>
      <c r="AI2" s="66">
        <f>'Datos Crudos SE2-Ref'!U49</f>
        <v>64.883348960344165</v>
      </c>
    </row>
    <row r="3" spans="1:35" x14ac:dyDescent="0.25">
      <c r="A3" s="89" t="s">
        <v>145</v>
      </c>
      <c r="B3" s="23" t="s">
        <v>41</v>
      </c>
      <c r="C3" s="22" t="s">
        <v>143</v>
      </c>
      <c r="D3" s="61">
        <v>2</v>
      </c>
      <c r="E3" t="s">
        <v>17</v>
      </c>
      <c r="F3" s="24">
        <v>44228</v>
      </c>
      <c r="G3" s="26">
        <f>'Datos Crudos SE2-Ref'!H3</f>
        <v>1.99</v>
      </c>
      <c r="H3" s="26">
        <f>'Datos Crudos SE2-Ref'!H50</f>
        <v>2.19</v>
      </c>
      <c r="I3" s="25">
        <f>'Datos Crudos SE2-Ref'!I3</f>
        <v>3.5175879396984957</v>
      </c>
      <c r="J3" s="25">
        <f>'Datos Crudos SE2-Ref'!I50</f>
        <v>4.1095890410958837</v>
      </c>
      <c r="K3" s="22">
        <f>'Datos Crudos SE2-Ref'!R3</f>
        <v>1.7936000000000001</v>
      </c>
      <c r="L3" s="22">
        <f>'Datos Crudos SE2-Ref'!R50</f>
        <v>2.0011000000000001</v>
      </c>
      <c r="M3" s="24">
        <v>44286</v>
      </c>
      <c r="N3" s="22">
        <f>'Datos Crudos SE2-Ref'!M3</f>
        <v>0.4798</v>
      </c>
      <c r="O3" s="26">
        <f>'Datos Crudos SE2-Ref'!P3</f>
        <v>0.13489999999999999</v>
      </c>
      <c r="P3" s="22">
        <f>'Datos Crudos SE2-Ref'!Q3</f>
        <v>6.1499999999999999E-2</v>
      </c>
      <c r="Q3" s="22">
        <f>'Datos Crudos SE2-Ref'!M50</f>
        <v>1.5007999999999999</v>
      </c>
      <c r="R3" s="22">
        <f>'Datos Crudos SE2-Ref'!P50</f>
        <v>0.12659999999999999</v>
      </c>
      <c r="S3" s="22">
        <f>'Datos Crudos SE2-Ref'!Q50</f>
        <v>6.2300000000000001E-2</v>
      </c>
      <c r="T3" s="22">
        <f>'Datos Crudos SE2-Ref'!O3</f>
        <v>0.28249999999999997</v>
      </c>
      <c r="U3" s="22">
        <f>'Datos Crudos SE2-Ref'!O50</f>
        <v>1.3119000000000001</v>
      </c>
      <c r="V3" s="19">
        <f t="shared" ref="V3:V66" si="4">1-FINAL_WEIGHT_GREEN/INITIAL_WEIGHT_GREEN</f>
        <v>0.84249553969669944</v>
      </c>
      <c r="W3" s="20">
        <f t="shared" si="0"/>
        <v>-5.8852695569999725E-4</v>
      </c>
      <c r="X3" s="21">
        <f t="shared" si="1"/>
        <v>0.55232486687954641</v>
      </c>
      <c r="Y3" s="21">
        <f t="shared" si="2"/>
        <v>0.65558942581580126</v>
      </c>
      <c r="Z3" s="22">
        <f t="shared" ref="Z3:Z66" si="5">M3-F3</f>
        <v>58</v>
      </c>
      <c r="AA3" s="242">
        <f t="shared" si="3"/>
        <v>1.6845007925593413E-2</v>
      </c>
      <c r="AB3" s="66">
        <f>'Datos Crudos SE2-Ref'!S3</f>
        <v>84.249553969669947</v>
      </c>
      <c r="AC3" s="66">
        <f>'Datos Crudos SE2-Ref'!S50</f>
        <v>34.441057418419867</v>
      </c>
      <c r="AD3" s="23"/>
      <c r="AE3" s="23"/>
      <c r="AF3" s="23"/>
      <c r="AG3" s="95"/>
      <c r="AH3" s="66">
        <f>'Datos Crudos SE2-Ref'!U3</f>
        <v>15.750446030330059</v>
      </c>
      <c r="AI3" s="66">
        <f>'Datos Crudos SE2-Ref'!U50</f>
        <v>65.558942581580126</v>
      </c>
    </row>
    <row r="4" spans="1:35" x14ac:dyDescent="0.25">
      <c r="A4" s="89" t="s">
        <v>146</v>
      </c>
      <c r="B4" s="23" t="s">
        <v>41</v>
      </c>
      <c r="C4" s="22" t="s">
        <v>143</v>
      </c>
      <c r="D4" s="61">
        <v>1</v>
      </c>
      <c r="E4" t="s">
        <v>18</v>
      </c>
      <c r="F4" s="24">
        <v>44228</v>
      </c>
      <c r="G4" s="26">
        <f>'Datos Crudos SE2-Ref'!H4</f>
        <v>2.08</v>
      </c>
      <c r="H4" s="26">
        <f>'Datos Crudos SE2-Ref'!H51</f>
        <v>2.15</v>
      </c>
      <c r="I4" s="25">
        <f>'Datos Crudos SE2-Ref'!I4</f>
        <v>3.3653846153846074</v>
      </c>
      <c r="J4" s="25">
        <f>'Datos Crudos SE2-Ref'!I51</f>
        <v>4.6511627906976782</v>
      </c>
      <c r="K4" s="22">
        <f>'Datos Crudos SE2-Ref'!R4</f>
        <v>1.8857000000000002</v>
      </c>
      <c r="L4" s="22">
        <f>'Datos Crudos SE2-Ref'!R51</f>
        <v>1.9598</v>
      </c>
      <c r="M4" s="24">
        <v>44286</v>
      </c>
      <c r="N4" s="22">
        <f>'Datos Crudos SE2-Ref'!M4</f>
        <v>0.45079999999999998</v>
      </c>
      <c r="O4" s="26">
        <f>'Datos Crudos SE2-Ref'!P4</f>
        <v>0.13739999999999999</v>
      </c>
      <c r="P4" s="22">
        <f>'Datos Crudos SE2-Ref'!Q4</f>
        <v>5.6899999999999999E-2</v>
      </c>
      <c r="Q4" s="22">
        <f>'Datos Crudos SE2-Ref'!M51</f>
        <v>1.4240999999999999</v>
      </c>
      <c r="R4" s="22">
        <f>'Datos Crudos SE2-Ref'!P51</f>
        <v>0.1336</v>
      </c>
      <c r="S4" s="22">
        <f>'Datos Crudos SE2-Ref'!Q51</f>
        <v>5.6599999999999998E-2</v>
      </c>
      <c r="T4" s="22">
        <f>'Datos Crudos SE2-Ref'!O4</f>
        <v>0.25609999999999999</v>
      </c>
      <c r="U4" s="22">
        <f>'Datos Crudos SE2-Ref'!O51</f>
        <v>1.2336</v>
      </c>
      <c r="V4" s="19">
        <f t="shared" si="4"/>
        <v>0.86418836506337171</v>
      </c>
      <c r="W4" s="20">
        <f t="shared" si="0"/>
        <v>-2.6351977509942781E-2</v>
      </c>
      <c r="X4" s="21">
        <f t="shared" si="1"/>
        <v>0.56654629158548842</v>
      </c>
      <c r="Y4" s="21">
        <f t="shared" si="2"/>
        <v>0.62945198489641807</v>
      </c>
      <c r="Z4" s="22">
        <f t="shared" si="5"/>
        <v>58</v>
      </c>
      <c r="AA4" s="242">
        <f t="shared" si="3"/>
        <v>1.8300912525248812E-2</v>
      </c>
      <c r="AB4" s="66">
        <f>'Datos Crudos SE2-Ref'!S4</f>
        <v>86.418836506337172</v>
      </c>
      <c r="AC4" s="66">
        <f>'Datos Crudos SE2-Ref'!S51</f>
        <v>37.054801510358196</v>
      </c>
      <c r="AD4" s="23"/>
      <c r="AE4" s="23"/>
      <c r="AF4" s="23"/>
      <c r="AG4" s="95"/>
      <c r="AH4" s="66">
        <f>'Datos Crudos SE2-Ref'!U4</f>
        <v>13.581163493662828</v>
      </c>
      <c r="AI4" s="66">
        <f>'Datos Crudos SE2-Ref'!U51</f>
        <v>62.945198489641804</v>
      </c>
    </row>
    <row r="5" spans="1:35" x14ac:dyDescent="0.25">
      <c r="A5" s="89" t="s">
        <v>147</v>
      </c>
      <c r="B5" s="23" t="s">
        <v>41</v>
      </c>
      <c r="C5" s="22" t="s">
        <v>143</v>
      </c>
      <c r="D5" s="61">
        <v>2</v>
      </c>
      <c r="E5" t="s">
        <v>18</v>
      </c>
      <c r="F5" s="24">
        <v>44228</v>
      </c>
      <c r="G5" s="26">
        <f>'Datos Crudos SE2-Ref'!H5</f>
        <v>2</v>
      </c>
      <c r="H5" s="26">
        <f>'Datos Crudos SE2-Ref'!H52</f>
        <v>2.1800000000000002</v>
      </c>
      <c r="I5" s="25">
        <f>'Datos Crudos SE2-Ref'!I5</f>
        <v>4.0000000000000036</v>
      </c>
      <c r="J5" s="25">
        <f>'Datos Crudos SE2-Ref'!I52</f>
        <v>5.0458715596330217</v>
      </c>
      <c r="K5" s="22">
        <f>'Datos Crudos SE2-Ref'!R5</f>
        <v>1.8153999999999999</v>
      </c>
      <c r="L5" s="22">
        <f>'Datos Crudos SE2-Ref'!R52</f>
        <v>1.9910000000000001</v>
      </c>
      <c r="M5" s="24">
        <v>44286</v>
      </c>
      <c r="N5" s="22">
        <f>'Datos Crudos SE2-Ref'!M5</f>
        <v>0.45619999999999999</v>
      </c>
      <c r="O5" s="26">
        <f>'Datos Crudos SE2-Ref'!P5</f>
        <v>0.1275</v>
      </c>
      <c r="P5" s="22">
        <f>'Datos Crudos SE2-Ref'!Q5</f>
        <v>5.7099999999999998E-2</v>
      </c>
      <c r="Q5" s="22">
        <f>'Datos Crudos SE2-Ref'!M52</f>
        <v>1.4520999999999999</v>
      </c>
      <c r="R5" s="22">
        <f>'Datos Crudos SE2-Ref'!P52</f>
        <v>0.1305</v>
      </c>
      <c r="S5" s="22">
        <f>'Datos Crudos SE2-Ref'!Q52</f>
        <v>5.8500000000000003E-2</v>
      </c>
      <c r="T5" s="22">
        <f>'Datos Crudos SE2-Ref'!O5</f>
        <v>0.27139999999999997</v>
      </c>
      <c r="U5" s="22">
        <f>'Datos Crudos SE2-Ref'!O52</f>
        <v>1.2626999999999999</v>
      </c>
      <c r="V5" s="19">
        <f t="shared" si="4"/>
        <v>0.85050126693841577</v>
      </c>
      <c r="W5" s="20">
        <f t="shared" si="0"/>
        <v>-1.0096516553937951E-2</v>
      </c>
      <c r="X5" s="21">
        <f t="shared" si="1"/>
        <v>0.55757327713777383</v>
      </c>
      <c r="Y5" s="21">
        <f t="shared" si="2"/>
        <v>0.63420391762933193</v>
      </c>
      <c r="Z5" s="22">
        <f t="shared" si="5"/>
        <v>58</v>
      </c>
      <c r="AA5" s="242">
        <f t="shared" si="3"/>
        <v>1.8401028952397248E-2</v>
      </c>
      <c r="AB5" s="66">
        <f>'Datos Crudos SE2-Ref'!S5</f>
        <v>85.050126693841591</v>
      </c>
      <c r="AC5" s="66">
        <f>'Datos Crudos SE2-Ref'!S52</f>
        <v>36.579608237066807</v>
      </c>
      <c r="AD5" s="23"/>
      <c r="AE5" s="23"/>
      <c r="AF5" s="23"/>
      <c r="AG5" s="95"/>
      <c r="AH5" s="66">
        <f>'Datos Crudos SE2-Ref'!U5</f>
        <v>14.94987330615842</v>
      </c>
      <c r="AI5" s="66">
        <f>'Datos Crudos SE2-Ref'!U52</f>
        <v>63.420391762933193</v>
      </c>
    </row>
    <row r="6" spans="1:35" x14ac:dyDescent="0.25">
      <c r="A6" s="89" t="s">
        <v>148</v>
      </c>
      <c r="B6" s="23" t="s">
        <v>41</v>
      </c>
      <c r="C6" s="22" t="s">
        <v>143</v>
      </c>
      <c r="D6" s="61">
        <v>1</v>
      </c>
      <c r="E6" t="s">
        <v>19</v>
      </c>
      <c r="F6" s="24">
        <v>44228</v>
      </c>
      <c r="G6" s="26">
        <f>'Datos Crudos SE2-Ref'!H6</f>
        <v>1.97</v>
      </c>
      <c r="H6" s="26">
        <f>'Datos Crudos SE2-Ref'!H53</f>
        <v>2.21</v>
      </c>
      <c r="I6" s="25">
        <f>'Datos Crudos SE2-Ref'!I6</f>
        <v>3.5532994923857899</v>
      </c>
      <c r="J6" s="25">
        <f>'Datos Crudos SE2-Ref'!I53</f>
        <v>4.9773755656108536</v>
      </c>
      <c r="K6" s="22">
        <f>'Datos Crudos SE2-Ref'!R6</f>
        <v>1.7774000000000001</v>
      </c>
      <c r="L6" s="22">
        <f>'Datos Crudos SE2-Ref'!R53</f>
        <v>2.0221</v>
      </c>
      <c r="M6" s="24">
        <v>44286</v>
      </c>
      <c r="N6" s="22">
        <f>'Datos Crudos SE2-Ref'!M6</f>
        <v>0.45579999999999998</v>
      </c>
      <c r="O6" s="26">
        <f>'Datos Crudos SE2-Ref'!P6</f>
        <v>0.13550000000000001</v>
      </c>
      <c r="P6" s="22">
        <f>'Datos Crudos SE2-Ref'!Q6</f>
        <v>5.7099999999999998E-2</v>
      </c>
      <c r="Q6" s="22">
        <f>'Datos Crudos SE2-Ref'!M53</f>
        <v>1.4478</v>
      </c>
      <c r="R6" s="22">
        <f>'Datos Crudos SE2-Ref'!P53</f>
        <v>0.13089999999999999</v>
      </c>
      <c r="S6" s="22">
        <f>'Datos Crudos SE2-Ref'!Q53</f>
        <v>5.7000000000000002E-2</v>
      </c>
      <c r="T6" s="22">
        <f>'Datos Crudos SE2-Ref'!O6</f>
        <v>0.26219999999999999</v>
      </c>
      <c r="U6" s="22">
        <f>'Datos Crudos SE2-Ref'!O53</f>
        <v>1.2601</v>
      </c>
      <c r="V6" s="19">
        <f t="shared" si="4"/>
        <v>0.8524811522448521</v>
      </c>
      <c r="W6" s="20">
        <f t="shared" si="0"/>
        <v>-1.2447924281297151E-2</v>
      </c>
      <c r="X6" s="21">
        <f t="shared" si="1"/>
        <v>0.5588712542032761</v>
      </c>
      <c r="Y6" s="21">
        <f t="shared" si="2"/>
        <v>0.62316403738687498</v>
      </c>
      <c r="Z6" s="22">
        <f t="shared" si="5"/>
        <v>58</v>
      </c>
      <c r="AA6" s="242">
        <f t="shared" si="3"/>
        <v>1.9339975069476496E-2</v>
      </c>
      <c r="AB6" s="66">
        <f>'Datos Crudos SE2-Ref'!S6</f>
        <v>85.248115224485204</v>
      </c>
      <c r="AC6" s="66">
        <f>'Datos Crudos SE2-Ref'!S53</f>
        <v>37.683596261312495</v>
      </c>
      <c r="AD6" s="23"/>
      <c r="AE6" s="23"/>
      <c r="AF6" s="23"/>
      <c r="AG6" s="95"/>
      <c r="AH6" s="66">
        <f>'Datos Crudos SE2-Ref'!U6</f>
        <v>14.751884775514796</v>
      </c>
      <c r="AI6" s="66">
        <f>'Datos Crudos SE2-Ref'!U53</f>
        <v>62.316403738687498</v>
      </c>
    </row>
    <row r="7" spans="1:35" x14ac:dyDescent="0.25">
      <c r="A7" s="89" t="s">
        <v>149</v>
      </c>
      <c r="B7" s="23" t="s">
        <v>41</v>
      </c>
      <c r="C7" s="22" t="s">
        <v>143</v>
      </c>
      <c r="D7" s="61">
        <v>2</v>
      </c>
      <c r="E7" t="s">
        <v>19</v>
      </c>
      <c r="F7" s="24">
        <v>44228</v>
      </c>
      <c r="G7" s="26">
        <f>'Datos Crudos SE2-Ref'!H7</f>
        <v>2.0499999999999998</v>
      </c>
      <c r="H7" s="26">
        <f>'Datos Crudos SE2-Ref'!H54</f>
        <v>2.17</v>
      </c>
      <c r="I7" s="25">
        <f>'Datos Crudos SE2-Ref'!I7</f>
        <v>2.926829268292686</v>
      </c>
      <c r="J7" s="25">
        <f>'Datos Crudos SE2-Ref'!I54</f>
        <v>5.5299539170506966</v>
      </c>
      <c r="K7" s="22">
        <f>'Datos Crudos SE2-Ref'!R7</f>
        <v>1.8551999999999997</v>
      </c>
      <c r="L7" s="22">
        <f>'Datos Crudos SE2-Ref'!R54</f>
        <v>1.9770999999999999</v>
      </c>
      <c r="M7" s="24">
        <v>44286</v>
      </c>
      <c r="N7" s="22">
        <f>'Datos Crudos SE2-Ref'!M7</f>
        <v>0.50370000000000004</v>
      </c>
      <c r="O7" s="26">
        <f>'Datos Crudos SE2-Ref'!P7</f>
        <v>0.13689999999999999</v>
      </c>
      <c r="P7" s="22">
        <f>'Datos Crudos SE2-Ref'!Q7</f>
        <v>5.79E-2</v>
      </c>
      <c r="Q7" s="22">
        <f>'Datos Crudos SE2-Ref'!M54</f>
        <v>1.4564999999999999</v>
      </c>
      <c r="R7" s="22">
        <f>'Datos Crudos SE2-Ref'!P54</f>
        <v>0.13600000000000001</v>
      </c>
      <c r="S7" s="22">
        <f>'Datos Crudos SE2-Ref'!Q54</f>
        <v>5.6899999999999999E-2</v>
      </c>
      <c r="T7" s="22">
        <f>'Datos Crudos SE2-Ref'!O7</f>
        <v>0.30730000000000002</v>
      </c>
      <c r="U7" s="22">
        <f>'Datos Crudos SE2-Ref'!O54</f>
        <v>1.2636000000000001</v>
      </c>
      <c r="V7" s="19">
        <f t="shared" si="4"/>
        <v>0.83435748167313495</v>
      </c>
      <c r="W7" s="19">
        <f t="shared" si="0"/>
        <v>9.0766250912885926E-3</v>
      </c>
      <c r="X7" s="21">
        <f t="shared" si="1"/>
        <v>0.54698970294960869</v>
      </c>
      <c r="Y7" s="21">
        <f t="shared" si="2"/>
        <v>0.63911789995447887</v>
      </c>
      <c r="Z7" s="22">
        <f t="shared" si="5"/>
        <v>58</v>
      </c>
      <c r="AA7" s="242">
        <f t="shared" si="3"/>
        <v>1.8588016568581413E-2</v>
      </c>
      <c r="AB7" s="66">
        <f>'Datos Crudos SE2-Ref'!S7</f>
        <v>83.435748167313491</v>
      </c>
      <c r="AC7" s="66">
        <f>'Datos Crudos SE2-Ref'!S54</f>
        <v>36.08821000455211</v>
      </c>
      <c r="AD7" s="23"/>
      <c r="AE7" s="23"/>
      <c r="AF7" s="23"/>
      <c r="AG7" s="95"/>
      <c r="AH7" s="66">
        <f>'Datos Crudos SE2-Ref'!U7</f>
        <v>16.564251832686505</v>
      </c>
      <c r="AI7" s="66">
        <f>'Datos Crudos SE2-Ref'!U54</f>
        <v>63.91178999544789</v>
      </c>
    </row>
    <row r="8" spans="1:35" x14ac:dyDescent="0.25">
      <c r="A8" s="89" t="s">
        <v>150</v>
      </c>
      <c r="B8" s="23" t="s">
        <v>41</v>
      </c>
      <c r="C8" s="22" t="s">
        <v>143</v>
      </c>
      <c r="D8" s="61">
        <v>1</v>
      </c>
      <c r="E8" t="s">
        <v>20</v>
      </c>
      <c r="F8" s="24">
        <v>44228</v>
      </c>
      <c r="G8" s="26">
        <f>'Datos Crudos SE2-Ref'!H8</f>
        <v>2.1</v>
      </c>
      <c r="H8" s="26">
        <f>'Datos Crudos SE2-Ref'!H55</f>
        <v>2.08</v>
      </c>
      <c r="I8" s="25">
        <f>'Datos Crudos SE2-Ref'!I8</f>
        <v>4.7619047619047654</v>
      </c>
      <c r="J8" s="25">
        <f>'Datos Crudos SE2-Ref'!I55</f>
        <v>5.2884615384615321</v>
      </c>
      <c r="K8" s="22">
        <f>'Datos Crudos SE2-Ref'!R8</f>
        <v>1.8989</v>
      </c>
      <c r="L8" s="22">
        <f>'Datos Crudos SE2-Ref'!R55</f>
        <v>1.8956</v>
      </c>
      <c r="M8" s="24">
        <v>44286</v>
      </c>
      <c r="N8" s="22">
        <f>'Datos Crudos SE2-Ref'!M8</f>
        <v>0.50660000000000005</v>
      </c>
      <c r="O8" s="26">
        <f>'Datos Crudos SE2-Ref'!P8</f>
        <v>0.14399999999999999</v>
      </c>
      <c r="P8" s="22">
        <f>'Datos Crudos SE2-Ref'!Q8</f>
        <v>5.7099999999999998E-2</v>
      </c>
      <c r="Q8" s="22">
        <f>'Datos Crudos SE2-Ref'!M55</f>
        <v>1.4451000000000001</v>
      </c>
      <c r="R8" s="22">
        <f>'Datos Crudos SE2-Ref'!P55</f>
        <v>0.1242</v>
      </c>
      <c r="S8" s="22">
        <f>'Datos Crudos SE2-Ref'!Q55</f>
        <v>6.0199999999999997E-2</v>
      </c>
      <c r="T8" s="22">
        <f>'Datos Crudos SE2-Ref'!O8</f>
        <v>0.30420000000000003</v>
      </c>
      <c r="U8" s="22">
        <f>'Datos Crudos SE2-Ref'!O55</f>
        <v>1.2602</v>
      </c>
      <c r="V8" s="19">
        <f t="shared" si="4"/>
        <v>0.83980199062615202</v>
      </c>
      <c r="W8" s="19">
        <f t="shared" si="0"/>
        <v>2.6104624392493392E-3</v>
      </c>
      <c r="X8" s="21">
        <f t="shared" si="1"/>
        <v>0.55055902473353446</v>
      </c>
      <c r="Y8" s="21">
        <f t="shared" si="2"/>
        <v>0.66480270099177041</v>
      </c>
      <c r="Z8" s="22">
        <f t="shared" si="5"/>
        <v>58</v>
      </c>
      <c r="AA8" s="242">
        <f t="shared" si="3"/>
        <v>1.6183019155230172E-2</v>
      </c>
      <c r="AB8" s="66">
        <f>'Datos Crudos SE2-Ref'!S8</f>
        <v>83.980199062615199</v>
      </c>
      <c r="AC8" s="66">
        <f>'Datos Crudos SE2-Ref'!S55</f>
        <v>33.519729900822959</v>
      </c>
      <c r="AD8" s="23"/>
      <c r="AE8" s="23"/>
      <c r="AF8" s="23"/>
      <c r="AG8" s="95"/>
      <c r="AH8" s="66">
        <f>'Datos Crudos SE2-Ref'!U8</f>
        <v>16.019800937384804</v>
      </c>
      <c r="AI8" s="66">
        <f>'Datos Crudos SE2-Ref'!U55</f>
        <v>66.480270099177048</v>
      </c>
    </row>
    <row r="9" spans="1:35" x14ac:dyDescent="0.25">
      <c r="A9" s="96" t="s">
        <v>151</v>
      </c>
      <c r="B9" s="97" t="s">
        <v>41</v>
      </c>
      <c r="C9" s="98" t="s">
        <v>143</v>
      </c>
      <c r="D9" s="61">
        <v>2</v>
      </c>
      <c r="E9" t="s">
        <v>20</v>
      </c>
      <c r="F9" s="99">
        <v>44228</v>
      </c>
      <c r="G9" s="100">
        <f>'Datos Crudos SE2-Ref'!H9</f>
        <v>1.99</v>
      </c>
      <c r="H9" s="100">
        <f>'Datos Crudos SE2-Ref'!H56</f>
        <v>2.2200000000000002</v>
      </c>
      <c r="I9" s="101">
        <f>'Datos Crudos SE2-Ref'!I9</f>
        <v>4.5226130653266372</v>
      </c>
      <c r="J9" s="101">
        <f>'Datos Crudos SE2-Ref'!I56</f>
        <v>7.2072072072071931</v>
      </c>
      <c r="K9" s="98">
        <f>'Datos Crudos SE2-Ref'!R9</f>
        <v>1.7941</v>
      </c>
      <c r="L9" s="98">
        <f>'Datos Crudos SE2-Ref'!R56</f>
        <v>2.0316000000000001</v>
      </c>
      <c r="M9" s="99">
        <v>44286</v>
      </c>
      <c r="N9" s="98">
        <f>'Datos Crudos SE2-Ref'!M9</f>
        <v>0.51090000000000002</v>
      </c>
      <c r="O9" s="100">
        <f>'Datos Crudos SE2-Ref'!P9</f>
        <v>0.13400000000000001</v>
      </c>
      <c r="P9" s="98">
        <f>'Datos Crudos SE2-Ref'!Q9</f>
        <v>6.1899999999999997E-2</v>
      </c>
      <c r="Q9" s="98">
        <f>'Datos Crudos SE2-Ref'!M56</f>
        <v>1.5468</v>
      </c>
      <c r="R9" s="98">
        <f>'Datos Crudos SE2-Ref'!P56</f>
        <v>0.1323</v>
      </c>
      <c r="S9" s="98">
        <f>'Datos Crudos SE2-Ref'!Q56</f>
        <v>5.6099999999999997E-2</v>
      </c>
      <c r="T9" s="98">
        <f>'Datos Crudos SE2-Ref'!O9</f>
        <v>0.3145</v>
      </c>
      <c r="U9" s="98">
        <f>'Datos Crudos SE2-Ref'!O56</f>
        <v>1.3577999999999999</v>
      </c>
      <c r="V9" s="102">
        <f t="shared" si="4"/>
        <v>0.82470319380190626</v>
      </c>
      <c r="W9" s="102">
        <f t="shared" si="0"/>
        <v>2.0542525175883286E-2</v>
      </c>
      <c r="X9" s="103">
        <f t="shared" si="1"/>
        <v>0.54066052610291249</v>
      </c>
      <c r="Y9" s="103">
        <f t="shared" si="2"/>
        <v>0.6683402244536325</v>
      </c>
      <c r="Z9" s="98">
        <f t="shared" si="5"/>
        <v>58</v>
      </c>
      <c r="AA9" s="243">
        <f t="shared" si="3"/>
        <v>1.6387133541583832E-2</v>
      </c>
      <c r="AB9" s="104">
        <f>'Datos Crudos SE2-Ref'!S9</f>
        <v>82.470319380190631</v>
      </c>
      <c r="AC9" s="104">
        <f>'Datos Crudos SE2-Ref'!S56</f>
        <v>33.165977554636747</v>
      </c>
      <c r="AD9" s="97"/>
      <c r="AE9" s="97"/>
      <c r="AF9" s="97"/>
      <c r="AG9" s="105"/>
      <c r="AH9" s="66">
        <f>'Datos Crudos SE2-Ref'!U9</f>
        <v>17.529680619809376</v>
      </c>
      <c r="AI9" s="66">
        <f>'Datos Crudos SE2-Ref'!U56</f>
        <v>66.834022445363246</v>
      </c>
    </row>
    <row r="10" spans="1:35" x14ac:dyDescent="0.25">
      <c r="A10" s="22" t="s">
        <v>152</v>
      </c>
      <c r="B10" s="23" t="s">
        <v>60</v>
      </c>
      <c r="C10" s="22" t="s">
        <v>143</v>
      </c>
      <c r="D10" s="61">
        <v>1</v>
      </c>
      <c r="E10" t="s">
        <v>17</v>
      </c>
      <c r="F10" s="24">
        <v>44235</v>
      </c>
      <c r="G10" s="26">
        <f>'Datos Crudos SE2-Ref'!H10</f>
        <v>2.0365000000000002</v>
      </c>
      <c r="H10" s="26">
        <f>'Datos Crudos SE2-Ref'!H57</f>
        <v>2.1450999999999998</v>
      </c>
      <c r="I10" s="25">
        <f>'Datos Crudos SE2-Ref'!I10</f>
        <v>3.771176037318928</v>
      </c>
      <c r="J10" s="25">
        <f>'Datos Crudos SE2-Ref'!I57</f>
        <v>5.3703790033098784</v>
      </c>
      <c r="K10" s="22">
        <f>'Datos Crudos SE2-Ref'!R10</f>
        <v>1.8483000000000003</v>
      </c>
      <c r="L10" s="22">
        <f>'Datos Crudos SE2-Ref'!R57</f>
        <v>1.9448999999999999</v>
      </c>
      <c r="M10" s="24">
        <v>44295</v>
      </c>
      <c r="N10" s="22">
        <f>'Datos Crudos SE2-Ref'!M10</f>
        <v>0.49109999999999998</v>
      </c>
      <c r="O10" s="26">
        <f>'Datos Crudos SE2-Ref'!P10</f>
        <v>0.1221</v>
      </c>
      <c r="P10" s="22">
        <f>'Datos Crudos SE2-Ref'!Q10</f>
        <v>6.6100000000000006E-2</v>
      </c>
      <c r="Q10" s="22">
        <f>'Datos Crudos SE2-Ref'!M57</f>
        <v>1.4463999999999999</v>
      </c>
      <c r="R10" s="22">
        <f>'Datos Crudos SE2-Ref'!P57</f>
        <v>0.1361</v>
      </c>
      <c r="S10" s="22">
        <f>'Datos Crudos SE2-Ref'!Q57</f>
        <v>6.4100000000000004E-2</v>
      </c>
      <c r="T10" s="22">
        <f>'Datos Crudos SE2-Ref'!O10</f>
        <v>0.30280000000000001</v>
      </c>
      <c r="U10" s="22">
        <f>'Datos Crudos SE2-Ref'!O57</f>
        <v>1.2421</v>
      </c>
      <c r="V10" s="19">
        <f t="shared" si="4"/>
        <v>0.83617378131255748</v>
      </c>
      <c r="W10" s="19">
        <f t="shared" si="0"/>
        <v>6.91949962879157E-3</v>
      </c>
      <c r="X10" s="21">
        <f t="shared" si="1"/>
        <v>0.54818043620490708</v>
      </c>
      <c r="Y10" s="21">
        <f t="shared" si="2"/>
        <v>0.63864466039385059</v>
      </c>
      <c r="Z10" s="22">
        <f t="shared" si="5"/>
        <v>60</v>
      </c>
      <c r="AA10" s="242">
        <f t="shared" si="3"/>
        <v>1.794052715049084E-2</v>
      </c>
      <c r="AB10" s="66">
        <f>'Datos Crudos SE2-Ref'!S10</f>
        <v>83.617378131255748</v>
      </c>
      <c r="AC10" s="66">
        <f>'Datos Crudos SE2-Ref'!S57</f>
        <v>36.135533960614936</v>
      </c>
      <c r="AD10" s="65">
        <f>AVERAGE(W10:W17)</f>
        <v>4.6537115107262716E-3</v>
      </c>
      <c r="AE10">
        <f>STDEV(W10:W17)</f>
        <v>7.7024824076892331E-3</v>
      </c>
      <c r="AF10" s="7">
        <f>AVERAGE(AA10:AA17)</f>
        <v>1.5496571717961004E-2</v>
      </c>
      <c r="AG10" s="122">
        <f>STDEV(AA10:AA17)</f>
        <v>1.5979673747395335E-3</v>
      </c>
      <c r="AH10" s="66">
        <f>'Datos Crudos SE2-Ref'!U10</f>
        <v>16.382621868744248</v>
      </c>
      <c r="AI10" s="66">
        <f>'Datos Crudos SE2-Ref'!U57</f>
        <v>63.864466039385057</v>
      </c>
    </row>
    <row r="11" spans="1:35" x14ac:dyDescent="0.25">
      <c r="A11" s="22" t="s">
        <v>153</v>
      </c>
      <c r="B11" s="23" t="s">
        <v>60</v>
      </c>
      <c r="C11" s="22" t="s">
        <v>143</v>
      </c>
      <c r="D11" s="61">
        <v>2</v>
      </c>
      <c r="E11" t="s">
        <v>17</v>
      </c>
      <c r="F11" s="24">
        <v>44235</v>
      </c>
      <c r="G11" s="26">
        <f>'Datos Crudos SE2-Ref'!H11</f>
        <v>2.0531000000000001</v>
      </c>
      <c r="H11" s="26">
        <f>'Datos Crudos SE2-Ref'!H58</f>
        <v>2.1972</v>
      </c>
      <c r="I11" s="25">
        <f>'Datos Crudos SE2-Ref'!I11</f>
        <v>3.7650382348643365</v>
      </c>
      <c r="J11" s="25">
        <f>'Datos Crudos SE2-Ref'!I58</f>
        <v>5.5525213908610906</v>
      </c>
      <c r="K11" s="22">
        <f>'Datos Crudos SE2-Ref'!R11</f>
        <v>1.8487000000000002</v>
      </c>
      <c r="L11" s="22">
        <f>'Datos Crudos SE2-Ref'!R58</f>
        <v>1.9881</v>
      </c>
      <c r="M11" s="24">
        <v>44295</v>
      </c>
      <c r="N11" s="22">
        <f>'Datos Crudos SE2-Ref'!M11</f>
        <v>0.52359999999999995</v>
      </c>
      <c r="O11" s="26">
        <f>'Datos Crudos SE2-Ref'!P11</f>
        <v>0.1366</v>
      </c>
      <c r="P11" s="22">
        <f>'Datos Crudos SE2-Ref'!Q11</f>
        <v>6.7799999999999999E-2</v>
      </c>
      <c r="Q11" s="22">
        <f>'Datos Crudos SE2-Ref'!M58</f>
        <v>1.4891000000000001</v>
      </c>
      <c r="R11" s="22">
        <f>'Datos Crudos SE2-Ref'!P58</f>
        <v>0.13200000000000001</v>
      </c>
      <c r="S11" s="22">
        <f>'Datos Crudos SE2-Ref'!Q58</f>
        <v>7.7100000000000002E-2</v>
      </c>
      <c r="T11" s="22">
        <f>'Datos Crudos SE2-Ref'!O11</f>
        <v>0.31840000000000002</v>
      </c>
      <c r="U11" s="22">
        <f>'Datos Crudos SE2-Ref'!O58</f>
        <v>1.2793000000000001</v>
      </c>
      <c r="V11" s="19">
        <f t="shared" si="4"/>
        <v>0.82777086601395578</v>
      </c>
      <c r="W11" s="19">
        <f t="shared" si="0"/>
        <v>1.6899209009553662E-2</v>
      </c>
      <c r="X11" s="21">
        <f t="shared" si="1"/>
        <v>0.54267163662672646</v>
      </c>
      <c r="Y11" s="21">
        <f t="shared" si="2"/>
        <v>0.64347869825461501</v>
      </c>
      <c r="Z11" s="22">
        <f t="shared" si="5"/>
        <v>60</v>
      </c>
      <c r="AA11" s="242">
        <f t="shared" si="3"/>
        <v>1.7832496949197744E-2</v>
      </c>
      <c r="AB11" s="66">
        <f>'Datos Crudos SE2-Ref'!S11</f>
        <v>82.777086601395581</v>
      </c>
      <c r="AC11" s="66">
        <f>'Datos Crudos SE2-Ref'!S58</f>
        <v>35.652130174538499</v>
      </c>
      <c r="AG11" s="123"/>
      <c r="AH11" s="66">
        <f>'Datos Crudos SE2-Ref'!U11</f>
        <v>17.222913398604422</v>
      </c>
      <c r="AI11" s="66">
        <f>'Datos Crudos SE2-Ref'!U58</f>
        <v>64.347869825461501</v>
      </c>
    </row>
    <row r="12" spans="1:35" x14ac:dyDescent="0.25">
      <c r="A12" s="22" t="s">
        <v>154</v>
      </c>
      <c r="B12" s="23" t="s">
        <v>60</v>
      </c>
      <c r="C12" s="22" t="s">
        <v>143</v>
      </c>
      <c r="D12" s="61">
        <v>1</v>
      </c>
      <c r="E12" t="s">
        <v>18</v>
      </c>
      <c r="F12" s="24">
        <v>44235</v>
      </c>
      <c r="G12" s="26">
        <f>'Datos Crudos SE2-Ref'!H12</f>
        <v>1.9510000000000001</v>
      </c>
      <c r="H12" s="26">
        <f>'Datos Crudos SE2-Ref'!H59</f>
        <v>2.1701999999999999</v>
      </c>
      <c r="I12" s="25">
        <f>'Datos Crudos SE2-Ref'!I12</f>
        <v>3.8185545873910822</v>
      </c>
      <c r="J12" s="25">
        <f>'Datos Crudos SE2-Ref'!I59</f>
        <v>5.5432679015759057</v>
      </c>
      <c r="K12" s="22">
        <f>'Datos Crudos SE2-Ref'!R12</f>
        <v>1.7541</v>
      </c>
      <c r="L12" s="22">
        <f>'Datos Crudos SE2-Ref'!R59</f>
        <v>1.9738</v>
      </c>
      <c r="M12" s="24">
        <v>44295</v>
      </c>
      <c r="N12" s="22">
        <f>'Datos Crudos SE2-Ref'!M12</f>
        <v>0.4748</v>
      </c>
      <c r="O12" s="26">
        <f>'Datos Crudos SE2-Ref'!P12</f>
        <v>0.1268</v>
      </c>
      <c r="P12" s="22">
        <f>'Datos Crudos SE2-Ref'!Q12</f>
        <v>7.0099999999999996E-2</v>
      </c>
      <c r="Q12" s="22">
        <f>'Datos Crudos SE2-Ref'!M59</f>
        <v>1.542</v>
      </c>
      <c r="R12" s="22">
        <f>'Datos Crudos SE2-Ref'!P59</f>
        <v>0.1361</v>
      </c>
      <c r="S12" s="22">
        <f>'Datos Crudos SE2-Ref'!Q59</f>
        <v>6.0299999999999999E-2</v>
      </c>
      <c r="T12" s="22">
        <f>'Datos Crudos SE2-Ref'!O12</f>
        <v>0.27789999999999998</v>
      </c>
      <c r="U12" s="22">
        <f>'Datos Crudos SE2-Ref'!O59</f>
        <v>1.3129</v>
      </c>
      <c r="V12" s="19">
        <f t="shared" si="4"/>
        <v>0.84157117610170462</v>
      </c>
      <c r="W12" s="19">
        <f t="shared" si="0"/>
        <v>5.0929204073080214E-4</v>
      </c>
      <c r="X12" s="21">
        <f t="shared" si="1"/>
        <v>0.55171887079351667</v>
      </c>
      <c r="Y12" s="21">
        <f t="shared" si="2"/>
        <v>0.66516364373290093</v>
      </c>
      <c r="Z12" s="22">
        <f t="shared" si="5"/>
        <v>60</v>
      </c>
      <c r="AA12" s="242">
        <f t="shared" si="3"/>
        <v>1.5561380421485027E-2</v>
      </c>
      <c r="AB12" s="66">
        <f>'Datos Crudos SE2-Ref'!S12</f>
        <v>84.157117610170445</v>
      </c>
      <c r="AC12" s="66">
        <f>'Datos Crudos SE2-Ref'!S59</f>
        <v>33.483635626709898</v>
      </c>
      <c r="AG12" s="123"/>
      <c r="AH12" s="66">
        <f>'Datos Crudos SE2-Ref'!U12</f>
        <v>15.842882389829541</v>
      </c>
      <c r="AI12" s="66">
        <f>'Datos Crudos SE2-Ref'!U59</f>
        <v>66.516364373290088</v>
      </c>
    </row>
    <row r="13" spans="1:35" x14ac:dyDescent="0.25">
      <c r="A13" s="22" t="s">
        <v>155</v>
      </c>
      <c r="B13" s="23" t="s">
        <v>60</v>
      </c>
      <c r="C13" s="22" t="s">
        <v>143</v>
      </c>
      <c r="D13" s="61">
        <v>2</v>
      </c>
      <c r="E13" t="s">
        <v>18</v>
      </c>
      <c r="F13" s="24">
        <v>44235</v>
      </c>
      <c r="G13" s="26">
        <f>'Datos Crudos SE2-Ref'!H13</f>
        <v>1.9981</v>
      </c>
      <c r="H13" s="26">
        <f>'Datos Crudos SE2-Ref'!H60</f>
        <v>2.0548000000000002</v>
      </c>
      <c r="I13" s="25">
        <f>'Datos Crudos SE2-Ref'!I13</f>
        <v>3.723537360492458</v>
      </c>
      <c r="J13" s="25">
        <f>'Datos Crudos SE2-Ref'!I60</f>
        <v>5.4847187074167696</v>
      </c>
      <c r="K13" s="22">
        <f>'Datos Crudos SE2-Ref'!R13</f>
        <v>1.7988</v>
      </c>
      <c r="L13" s="22">
        <f>'Datos Crudos SE2-Ref'!R60</f>
        <v>1.8513000000000002</v>
      </c>
      <c r="M13" s="24">
        <v>44295</v>
      </c>
      <c r="N13" s="22">
        <f>'Datos Crudos SE2-Ref'!M13</f>
        <v>0.49149999999999999</v>
      </c>
      <c r="O13" s="26">
        <f>'Datos Crudos SE2-Ref'!P13</f>
        <v>0.1361</v>
      </c>
      <c r="P13" s="22">
        <f>'Datos Crudos SE2-Ref'!Q13</f>
        <v>6.3200000000000006E-2</v>
      </c>
      <c r="Q13" s="22">
        <f>'Datos Crudos SE2-Ref'!M60</f>
        <v>1.486</v>
      </c>
      <c r="R13" s="22">
        <f>'Datos Crudos SE2-Ref'!P60</f>
        <v>0.13930000000000001</v>
      </c>
      <c r="S13" s="22">
        <f>'Datos Crudos SE2-Ref'!Q60</f>
        <v>6.4199999999999993E-2</v>
      </c>
      <c r="T13" s="22">
        <f>'Datos Crudos SE2-Ref'!O13</f>
        <v>0.29110000000000003</v>
      </c>
      <c r="U13" s="22">
        <f>'Datos Crudos SE2-Ref'!O60</f>
        <v>1.2806999999999999</v>
      </c>
      <c r="V13" s="19">
        <f t="shared" si="4"/>
        <v>0.83816989103847006</v>
      </c>
      <c r="W13" s="19">
        <f t="shared" si="0"/>
        <v>4.5488229946910597E-3</v>
      </c>
      <c r="X13" s="21">
        <f t="shared" si="1"/>
        <v>0.54948904970693058</v>
      </c>
      <c r="Y13" s="21">
        <f t="shared" si="2"/>
        <v>0.69178415167719975</v>
      </c>
      <c r="Z13" s="22">
        <f t="shared" si="5"/>
        <v>60</v>
      </c>
      <c r="AA13" s="242">
        <f t="shared" si="3"/>
        <v>1.3717648979498006E-2</v>
      </c>
      <c r="AB13" s="66">
        <f>'Datos Crudos SE2-Ref'!S13</f>
        <v>83.816989103847007</v>
      </c>
      <c r="AC13" s="66">
        <f>'Datos Crudos SE2-Ref'!S60</f>
        <v>30.821584832280031</v>
      </c>
      <c r="AG13" s="123"/>
      <c r="AH13" s="66">
        <f>'Datos Crudos SE2-Ref'!U13</f>
        <v>16.183010896152993</v>
      </c>
      <c r="AI13" s="66">
        <f>'Datos Crudos SE2-Ref'!U60</f>
        <v>69.178415167719976</v>
      </c>
    </row>
    <row r="14" spans="1:35" x14ac:dyDescent="0.25">
      <c r="A14" s="22" t="s">
        <v>156</v>
      </c>
      <c r="B14" s="23" t="s">
        <v>60</v>
      </c>
      <c r="C14" s="22" t="s">
        <v>143</v>
      </c>
      <c r="D14" s="61">
        <v>1</v>
      </c>
      <c r="E14" t="s">
        <v>19</v>
      </c>
      <c r="F14" s="24">
        <v>44235</v>
      </c>
      <c r="G14" s="26">
        <f>'Datos Crudos SE2-Ref'!H14</f>
        <v>2.0202</v>
      </c>
      <c r="H14" s="26">
        <f>'Datos Crudos SE2-Ref'!H61</f>
        <v>2.2039</v>
      </c>
      <c r="I14" s="25">
        <f>'Datos Crudos SE2-Ref'!I14</f>
        <v>3.8511038511038445</v>
      </c>
      <c r="J14" s="25">
        <f>'Datos Crudos SE2-Ref'!I61</f>
        <v>5.5174917192250073</v>
      </c>
      <c r="K14" s="22">
        <f>'Datos Crudos SE2-Ref'!R14</f>
        <v>1.8132999999999999</v>
      </c>
      <c r="L14" s="22">
        <f>'Datos Crudos SE2-Ref'!R61</f>
        <v>1.9996</v>
      </c>
      <c r="M14" s="24">
        <v>44295</v>
      </c>
      <c r="N14" s="22">
        <f>'Datos Crudos SE2-Ref'!M14</f>
        <v>0.51549999999999996</v>
      </c>
      <c r="O14" s="26">
        <f>'Datos Crudos SE2-Ref'!P14</f>
        <v>0.1452</v>
      </c>
      <c r="P14" s="22">
        <f>'Datos Crudos SE2-Ref'!Q14</f>
        <v>6.1699999999999998E-2</v>
      </c>
      <c r="Q14" s="22">
        <f>'Datos Crudos SE2-Ref'!M61</f>
        <v>1.5758000000000001</v>
      </c>
      <c r="R14" s="22">
        <f>'Datos Crudos SE2-Ref'!P61</f>
        <v>0.13189999999999999</v>
      </c>
      <c r="S14" s="22">
        <f>'Datos Crudos SE2-Ref'!Q61</f>
        <v>7.2400000000000006E-2</v>
      </c>
      <c r="T14" s="22">
        <f>'Datos Crudos SE2-Ref'!O14</f>
        <v>0.30819999999999997</v>
      </c>
      <c r="U14" s="22">
        <f>'Datos Crudos SE2-Ref'!O61</f>
        <v>1.3706</v>
      </c>
      <c r="V14" s="19">
        <f t="shared" si="4"/>
        <v>0.83003364032427074</v>
      </c>
      <c r="W14" s="19">
        <f t="shared" si="0"/>
        <v>1.4211828593502673E-2</v>
      </c>
      <c r="X14" s="21">
        <f t="shared" si="1"/>
        <v>0.54415507061638657</v>
      </c>
      <c r="Y14" s="21">
        <f t="shared" si="2"/>
        <v>0.68543708741748355</v>
      </c>
      <c r="Z14" s="22">
        <f t="shared" si="5"/>
        <v>60</v>
      </c>
      <c r="AA14" s="242">
        <f t="shared" si="3"/>
        <v>1.4382162559297841E-2</v>
      </c>
      <c r="AB14" s="66">
        <f>'Datos Crudos SE2-Ref'!S14</f>
        <v>83.003364032427058</v>
      </c>
      <c r="AC14" s="66">
        <f>'Datos Crudos SE2-Ref'!S61</f>
        <v>31.45629125825165</v>
      </c>
      <c r="AG14" s="123"/>
      <c r="AH14" s="66">
        <f>'Datos Crudos SE2-Ref'!U14</f>
        <v>16.996635967572931</v>
      </c>
      <c r="AI14" s="66">
        <f>'Datos Crudos SE2-Ref'!U61</f>
        <v>68.543708741748361</v>
      </c>
    </row>
    <row r="15" spans="1:35" x14ac:dyDescent="0.25">
      <c r="A15" s="22" t="s">
        <v>157</v>
      </c>
      <c r="B15" s="23" t="s">
        <v>60</v>
      </c>
      <c r="C15" s="22" t="s">
        <v>143</v>
      </c>
      <c r="D15" s="61">
        <v>2</v>
      </c>
      <c r="E15" t="s">
        <v>19</v>
      </c>
      <c r="F15" s="24">
        <v>44235</v>
      </c>
      <c r="G15" s="26">
        <f>'Datos Crudos SE2-Ref'!H15</f>
        <v>2.0177</v>
      </c>
      <c r="H15" s="26">
        <f>'Datos Crudos SE2-Ref'!H62</f>
        <v>2.1187</v>
      </c>
      <c r="I15" s="25">
        <f>'Datos Crudos SE2-Ref'!I15</f>
        <v>3.8360509491004566</v>
      </c>
      <c r="J15" s="25">
        <f>'Datos Crudos SE2-Ref'!I62</f>
        <v>5.4372964553735876</v>
      </c>
      <c r="K15" s="22">
        <f>'Datos Crudos SE2-Ref'!R15</f>
        <v>1.8208</v>
      </c>
      <c r="L15" s="22">
        <f>'Datos Crudos SE2-Ref'!R62</f>
        <v>1.927</v>
      </c>
      <c r="M15" s="24">
        <v>44295</v>
      </c>
      <c r="N15" s="22">
        <f>'Datos Crudos SE2-Ref'!M15</f>
        <v>0.48299999999999998</v>
      </c>
      <c r="O15" s="26">
        <f>'Datos Crudos SE2-Ref'!P15</f>
        <v>0.1343</v>
      </c>
      <c r="P15" s="22">
        <f>'Datos Crudos SE2-Ref'!Q15</f>
        <v>6.2600000000000003E-2</v>
      </c>
      <c r="Q15" s="22">
        <f>'Datos Crudos SE2-Ref'!M62</f>
        <v>1.488</v>
      </c>
      <c r="R15" s="22">
        <f>'Datos Crudos SE2-Ref'!P62</f>
        <v>0.12959999999999999</v>
      </c>
      <c r="S15" s="22">
        <f>'Datos Crudos SE2-Ref'!Q62</f>
        <v>6.2100000000000002E-2</v>
      </c>
      <c r="T15" s="22">
        <f>'Datos Crudos SE2-Ref'!O15</f>
        <v>0.28610000000000002</v>
      </c>
      <c r="U15" s="22">
        <f>'Datos Crudos SE2-Ref'!O62</f>
        <v>1.2959000000000001</v>
      </c>
      <c r="V15" s="19">
        <f t="shared" si="4"/>
        <v>0.84287126537785584</v>
      </c>
      <c r="W15" s="20">
        <f t="shared" si="0"/>
        <v>-1.0347569808264456E-3</v>
      </c>
      <c r="X15" s="21">
        <f t="shared" si="1"/>
        <v>0.55257118585341625</v>
      </c>
      <c r="Y15" s="21">
        <f t="shared" si="2"/>
        <v>0.67249610793980286</v>
      </c>
      <c r="Z15" s="22">
        <f t="shared" si="5"/>
        <v>60</v>
      </c>
      <c r="AA15" s="242">
        <f t="shared" si="3"/>
        <v>1.4969713787544444E-2</v>
      </c>
      <c r="AB15" s="66">
        <f>'Datos Crudos SE2-Ref'!S15</f>
        <v>84.287126537785582</v>
      </c>
      <c r="AC15" s="66">
        <f>'Datos Crudos SE2-Ref'!S62</f>
        <v>32.750389206019719</v>
      </c>
      <c r="AG15" s="123"/>
      <c r="AH15" s="66">
        <f>'Datos Crudos SE2-Ref'!U15</f>
        <v>15.712873462214413</v>
      </c>
      <c r="AI15" s="66">
        <f>'Datos Crudos SE2-Ref'!U62</f>
        <v>67.249610793980281</v>
      </c>
    </row>
    <row r="16" spans="1:35" x14ac:dyDescent="0.25">
      <c r="A16" s="22" t="s">
        <v>158</v>
      </c>
      <c r="B16" s="23" t="s">
        <v>60</v>
      </c>
      <c r="C16" s="22" t="s">
        <v>143</v>
      </c>
      <c r="D16" s="61">
        <v>1</v>
      </c>
      <c r="E16" t="s">
        <v>20</v>
      </c>
      <c r="F16" s="24">
        <v>44235</v>
      </c>
      <c r="G16" s="26">
        <f>'Datos Crudos SE2-Ref'!H16</f>
        <v>2.0270000000000001</v>
      </c>
      <c r="H16" s="26">
        <f>'Datos Crudos SE2-Ref'!H63</f>
        <v>2.1492</v>
      </c>
      <c r="I16" s="25">
        <f>'Datos Crudos SE2-Ref'!I16</f>
        <v>3.413912185495803</v>
      </c>
      <c r="J16" s="25">
        <f>'Datos Crudos SE2-Ref'!I63</f>
        <v>5.4671505676530874</v>
      </c>
      <c r="K16" s="22">
        <f>'Datos Crudos SE2-Ref'!R16</f>
        <v>1.8338000000000001</v>
      </c>
      <c r="L16" s="22">
        <f>'Datos Crudos SE2-Ref'!R63</f>
        <v>1.9592000000000001</v>
      </c>
      <c r="M16" s="24">
        <v>44295</v>
      </c>
      <c r="N16" s="22">
        <f>'Datos Crudos SE2-Ref'!M16</f>
        <v>0.47470000000000001</v>
      </c>
      <c r="O16" s="26">
        <f>'Datos Crudos SE2-Ref'!P16</f>
        <v>0.12920000000000001</v>
      </c>
      <c r="P16" s="22">
        <f>'Datos Crudos SE2-Ref'!Q16</f>
        <v>6.4000000000000001E-2</v>
      </c>
      <c r="Q16" s="22">
        <f>'Datos Crudos SE2-Ref'!M63</f>
        <v>1.5323</v>
      </c>
      <c r="R16" s="22">
        <f>'Datos Crudos SE2-Ref'!P63</f>
        <v>0.1389</v>
      </c>
      <c r="S16" s="22">
        <f>'Datos Crudos SE2-Ref'!Q63</f>
        <v>5.11E-2</v>
      </c>
      <c r="T16" s="22">
        <f>'Datos Crudos SE2-Ref'!O16</f>
        <v>0.28120000000000001</v>
      </c>
      <c r="U16" s="22">
        <f>'Datos Crudos SE2-Ref'!O63</f>
        <v>1.3363</v>
      </c>
      <c r="V16" s="19">
        <f t="shared" si="4"/>
        <v>0.84665721452721132</v>
      </c>
      <c r="W16" s="20">
        <f t="shared" si="0"/>
        <v>-5.531133642768804E-3</v>
      </c>
      <c r="X16" s="21">
        <f t="shared" si="1"/>
        <v>0.55505318577080842</v>
      </c>
      <c r="Y16" s="21">
        <f t="shared" si="2"/>
        <v>0.68206410779910165</v>
      </c>
      <c r="Z16" s="22">
        <f t="shared" si="5"/>
        <v>60</v>
      </c>
      <c r="AA16" s="242">
        <f t="shared" si="3"/>
        <v>1.4175150184787128E-2</v>
      </c>
      <c r="AB16" s="66">
        <f>'Datos Crudos SE2-Ref'!S16</f>
        <v>84.665721452721115</v>
      </c>
      <c r="AC16" s="66">
        <f>'Datos Crudos SE2-Ref'!S63</f>
        <v>31.793589220089828</v>
      </c>
      <c r="AG16" s="123"/>
      <c r="AH16" s="66">
        <f>'Datos Crudos SE2-Ref'!U16</f>
        <v>15.334278547278874</v>
      </c>
      <c r="AI16" s="66">
        <f>'Datos Crudos SE2-Ref'!U63</f>
        <v>68.206410779910158</v>
      </c>
    </row>
    <row r="17" spans="1:35" x14ac:dyDescent="0.25">
      <c r="A17" s="124" t="s">
        <v>159</v>
      </c>
      <c r="B17" s="125" t="s">
        <v>60</v>
      </c>
      <c r="C17" s="124" t="s">
        <v>143</v>
      </c>
      <c r="D17" s="61">
        <v>2</v>
      </c>
      <c r="E17" t="s">
        <v>20</v>
      </c>
      <c r="F17" s="126">
        <v>44235</v>
      </c>
      <c r="G17" s="127">
        <f>'Datos Crudos SE2-Ref'!H17</f>
        <v>1.9905999999999999</v>
      </c>
      <c r="H17" s="127">
        <f>'Datos Crudos SE2-Ref'!H64</f>
        <v>2.165</v>
      </c>
      <c r="I17" s="128">
        <f>'Datos Crudos SE2-Ref'!I17</f>
        <v>3.7275193409022433</v>
      </c>
      <c r="J17" s="128">
        <f>'Datos Crudos SE2-Ref'!I64</f>
        <v>5.4734411085450363</v>
      </c>
      <c r="K17" s="124">
        <f>'Datos Crudos SE2-Ref'!R17</f>
        <v>1.7882</v>
      </c>
      <c r="L17" s="124">
        <f>'Datos Crudos SE2-Ref'!R64</f>
        <v>1.9776</v>
      </c>
      <c r="M17" s="126">
        <v>44295</v>
      </c>
      <c r="N17" s="124">
        <f>'Datos Crudos SE2-Ref'!M17</f>
        <v>0.48620000000000002</v>
      </c>
      <c r="O17" s="127">
        <f>'Datos Crudos SE2-Ref'!P17</f>
        <v>0.1381</v>
      </c>
      <c r="P17" s="124">
        <f>'Datos Crudos SE2-Ref'!Q17</f>
        <v>6.4299999999999996E-2</v>
      </c>
      <c r="Q17" s="124">
        <f>'Datos Crudos SE2-Ref'!M64</f>
        <v>1.5088999999999999</v>
      </c>
      <c r="R17" s="124">
        <f>'Datos Crudos SE2-Ref'!P64</f>
        <v>0.1295</v>
      </c>
      <c r="S17" s="124">
        <f>'Datos Crudos SE2-Ref'!Q64</f>
        <v>5.79E-2</v>
      </c>
      <c r="T17" s="124">
        <f>'Datos Crudos SE2-Ref'!O17</f>
        <v>0.28360000000000002</v>
      </c>
      <c r="U17" s="124">
        <f>'Datos Crudos SE2-Ref'!O64</f>
        <v>1.3199000000000001</v>
      </c>
      <c r="V17" s="129">
        <f t="shared" si="4"/>
        <v>0.84140476456772173</v>
      </c>
      <c r="W17" s="129">
        <f t="shared" si="0"/>
        <v>7.0693044213565592E-4</v>
      </c>
      <c r="X17" s="130">
        <f t="shared" si="1"/>
        <v>0.55160977439594117</v>
      </c>
      <c r="Y17" s="130">
        <f t="shared" si="2"/>
        <v>0.66742516181229772</v>
      </c>
      <c r="Z17" s="124">
        <f t="shared" si="5"/>
        <v>60</v>
      </c>
      <c r="AA17" s="244">
        <f t="shared" si="3"/>
        <v>1.5393493711387006E-2</v>
      </c>
      <c r="AB17" s="131">
        <f>'Datos Crudos SE2-Ref'!S17</f>
        <v>84.140476456772177</v>
      </c>
      <c r="AC17" s="131">
        <f>'Datos Crudos SE2-Ref'!S64</f>
        <v>33.257483818770226</v>
      </c>
      <c r="AD17" s="125"/>
      <c r="AE17" s="125"/>
      <c r="AF17" s="125"/>
      <c r="AG17" s="132"/>
      <c r="AH17" s="66">
        <f>'Datos Crudos SE2-Ref'!U17</f>
        <v>15.859523543227827</v>
      </c>
      <c r="AI17" s="66">
        <f>'Datos Crudos SE2-Ref'!U64</f>
        <v>66.742516181229774</v>
      </c>
    </row>
    <row r="18" spans="1:35" x14ac:dyDescent="0.25">
      <c r="A18" s="22" t="s">
        <v>160</v>
      </c>
      <c r="B18" s="23" t="s">
        <v>63</v>
      </c>
      <c r="C18" s="22" t="s">
        <v>143</v>
      </c>
      <c r="D18" s="61">
        <v>1</v>
      </c>
      <c r="E18" t="s">
        <v>17</v>
      </c>
      <c r="F18" s="24">
        <v>44242</v>
      </c>
      <c r="G18" s="26">
        <f>'Datos Crudos SE2-Ref'!H18</f>
        <v>2.0802999999999998</v>
      </c>
      <c r="H18" s="26">
        <f>'Datos Crudos SE2-Ref'!H65</f>
        <v>2.1234999999999999</v>
      </c>
      <c r="I18" s="25">
        <f>'Datos Crudos SE2-Ref'!I18</f>
        <v>3.8023362015094166</v>
      </c>
      <c r="J18" s="25">
        <f>'Datos Crudos SE2-Ref'!I65</f>
        <v>5.1283258770897202</v>
      </c>
      <c r="K18" s="22">
        <f>'Datos Crudos SE2-Ref'!R18</f>
        <v>1.8959999999999999</v>
      </c>
      <c r="L18" s="22">
        <f>'Datos Crudos SE2-Ref'!R65</f>
        <v>1.9329999999999998</v>
      </c>
      <c r="M18" s="24">
        <v>44302</v>
      </c>
      <c r="N18" s="22">
        <f>'Datos Crudos SE2-Ref'!M18</f>
        <v>0.57579999999999998</v>
      </c>
      <c r="O18" s="26">
        <f>'Datos Crudos SE2-Ref'!P18</f>
        <v>0.12790000000000001</v>
      </c>
      <c r="P18" s="22">
        <f>'Datos Crudos SE2-Ref'!Q18</f>
        <v>5.6399999999999999E-2</v>
      </c>
      <c r="Q18" s="22">
        <f>'Datos Crudos SE2-Ref'!M65</f>
        <v>1.5355000000000001</v>
      </c>
      <c r="R18" s="22">
        <f>'Datos Crudos SE2-Ref'!P65</f>
        <v>0.13339999999999999</v>
      </c>
      <c r="S18" s="22">
        <f>'Datos Crudos SE2-Ref'!Q65</f>
        <v>5.7099999999999998E-2</v>
      </c>
      <c r="T18" s="22">
        <f>'Datos Crudos SE2-Ref'!O18</f>
        <v>0.39179999999999998</v>
      </c>
      <c r="U18" s="22">
        <f>'Datos Crudos SE2-Ref'!O65</f>
        <v>1.3454999999999999</v>
      </c>
      <c r="V18" s="19">
        <f t="shared" si="4"/>
        <v>0.79335443037974684</v>
      </c>
      <c r="W18" s="19">
        <f t="shared" si="0"/>
        <v>5.7773835653507244E-2</v>
      </c>
      <c r="X18" s="21">
        <f t="shared" si="1"/>
        <v>0.52010884271926405</v>
      </c>
      <c r="Y18" s="21">
        <f t="shared" si="2"/>
        <v>0.69606828763579931</v>
      </c>
      <c r="Z18" s="22">
        <f t="shared" si="5"/>
        <v>60</v>
      </c>
      <c r="AA18" s="242">
        <f t="shared" si="3"/>
        <v>1.4632333050426195E-2</v>
      </c>
      <c r="AB18" s="66">
        <f>'Datos Crudos SE2-Ref'!S18</f>
        <v>79.335443037974684</v>
      </c>
      <c r="AC18" s="66">
        <f>'Datos Crudos SE2-Ref'!S65</f>
        <v>30.39317123642007</v>
      </c>
      <c r="AD18" s="65">
        <f>AVERAGE(W18:W25)</f>
        <v>5.4271930544749325E-2</v>
      </c>
      <c r="AE18">
        <f>STDEV(W18:W25)</f>
        <v>1.6661748373752699E-2</v>
      </c>
      <c r="AF18" s="7">
        <f>AVERAGE(AA18:AA25)</f>
        <v>1.3415787054133535E-2</v>
      </c>
      <c r="AG18" s="141">
        <f>STDEV(AA18:AA25)</f>
        <v>8.1871807922581543E-4</v>
      </c>
      <c r="AH18" s="66">
        <f>'Datos Crudos SE2-Ref'!U18</f>
        <v>20.664556962025316</v>
      </c>
      <c r="AI18" s="66">
        <f>'Datos Crudos SE2-Ref'!U65</f>
        <v>69.606828763579927</v>
      </c>
    </row>
    <row r="19" spans="1:35" x14ac:dyDescent="0.25">
      <c r="A19" s="22" t="s">
        <v>161</v>
      </c>
      <c r="B19" s="23" t="s">
        <v>63</v>
      </c>
      <c r="C19" s="22" t="s">
        <v>143</v>
      </c>
      <c r="D19" s="61">
        <v>2</v>
      </c>
      <c r="E19" t="s">
        <v>17</v>
      </c>
      <c r="F19" s="24">
        <v>44242</v>
      </c>
      <c r="G19" s="26">
        <f>'Datos Crudos SE2-Ref'!H19</f>
        <v>2.0394000000000001</v>
      </c>
      <c r="H19" s="26">
        <f>'Datos Crudos SE2-Ref'!H66</f>
        <v>2.1545999999999998</v>
      </c>
      <c r="I19" s="25">
        <f>'Datos Crudos SE2-Ref'!I19</f>
        <v>3.7707168775129816</v>
      </c>
      <c r="J19" s="25">
        <f>'Datos Crudos SE2-Ref'!I66</f>
        <v>5.035737491877855</v>
      </c>
      <c r="K19" s="22">
        <f>'Datos Crudos SE2-Ref'!R19</f>
        <v>1.8537000000000001</v>
      </c>
      <c r="L19" s="22">
        <f>'Datos Crudos SE2-Ref'!R66</f>
        <v>1.9622999999999999</v>
      </c>
      <c r="M19" s="24">
        <v>44302</v>
      </c>
      <c r="N19" s="22">
        <f>'Datos Crudos SE2-Ref'!M19</f>
        <v>0.52259999999999995</v>
      </c>
      <c r="O19" s="26">
        <f>'Datos Crudos SE2-Ref'!P19</f>
        <v>0.12709999999999999</v>
      </c>
      <c r="P19" s="22">
        <f>'Datos Crudos SE2-Ref'!Q19</f>
        <v>5.8599999999999999E-2</v>
      </c>
      <c r="Q19" s="22">
        <f>'Datos Crudos SE2-Ref'!M66</f>
        <v>1.5430999999999999</v>
      </c>
      <c r="R19" s="22">
        <f>'Datos Crudos SE2-Ref'!P66</f>
        <v>0.1371</v>
      </c>
      <c r="S19" s="22">
        <f>'Datos Crudos SE2-Ref'!Q66</f>
        <v>5.5199999999999999E-2</v>
      </c>
      <c r="T19" s="22">
        <f>'Datos Crudos SE2-Ref'!O19</f>
        <v>0.33650000000000002</v>
      </c>
      <c r="U19" s="22">
        <f>'Datos Crudos SE2-Ref'!O66</f>
        <v>1.3519000000000001</v>
      </c>
      <c r="V19" s="19">
        <f t="shared" si="4"/>
        <v>0.81847116577655499</v>
      </c>
      <c r="W19" s="19">
        <f t="shared" si="0"/>
        <v>2.7943983638295755E-2</v>
      </c>
      <c r="X19" s="21">
        <f t="shared" si="1"/>
        <v>0.53657492103166082</v>
      </c>
      <c r="Y19" s="21">
        <f t="shared" si="2"/>
        <v>0.68893645212250942</v>
      </c>
      <c r="Z19" s="22">
        <f t="shared" si="5"/>
        <v>60</v>
      </c>
      <c r="AA19" s="242">
        <f t="shared" si="3"/>
        <v>1.4447260119203442E-2</v>
      </c>
      <c r="AB19" s="66">
        <f>'Datos Crudos SE2-Ref'!S19</f>
        <v>81.847116577655498</v>
      </c>
      <c r="AC19" s="66">
        <f>'Datos Crudos SE2-Ref'!S66</f>
        <v>31.106354787749062</v>
      </c>
      <c r="AG19" s="142"/>
      <c r="AH19" s="66">
        <f>'Datos Crudos SE2-Ref'!U19</f>
        <v>18.152883422344502</v>
      </c>
      <c r="AI19" s="66">
        <f>'Datos Crudos SE2-Ref'!U66</f>
        <v>68.893645212250945</v>
      </c>
    </row>
    <row r="20" spans="1:35" x14ac:dyDescent="0.25">
      <c r="A20" s="22" t="s">
        <v>162</v>
      </c>
      <c r="B20" s="23" t="s">
        <v>63</v>
      </c>
      <c r="C20" s="22" t="s">
        <v>143</v>
      </c>
      <c r="D20" s="61">
        <v>1</v>
      </c>
      <c r="E20" t="s">
        <v>18</v>
      </c>
      <c r="F20" s="24">
        <v>44242</v>
      </c>
      <c r="G20" s="26">
        <f>'Datos Crudos SE2-Ref'!H20</f>
        <v>1.962</v>
      </c>
      <c r="H20" s="26">
        <f>'Datos Crudos SE2-Ref'!H67</f>
        <v>2.1844999999999999</v>
      </c>
      <c r="I20" s="25">
        <f>'Datos Crudos SE2-Ref'!I20</f>
        <v>3.6289500509683963</v>
      </c>
      <c r="J20" s="25">
        <f>'Datos Crudos SE2-Ref'!I67</f>
        <v>5.1407644769970382</v>
      </c>
      <c r="K20" s="22">
        <f>'Datos Crudos SE2-Ref'!R20</f>
        <v>1.7746</v>
      </c>
      <c r="L20" s="22">
        <f>'Datos Crudos SE2-Ref'!R67</f>
        <v>1.9939999999999998</v>
      </c>
      <c r="M20" s="24">
        <v>44302</v>
      </c>
      <c r="N20" s="22">
        <f>'Datos Crudos SE2-Ref'!M20</f>
        <v>0.54300000000000004</v>
      </c>
      <c r="O20" s="26">
        <f>'Datos Crudos SE2-Ref'!P20</f>
        <v>0.1295</v>
      </c>
      <c r="P20" s="22">
        <f>'Datos Crudos SE2-Ref'!Q20</f>
        <v>5.79E-2</v>
      </c>
      <c r="Q20" s="22">
        <f>'Datos Crudos SE2-Ref'!M67</f>
        <v>1.6042000000000001</v>
      </c>
      <c r="R20" s="22">
        <f>'Datos Crudos SE2-Ref'!P67</f>
        <v>0.1333</v>
      </c>
      <c r="S20" s="22">
        <f>'Datos Crudos SE2-Ref'!Q67</f>
        <v>5.7200000000000001E-2</v>
      </c>
      <c r="T20" s="22">
        <f>'Datos Crudos SE2-Ref'!O20</f>
        <v>0.35520000000000002</v>
      </c>
      <c r="U20" s="22">
        <f>'Datos Crudos SE2-Ref'!O67</f>
        <v>1.4105000000000001</v>
      </c>
      <c r="V20" s="19">
        <f t="shared" si="4"/>
        <v>0.79984221796461175</v>
      </c>
      <c r="W20" s="19">
        <f t="shared" si="0"/>
        <v>5.0068624745116641E-2</v>
      </c>
      <c r="X20" s="21">
        <f t="shared" si="1"/>
        <v>0.52436211914069564</v>
      </c>
      <c r="Y20" s="21">
        <f t="shared" si="2"/>
        <v>0.70737211634904729</v>
      </c>
      <c r="Z20" s="22">
        <f t="shared" si="5"/>
        <v>60</v>
      </c>
      <c r="AA20" s="242">
        <f t="shared" si="3"/>
        <v>1.36098555725173E-2</v>
      </c>
      <c r="AB20" s="66">
        <f>'Datos Crudos SE2-Ref'!S20</f>
        <v>79.984221796461171</v>
      </c>
      <c r="AC20" s="66">
        <f>'Datos Crudos SE2-Ref'!S67</f>
        <v>29.262788365095272</v>
      </c>
      <c r="AG20" s="142"/>
      <c r="AH20" s="66">
        <f>'Datos Crudos SE2-Ref'!U20</f>
        <v>20.015778203538829</v>
      </c>
      <c r="AI20" s="66">
        <f>'Datos Crudos SE2-Ref'!U67</f>
        <v>70.737211634904725</v>
      </c>
    </row>
    <row r="21" spans="1:35" x14ac:dyDescent="0.25">
      <c r="A21" s="22" t="s">
        <v>163</v>
      </c>
      <c r="B21" s="23" t="s">
        <v>63</v>
      </c>
      <c r="C21" s="22" t="s">
        <v>143</v>
      </c>
      <c r="D21" s="61">
        <v>2</v>
      </c>
      <c r="E21" t="s">
        <v>18</v>
      </c>
      <c r="F21" s="24">
        <v>44242</v>
      </c>
      <c r="G21" s="26">
        <f>'Datos Crudos SE2-Ref'!H21</f>
        <v>1.8752</v>
      </c>
      <c r="H21" s="26">
        <f>'Datos Crudos SE2-Ref'!H68</f>
        <v>2.1362000000000001</v>
      </c>
      <c r="I21" s="25">
        <f>'Datos Crudos SE2-Ref'!I21</f>
        <v>3.7169368600682642</v>
      </c>
      <c r="J21" s="25">
        <f>'Datos Crudos SE2-Ref'!I68</f>
        <v>5.1352869581499716</v>
      </c>
      <c r="K21" s="22">
        <f>'Datos Crudos SE2-Ref'!R21</f>
        <v>1.6891</v>
      </c>
      <c r="L21" s="22">
        <f>'Datos Crudos SE2-Ref'!R68</f>
        <v>1.9445000000000001</v>
      </c>
      <c r="M21" s="24">
        <v>44302</v>
      </c>
      <c r="N21" s="22">
        <f>'Datos Crudos SE2-Ref'!M21</f>
        <v>0.50290000000000001</v>
      </c>
      <c r="O21" s="26">
        <f>'Datos Crudos SE2-Ref'!P21</f>
        <v>0.12909999999999999</v>
      </c>
      <c r="P21" s="22">
        <f>'Datos Crudos SE2-Ref'!Q21</f>
        <v>5.7000000000000002E-2</v>
      </c>
      <c r="Q21" s="22">
        <f>'Datos Crudos SE2-Ref'!M68</f>
        <v>1.5592999999999999</v>
      </c>
      <c r="R21" s="22">
        <f>'Datos Crudos SE2-Ref'!P68</f>
        <v>0.1353</v>
      </c>
      <c r="S21" s="22">
        <f>'Datos Crudos SE2-Ref'!Q68</f>
        <v>5.6399999999999999E-2</v>
      </c>
      <c r="T21" s="22">
        <f>'Datos Crudos SE2-Ref'!O21</f>
        <v>0.31569999999999998</v>
      </c>
      <c r="U21" s="22">
        <f>'Datos Crudos SE2-Ref'!O68</f>
        <v>1.3676999999999999</v>
      </c>
      <c r="V21" s="19">
        <f t="shared" si="4"/>
        <v>0.81309573145462077</v>
      </c>
      <c r="W21" s="19">
        <f t="shared" si="0"/>
        <v>3.4328109911376692E-2</v>
      </c>
      <c r="X21" s="21">
        <f t="shared" si="1"/>
        <v>0.53305088332892014</v>
      </c>
      <c r="Y21" s="21">
        <f t="shared" si="2"/>
        <v>0.7033684751864232</v>
      </c>
      <c r="Z21" s="22">
        <f t="shared" si="5"/>
        <v>60</v>
      </c>
      <c r="AA21" s="242">
        <f t="shared" si="3"/>
        <v>1.3550161908752602E-2</v>
      </c>
      <c r="AB21" s="66">
        <f>'Datos Crudos SE2-Ref'!S21</f>
        <v>81.309573145462082</v>
      </c>
      <c r="AC21" s="66">
        <f>'Datos Crudos SE2-Ref'!S68</f>
        <v>29.663152481357685</v>
      </c>
      <c r="AG21" s="142"/>
      <c r="AH21" s="66">
        <f>'Datos Crudos SE2-Ref'!U21</f>
        <v>18.690426854537918</v>
      </c>
      <c r="AI21" s="66">
        <f>'Datos Crudos SE2-Ref'!U68</f>
        <v>70.336847518642315</v>
      </c>
    </row>
    <row r="22" spans="1:35" x14ac:dyDescent="0.25">
      <c r="A22" s="22" t="s">
        <v>164</v>
      </c>
      <c r="B22" s="23" t="s">
        <v>63</v>
      </c>
      <c r="C22" s="22" t="s">
        <v>143</v>
      </c>
      <c r="D22" s="61">
        <v>1</v>
      </c>
      <c r="E22" t="s">
        <v>19</v>
      </c>
      <c r="F22" s="24">
        <v>44242</v>
      </c>
      <c r="G22" s="26">
        <f>'Datos Crudos SE2-Ref'!H22</f>
        <v>2.0912000000000002</v>
      </c>
      <c r="H22" s="26">
        <f>'Datos Crudos SE2-Ref'!H69</f>
        <v>2.0863999999999998</v>
      </c>
      <c r="I22" s="25">
        <f>'Datos Crudos SE2-Ref'!I22</f>
        <v>3.8255547054322694</v>
      </c>
      <c r="J22" s="25">
        <f>'Datos Crudos SE2-Ref'!I69</f>
        <v>5.1428297546012463</v>
      </c>
      <c r="K22" s="22">
        <f>'Datos Crudos SE2-Ref'!R22</f>
        <v>1.9064000000000001</v>
      </c>
      <c r="L22" s="22">
        <f>'Datos Crudos SE2-Ref'!R69</f>
        <v>1.8905999999999998</v>
      </c>
      <c r="M22" s="24">
        <v>44302</v>
      </c>
      <c r="N22" s="22">
        <f>'Datos Crudos SE2-Ref'!M22</f>
        <v>0.59089999999999998</v>
      </c>
      <c r="O22" s="26">
        <f>'Datos Crudos SE2-Ref'!P22</f>
        <v>0.12820000000000001</v>
      </c>
      <c r="P22" s="22">
        <f>'Datos Crudos SE2-Ref'!Q22</f>
        <v>5.6599999999999998E-2</v>
      </c>
      <c r="Q22" s="22">
        <f>'Datos Crudos SE2-Ref'!M69</f>
        <v>1.5670999999999999</v>
      </c>
      <c r="R22" s="22">
        <f>'Datos Crudos SE2-Ref'!P69</f>
        <v>0.1404</v>
      </c>
      <c r="S22" s="22">
        <f>'Datos Crudos SE2-Ref'!Q69</f>
        <v>5.5399999999999998E-2</v>
      </c>
      <c r="T22" s="22">
        <f>'Datos Crudos SE2-Ref'!O22</f>
        <v>0.40500000000000003</v>
      </c>
      <c r="U22" s="22">
        <f>'Datos Crudos SE2-Ref'!O69</f>
        <v>1.3703000000000001</v>
      </c>
      <c r="V22" s="19">
        <f t="shared" si="4"/>
        <v>0.78755770037767525</v>
      </c>
      <c r="W22" s="19">
        <f t="shared" si="0"/>
        <v>6.4658313090646957E-2</v>
      </c>
      <c r="X22" s="21">
        <f t="shared" si="1"/>
        <v>0.51630861117396287</v>
      </c>
      <c r="Y22" s="21">
        <f t="shared" si="2"/>
        <v>0.72479636094361588</v>
      </c>
      <c r="Z22" s="22">
        <f t="shared" si="5"/>
        <v>60</v>
      </c>
      <c r="AA22" s="242">
        <f t="shared" si="3"/>
        <v>1.2691204379343853E-2</v>
      </c>
      <c r="AB22" s="66">
        <f>'Datos Crudos SE2-Ref'!S22</f>
        <v>78.755770037767519</v>
      </c>
      <c r="AC22" s="66">
        <f>'Datos Crudos SE2-Ref'!S69</f>
        <v>27.520363905638412</v>
      </c>
      <c r="AG22" s="142"/>
      <c r="AH22" s="66">
        <f>'Datos Crudos SE2-Ref'!U22</f>
        <v>21.244229962232481</v>
      </c>
      <c r="AI22" s="66">
        <f>'Datos Crudos SE2-Ref'!U69</f>
        <v>72.479636094361581</v>
      </c>
    </row>
    <row r="23" spans="1:35" x14ac:dyDescent="0.25">
      <c r="A23" s="22" t="s">
        <v>165</v>
      </c>
      <c r="B23" s="23" t="s">
        <v>63</v>
      </c>
      <c r="C23" s="22" t="s">
        <v>143</v>
      </c>
      <c r="D23" s="61">
        <v>2</v>
      </c>
      <c r="E23" t="s">
        <v>19</v>
      </c>
      <c r="F23" s="24">
        <v>44242</v>
      </c>
      <c r="G23" s="26">
        <f>'Datos Crudos SE2-Ref'!H23</f>
        <v>1.9789000000000001</v>
      </c>
      <c r="H23" s="26">
        <f>'Datos Crudos SE2-Ref'!H70</f>
        <v>2.1413000000000002</v>
      </c>
      <c r="I23" s="25">
        <f>'Datos Crudos SE2-Ref'!I23</f>
        <v>3.8152508969629428</v>
      </c>
      <c r="J23" s="25">
        <f>'Datos Crudos SE2-Ref'!I70</f>
        <v>5.1137159669359598</v>
      </c>
      <c r="K23" s="22">
        <f>'Datos Crudos SE2-Ref'!R23</f>
        <v>1.7850000000000001</v>
      </c>
      <c r="L23" s="22">
        <f>'Datos Crudos SE2-Ref'!R70</f>
        <v>1.9476000000000002</v>
      </c>
      <c r="M23" s="24">
        <v>44302</v>
      </c>
      <c r="N23" s="22">
        <f>'Datos Crudos SE2-Ref'!M23</f>
        <v>0.5585</v>
      </c>
      <c r="O23" s="26">
        <f>'Datos Crudos SE2-Ref'!P23</f>
        <v>0.13689999999999999</v>
      </c>
      <c r="P23" s="22">
        <f>'Datos Crudos SE2-Ref'!Q23</f>
        <v>5.7000000000000002E-2</v>
      </c>
      <c r="Q23" s="22">
        <f>'Datos Crudos SE2-Ref'!M70</f>
        <v>1.5821000000000001</v>
      </c>
      <c r="R23" s="22">
        <f>'Datos Crudos SE2-Ref'!P70</f>
        <v>0.13750000000000001</v>
      </c>
      <c r="S23" s="22">
        <f>'Datos Crudos SE2-Ref'!Q70</f>
        <v>5.62E-2</v>
      </c>
      <c r="T23" s="22">
        <f>'Datos Crudos SE2-Ref'!O23</f>
        <v>0.36199999999999999</v>
      </c>
      <c r="U23" s="22">
        <f>'Datos Crudos SE2-Ref'!O70</f>
        <v>1.3886000000000001</v>
      </c>
      <c r="V23" s="19">
        <f t="shared" si="4"/>
        <v>0.79719887955182078</v>
      </c>
      <c r="W23" s="19">
        <f t="shared" si="0"/>
        <v>5.3207981529904025E-2</v>
      </c>
      <c r="X23" s="21">
        <f t="shared" si="1"/>
        <v>0.52262919419549303</v>
      </c>
      <c r="Y23" s="21">
        <f t="shared" si="2"/>
        <v>0.71298007804477304</v>
      </c>
      <c r="Z23" s="22">
        <f t="shared" si="5"/>
        <v>60</v>
      </c>
      <c r="AA23" s="242">
        <f t="shared" si="3"/>
        <v>1.3278290133858232E-2</v>
      </c>
      <c r="AB23" s="66">
        <f>'Datos Crudos SE2-Ref'!S23</f>
        <v>79.719887955182074</v>
      </c>
      <c r="AC23" s="66">
        <f>'Datos Crudos SE2-Ref'!S70</f>
        <v>28.701992195522703</v>
      </c>
      <c r="AG23" s="142"/>
      <c r="AH23" s="66">
        <f>'Datos Crudos SE2-Ref'!U23</f>
        <v>20.280112044817926</v>
      </c>
      <c r="AI23" s="66">
        <f>'Datos Crudos SE2-Ref'!U70</f>
        <v>71.298007804477308</v>
      </c>
    </row>
    <row r="24" spans="1:35" x14ac:dyDescent="0.25">
      <c r="A24" s="22" t="s">
        <v>166</v>
      </c>
      <c r="B24" s="23" t="s">
        <v>63</v>
      </c>
      <c r="C24" s="22" t="s">
        <v>143</v>
      </c>
      <c r="D24" s="61">
        <v>1</v>
      </c>
      <c r="E24" t="s">
        <v>20</v>
      </c>
      <c r="F24" s="24">
        <v>44242</v>
      </c>
      <c r="G24" s="26">
        <f>'Datos Crudos SE2-Ref'!H24</f>
        <v>2.0310999999999999</v>
      </c>
      <c r="H24" s="26">
        <f>'Datos Crudos SE2-Ref'!H71</f>
        <v>2.1463000000000001</v>
      </c>
      <c r="I24" s="25">
        <f>'Datos Crudos SE2-Ref'!I24</f>
        <v>3.7910491851705954</v>
      </c>
      <c r="J24" s="25">
        <f>'Datos Crudos SE2-Ref'!I71</f>
        <v>5.2229418068303533</v>
      </c>
      <c r="K24" s="22">
        <f>'Datos Crudos SE2-Ref'!R24</f>
        <v>1.8461999999999998</v>
      </c>
      <c r="L24" s="22">
        <f>'Datos Crudos SE2-Ref'!R71</f>
        <v>1.9523000000000001</v>
      </c>
      <c r="M24" s="24">
        <v>44302</v>
      </c>
      <c r="N24" s="22">
        <f>'Datos Crudos SE2-Ref'!M24</f>
        <v>0.59740000000000004</v>
      </c>
      <c r="O24" s="26">
        <f>'Datos Crudos SE2-Ref'!P24</f>
        <v>0.12889999999999999</v>
      </c>
      <c r="P24" s="22">
        <f>'Datos Crudos SE2-Ref'!Q24</f>
        <v>5.6000000000000001E-2</v>
      </c>
      <c r="Q24" s="22">
        <f>'Datos Crudos SE2-Ref'!M71</f>
        <v>1.6133</v>
      </c>
      <c r="R24" s="22">
        <f>'Datos Crudos SE2-Ref'!P71</f>
        <v>0.13730000000000001</v>
      </c>
      <c r="S24" s="22">
        <f>'Datos Crudos SE2-Ref'!Q71</f>
        <v>5.67E-2</v>
      </c>
      <c r="T24" s="22">
        <f>'Datos Crudos SE2-Ref'!O24</f>
        <v>0.40770000000000001</v>
      </c>
      <c r="U24" s="22">
        <f>'Datos Crudos SE2-Ref'!O71</f>
        <v>1.4189000000000001</v>
      </c>
      <c r="V24" s="19">
        <f t="shared" si="4"/>
        <v>0.77916802079948</v>
      </c>
      <c r="W24" s="19">
        <f t="shared" si="0"/>
        <v>7.4622303088503483E-2</v>
      </c>
      <c r="X24" s="21">
        <f t="shared" si="1"/>
        <v>0.51080848869514617</v>
      </c>
      <c r="Y24" s="21">
        <f t="shared" si="2"/>
        <v>0.7267837934743635</v>
      </c>
      <c r="Z24" s="22">
        <f t="shared" si="5"/>
        <v>60</v>
      </c>
      <c r="AA24" s="242">
        <f t="shared" si="3"/>
        <v>1.2757310632384873E-2</v>
      </c>
      <c r="AB24" s="66">
        <f>'Datos Crudos SE2-Ref'!S24</f>
        <v>77.916802079947999</v>
      </c>
      <c r="AC24" s="66">
        <f>'Datos Crudos SE2-Ref'!S71</f>
        <v>27.321620652563645</v>
      </c>
      <c r="AG24" s="142"/>
      <c r="AH24" s="66">
        <f>'Datos Crudos SE2-Ref'!U24</f>
        <v>22.083197920052001</v>
      </c>
      <c r="AI24" s="66">
        <f>'Datos Crudos SE2-Ref'!U71</f>
        <v>72.678379347436348</v>
      </c>
    </row>
    <row r="25" spans="1:35" ht="15.75" thickBot="1" x14ac:dyDescent="0.3">
      <c r="A25" s="133" t="s">
        <v>167</v>
      </c>
      <c r="B25" s="134" t="s">
        <v>63</v>
      </c>
      <c r="C25" s="133" t="s">
        <v>143</v>
      </c>
      <c r="D25" s="61">
        <v>2</v>
      </c>
      <c r="E25" t="s">
        <v>20</v>
      </c>
      <c r="F25" s="135">
        <v>44242</v>
      </c>
      <c r="G25" s="136">
        <f>'Datos Crudos SE2-Ref'!H25</f>
        <v>2.0788000000000002</v>
      </c>
      <c r="H25" s="136">
        <f>'Datos Crudos SE2-Ref'!H72</f>
        <v>2.1924000000000001</v>
      </c>
      <c r="I25" s="137">
        <f>'Datos Crudos SE2-Ref'!I25</f>
        <v>3.6800076967481137</v>
      </c>
      <c r="J25" s="137">
        <f>'Datos Crudos SE2-Ref'!I72</f>
        <v>5.2545155993431738</v>
      </c>
      <c r="K25" s="133">
        <f>'Datos Crudos SE2-Ref'!R25</f>
        <v>1.8835000000000002</v>
      </c>
      <c r="L25" s="133">
        <f>'Datos Crudos SE2-Ref'!R72</f>
        <v>1.9794</v>
      </c>
      <c r="M25" s="135">
        <v>44302</v>
      </c>
      <c r="N25" s="133">
        <f>'Datos Crudos SE2-Ref'!M25</f>
        <v>0.60780000000000001</v>
      </c>
      <c r="O25" s="136">
        <f>'Datos Crudos SE2-Ref'!P25</f>
        <v>0.13869999999999999</v>
      </c>
      <c r="P25" s="133">
        <f>'Datos Crudos SE2-Ref'!Q25</f>
        <v>5.6599999999999998E-2</v>
      </c>
      <c r="Q25" s="133">
        <f>'Datos Crudos SE2-Ref'!M72</f>
        <v>1.6617</v>
      </c>
      <c r="R25" s="133">
        <f>'Datos Crudos SE2-Ref'!P72</f>
        <v>0.1482</v>
      </c>
      <c r="S25" s="133">
        <f>'Datos Crudos SE2-Ref'!Q72</f>
        <v>6.4799999999999996E-2</v>
      </c>
      <c r="T25" s="133">
        <f>'Datos Crudos SE2-Ref'!O25</f>
        <v>0.41110000000000002</v>
      </c>
      <c r="U25" s="133">
        <f>'Datos Crudos SE2-Ref'!O72</f>
        <v>1.4481999999999999</v>
      </c>
      <c r="V25" s="138">
        <f t="shared" si="4"/>
        <v>0.78173612954605787</v>
      </c>
      <c r="W25" s="138">
        <f t="shared" si="0"/>
        <v>7.1572292700643803E-2</v>
      </c>
      <c r="X25" s="139">
        <f t="shared" si="1"/>
        <v>0.5124920944292447</v>
      </c>
      <c r="Y25" s="139">
        <f t="shared" si="2"/>
        <v>0.73163584924724656</v>
      </c>
      <c r="Z25" s="133">
        <f t="shared" si="5"/>
        <v>60</v>
      </c>
      <c r="AA25" s="245">
        <f t="shared" si="3"/>
        <v>1.2359880636581772E-2</v>
      </c>
      <c r="AB25" s="140">
        <f>'Datos Crudos SE2-Ref'!S25</f>
        <v>78.173612954605787</v>
      </c>
      <c r="AC25" s="140">
        <f>'Datos Crudos SE2-Ref'!S72</f>
        <v>26.836415075275344</v>
      </c>
      <c r="AD25" s="134"/>
      <c r="AE25" s="134"/>
      <c r="AF25" s="134"/>
      <c r="AG25" s="143"/>
      <c r="AH25" s="66">
        <f>'Datos Crudos SE2-Ref'!U25</f>
        <v>21.826387045394213</v>
      </c>
      <c r="AI25" s="66">
        <f>'Datos Crudos SE2-Ref'!U72</f>
        <v>73.16358492472466</v>
      </c>
    </row>
    <row r="26" spans="1:35" s="68" customFormat="1" x14ac:dyDescent="0.25">
      <c r="A26" s="69" t="s">
        <v>168</v>
      </c>
      <c r="B26" s="23" t="s">
        <v>80</v>
      </c>
      <c r="C26" s="22" t="s">
        <v>143</v>
      </c>
      <c r="D26" s="61">
        <v>1</v>
      </c>
      <c r="E26" t="s">
        <v>17</v>
      </c>
      <c r="F26" s="24">
        <v>44249</v>
      </c>
      <c r="G26" s="26">
        <f>'Datos Crudos SE2-Ref'!H26</f>
        <v>1.9731000000000001</v>
      </c>
      <c r="H26" s="26">
        <f>'Datos Crudos SE2-Ref'!H73</f>
        <v>2.1989000000000001</v>
      </c>
      <c r="I26" s="25">
        <f>'Datos Crudos SE2-Ref'!I26</f>
        <v>3.0966499417160667</v>
      </c>
      <c r="J26" s="25">
        <f>'Datos Crudos SE2-Ref'!I73</f>
        <v>4.2748647050798061</v>
      </c>
      <c r="K26" s="22">
        <f>'Datos Crudos SE2-Ref'!R26</f>
        <v>1.7867000000000002</v>
      </c>
      <c r="L26" s="22">
        <f>'Datos Crudos SE2-Ref'!R73</f>
        <v>2.0222000000000002</v>
      </c>
      <c r="M26" s="24">
        <v>44309</v>
      </c>
      <c r="N26" s="22">
        <f>'Datos Crudos SE2-Ref'!M26</f>
        <v>0.47949999999999998</v>
      </c>
      <c r="O26" s="26">
        <f>'Datos Crudos SE2-Ref'!P26</f>
        <v>0.12709999999999999</v>
      </c>
      <c r="P26" s="22">
        <f>'Datos Crudos SE2-Ref'!Q26</f>
        <v>5.9299999999999999E-2</v>
      </c>
      <c r="Q26" s="22">
        <f>'Datos Crudos SE2-Ref'!M73</f>
        <v>1.365</v>
      </c>
      <c r="R26" s="22">
        <f>'Datos Crudos SE2-Ref'!P73</f>
        <v>0.121</v>
      </c>
      <c r="S26" s="22">
        <f>'Datos Crudos SE2-Ref'!Q73</f>
        <v>5.57E-2</v>
      </c>
      <c r="T26" s="22">
        <f>'Datos Crudos SE2-Ref'!O26</f>
        <v>0.29349999999999998</v>
      </c>
      <c r="U26" s="22">
        <f>'Datos Crudos SE2-Ref'!O73</f>
        <v>1.1890000000000001</v>
      </c>
      <c r="V26" s="19">
        <f t="shared" si="4"/>
        <v>0.83573067666648015</v>
      </c>
      <c r="W26" s="19">
        <f t="shared" si="0"/>
        <v>7.4457521775769253E-3</v>
      </c>
      <c r="X26" s="21">
        <f t="shared" si="1"/>
        <v>0.54788994479797759</v>
      </c>
      <c r="Y26" s="21">
        <f t="shared" si="2"/>
        <v>0.58797349421422207</v>
      </c>
      <c r="Z26" s="22">
        <f t="shared" si="5"/>
        <v>60</v>
      </c>
      <c r="AA26" s="242">
        <f t="shared" si="3"/>
        <v>2.3240402996060082E-2</v>
      </c>
      <c r="AB26" s="66">
        <f>'Datos Crudos SE2-Ref'!S26</f>
        <v>83.573067666648015</v>
      </c>
      <c r="AC26" s="66">
        <f>'Datos Crudos SE2-Ref'!S73</f>
        <v>41.202650578577789</v>
      </c>
      <c r="AD26" s="106">
        <f>AVERAGE(W26:W33)</f>
        <v>-1.8608390535791011E-2</v>
      </c>
      <c r="AE26" s="23">
        <f>STDEV(W26:W33)</f>
        <v>2.7650941861303822E-2</v>
      </c>
      <c r="AF26" s="107">
        <f>AVERAGE(AA26:AA33)</f>
        <v>1.8533453095943769E-2</v>
      </c>
      <c r="AG26" s="154">
        <f>STDEV(AA26:AA33)</f>
        <v>2.2854689451078099E-3</v>
      </c>
      <c r="AH26" s="66">
        <f>'Datos Crudos SE2-Ref'!U26</f>
        <v>16.426932333351989</v>
      </c>
      <c r="AI26" s="66">
        <f>'Datos Crudos SE2-Ref'!U73</f>
        <v>58.797349421422204</v>
      </c>
    </row>
    <row r="27" spans="1:35" s="23" customFormat="1" x14ac:dyDescent="0.25">
      <c r="A27" s="69" t="s">
        <v>169</v>
      </c>
      <c r="B27" s="23" t="s">
        <v>80</v>
      </c>
      <c r="C27" s="22" t="s">
        <v>143</v>
      </c>
      <c r="D27" s="61">
        <v>2</v>
      </c>
      <c r="E27" t="s">
        <v>17</v>
      </c>
      <c r="F27" s="24">
        <v>44249</v>
      </c>
      <c r="G27" s="26">
        <f>'Datos Crudos SE2-Ref'!H27</f>
        <v>2.0104000000000002</v>
      </c>
      <c r="H27" s="26">
        <f>'Datos Crudos SE2-Ref'!H74</f>
        <v>2.1545000000000001</v>
      </c>
      <c r="I27" s="25">
        <f>'Datos Crudos SE2-Ref'!I27</f>
        <v>3.1337047353760306</v>
      </c>
      <c r="J27" s="25">
        <f>'Datos Crudos SE2-Ref'!I74</f>
        <v>4.1633789742399685</v>
      </c>
      <c r="K27" s="22">
        <f>'Datos Crudos SE2-Ref'!R27</f>
        <v>1.8294000000000001</v>
      </c>
      <c r="L27" s="22">
        <f>'Datos Crudos SE2-Ref'!R74</f>
        <v>1.9638</v>
      </c>
      <c r="M27" s="24">
        <v>44309</v>
      </c>
      <c r="N27" s="22">
        <f>'Datos Crudos SE2-Ref'!M27</f>
        <v>0.45639999999999997</v>
      </c>
      <c r="O27" s="26">
        <f>'Datos Crudos SE2-Ref'!P27</f>
        <v>0.1246</v>
      </c>
      <c r="P27" s="22">
        <f>'Datos Crudos SE2-Ref'!Q27</f>
        <v>5.6399999999999999E-2</v>
      </c>
      <c r="Q27" s="22">
        <f>'Datos Crudos SE2-Ref'!M74</f>
        <v>1.4769000000000001</v>
      </c>
      <c r="R27" s="22">
        <f>'Datos Crudos SE2-Ref'!P74</f>
        <v>0.13469999999999999</v>
      </c>
      <c r="S27" s="22">
        <f>'Datos Crudos SE2-Ref'!Q74</f>
        <v>5.6000000000000001E-2</v>
      </c>
      <c r="T27" s="22">
        <f>'Datos Crudos SE2-Ref'!O27</f>
        <v>0.27479999999999999</v>
      </c>
      <c r="U27" s="22">
        <f>'Datos Crudos SE2-Ref'!O74</f>
        <v>1.2871999999999999</v>
      </c>
      <c r="V27" s="19">
        <f t="shared" si="4"/>
        <v>0.8497868153492949</v>
      </c>
      <c r="W27" s="20">
        <f t="shared" si="0"/>
        <v>-9.247999227191217E-3</v>
      </c>
      <c r="X27" s="21">
        <f t="shared" si="1"/>
        <v>0.55710489557340959</v>
      </c>
      <c r="Y27" s="21">
        <f t="shared" si="2"/>
        <v>0.65546389652714121</v>
      </c>
      <c r="Z27" s="22">
        <f t="shared" si="5"/>
        <v>60</v>
      </c>
      <c r="AA27" s="242">
        <f t="shared" si="3"/>
        <v>1.6058131351378954E-2</v>
      </c>
      <c r="AB27" s="66">
        <f>'Datos Crudos SE2-Ref'!S27</f>
        <v>84.978681534929493</v>
      </c>
      <c r="AC27" s="66">
        <f>'Datos Crudos SE2-Ref'!S74</f>
        <v>34.453610347285881</v>
      </c>
      <c r="AG27" s="155"/>
      <c r="AH27" s="66">
        <f>'Datos Crudos SE2-Ref'!U27</f>
        <v>15.021318465070513</v>
      </c>
      <c r="AI27" s="66">
        <f>'Datos Crudos SE2-Ref'!U74</f>
        <v>65.546389652714126</v>
      </c>
    </row>
    <row r="28" spans="1:35" s="23" customFormat="1" x14ac:dyDescent="0.25">
      <c r="A28" s="69" t="s">
        <v>170</v>
      </c>
      <c r="B28" s="23" t="s">
        <v>80</v>
      </c>
      <c r="C28" s="22" t="s">
        <v>143</v>
      </c>
      <c r="D28" s="61">
        <v>1</v>
      </c>
      <c r="E28" t="s">
        <v>18</v>
      </c>
      <c r="F28" s="24">
        <v>44249</v>
      </c>
      <c r="G28" s="26">
        <f>'Datos Crudos SE2-Ref'!H28</f>
        <v>2.0028999999999999</v>
      </c>
      <c r="H28" s="26">
        <f>'Datos Crudos SE2-Ref'!H75</f>
        <v>2.2002999999999999</v>
      </c>
      <c r="I28" s="25">
        <f>'Datos Crudos SE2-Ref'!I28</f>
        <v>3.1753956762694142</v>
      </c>
      <c r="J28" s="25">
        <f>'Datos Crudos SE2-Ref'!I75</f>
        <v>4.031268463391366</v>
      </c>
      <c r="K28" s="22">
        <f>'Datos Crudos SE2-Ref'!R28</f>
        <v>1.8189</v>
      </c>
      <c r="L28" s="22">
        <f>'Datos Crudos SE2-Ref'!R75</f>
        <v>2.0103</v>
      </c>
      <c r="M28" s="24">
        <v>44309</v>
      </c>
      <c r="N28" s="22">
        <f>'Datos Crudos SE2-Ref'!M28</f>
        <v>0.34820000000000001</v>
      </c>
      <c r="O28" s="26">
        <f>'Datos Crudos SE2-Ref'!P28</f>
        <v>0.12870000000000001</v>
      </c>
      <c r="P28" s="22">
        <f>'Datos Crudos SE2-Ref'!Q28</f>
        <v>5.5300000000000002E-2</v>
      </c>
      <c r="Q28" s="22">
        <f>'Datos Crudos SE2-Ref'!M75</f>
        <v>1.4239999999999999</v>
      </c>
      <c r="R28" s="22">
        <f>'Datos Crudos SE2-Ref'!P75</f>
        <v>0.13159999999999999</v>
      </c>
      <c r="S28" s="22">
        <f>'Datos Crudos SE2-Ref'!Q75</f>
        <v>5.8400000000000001E-2</v>
      </c>
      <c r="T28" s="22">
        <f>'Datos Crudos SE2-Ref'!O28</f>
        <v>0.1643</v>
      </c>
      <c r="U28" s="22">
        <f>'Datos Crudos SE2-Ref'!O75</f>
        <v>1.2337</v>
      </c>
      <c r="V28" s="19">
        <f t="shared" si="4"/>
        <v>0.90967068008136787</v>
      </c>
      <c r="W28" s="20">
        <f t="shared" si="0"/>
        <v>-8.0368978718964312E-2</v>
      </c>
      <c r="X28" s="21">
        <f t="shared" si="1"/>
        <v>0.59636367625286835</v>
      </c>
      <c r="Y28" s="21">
        <f t="shared" si="2"/>
        <v>0.61368949907973935</v>
      </c>
      <c r="Z28" s="22">
        <f t="shared" si="5"/>
        <v>60</v>
      </c>
      <c r="AA28" s="242">
        <f t="shared" si="3"/>
        <v>1.7391499358231532E-2</v>
      </c>
      <c r="AB28" s="66">
        <f>'Datos Crudos SE2-Ref'!S28</f>
        <v>90.967068008136778</v>
      </c>
      <c r="AC28" s="66">
        <f>'Datos Crudos SE2-Ref'!S75</f>
        <v>38.631050092026065</v>
      </c>
      <c r="AG28" s="155"/>
      <c r="AH28" s="66">
        <f>'Datos Crudos SE2-Ref'!U28</f>
        <v>9.0329319918632152</v>
      </c>
      <c r="AI28" s="66">
        <f>'Datos Crudos SE2-Ref'!U75</f>
        <v>61.368949907973935</v>
      </c>
    </row>
    <row r="29" spans="1:35" s="23" customFormat="1" x14ac:dyDescent="0.25">
      <c r="A29" s="69" t="s">
        <v>171</v>
      </c>
      <c r="B29" s="23" t="s">
        <v>80</v>
      </c>
      <c r="C29" s="22" t="s">
        <v>143</v>
      </c>
      <c r="D29" s="61">
        <v>2</v>
      </c>
      <c r="E29" t="s">
        <v>18</v>
      </c>
      <c r="F29" s="24">
        <v>44249</v>
      </c>
      <c r="G29" s="26">
        <f>'Datos Crudos SE2-Ref'!H29</f>
        <v>2.0806</v>
      </c>
      <c r="H29" s="26">
        <f>'Datos Crudos SE2-Ref'!H76</f>
        <v>2.1636000000000002</v>
      </c>
      <c r="I29" s="25">
        <f>'Datos Crudos SE2-Ref'!I29</f>
        <v>3.1961934057483417</v>
      </c>
      <c r="J29" s="25">
        <f>'Datos Crudos SE2-Ref'!I76</f>
        <v>4.0857829543353477</v>
      </c>
      <c r="K29" s="22">
        <f>'Datos Crudos SE2-Ref'!R29</f>
        <v>1.9006000000000001</v>
      </c>
      <c r="L29" s="22">
        <f>'Datos Crudos SE2-Ref'!R76</f>
        <v>1.9709000000000001</v>
      </c>
      <c r="M29" s="24">
        <v>44309</v>
      </c>
      <c r="N29" s="22">
        <f>'Datos Crudos SE2-Ref'!M29</f>
        <v>0.42730000000000001</v>
      </c>
      <c r="O29" s="26">
        <f>'Datos Crudos SE2-Ref'!P29</f>
        <v>0.12520000000000001</v>
      </c>
      <c r="P29" s="22">
        <f>'Datos Crudos SE2-Ref'!Q29</f>
        <v>5.4800000000000001E-2</v>
      </c>
      <c r="Q29" s="22">
        <f>'Datos Crudos SE2-Ref'!M76</f>
        <v>1.3652</v>
      </c>
      <c r="R29" s="22">
        <f>'Datos Crudos SE2-Ref'!P76</f>
        <v>0.1358</v>
      </c>
      <c r="S29" s="22">
        <f>'Datos Crudos SE2-Ref'!Q76</f>
        <v>5.6899999999999999E-2</v>
      </c>
      <c r="T29" s="22">
        <f>'Datos Crudos SE2-Ref'!O29</f>
        <v>0.24740000000000001</v>
      </c>
      <c r="U29" s="22">
        <f>'Datos Crudos SE2-Ref'!O76</f>
        <v>1.1729000000000001</v>
      </c>
      <c r="V29" s="19">
        <f t="shared" si="4"/>
        <v>0.86983057981689993</v>
      </c>
      <c r="W29" s="20">
        <f t="shared" si="0"/>
        <v>-3.3052945150712443E-2</v>
      </c>
      <c r="X29" s="21">
        <f t="shared" si="1"/>
        <v>0.57024522572319336</v>
      </c>
      <c r="Y29" s="21">
        <f t="shared" si="2"/>
        <v>0.59510883352782995</v>
      </c>
      <c r="Z29" s="22">
        <f t="shared" si="5"/>
        <v>60</v>
      </c>
      <c r="AA29" s="242">
        <f t="shared" si="3"/>
        <v>2.0632958338400495E-2</v>
      </c>
      <c r="AB29" s="66">
        <f>'Datos Crudos SE2-Ref'!S29</f>
        <v>86.983057981689996</v>
      </c>
      <c r="AC29" s="66">
        <f>'Datos Crudos SE2-Ref'!S76</f>
        <v>40.489116647217003</v>
      </c>
      <c r="AG29" s="155"/>
      <c r="AH29" s="66">
        <f>'Datos Crudos SE2-Ref'!U29</f>
        <v>13.016942018310008</v>
      </c>
      <c r="AI29" s="66">
        <f>'Datos Crudos SE2-Ref'!U76</f>
        <v>59.510883352782997</v>
      </c>
    </row>
    <row r="30" spans="1:35" s="23" customFormat="1" x14ac:dyDescent="0.25">
      <c r="A30" s="69" t="s">
        <v>172</v>
      </c>
      <c r="B30" s="23" t="s">
        <v>80</v>
      </c>
      <c r="C30" s="22" t="s">
        <v>143</v>
      </c>
      <c r="D30" s="61">
        <v>1</v>
      </c>
      <c r="E30" t="s">
        <v>19</v>
      </c>
      <c r="F30" s="24">
        <v>44249</v>
      </c>
      <c r="G30" s="26">
        <f>'Datos Crudos SE2-Ref'!H30</f>
        <v>2.0055000000000001</v>
      </c>
      <c r="H30" s="26">
        <f>'Datos Crudos SE2-Ref'!H77</f>
        <v>2.1966000000000001</v>
      </c>
      <c r="I30" s="25">
        <f>'Datos Crudos SE2-Ref'!I30</f>
        <v>3.0765395163300964</v>
      </c>
      <c r="J30" s="25">
        <f>'Datos Crudos SE2-Ref'!I77</f>
        <v>4.3021032504780132</v>
      </c>
      <c r="K30" s="22">
        <f>'Datos Crudos SE2-Ref'!R30</f>
        <v>1.8122</v>
      </c>
      <c r="L30" s="22">
        <f>'Datos Crudos SE2-Ref'!R77</f>
        <v>2.0097</v>
      </c>
      <c r="M30" s="24">
        <v>44309</v>
      </c>
      <c r="N30" s="22">
        <f>'Datos Crudos SE2-Ref'!M30</f>
        <v>0.47749999999999998</v>
      </c>
      <c r="O30" s="26">
        <f>'Datos Crudos SE2-Ref'!P30</f>
        <v>0.1376</v>
      </c>
      <c r="P30" s="22">
        <f>'Datos Crudos SE2-Ref'!Q30</f>
        <v>5.57E-2</v>
      </c>
      <c r="Q30" s="22">
        <f>'Datos Crudos SE2-Ref'!M77</f>
        <v>1.4675</v>
      </c>
      <c r="R30" s="22">
        <f>'Datos Crudos SE2-Ref'!P77</f>
        <v>0.12959999999999999</v>
      </c>
      <c r="S30" s="22">
        <f>'Datos Crudos SE2-Ref'!Q77</f>
        <v>5.7299999999999997E-2</v>
      </c>
      <c r="T30" s="22">
        <f>'Datos Crudos SE2-Ref'!O30</f>
        <v>0.28449999999999998</v>
      </c>
      <c r="U30" s="22">
        <f>'Datos Crudos SE2-Ref'!O77</f>
        <v>1.2811999999999999</v>
      </c>
      <c r="V30" s="19">
        <f t="shared" si="4"/>
        <v>0.84300849795828281</v>
      </c>
      <c r="W30" s="20">
        <f t="shared" si="0"/>
        <v>-1.1977410430912272E-3</v>
      </c>
      <c r="X30" s="21">
        <f t="shared" si="1"/>
        <v>0.55266115305578645</v>
      </c>
      <c r="Y30" s="21">
        <f t="shared" si="2"/>
        <v>0.6375080857839478</v>
      </c>
      <c r="Z30" s="22">
        <f t="shared" si="5"/>
        <v>60</v>
      </c>
      <c r="AA30" s="242">
        <f t="shared" si="3"/>
        <v>1.7780511069498385E-2</v>
      </c>
      <c r="AB30" s="66">
        <f>'Datos Crudos SE2-Ref'!S30</f>
        <v>84.300849795828285</v>
      </c>
      <c r="AC30" s="66">
        <f>'Datos Crudos SE2-Ref'!S77</f>
        <v>36.249191421605218</v>
      </c>
      <c r="AG30" s="155"/>
      <c r="AH30" s="66">
        <f>'Datos Crudos SE2-Ref'!U30</f>
        <v>15.699150204171724</v>
      </c>
      <c r="AI30" s="66">
        <f>'Datos Crudos SE2-Ref'!U77</f>
        <v>63.750808578394782</v>
      </c>
    </row>
    <row r="31" spans="1:35" s="23" customFormat="1" x14ac:dyDescent="0.25">
      <c r="A31" s="69" t="s">
        <v>173</v>
      </c>
      <c r="B31" s="23" t="s">
        <v>80</v>
      </c>
      <c r="C31" s="22" t="s">
        <v>143</v>
      </c>
      <c r="D31" s="61">
        <v>2</v>
      </c>
      <c r="E31" t="s">
        <v>19</v>
      </c>
      <c r="F31" s="24">
        <v>44249</v>
      </c>
      <c r="G31" s="26">
        <f>'Datos Crudos SE2-Ref'!H31</f>
        <v>2.0914999999999999</v>
      </c>
      <c r="H31" s="26">
        <f>'Datos Crudos SE2-Ref'!H78</f>
        <v>2.0891000000000002</v>
      </c>
      <c r="I31" s="25">
        <f>'Datos Crudos SE2-Ref'!I31</f>
        <v>3.1843174754960657</v>
      </c>
      <c r="J31" s="25">
        <f>'Datos Crudos SE2-Ref'!I78</f>
        <v>4.1836197405581208</v>
      </c>
      <c r="K31" s="22">
        <f>'Datos Crudos SE2-Ref'!R31</f>
        <v>1.9089</v>
      </c>
      <c r="L31" s="22">
        <f>'Datos Crudos SE2-Ref'!R78</f>
        <v>1.8964000000000003</v>
      </c>
      <c r="M31" s="24">
        <v>44309</v>
      </c>
      <c r="N31" s="22">
        <f>'Datos Crudos SE2-Ref'!M31</f>
        <v>0.47549999999999998</v>
      </c>
      <c r="O31" s="26">
        <f>'Datos Crudos SE2-Ref'!P31</f>
        <v>0.12759999999999999</v>
      </c>
      <c r="P31" s="22">
        <f>'Datos Crudos SE2-Ref'!Q31</f>
        <v>5.5E-2</v>
      </c>
      <c r="Q31" s="22">
        <f>'Datos Crudos SE2-Ref'!M78</f>
        <v>1.4004000000000001</v>
      </c>
      <c r="R31" s="22">
        <f>'Datos Crudos SE2-Ref'!P78</f>
        <v>0.1298</v>
      </c>
      <c r="S31" s="22">
        <f>'Datos Crudos SE2-Ref'!Q78</f>
        <v>6.2899999999999998E-2</v>
      </c>
      <c r="T31" s="22">
        <f>'Datos Crudos SE2-Ref'!O31</f>
        <v>0.29239999999999999</v>
      </c>
      <c r="U31" s="22">
        <f>'Datos Crudos SE2-Ref'!O78</f>
        <v>1.2075</v>
      </c>
      <c r="V31" s="19">
        <f t="shared" si="4"/>
        <v>0.84682277751584678</v>
      </c>
      <c r="W31" s="20">
        <f t="shared" si="0"/>
        <v>-5.7277642706019538E-3</v>
      </c>
      <c r="X31" s="21">
        <f t="shared" si="1"/>
        <v>0.55516172587737234</v>
      </c>
      <c r="Y31" s="21">
        <f t="shared" si="2"/>
        <v>0.6367327568023623</v>
      </c>
      <c r="Z31" s="22">
        <f t="shared" si="5"/>
        <v>60</v>
      </c>
      <c r="AA31" s="242">
        <f t="shared" si="3"/>
        <v>1.7705230294878978E-2</v>
      </c>
      <c r="AB31" s="66">
        <f>'Datos Crudos SE2-Ref'!S31</f>
        <v>84.682277751584678</v>
      </c>
      <c r="AC31" s="66">
        <f>'Datos Crudos SE2-Ref'!S78</f>
        <v>36.32672431976377</v>
      </c>
      <c r="AG31" s="155"/>
      <c r="AH31" s="66">
        <f>'Datos Crudos SE2-Ref'!U31</f>
        <v>15.317722248415317</v>
      </c>
      <c r="AI31" s="66">
        <f>'Datos Crudos SE2-Ref'!U78</f>
        <v>63.67327568023623</v>
      </c>
    </row>
    <row r="32" spans="1:35" s="23" customFormat="1" x14ac:dyDescent="0.25">
      <c r="A32" s="69" t="s">
        <v>174</v>
      </c>
      <c r="B32" s="23" t="s">
        <v>80</v>
      </c>
      <c r="C32" s="22" t="s">
        <v>143</v>
      </c>
      <c r="D32" s="61">
        <v>1</v>
      </c>
      <c r="E32" t="s">
        <v>20</v>
      </c>
      <c r="F32" s="24">
        <v>44249</v>
      </c>
      <c r="G32" s="26">
        <f>'Datos Crudos SE2-Ref'!H32</f>
        <v>1.9916</v>
      </c>
      <c r="H32" s="26">
        <f>'Datos Crudos SE2-Ref'!H79</f>
        <v>2.1800000000000002</v>
      </c>
      <c r="I32" s="25">
        <f>'Datos Crudos SE2-Ref'!I32</f>
        <v>3.0829483832094748</v>
      </c>
      <c r="J32" s="25">
        <f>'Datos Crudos SE2-Ref'!I79</f>
        <v>4.3211009174311847</v>
      </c>
      <c r="K32" s="22">
        <f>'Datos Crudos SE2-Ref'!R32</f>
        <v>1.8139000000000001</v>
      </c>
      <c r="L32" s="22">
        <f>'Datos Crudos SE2-Ref'!R79</f>
        <v>1.9857000000000002</v>
      </c>
      <c r="M32" s="24">
        <v>44309</v>
      </c>
      <c r="N32" s="22">
        <f>'Datos Crudos SE2-Ref'!M32</f>
        <v>0.43759999999999999</v>
      </c>
      <c r="O32" s="26">
        <f>'Datos Crudos SE2-Ref'!P32</f>
        <v>0.12139999999999999</v>
      </c>
      <c r="P32" s="22">
        <f>'Datos Crudos SE2-Ref'!Q32</f>
        <v>5.6300000000000003E-2</v>
      </c>
      <c r="Q32" s="22">
        <f>'Datos Crudos SE2-Ref'!M79</f>
        <v>1.4470000000000001</v>
      </c>
      <c r="R32" s="22">
        <f>'Datos Crudos SE2-Ref'!P79</f>
        <v>0.13780000000000001</v>
      </c>
      <c r="S32" s="22">
        <f>'Datos Crudos SE2-Ref'!Q79</f>
        <v>5.6500000000000002E-2</v>
      </c>
      <c r="T32" s="22">
        <f>'Datos Crudos SE2-Ref'!O32</f>
        <v>0.25950000000000001</v>
      </c>
      <c r="U32" s="22">
        <f>'Datos Crudos SE2-Ref'!O79</f>
        <v>1.2526999999999999</v>
      </c>
      <c r="V32" s="19">
        <f t="shared" si="4"/>
        <v>0.8569380892000662</v>
      </c>
      <c r="W32" s="20">
        <f t="shared" si="0"/>
        <v>-1.774119857490053E-2</v>
      </c>
      <c r="X32" s="21">
        <f t="shared" si="1"/>
        <v>0.56179314161334515</v>
      </c>
      <c r="Y32" s="21">
        <f t="shared" si="2"/>
        <v>0.63086065367376731</v>
      </c>
      <c r="Z32" s="22">
        <f t="shared" si="5"/>
        <v>60</v>
      </c>
      <c r="AA32" s="242">
        <f t="shared" si="3"/>
        <v>1.7837315590197845E-2</v>
      </c>
      <c r="AB32" s="66">
        <f>'Datos Crudos SE2-Ref'!S32</f>
        <v>85.693808920006603</v>
      </c>
      <c r="AC32" s="66">
        <f>'Datos Crudos SE2-Ref'!S79</f>
        <v>36.913934632623267</v>
      </c>
      <c r="AG32" s="155"/>
      <c r="AH32" s="66">
        <f>'Datos Crudos SE2-Ref'!U32</f>
        <v>14.306191079993386</v>
      </c>
      <c r="AI32" s="66">
        <f>'Datos Crudos SE2-Ref'!U79</f>
        <v>63.086065367376733</v>
      </c>
    </row>
    <row r="33" spans="1:35" s="71" customFormat="1" ht="15.75" thickBot="1" x14ac:dyDescent="0.3">
      <c r="A33" s="144" t="s">
        <v>175</v>
      </c>
      <c r="B33" s="145" t="s">
        <v>80</v>
      </c>
      <c r="C33" s="146" t="s">
        <v>143</v>
      </c>
      <c r="D33" s="61">
        <v>2</v>
      </c>
      <c r="E33" t="s">
        <v>20</v>
      </c>
      <c r="F33" s="147">
        <v>44249</v>
      </c>
      <c r="G33" s="148">
        <f>'Datos Crudos SE2-Ref'!H33</f>
        <v>2.0303</v>
      </c>
      <c r="H33" s="148">
        <f>'Datos Crudos SE2-Ref'!H80</f>
        <v>2.169</v>
      </c>
      <c r="I33" s="149">
        <f>'Datos Crudos SE2-Ref'!I33</f>
        <v>3.1276166083829922</v>
      </c>
      <c r="J33" s="149">
        <f>'Datos Crudos SE2-Ref'!I80</f>
        <v>4.158598432457346</v>
      </c>
      <c r="K33" s="146">
        <f>'Datos Crudos SE2-Ref'!R33</f>
        <v>1.8439000000000001</v>
      </c>
      <c r="L33" s="146">
        <f>'Datos Crudos SE2-Ref'!R80</f>
        <v>1.9897</v>
      </c>
      <c r="M33" s="147">
        <v>44309</v>
      </c>
      <c r="N33" s="146">
        <f>'Datos Crudos SE2-Ref'!M33</f>
        <v>0.46400000000000002</v>
      </c>
      <c r="O33" s="148">
        <f>'Datos Crudos SE2-Ref'!P33</f>
        <v>0.1285</v>
      </c>
      <c r="P33" s="146">
        <f>'Datos Crudos SE2-Ref'!Q33</f>
        <v>5.79E-2</v>
      </c>
      <c r="Q33" s="146">
        <f>'Datos Crudos SE2-Ref'!M80</f>
        <v>1.4454</v>
      </c>
      <c r="R33" s="146">
        <f>'Datos Crudos SE2-Ref'!P80</f>
        <v>0.1229</v>
      </c>
      <c r="S33" s="146">
        <f>'Datos Crudos SE2-Ref'!Q80</f>
        <v>5.6399999999999999E-2</v>
      </c>
      <c r="T33" s="146">
        <f>'Datos Crudos SE2-Ref'!O33</f>
        <v>0.27739999999999998</v>
      </c>
      <c r="U33" s="146">
        <f>'Datos Crudos SE2-Ref'!O80</f>
        <v>1.2665</v>
      </c>
      <c r="V33" s="150">
        <f t="shared" si="4"/>
        <v>0.8495580020608493</v>
      </c>
      <c r="W33" s="151">
        <f t="shared" si="0"/>
        <v>-8.9762494784433322E-3</v>
      </c>
      <c r="X33" s="152">
        <f t="shared" si="1"/>
        <v>0.55695488971210072</v>
      </c>
      <c r="Y33" s="152">
        <f t="shared" si="2"/>
        <v>0.63652811981705781</v>
      </c>
      <c r="Z33" s="146">
        <f t="shared" si="5"/>
        <v>60</v>
      </c>
      <c r="AA33" s="246">
        <f t="shared" si="3"/>
        <v>1.7621575768903896E-2</v>
      </c>
      <c r="AB33" s="153">
        <f>'Datos Crudos SE2-Ref'!S33</f>
        <v>84.955800206084916</v>
      </c>
      <c r="AC33" s="153">
        <f>'Datos Crudos SE2-Ref'!S80</f>
        <v>36.347188018294219</v>
      </c>
      <c r="AD33" s="145"/>
      <c r="AE33" s="145"/>
      <c r="AF33" s="145"/>
      <c r="AG33" s="156"/>
      <c r="AH33" s="66">
        <f>'Datos Crudos SE2-Ref'!U33</f>
        <v>15.04419979391507</v>
      </c>
      <c r="AI33" s="66">
        <f>'Datos Crudos SE2-Ref'!U80</f>
        <v>63.652811981705781</v>
      </c>
    </row>
    <row r="34" spans="1:35" x14ac:dyDescent="0.25">
      <c r="A34" s="22" t="s">
        <v>176</v>
      </c>
      <c r="B34" s="23" t="s">
        <v>937</v>
      </c>
      <c r="C34" s="22" t="s">
        <v>143</v>
      </c>
      <c r="D34" s="61">
        <v>1</v>
      </c>
      <c r="E34" t="s">
        <v>17</v>
      </c>
      <c r="F34" s="24">
        <v>44256</v>
      </c>
      <c r="G34" s="26">
        <f>'Datos Crudos SE2-Ref'!H34</f>
        <v>2.0470000000000002</v>
      </c>
      <c r="H34" s="26">
        <f>'Datos Crudos SE2-Ref'!H81</f>
        <v>2.1596000000000002</v>
      </c>
      <c r="I34" s="25">
        <f>'Datos Crudos SE2-Ref'!I34</f>
        <v>3.9081582804103379</v>
      </c>
      <c r="J34" s="25">
        <f>'Datos Crudos SE2-Ref'!I81</f>
        <v>5.5195406556769653</v>
      </c>
      <c r="K34" s="22">
        <f>'Datos Crudos SE2-Ref'!R34</f>
        <v>1.8581000000000001</v>
      </c>
      <c r="L34" s="22">
        <f>'Datos Crudos SE2-Ref'!R81</f>
        <v>1.9703000000000002</v>
      </c>
      <c r="M34" s="24">
        <v>44309</v>
      </c>
      <c r="N34" s="22">
        <f>'Datos Crudos SE2-Ref'!M34</f>
        <v>0.52049999999999996</v>
      </c>
      <c r="O34" s="26">
        <f>'Datos Crudos SE2-Ref'!P34</f>
        <v>0.13400000000000001</v>
      </c>
      <c r="P34" s="22">
        <f>'Datos Crudos SE2-Ref'!Q34</f>
        <v>5.4899999999999997E-2</v>
      </c>
      <c r="Q34" s="22">
        <f>'Datos Crudos SE2-Ref'!M81</f>
        <v>1.4735</v>
      </c>
      <c r="R34" s="22">
        <f>'Datos Crudos SE2-Ref'!P81</f>
        <v>0.13439999999999999</v>
      </c>
      <c r="S34" s="22">
        <f>'Datos Crudos SE2-Ref'!Q81</f>
        <v>5.4899999999999997E-2</v>
      </c>
      <c r="T34" s="22">
        <f>'Datos Crudos SE2-Ref'!O34</f>
        <v>0.33179999999999998</v>
      </c>
      <c r="U34" s="22">
        <f>'Datos Crudos SE2-Ref'!O81</f>
        <v>1.2846</v>
      </c>
      <c r="V34" s="19">
        <f t="shared" ref="V34:V41" si="6">1-FINAL_WEIGHT_GREEN/INITIAL_WEIGHT_GREEN</f>
        <v>0.82143049351488084</v>
      </c>
      <c r="W34" s="19">
        <f t="shared" si="0"/>
        <v>2.442934261890628E-2</v>
      </c>
      <c r="X34" s="21">
        <f t="shared" si="1"/>
        <v>0.53851500287436382</v>
      </c>
      <c r="Y34" s="21">
        <f t="shared" ref="Y34:Y41" si="7">FINAL_WEIGHT_RED/INITIAL_WEIGHT_RED</f>
        <v>0.65198193168553009</v>
      </c>
      <c r="Z34" s="22">
        <f t="shared" si="5"/>
        <v>53</v>
      </c>
      <c r="AA34" s="242">
        <f>LN(X34/(Y34-(1-X34)))/Z34</f>
        <v>1.9607155732284932E-2</v>
      </c>
      <c r="AB34" s="66">
        <f>'Datos Crudos SE2-Ref'!S34</f>
        <v>82.143049351488074</v>
      </c>
      <c r="AC34" s="66">
        <f>'Datos Crudos SE2-Ref'!S81</f>
        <v>34.801806831446996</v>
      </c>
      <c r="AD34" s="65">
        <f>AVERAGE(W34:W41)</f>
        <v>2.3246713940400177E-2</v>
      </c>
      <c r="AE34">
        <f>STDEV(W34:W41)</f>
        <v>2.3243738629342939E-2</v>
      </c>
      <c r="AF34" s="7">
        <f>AVERAGE(AA34:AA41)</f>
        <v>1.8743474217341793E-2</v>
      </c>
      <c r="AG34" s="165">
        <f>STDEV(AA34:AA41)</f>
        <v>6.3727301951437703E-4</v>
      </c>
      <c r="AH34" s="66">
        <f>'Datos Crudos SE2-Ref'!U34</f>
        <v>17.856950648511919</v>
      </c>
      <c r="AI34" s="66">
        <f>'Datos Crudos SE2-Ref'!U81</f>
        <v>65.198193168553004</v>
      </c>
    </row>
    <row r="35" spans="1:35" x14ac:dyDescent="0.25">
      <c r="A35" s="22" t="s">
        <v>177</v>
      </c>
      <c r="B35" s="23" t="s">
        <v>937</v>
      </c>
      <c r="C35" s="22" t="s">
        <v>143</v>
      </c>
      <c r="D35" s="61">
        <v>2</v>
      </c>
      <c r="E35" t="s">
        <v>17</v>
      </c>
      <c r="F35" s="24">
        <v>44256</v>
      </c>
      <c r="G35" s="26">
        <f>'Datos Crudos SE2-Ref'!H35</f>
        <v>1.9244000000000001</v>
      </c>
      <c r="H35" s="26">
        <f>'Datos Crudos SE2-Ref'!H82</f>
        <v>2.1756000000000002</v>
      </c>
      <c r="I35" s="25">
        <f>'Datos Crudos SE2-Ref'!I35</f>
        <v>3.8401579713157266</v>
      </c>
      <c r="J35" s="25">
        <f>'Datos Crudos SE2-Ref'!I82</f>
        <v>5.5708769994484264</v>
      </c>
      <c r="K35" s="22">
        <f>'Datos Crudos SE2-Ref'!R35</f>
        <v>1.7332000000000001</v>
      </c>
      <c r="L35" s="22">
        <f>'Datos Crudos SE2-Ref'!R82</f>
        <v>1.9899000000000002</v>
      </c>
      <c r="M35" s="24">
        <v>44309</v>
      </c>
      <c r="N35" s="22">
        <f>'Datos Crudos SE2-Ref'!M35</f>
        <v>0.46439999999999998</v>
      </c>
      <c r="O35" s="26">
        <f>'Datos Crudos SE2-Ref'!P35</f>
        <v>0.1348</v>
      </c>
      <c r="P35" s="22">
        <f>'Datos Crudos SE2-Ref'!Q35</f>
        <v>5.6399999999999999E-2</v>
      </c>
      <c r="Q35" s="22">
        <f>'Datos Crudos SE2-Ref'!M82</f>
        <v>1.4883999999999999</v>
      </c>
      <c r="R35" s="22">
        <f>'Datos Crudos SE2-Ref'!P82</f>
        <v>0.129</v>
      </c>
      <c r="S35" s="22">
        <f>'Datos Crudos SE2-Ref'!Q82</f>
        <v>5.67E-2</v>
      </c>
      <c r="T35" s="22">
        <f>'Datos Crudos SE2-Ref'!O35</f>
        <v>0.2732</v>
      </c>
      <c r="U35" s="22">
        <f>'Datos Crudos SE2-Ref'!O82</f>
        <v>1.3029999999999999</v>
      </c>
      <c r="V35" s="19">
        <f t="shared" si="6"/>
        <v>0.84237249019155325</v>
      </c>
      <c r="W35" s="20">
        <f t="shared" si="0"/>
        <v>-4.4238740089452833E-4</v>
      </c>
      <c r="X35" s="21">
        <f t="shared" si="1"/>
        <v>0.55224419784529377</v>
      </c>
      <c r="Y35" s="21">
        <f t="shared" si="7"/>
        <v>0.65480677420975919</v>
      </c>
      <c r="Z35" s="22">
        <f t="shared" si="5"/>
        <v>53</v>
      </c>
      <c r="AA35" s="242">
        <f t="shared" si="3"/>
        <v>1.8509911907336852E-2</v>
      </c>
      <c r="AB35" s="66">
        <f>'Datos Crudos SE2-Ref'!S35</f>
        <v>84.237249019155314</v>
      </c>
      <c r="AC35" s="66">
        <f>'Datos Crudos SE2-Ref'!S82</f>
        <v>34.519322579024077</v>
      </c>
      <c r="AG35" s="166"/>
      <c r="AH35" s="66">
        <f>'Datos Crudos SE2-Ref'!U35</f>
        <v>15.762750980844681</v>
      </c>
      <c r="AI35" s="66">
        <f>'Datos Crudos SE2-Ref'!U82</f>
        <v>65.480677420975923</v>
      </c>
    </row>
    <row r="36" spans="1:35" x14ac:dyDescent="0.25">
      <c r="A36" s="22" t="s">
        <v>178</v>
      </c>
      <c r="B36" s="23" t="s">
        <v>937</v>
      </c>
      <c r="C36" s="22" t="s">
        <v>143</v>
      </c>
      <c r="D36" s="61">
        <v>1</v>
      </c>
      <c r="E36" t="s">
        <v>18</v>
      </c>
      <c r="F36" s="24">
        <v>44256</v>
      </c>
      <c r="G36" s="26">
        <f>'Datos Crudos SE2-Ref'!H36</f>
        <v>2.0790000000000002</v>
      </c>
      <c r="H36" s="26">
        <f>'Datos Crudos SE2-Ref'!H83</f>
        <v>2.1898</v>
      </c>
      <c r="I36" s="25">
        <f>'Datos Crudos SE2-Ref'!I36</f>
        <v>4.0019240019239879</v>
      </c>
      <c r="J36" s="25">
        <f>'Datos Crudos SE2-Ref'!I83</f>
        <v>5.447986117453647</v>
      </c>
      <c r="K36" s="22">
        <f>'Datos Crudos SE2-Ref'!R36</f>
        <v>1.8830000000000002</v>
      </c>
      <c r="L36" s="22">
        <f>'Datos Crudos SE2-Ref'!R83</f>
        <v>1.9922</v>
      </c>
      <c r="M36" s="24">
        <v>44309</v>
      </c>
      <c r="N36" s="22">
        <f>'Datos Crudos SE2-Ref'!M36</f>
        <v>0.58250000000000002</v>
      </c>
      <c r="O36" s="26">
        <f>'Datos Crudos SE2-Ref'!P36</f>
        <v>0.14080000000000001</v>
      </c>
      <c r="P36" s="22">
        <f>'Datos Crudos SE2-Ref'!Q36</f>
        <v>5.5199999999999999E-2</v>
      </c>
      <c r="Q36" s="22">
        <f>'Datos Crudos SE2-Ref'!M83</f>
        <v>1.5288999999999999</v>
      </c>
      <c r="R36" s="22">
        <f>'Datos Crudos SE2-Ref'!P83</f>
        <v>0.13919999999999999</v>
      </c>
      <c r="S36" s="22">
        <f>'Datos Crudos SE2-Ref'!Q83</f>
        <v>5.8400000000000001E-2</v>
      </c>
      <c r="T36" s="22">
        <f>'Datos Crudos SE2-Ref'!O36</f>
        <v>0.38629999999999998</v>
      </c>
      <c r="U36" s="22">
        <f>'Datos Crudos SE2-Ref'!O83</f>
        <v>1.3305</v>
      </c>
      <c r="V36" s="19">
        <f t="shared" si="6"/>
        <v>0.79484864577801384</v>
      </c>
      <c r="W36" s="19">
        <f t="shared" si="0"/>
        <v>5.5999233042738905E-2</v>
      </c>
      <c r="X36" s="21">
        <f t="shared" si="1"/>
        <v>0.52108842336040817</v>
      </c>
      <c r="Y36" s="21">
        <f t="shared" si="7"/>
        <v>0.66785463306896897</v>
      </c>
      <c r="Z36" s="22">
        <f t="shared" si="5"/>
        <v>53</v>
      </c>
      <c r="AA36" s="242">
        <f t="shared" si="3"/>
        <v>1.9141020093683687E-2</v>
      </c>
      <c r="AB36" s="66">
        <f>'Datos Crudos SE2-Ref'!S36</f>
        <v>79.484864577801389</v>
      </c>
      <c r="AC36" s="66">
        <f>'Datos Crudos SE2-Ref'!S83</f>
        <v>33.214536693103099</v>
      </c>
      <c r="AG36" s="166"/>
      <c r="AH36" s="66">
        <f>'Datos Crudos SE2-Ref'!U36</f>
        <v>20.515135422198615</v>
      </c>
      <c r="AI36" s="66">
        <f>'Datos Crudos SE2-Ref'!U83</f>
        <v>66.785463306896901</v>
      </c>
    </row>
    <row r="37" spans="1:35" x14ac:dyDescent="0.25">
      <c r="A37" s="22" t="s">
        <v>179</v>
      </c>
      <c r="B37" s="23" t="s">
        <v>937</v>
      </c>
      <c r="C37" s="22" t="s">
        <v>143</v>
      </c>
      <c r="D37" s="61">
        <v>2</v>
      </c>
      <c r="E37" t="s">
        <v>18</v>
      </c>
      <c r="F37" s="24">
        <v>44256</v>
      </c>
      <c r="G37" s="26">
        <f>'Datos Crudos SE2-Ref'!H37</f>
        <v>1.8382000000000001</v>
      </c>
      <c r="H37" s="26">
        <f>'Datos Crudos SE2-Ref'!H84</f>
        <v>2.1983000000000001</v>
      </c>
      <c r="I37" s="25">
        <f>'Datos Crudos SE2-Ref'!I37</f>
        <v>3.7917528016537845</v>
      </c>
      <c r="J37" s="25">
        <f>'Datos Crudos SE2-Ref'!I84</f>
        <v>5.6270754674066286</v>
      </c>
      <c r="K37" s="22">
        <f>'Datos Crudos SE2-Ref'!R37</f>
        <v>1.6386000000000001</v>
      </c>
      <c r="L37" s="22">
        <f>'Datos Crudos SE2-Ref'!R84</f>
        <v>1.9914000000000001</v>
      </c>
      <c r="M37" s="24">
        <v>44309</v>
      </c>
      <c r="N37" s="22">
        <f>'Datos Crudos SE2-Ref'!M37</f>
        <v>0.52949999999999997</v>
      </c>
      <c r="O37" s="26">
        <f>'Datos Crudos SE2-Ref'!P37</f>
        <v>0.1447</v>
      </c>
      <c r="P37" s="22">
        <f>'Datos Crudos SE2-Ref'!Q37</f>
        <v>5.4899999999999997E-2</v>
      </c>
      <c r="Q37" s="22">
        <f>'Datos Crudos SE2-Ref'!M84</f>
        <v>1.5507</v>
      </c>
      <c r="R37" s="22">
        <f>'Datos Crudos SE2-Ref'!P84</f>
        <v>0.13880000000000001</v>
      </c>
      <c r="S37" s="22">
        <f>'Datos Crudos SE2-Ref'!Q84</f>
        <v>6.8099999999999994E-2</v>
      </c>
      <c r="T37" s="22">
        <f>'Datos Crudos SE2-Ref'!O37</f>
        <v>0.32990000000000003</v>
      </c>
      <c r="U37" s="22">
        <f>'Datos Crudos SE2-Ref'!O84</f>
        <v>1.3436999999999999</v>
      </c>
      <c r="V37" s="19">
        <f t="shared" si="6"/>
        <v>0.79866959599658238</v>
      </c>
      <c r="W37" s="19">
        <f t="shared" si="0"/>
        <v>5.1461287414985235E-2</v>
      </c>
      <c r="X37" s="21">
        <f t="shared" si="1"/>
        <v>0.52359336934692824</v>
      </c>
      <c r="Y37" s="21">
        <f t="shared" si="7"/>
        <v>0.67475143115396197</v>
      </c>
      <c r="Z37" s="22">
        <f t="shared" si="5"/>
        <v>53</v>
      </c>
      <c r="AA37" s="242">
        <f t="shared" si="3"/>
        <v>1.8315253537979907E-2</v>
      </c>
      <c r="AB37" s="66">
        <f>'Datos Crudos SE2-Ref'!S37</f>
        <v>79.866959599658244</v>
      </c>
      <c r="AC37" s="66">
        <f>'Datos Crudos SE2-Ref'!S84</f>
        <v>32.524856884603807</v>
      </c>
      <c r="AG37" s="166"/>
      <c r="AH37" s="66">
        <f>'Datos Crudos SE2-Ref'!U37</f>
        <v>20.133040400341756</v>
      </c>
      <c r="AI37" s="66">
        <f>'Datos Crudos SE2-Ref'!U84</f>
        <v>67.475143115396193</v>
      </c>
    </row>
    <row r="38" spans="1:35" x14ac:dyDescent="0.25">
      <c r="A38" s="22" t="s">
        <v>180</v>
      </c>
      <c r="B38" s="23" t="s">
        <v>937</v>
      </c>
      <c r="C38" s="22" t="s">
        <v>143</v>
      </c>
      <c r="D38" s="61">
        <v>1</v>
      </c>
      <c r="E38" t="s">
        <v>19</v>
      </c>
      <c r="F38" s="24">
        <v>44256</v>
      </c>
      <c r="G38" s="26">
        <f>'Datos Crudos SE2-Ref'!H38</f>
        <v>2.0371999999999999</v>
      </c>
      <c r="H38" s="26">
        <f>'Datos Crudos SE2-Ref'!H85</f>
        <v>2.1848000000000001</v>
      </c>
      <c r="I38" s="25">
        <f>'Datos Crudos SE2-Ref'!I38</f>
        <v>3.8435107009621072</v>
      </c>
      <c r="J38" s="25">
        <f>'Datos Crudos SE2-Ref'!I85</f>
        <v>5.4696082021237613</v>
      </c>
      <c r="K38" s="22">
        <f>'Datos Crudos SE2-Ref'!R38</f>
        <v>1.8497999999999999</v>
      </c>
      <c r="L38" s="22">
        <f>'Datos Crudos SE2-Ref'!R85</f>
        <v>1.9967000000000001</v>
      </c>
      <c r="M38" s="24">
        <v>44309</v>
      </c>
      <c r="N38" s="22">
        <f>'Datos Crudos SE2-Ref'!M38</f>
        <v>0.52769999999999995</v>
      </c>
      <c r="O38" s="26">
        <f>'Datos Crudos SE2-Ref'!P38</f>
        <v>0.13239999999999999</v>
      </c>
      <c r="P38" s="22">
        <f>'Datos Crudos SE2-Ref'!Q38</f>
        <v>5.5E-2</v>
      </c>
      <c r="Q38" s="22">
        <f>'Datos Crudos SE2-Ref'!M85</f>
        <v>1.5265</v>
      </c>
      <c r="R38" s="22">
        <f>'Datos Crudos SE2-Ref'!P85</f>
        <v>0.13020000000000001</v>
      </c>
      <c r="S38" s="22">
        <f>'Datos Crudos SE2-Ref'!Q85</f>
        <v>5.79E-2</v>
      </c>
      <c r="T38" s="22">
        <f>'Datos Crudos SE2-Ref'!O38</f>
        <v>0.34060000000000001</v>
      </c>
      <c r="U38" s="22">
        <f>'Datos Crudos SE2-Ref'!O85</f>
        <v>1.3380000000000001</v>
      </c>
      <c r="V38" s="19">
        <f t="shared" si="6"/>
        <v>0.81587198616066603</v>
      </c>
      <c r="W38" s="19">
        <f t="shared" si="0"/>
        <v>3.1030895296121019E-2</v>
      </c>
      <c r="X38" s="21">
        <f t="shared" si="1"/>
        <v>0.53487094579654126</v>
      </c>
      <c r="Y38" s="21">
        <f t="shared" si="7"/>
        <v>0.67010567436269841</v>
      </c>
      <c r="Z38" s="22">
        <f t="shared" si="5"/>
        <v>53</v>
      </c>
      <c r="AA38" s="242">
        <f t="shared" si="3"/>
        <v>1.8096784346342838E-2</v>
      </c>
      <c r="AB38" s="66">
        <f>'Datos Crudos SE2-Ref'!S38</f>
        <v>81.587198616066601</v>
      </c>
      <c r="AC38" s="66">
        <f>'Datos Crudos SE2-Ref'!S85</f>
        <v>32.989432563730155</v>
      </c>
      <c r="AG38" s="166"/>
      <c r="AH38" s="66">
        <f>'Datos Crudos SE2-Ref'!U38</f>
        <v>18.412801383933399</v>
      </c>
      <c r="AI38" s="66">
        <f>'Datos Crudos SE2-Ref'!U85</f>
        <v>67.010567436269838</v>
      </c>
    </row>
    <row r="39" spans="1:35" x14ac:dyDescent="0.25">
      <c r="A39" s="22" t="s">
        <v>181</v>
      </c>
      <c r="B39" s="23" t="s">
        <v>937</v>
      </c>
      <c r="C39" s="22" t="s">
        <v>143</v>
      </c>
      <c r="D39" s="61">
        <v>2</v>
      </c>
      <c r="E39" t="s">
        <v>19</v>
      </c>
      <c r="F39" s="24">
        <v>44256</v>
      </c>
      <c r="G39" s="26">
        <f>'Datos Crudos SE2-Ref'!H39</f>
        <v>1.9805999999999999</v>
      </c>
      <c r="H39" s="26">
        <f>'Datos Crudos SE2-Ref'!H86</f>
        <v>2.2075</v>
      </c>
      <c r="I39" s="25">
        <f>'Datos Crudos SE2-Ref'!I39</f>
        <v>3.8422700191861199</v>
      </c>
      <c r="J39" s="25">
        <f>'Datos Crudos SE2-Ref'!I86</f>
        <v>5.6126840317100744</v>
      </c>
      <c r="K39" s="22">
        <f>'Datos Crudos SE2-Ref'!R39</f>
        <v>1.7910999999999999</v>
      </c>
      <c r="L39" s="22">
        <f>'Datos Crudos SE2-Ref'!R86</f>
        <v>2.0196000000000001</v>
      </c>
      <c r="M39" s="24">
        <v>44309</v>
      </c>
      <c r="N39" s="22">
        <f>'Datos Crudos SE2-Ref'!M39</f>
        <v>0.45860000000000001</v>
      </c>
      <c r="O39" s="26">
        <f>'Datos Crudos SE2-Ref'!P39</f>
        <v>0.1341</v>
      </c>
      <c r="P39" s="22">
        <f>'Datos Crudos SE2-Ref'!Q39</f>
        <v>5.5399999999999998E-2</v>
      </c>
      <c r="Q39" s="22">
        <f>'Datos Crudos SE2-Ref'!M86</f>
        <v>1.5197000000000001</v>
      </c>
      <c r="R39" s="22">
        <f>'Datos Crudos SE2-Ref'!P86</f>
        <v>0.13</v>
      </c>
      <c r="S39" s="22">
        <f>'Datos Crudos SE2-Ref'!Q86</f>
        <v>5.79E-2</v>
      </c>
      <c r="T39" s="22">
        <f>'Datos Crudos SE2-Ref'!O39</f>
        <v>0.26919999999999999</v>
      </c>
      <c r="U39" s="22">
        <f>'Datos Crudos SE2-Ref'!O86</f>
        <v>1.3317000000000001</v>
      </c>
      <c r="V39" s="19">
        <f t="shared" si="6"/>
        <v>0.84970130087655626</v>
      </c>
      <c r="W39" s="20">
        <f t="shared" si="0"/>
        <v>-9.1464380956725044E-3</v>
      </c>
      <c r="X39" s="21">
        <f t="shared" si="1"/>
        <v>0.55704883382881132</v>
      </c>
      <c r="Y39" s="21">
        <f t="shared" si="7"/>
        <v>0.65938799762329181</v>
      </c>
      <c r="Z39" s="22">
        <f t="shared" si="5"/>
        <v>53</v>
      </c>
      <c r="AA39" s="242">
        <f t="shared" si="3"/>
        <v>1.7836871240402483E-2</v>
      </c>
      <c r="AB39" s="66">
        <f>'Datos Crudos SE2-Ref'!S39</f>
        <v>84.970130087655633</v>
      </c>
      <c r="AC39" s="66">
        <f>'Datos Crudos SE2-Ref'!S86</f>
        <v>34.061200237670825</v>
      </c>
      <c r="AG39" s="166"/>
      <c r="AH39" s="66">
        <f>'Datos Crudos SE2-Ref'!U39</f>
        <v>15.02986991234437</v>
      </c>
      <c r="AI39" s="66">
        <f>'Datos Crudos SE2-Ref'!U86</f>
        <v>65.938799762329182</v>
      </c>
    </row>
    <row r="40" spans="1:35" x14ac:dyDescent="0.25">
      <c r="A40" s="22" t="s">
        <v>182</v>
      </c>
      <c r="B40" s="23" t="s">
        <v>937</v>
      </c>
      <c r="C40" s="22" t="s">
        <v>143</v>
      </c>
      <c r="D40" s="61">
        <v>1</v>
      </c>
      <c r="E40" t="s">
        <v>20</v>
      </c>
      <c r="F40" s="24">
        <v>44256</v>
      </c>
      <c r="G40" s="26">
        <f>'Datos Crudos SE2-Ref'!H40</f>
        <v>2.0535999999999999</v>
      </c>
      <c r="H40" s="26">
        <f>'Datos Crudos SE2-Ref'!H87</f>
        <v>2.1149</v>
      </c>
      <c r="I40" s="25">
        <f>'Datos Crudos SE2-Ref'!I40</f>
        <v>4.1536813400857113</v>
      </c>
      <c r="J40" s="25">
        <f>'Datos Crudos SE2-Ref'!I87</f>
        <v>5.5463615300959948</v>
      </c>
      <c r="K40" s="22">
        <f>'Datos Crudos SE2-Ref'!R40</f>
        <v>1.8685999999999998</v>
      </c>
      <c r="L40" s="22">
        <f>'Datos Crudos SE2-Ref'!R87</f>
        <v>1.9272</v>
      </c>
      <c r="M40" s="24">
        <v>44309</v>
      </c>
      <c r="N40" s="22">
        <f>'Datos Crudos SE2-Ref'!M40</f>
        <v>0.51919999999999999</v>
      </c>
      <c r="O40" s="26">
        <f>'Datos Crudos SE2-Ref'!P40</f>
        <v>0.13020000000000001</v>
      </c>
      <c r="P40" s="22">
        <f>'Datos Crudos SE2-Ref'!Q40</f>
        <v>5.4800000000000001E-2</v>
      </c>
      <c r="Q40" s="22">
        <f>'Datos Crudos SE2-Ref'!M87</f>
        <v>1.4507000000000001</v>
      </c>
      <c r="R40" s="22">
        <f>'Datos Crudos SE2-Ref'!P87</f>
        <v>0.13</v>
      </c>
      <c r="S40" s="22">
        <f>'Datos Crudos SE2-Ref'!Q87</f>
        <v>5.7700000000000001E-2</v>
      </c>
      <c r="T40" s="22">
        <f>'Datos Crudos SE2-Ref'!O40</f>
        <v>0.33429999999999999</v>
      </c>
      <c r="U40" s="22">
        <f>'Datos Crudos SE2-Ref'!O87</f>
        <v>1.2633000000000001</v>
      </c>
      <c r="V40" s="19">
        <f t="shared" si="6"/>
        <v>0.8210960077063042</v>
      </c>
      <c r="W40" s="19">
        <f t="shared" si="0"/>
        <v>2.4826594173035343E-2</v>
      </c>
      <c r="X40" s="21">
        <f t="shared" si="1"/>
        <v>0.53829572001648451</v>
      </c>
      <c r="Y40" s="21">
        <f t="shared" si="7"/>
        <v>0.65551058530510586</v>
      </c>
      <c r="Z40" s="22">
        <f t="shared" si="5"/>
        <v>53</v>
      </c>
      <c r="AA40" s="242">
        <f t="shared" si="3"/>
        <v>1.9274506424201473E-2</v>
      </c>
      <c r="AB40" s="66">
        <f>'Datos Crudos SE2-Ref'!S40</f>
        <v>82.109600770630422</v>
      </c>
      <c r="AC40" s="66">
        <f>'Datos Crudos SE2-Ref'!S87</f>
        <v>34.448941469489412</v>
      </c>
      <c r="AG40" s="166"/>
      <c r="AH40" s="66">
        <f>'Datos Crudos SE2-Ref'!U40</f>
        <v>17.890399229369581</v>
      </c>
      <c r="AI40" s="66">
        <f>'Datos Crudos SE2-Ref'!U87</f>
        <v>65.551058530510588</v>
      </c>
    </row>
    <row r="41" spans="1:35" x14ac:dyDescent="0.25">
      <c r="A41" s="157" t="s">
        <v>183</v>
      </c>
      <c r="B41" s="23" t="s">
        <v>937</v>
      </c>
      <c r="C41" s="157" t="s">
        <v>143</v>
      </c>
      <c r="D41" s="61">
        <v>2</v>
      </c>
      <c r="E41" t="s">
        <v>20</v>
      </c>
      <c r="F41" s="159">
        <v>44256</v>
      </c>
      <c r="G41" s="160">
        <f>'Datos Crudos SE2-Ref'!H41</f>
        <v>2.0346000000000002</v>
      </c>
      <c r="H41" s="160">
        <f>'Datos Crudos SE2-Ref'!H88</f>
        <v>2.1688999999999998</v>
      </c>
      <c r="I41" s="161">
        <f>'Datos Crudos SE2-Ref'!I41</f>
        <v>3.9418067433401949</v>
      </c>
      <c r="J41" s="161">
        <f>'Datos Crudos SE2-Ref'!I88</f>
        <v>5.5419798054313292</v>
      </c>
      <c r="K41" s="157">
        <f>'Datos Crudos SE2-Ref'!R41</f>
        <v>1.8374000000000001</v>
      </c>
      <c r="L41" s="157">
        <f>'Datos Crudos SE2-Ref'!R88</f>
        <v>1.9752999999999998</v>
      </c>
      <c r="M41" s="159">
        <v>44309</v>
      </c>
      <c r="N41" s="157">
        <f>'Datos Crudos SE2-Ref'!M41</f>
        <v>0.49959999999999999</v>
      </c>
      <c r="O41" s="160">
        <f>'Datos Crudos SE2-Ref'!P41</f>
        <v>0.14000000000000001</v>
      </c>
      <c r="P41" s="157">
        <f>'Datos Crudos SE2-Ref'!Q41</f>
        <v>5.7200000000000001E-2</v>
      </c>
      <c r="Q41" s="157">
        <f>'Datos Crudos SE2-Ref'!M88</f>
        <v>1.4789000000000001</v>
      </c>
      <c r="R41" s="157">
        <f>'Datos Crudos SE2-Ref'!P88</f>
        <v>0.1298</v>
      </c>
      <c r="S41" s="157">
        <f>'Datos Crudos SE2-Ref'!Q88</f>
        <v>6.3799999999999996E-2</v>
      </c>
      <c r="T41" s="157">
        <f>'Datos Crudos SE2-Ref'!O41</f>
        <v>0.3024</v>
      </c>
      <c r="U41" s="157">
        <f>'Datos Crudos SE2-Ref'!O88</f>
        <v>1.2851999999999999</v>
      </c>
      <c r="V41" s="19">
        <f t="shared" si="6"/>
        <v>0.83541961467290737</v>
      </c>
      <c r="W41" s="162">
        <f t="shared" si="0"/>
        <v>7.8151844739816623E-3</v>
      </c>
      <c r="X41" s="163">
        <f t="shared" si="1"/>
        <v>0.54768601817036222</v>
      </c>
      <c r="Y41" s="21">
        <f t="shared" si="7"/>
        <v>0.65063534652964106</v>
      </c>
      <c r="Z41" s="157">
        <f t="shared" si="5"/>
        <v>53</v>
      </c>
      <c r="AA41" s="247">
        <f t="shared" si="3"/>
        <v>1.9166290456502207E-2</v>
      </c>
      <c r="AB41" s="164">
        <f>'Datos Crudos SE2-Ref'!S41</f>
        <v>83.541961467290733</v>
      </c>
      <c r="AC41" s="164">
        <f>'Datos Crudos SE2-Ref'!S88</f>
        <v>34.936465347035892</v>
      </c>
      <c r="AD41" s="158"/>
      <c r="AE41" s="158"/>
      <c r="AF41" s="158"/>
      <c r="AG41" s="167"/>
      <c r="AH41" s="66">
        <f>'Datos Crudos SE2-Ref'!U41</f>
        <v>16.458038532709264</v>
      </c>
      <c r="AI41" s="66">
        <f>'Datos Crudos SE2-Ref'!U88</f>
        <v>65.063534652964108</v>
      </c>
    </row>
    <row r="42" spans="1:35" x14ac:dyDescent="0.25">
      <c r="A42" s="9" t="s">
        <v>275</v>
      </c>
      <c r="B42" t="s">
        <v>41</v>
      </c>
      <c r="C42" s="61" t="s">
        <v>317</v>
      </c>
      <c r="D42" s="61">
        <v>1</v>
      </c>
      <c r="E42" t="s">
        <v>17</v>
      </c>
      <c r="F42" s="53">
        <v>44361</v>
      </c>
      <c r="G42" s="63">
        <f>'Datos Crudos SE3-Ref'!H2</f>
        <v>2.0196999999999998</v>
      </c>
      <c r="H42" s="64">
        <f>'Datos Crudos SE3-Ref'!H49</f>
        <v>2.1284000000000001</v>
      </c>
      <c r="I42" s="67">
        <f>'Datos Crudos SE3-Ref'!I2</f>
        <v>4.1986433628756741</v>
      </c>
      <c r="J42" s="67">
        <f>'Datos Crudos SE3-Ref'!I49</f>
        <v>5.605149408006012</v>
      </c>
      <c r="K42" s="9">
        <f>'Datos Crudos SE3-Ref'!R2</f>
        <v>1.8156999999999999</v>
      </c>
      <c r="L42" s="18">
        <f>'Datos Crudos SE3-Ref'!R49</f>
        <v>1.9263000000000001</v>
      </c>
      <c r="M42" s="62">
        <v>44393</v>
      </c>
      <c r="N42" s="64">
        <f>'Datos Crudos SE3-Ref'!M2</f>
        <v>0.62729999999999997</v>
      </c>
      <c r="O42" s="64">
        <f>'Datos Crudos SE3-Ref'!P2</f>
        <v>0.13519999999999999</v>
      </c>
      <c r="P42" s="64">
        <f>'Datos Crudos SE3-Ref'!Q2</f>
        <v>6.88E-2</v>
      </c>
      <c r="Q42" s="64">
        <f>'Datos Crudos SE3-Ref'!M49</f>
        <v>1.5528999999999999</v>
      </c>
      <c r="R42" s="64">
        <f>'Datos Crudos SE3-Ref'!P49</f>
        <v>0.1371</v>
      </c>
      <c r="S42" s="64">
        <f>'Datos Crudos SE3-Ref'!Q49</f>
        <v>6.5000000000000002E-2</v>
      </c>
      <c r="T42" s="64">
        <f>'Datos Crudos SE3-Ref'!O2</f>
        <v>0.42209999999999998</v>
      </c>
      <c r="U42" s="63">
        <f>'Datos Crudos SE3-Ref'!O49</f>
        <v>1.3542000000000001</v>
      </c>
      <c r="V42" s="19">
        <f t="shared" si="4"/>
        <v>0.76752767527675281</v>
      </c>
      <c r="W42" s="19">
        <f t="shared" si="0"/>
        <v>8.844694147654053E-2</v>
      </c>
      <c r="X42" s="21">
        <f t="shared" si="1"/>
        <v>0.50317728830494968</v>
      </c>
      <c r="Y42" s="21">
        <f t="shared" si="2"/>
        <v>0.70300576234231427</v>
      </c>
      <c r="Z42" s="22">
        <f t="shared" si="5"/>
        <v>32</v>
      </c>
      <c r="AA42" s="242">
        <f t="shared" si="3"/>
        <v>2.7880568757531917E-2</v>
      </c>
      <c r="AB42" s="66">
        <f>'Datos Crudos SE3-Ref'!S2</f>
        <v>76.752767527675275</v>
      </c>
      <c r="AC42" s="66">
        <f>'Datos Crudos SE3-Ref'!S49</f>
        <v>29.699423765768572</v>
      </c>
      <c r="AD42" s="65">
        <f>AVERAGE(W42:W49)</f>
        <v>5.9266196471449539E-2</v>
      </c>
      <c r="AE42">
        <f>STDEV(W42:W49)</f>
        <v>2.6546087942122491E-2</v>
      </c>
      <c r="AF42" s="7">
        <f>AVERAGE(AA42:AA49)</f>
        <v>2.8321652579074878E-2</v>
      </c>
      <c r="AG42" s="173">
        <f>STDEV(AA42:AA49)</f>
        <v>1.2824851030314053E-3</v>
      </c>
      <c r="AH42" s="66">
        <f>'Datos Crudos SE3-Ref'!U2</f>
        <v>23.247232472324725</v>
      </c>
      <c r="AI42" s="66">
        <f>'Datos Crudos SE3-Ref'!U49</f>
        <v>70.300576234231428</v>
      </c>
    </row>
    <row r="43" spans="1:35" x14ac:dyDescent="0.25">
      <c r="A43" s="9" t="s">
        <v>276</v>
      </c>
      <c r="B43" t="s">
        <v>41</v>
      </c>
      <c r="C43" s="61" t="s">
        <v>317</v>
      </c>
      <c r="D43" s="61">
        <v>2</v>
      </c>
      <c r="E43" t="s">
        <v>17</v>
      </c>
      <c r="F43" s="53">
        <v>44361</v>
      </c>
      <c r="G43" s="63">
        <f>'Datos Crudos SE3-Ref'!H3</f>
        <v>1.9987999999999999</v>
      </c>
      <c r="H43" s="64">
        <f>'Datos Crudos SE3-Ref'!H50</f>
        <v>2.1684000000000001</v>
      </c>
      <c r="I43" s="67">
        <f>'Datos Crudos SE3-Ref'!I3</f>
        <v>4.1725035021012564</v>
      </c>
      <c r="J43" s="67">
        <f>'Datos Crudos SE3-Ref'!I50</f>
        <v>5.5617044825677935</v>
      </c>
      <c r="K43" s="9">
        <f>'Datos Crudos SE3-Ref'!R3</f>
        <v>1.8001999999999998</v>
      </c>
      <c r="L43" s="18">
        <f>'Datos Crudos SE3-Ref'!R50</f>
        <v>1.9647000000000001</v>
      </c>
      <c r="M43" s="62">
        <v>44393</v>
      </c>
      <c r="N43" s="64">
        <f>'Datos Crudos SE3-Ref'!M3</f>
        <v>0.63700000000000001</v>
      </c>
      <c r="O43" s="64">
        <f>'Datos Crudos SE3-Ref'!P3</f>
        <v>0.1346</v>
      </c>
      <c r="P43" s="64">
        <f>'Datos Crudos SE3-Ref'!Q3</f>
        <v>6.4000000000000001E-2</v>
      </c>
      <c r="Q43" s="64">
        <f>'Datos Crudos SE3-Ref'!M50</f>
        <v>1.5881000000000001</v>
      </c>
      <c r="R43" s="64">
        <f>'Datos Crudos SE3-Ref'!P50</f>
        <v>0.13539999999999999</v>
      </c>
      <c r="S43" s="64">
        <f>'Datos Crudos SE3-Ref'!Q50</f>
        <v>6.83E-2</v>
      </c>
      <c r="T43" s="64">
        <f>'Datos Crudos SE3-Ref'!O3</f>
        <v>0.44140000000000001</v>
      </c>
      <c r="U43" s="63">
        <f>'Datos Crudos SE3-Ref'!O50</f>
        <v>1.3891</v>
      </c>
      <c r="V43" s="19">
        <f t="shared" si="4"/>
        <v>0.75480502166425945</v>
      </c>
      <c r="W43" s="19">
        <f t="shared" si="0"/>
        <v>0.10355698139636638</v>
      </c>
      <c r="X43" s="21">
        <f t="shared" si="1"/>
        <v>0.49483654626920581</v>
      </c>
      <c r="Y43" s="21">
        <f t="shared" si="2"/>
        <v>0.70702906296126633</v>
      </c>
      <c r="Z43" s="22">
        <f t="shared" si="5"/>
        <v>32</v>
      </c>
      <c r="AA43" s="242">
        <f t="shared" si="3"/>
        <v>2.8019541354037617E-2</v>
      </c>
      <c r="AB43" s="66">
        <f>'Datos Crudos SE3-Ref'!S3</f>
        <v>75.48050216642595</v>
      </c>
      <c r="AC43" s="66">
        <f>'Datos Crudos SE3-Ref'!S50</f>
        <v>29.297093703873365</v>
      </c>
      <c r="AG43" s="95"/>
      <c r="AH43" s="66">
        <f>'Datos Crudos SE3-Ref'!U3</f>
        <v>24.51949783357405</v>
      </c>
      <c r="AI43" s="66">
        <f>'Datos Crudos SE3-Ref'!U50</f>
        <v>70.702906296126628</v>
      </c>
    </row>
    <row r="44" spans="1:35" x14ac:dyDescent="0.25">
      <c r="A44" s="9" t="s">
        <v>277</v>
      </c>
      <c r="B44" t="s">
        <v>41</v>
      </c>
      <c r="C44" s="61" t="s">
        <v>317</v>
      </c>
      <c r="D44" s="61">
        <v>1</v>
      </c>
      <c r="E44" t="s">
        <v>18</v>
      </c>
      <c r="F44" s="53">
        <v>44361</v>
      </c>
      <c r="G44" s="63">
        <f>'Datos Crudos SE3-Ref'!H4</f>
        <v>2.0076000000000001</v>
      </c>
      <c r="H44" s="64">
        <f>'Datos Crudos SE3-Ref'!H51</f>
        <v>2.1446000000000001</v>
      </c>
      <c r="I44" s="67">
        <f>'Datos Crudos SE3-Ref'!I4</f>
        <v>4.1143654114365305</v>
      </c>
      <c r="J44" s="67">
        <f>'Datos Crudos SE3-Ref'!I51</f>
        <v>5.5581460412197963</v>
      </c>
      <c r="K44" s="9">
        <f>'Datos Crudos SE3-Ref'!R4</f>
        <v>1.8265</v>
      </c>
      <c r="L44" s="18">
        <f>'Datos Crudos SE3-Ref'!R51</f>
        <v>1.9532</v>
      </c>
      <c r="M44" s="62">
        <v>44393</v>
      </c>
      <c r="N44" s="64">
        <f>'Datos Crudos SE3-Ref'!M4</f>
        <v>0.54100000000000004</v>
      </c>
      <c r="O44" s="64">
        <f>'Datos Crudos SE3-Ref'!P4</f>
        <v>0.12529999999999999</v>
      </c>
      <c r="P44" s="64">
        <f>'Datos Crudos SE3-Ref'!Q4</f>
        <v>5.5800000000000002E-2</v>
      </c>
      <c r="Q44" s="64">
        <f>'Datos Crudos SE3-Ref'!M51</f>
        <v>1.5014000000000001</v>
      </c>
      <c r="R44" s="64">
        <f>'Datos Crudos SE3-Ref'!P51</f>
        <v>0.13420000000000001</v>
      </c>
      <c r="S44" s="64">
        <f>'Datos Crudos SE3-Ref'!Q51</f>
        <v>5.7200000000000001E-2</v>
      </c>
      <c r="T44" s="64">
        <f>'Datos Crudos SE3-Ref'!O4</f>
        <v>0.36130000000000001</v>
      </c>
      <c r="U44" s="63">
        <f>'Datos Crudos SE3-Ref'!O51</f>
        <v>1.3129999999999999</v>
      </c>
      <c r="V44" s="19">
        <f t="shared" si="4"/>
        <v>0.80218998083766768</v>
      </c>
      <c r="W44" s="19">
        <f t="shared" si="0"/>
        <v>4.7280307793743814E-2</v>
      </c>
      <c r="X44" s="21">
        <f t="shared" si="1"/>
        <v>0.52590127009785348</v>
      </c>
      <c r="Y44" s="21">
        <f t="shared" si="2"/>
        <v>0.67223018636084375</v>
      </c>
      <c r="Z44" s="22">
        <f t="shared" si="5"/>
        <v>32</v>
      </c>
      <c r="AA44" s="242">
        <f t="shared" si="3"/>
        <v>3.0505711368171994E-2</v>
      </c>
      <c r="AB44" s="66">
        <f>'Datos Crudos SE3-Ref'!S4</f>
        <v>80.218998083766763</v>
      </c>
      <c r="AC44" s="66">
        <f>'Datos Crudos SE3-Ref'!S51</f>
        <v>32.776981363915631</v>
      </c>
      <c r="AG44" s="95"/>
      <c r="AH44" s="66">
        <f>'Datos Crudos SE3-Ref'!U4</f>
        <v>19.781001916233233</v>
      </c>
      <c r="AI44" s="66">
        <f>'Datos Crudos SE3-Ref'!U51</f>
        <v>67.223018636084376</v>
      </c>
    </row>
    <row r="45" spans="1:35" x14ac:dyDescent="0.25">
      <c r="A45" s="9" t="s">
        <v>278</v>
      </c>
      <c r="B45" t="s">
        <v>41</v>
      </c>
      <c r="C45" s="61" t="s">
        <v>317</v>
      </c>
      <c r="D45" s="61">
        <v>2</v>
      </c>
      <c r="E45" t="s">
        <v>18</v>
      </c>
      <c r="F45" s="53">
        <v>44361</v>
      </c>
      <c r="G45" s="63">
        <f>'Datos Crudos SE3-Ref'!H5</f>
        <v>2.0585</v>
      </c>
      <c r="H45" s="64">
        <f>'Datos Crudos SE3-Ref'!H52</f>
        <v>2.1985999999999999</v>
      </c>
      <c r="I45" s="67">
        <f>'Datos Crudos SE3-Ref'!I5</f>
        <v>4.2603837745931443</v>
      </c>
      <c r="J45" s="67">
        <f>'Datos Crudos SE3-Ref'!I52</f>
        <v>5.6672427908669176</v>
      </c>
      <c r="K45" s="9">
        <f>'Datos Crudos SE3-Ref'!R5</f>
        <v>1.8740999999999999</v>
      </c>
      <c r="L45" s="18">
        <f>'Datos Crudos SE3-Ref'!R52</f>
        <v>2</v>
      </c>
      <c r="M45" s="62">
        <v>44393</v>
      </c>
      <c r="N45" s="64">
        <f>'Datos Crudos SE3-Ref'!M5</f>
        <v>0.51700000000000002</v>
      </c>
      <c r="O45" s="64">
        <f>'Datos Crudos SE3-Ref'!P5</f>
        <v>0.1246</v>
      </c>
      <c r="P45" s="64">
        <f>'Datos Crudos SE3-Ref'!Q5</f>
        <v>5.9799999999999999E-2</v>
      </c>
      <c r="Q45" s="64">
        <f>'Datos Crudos SE3-Ref'!M52</f>
        <v>1.5599000000000001</v>
      </c>
      <c r="R45" s="64">
        <f>'Datos Crudos SE3-Ref'!P52</f>
        <v>0.14169999999999999</v>
      </c>
      <c r="S45" s="64">
        <f>'Datos Crudos SE3-Ref'!Q52</f>
        <v>5.6899999999999999E-2</v>
      </c>
      <c r="T45" s="64">
        <f>'Datos Crudos SE3-Ref'!O5</f>
        <v>0.33379999999999999</v>
      </c>
      <c r="U45" s="63">
        <f>'Datos Crudos SE3-Ref'!O52</f>
        <v>1.3667</v>
      </c>
      <c r="V45" s="19">
        <f t="shared" si="4"/>
        <v>0.82188783949629152</v>
      </c>
      <c r="W45" s="19">
        <f t="shared" si="0"/>
        <v>2.3886176370200074E-2</v>
      </c>
      <c r="X45" s="21">
        <f t="shared" si="1"/>
        <v>0.53881483064364966</v>
      </c>
      <c r="Y45" s="21">
        <f t="shared" si="2"/>
        <v>0.68335000000000001</v>
      </c>
      <c r="Z45" s="22">
        <f t="shared" si="5"/>
        <v>32</v>
      </c>
      <c r="AA45" s="242">
        <f t="shared" si="3"/>
        <v>2.7686011960399919E-2</v>
      </c>
      <c r="AB45" s="66">
        <f>'Datos Crudos SE3-Ref'!S5</f>
        <v>82.188783949629155</v>
      </c>
      <c r="AC45" s="66">
        <f>'Datos Crudos SE3-Ref'!S52</f>
        <v>31.664999999999999</v>
      </c>
      <c r="AG45" s="95"/>
      <c r="AH45" s="66">
        <f>'Datos Crudos SE3-Ref'!U5</f>
        <v>17.811216050370845</v>
      </c>
      <c r="AI45" s="66">
        <f>'Datos Crudos SE3-Ref'!U52</f>
        <v>68.335000000000008</v>
      </c>
    </row>
    <row r="46" spans="1:35" x14ac:dyDescent="0.25">
      <c r="A46" s="9" t="s">
        <v>279</v>
      </c>
      <c r="B46" t="s">
        <v>41</v>
      </c>
      <c r="C46" s="61" t="s">
        <v>317</v>
      </c>
      <c r="D46" s="61">
        <v>1</v>
      </c>
      <c r="E46" t="s">
        <v>19</v>
      </c>
      <c r="F46" s="53">
        <v>44361</v>
      </c>
      <c r="G46" s="63">
        <f>'Datos Crudos SE3-Ref'!H6</f>
        <v>2.0886999999999998</v>
      </c>
      <c r="H46" s="64">
        <f>'Datos Crudos SE3-Ref'!H53</f>
        <v>2.1608000000000001</v>
      </c>
      <c r="I46" s="67">
        <f>'Datos Crudos SE3-Ref'!I6</f>
        <v>4.251448269258411</v>
      </c>
      <c r="J46" s="67">
        <f>'Datos Crudos SE3-Ref'!I53</f>
        <v>5.6182895223991096</v>
      </c>
      <c r="K46" s="9">
        <f>'Datos Crudos SE3-Ref'!R6</f>
        <v>1.9076999999999997</v>
      </c>
      <c r="L46" s="18">
        <f>'Datos Crudos SE3-Ref'!R53</f>
        <v>1.9707000000000001</v>
      </c>
      <c r="M46" s="62">
        <v>44393</v>
      </c>
      <c r="N46" s="64">
        <f>'Datos Crudos SE3-Ref'!M6</f>
        <v>0.55069999999999997</v>
      </c>
      <c r="O46" s="64">
        <f>'Datos Crudos SE3-Ref'!P6</f>
        <v>0.12540000000000001</v>
      </c>
      <c r="P46" s="64">
        <f>'Datos Crudos SE3-Ref'!Q6</f>
        <v>5.5599999999999997E-2</v>
      </c>
      <c r="Q46" s="64">
        <f>'Datos Crudos SE3-Ref'!M53</f>
        <v>1.5455000000000001</v>
      </c>
      <c r="R46" s="64">
        <f>'Datos Crudos SE3-Ref'!P53</f>
        <v>0.13439999999999999</v>
      </c>
      <c r="S46" s="64">
        <f>'Datos Crudos SE3-Ref'!Q53</f>
        <v>5.57E-2</v>
      </c>
      <c r="T46" s="64">
        <f>'Datos Crudos SE3-Ref'!O6</f>
        <v>0.37230000000000002</v>
      </c>
      <c r="U46" s="63">
        <f>'Datos Crudos SE3-Ref'!O53</f>
        <v>1.3577999999999999</v>
      </c>
      <c r="V46" s="19">
        <f t="shared" si="4"/>
        <v>0.80484352885673838</v>
      </c>
      <c r="W46" s="19">
        <f t="shared" si="0"/>
        <v>4.4128825585821319E-2</v>
      </c>
      <c r="X46" s="21">
        <f t="shared" si="1"/>
        <v>0.5276408882766267</v>
      </c>
      <c r="Y46" s="21">
        <f t="shared" si="2"/>
        <v>0.68899375856294709</v>
      </c>
      <c r="Z46" s="22">
        <f t="shared" si="5"/>
        <v>32</v>
      </c>
      <c r="AA46" s="242">
        <f t="shared" si="3"/>
        <v>2.7818863655816092E-2</v>
      </c>
      <c r="AB46" s="66">
        <f>'Datos Crudos SE3-Ref'!S6</f>
        <v>80.484352885673843</v>
      </c>
      <c r="AC46" s="66">
        <f>'Datos Crudos SE3-Ref'!S53</f>
        <v>31.100624143705289</v>
      </c>
      <c r="AG46" s="95"/>
      <c r="AH46" s="66">
        <f>'Datos Crudos SE3-Ref'!U6</f>
        <v>19.515647114326157</v>
      </c>
      <c r="AI46" s="66">
        <f>'Datos Crudos SE3-Ref'!U53</f>
        <v>68.899375856294711</v>
      </c>
    </row>
    <row r="47" spans="1:35" x14ac:dyDescent="0.25">
      <c r="A47" s="9" t="s">
        <v>280</v>
      </c>
      <c r="B47" t="s">
        <v>41</v>
      </c>
      <c r="C47" s="61" t="s">
        <v>317</v>
      </c>
      <c r="D47" s="61">
        <v>2</v>
      </c>
      <c r="E47" t="s">
        <v>19</v>
      </c>
      <c r="F47" s="53">
        <v>44361</v>
      </c>
      <c r="G47" s="63">
        <f>'Datos Crudos SE3-Ref'!H7</f>
        <v>1.9590000000000001</v>
      </c>
      <c r="H47" s="64">
        <f>'Datos Crudos SE3-Ref'!H54</f>
        <v>2.198</v>
      </c>
      <c r="I47" s="67">
        <f>'Datos Crudos SE3-Ref'!I7</f>
        <v>5.2730985196528817</v>
      </c>
      <c r="J47" s="67">
        <f>'Datos Crudos SE3-Ref'!I54</f>
        <v>5.5777979981801753</v>
      </c>
      <c r="K47" s="9">
        <f>'Datos Crudos SE3-Ref'!R7</f>
        <v>1.7769000000000001</v>
      </c>
      <c r="L47" s="18">
        <f>'Datos Crudos SE3-Ref'!R54</f>
        <v>2.0122999999999998</v>
      </c>
      <c r="M47" s="62">
        <v>44393</v>
      </c>
      <c r="N47" s="64">
        <f>'Datos Crudos SE3-Ref'!M7</f>
        <v>0.5444</v>
      </c>
      <c r="O47" s="64">
        <f>'Datos Crudos SE3-Ref'!P7</f>
        <v>0.12670000000000001</v>
      </c>
      <c r="P47" s="64">
        <f>'Datos Crudos SE3-Ref'!Q7</f>
        <v>5.5399999999999998E-2</v>
      </c>
      <c r="Q47" s="64">
        <f>'Datos Crudos SE3-Ref'!M54</f>
        <v>1.5546</v>
      </c>
      <c r="R47" s="64">
        <f>'Datos Crudos SE3-Ref'!P54</f>
        <v>0.13009999999999999</v>
      </c>
      <c r="S47" s="64">
        <f>'Datos Crudos SE3-Ref'!Q54</f>
        <v>5.5599999999999997E-2</v>
      </c>
      <c r="T47" s="64">
        <f>'Datos Crudos SE3-Ref'!O7</f>
        <v>0.3634</v>
      </c>
      <c r="U47" s="63">
        <f>'Datos Crudos SE3-Ref'!O54</f>
        <v>1.3736999999999999</v>
      </c>
      <c r="V47" s="19">
        <f t="shared" si="4"/>
        <v>0.79548652146997578</v>
      </c>
      <c r="W47" s="19">
        <f t="shared" si="0"/>
        <v>5.5241660962023986E-2</v>
      </c>
      <c r="X47" s="21">
        <f t="shared" si="1"/>
        <v>0.5215066031489628</v>
      </c>
      <c r="Y47" s="21">
        <f t="shared" si="2"/>
        <v>0.68265169209362431</v>
      </c>
      <c r="Z47" s="22">
        <f t="shared" si="5"/>
        <v>32</v>
      </c>
      <c r="AA47" s="242">
        <f t="shared" si="3"/>
        <v>2.9307071443213803E-2</v>
      </c>
      <c r="AB47" s="66">
        <f>'Datos Crudos SE3-Ref'!S7</f>
        <v>79.548652146997583</v>
      </c>
      <c r="AC47" s="66">
        <f>'Datos Crudos SE3-Ref'!S54</f>
        <v>31.734830790637574</v>
      </c>
      <c r="AG47" s="95"/>
      <c r="AH47" s="66">
        <f>'Datos Crudos SE3-Ref'!U7</f>
        <v>20.451347853002417</v>
      </c>
      <c r="AI47" s="66">
        <f>'Datos Crudos SE3-Ref'!U54</f>
        <v>68.265169209362426</v>
      </c>
    </row>
    <row r="48" spans="1:35" x14ac:dyDescent="0.25">
      <c r="A48" s="9" t="s">
        <v>281</v>
      </c>
      <c r="B48" t="s">
        <v>41</v>
      </c>
      <c r="C48" s="61" t="s">
        <v>317</v>
      </c>
      <c r="D48" s="61">
        <v>1</v>
      </c>
      <c r="E48" t="s">
        <v>20</v>
      </c>
      <c r="F48" s="53">
        <v>44361</v>
      </c>
      <c r="G48" s="63">
        <f>'Datos Crudos SE3-Ref'!H8</f>
        <v>1.9384999999999999</v>
      </c>
      <c r="H48" s="64">
        <f>'Datos Crudos SE3-Ref'!H55</f>
        <v>2.1718999999999999</v>
      </c>
      <c r="I48" s="67">
        <f>'Datos Crudos SE3-Ref'!I8</f>
        <v>5.1947381996389081</v>
      </c>
      <c r="J48" s="67">
        <f>'Datos Crudos SE3-Ref'!I55</f>
        <v>6.0085639301993679</v>
      </c>
      <c r="K48" s="9">
        <f>'Datos Crudos SE3-Ref'!R8</f>
        <v>1.7515999999999998</v>
      </c>
      <c r="L48" s="18">
        <f>'Datos Crudos SE3-Ref'!R55</f>
        <v>1.9887999999999999</v>
      </c>
      <c r="M48" s="62">
        <v>44393</v>
      </c>
      <c r="N48" s="64">
        <f>'Datos Crudos SE3-Ref'!M8</f>
        <v>0.5212</v>
      </c>
      <c r="O48" s="64">
        <f>'Datos Crudos SE3-Ref'!P8</f>
        <v>0.12640000000000001</v>
      </c>
      <c r="P48" s="64">
        <f>'Datos Crudos SE3-Ref'!Q8</f>
        <v>6.0499999999999998E-2</v>
      </c>
      <c r="Q48" s="64">
        <f>'Datos Crudos SE3-Ref'!M55</f>
        <v>1.5313000000000001</v>
      </c>
      <c r="R48" s="64">
        <f>'Datos Crudos SE3-Ref'!P55</f>
        <v>0.12429999999999999</v>
      </c>
      <c r="S48" s="64">
        <f>'Datos Crudos SE3-Ref'!Q55</f>
        <v>5.8799999999999998E-2</v>
      </c>
      <c r="T48" s="64">
        <f>'Datos Crudos SE3-Ref'!O8</f>
        <v>0.33679999999999999</v>
      </c>
      <c r="U48" s="63">
        <f>'Datos Crudos SE3-Ref'!O55</f>
        <v>1.3508</v>
      </c>
      <c r="V48" s="19">
        <f t="shared" si="4"/>
        <v>0.80771865722767755</v>
      </c>
      <c r="W48" s="19">
        <f t="shared" si="0"/>
        <v>4.0714183815109717E-2</v>
      </c>
      <c r="X48" s="21">
        <f t="shared" si="1"/>
        <v>0.52952577053405947</v>
      </c>
      <c r="Y48" s="21">
        <f t="shared" si="2"/>
        <v>0.67920353982300885</v>
      </c>
      <c r="Z48" s="22">
        <f t="shared" si="5"/>
        <v>32</v>
      </c>
      <c r="AA48" s="242">
        <f t="shared" si="3"/>
        <v>2.909198708324676E-2</v>
      </c>
      <c r="AB48" s="66">
        <f>'Datos Crudos SE3-Ref'!S8</f>
        <v>80.771865722767757</v>
      </c>
      <c r="AC48" s="66">
        <f>'Datos Crudos SE3-Ref'!S55</f>
        <v>32.079646017699112</v>
      </c>
      <c r="AG48" s="95"/>
      <c r="AH48" s="66">
        <f>'Datos Crudos SE3-Ref'!U8</f>
        <v>19.228134277232243</v>
      </c>
      <c r="AI48" s="66">
        <f>'Datos Crudos SE3-Ref'!U55</f>
        <v>67.920353982300881</v>
      </c>
    </row>
    <row r="49" spans="1:35" x14ac:dyDescent="0.25">
      <c r="A49" s="98" t="s">
        <v>282</v>
      </c>
      <c r="B49" s="97" t="s">
        <v>41</v>
      </c>
      <c r="C49" s="168" t="s">
        <v>317</v>
      </c>
      <c r="D49" s="61">
        <v>2</v>
      </c>
      <c r="E49" t="s">
        <v>20</v>
      </c>
      <c r="F49" s="169">
        <v>44361</v>
      </c>
      <c r="G49" s="170">
        <f>'Datos Crudos SE3-Ref'!H9</f>
        <v>1.9044000000000001</v>
      </c>
      <c r="H49" s="168">
        <f>'Datos Crudos SE3-Ref'!H56</f>
        <v>2.1463000000000001</v>
      </c>
      <c r="I49" s="171">
        <f>'Datos Crudos SE3-Ref'!I9</f>
        <v>5.2614996849401301</v>
      </c>
      <c r="J49" s="171">
        <f>'Datos Crudos SE3-Ref'!I56</f>
        <v>5.9917066579695311</v>
      </c>
      <c r="K49" s="98">
        <f>'Datos Crudos SE3-Ref'!R9</f>
        <v>1.7085000000000001</v>
      </c>
      <c r="L49" s="100">
        <f>'Datos Crudos SE3-Ref'!R56</f>
        <v>1.9581000000000002</v>
      </c>
      <c r="M49" s="172">
        <v>44393</v>
      </c>
      <c r="N49" s="168">
        <f>'Datos Crudos SE3-Ref'!M9</f>
        <v>0.56640000000000001</v>
      </c>
      <c r="O49" s="168">
        <f>'Datos Crudos SE3-Ref'!P9</f>
        <v>0.13150000000000001</v>
      </c>
      <c r="P49" s="168">
        <f>'Datos Crudos SE3-Ref'!Q9</f>
        <v>6.4399999999999999E-2</v>
      </c>
      <c r="Q49" s="168">
        <f>'Datos Crudos SE3-Ref'!M56</f>
        <v>1.5707</v>
      </c>
      <c r="R49" s="168">
        <f>'Datos Crudos SE3-Ref'!P56</f>
        <v>0.1258</v>
      </c>
      <c r="S49" s="168">
        <f>'Datos Crudos SE3-Ref'!Q56</f>
        <v>6.2399999999999997E-2</v>
      </c>
      <c r="T49" s="168">
        <f>'Datos Crudos SE3-Ref'!O9</f>
        <v>0.37190000000000001</v>
      </c>
      <c r="U49" s="170">
        <f>'Datos Crudos SE3-Ref'!O56</f>
        <v>1.3872</v>
      </c>
      <c r="V49" s="102">
        <f t="shared" si="4"/>
        <v>0.78232367573895234</v>
      </c>
      <c r="W49" s="102">
        <f t="shared" si="0"/>
        <v>7.0874494371790497E-2</v>
      </c>
      <c r="X49" s="103">
        <f t="shared" si="1"/>
        <v>0.51287727910677172</v>
      </c>
      <c r="Y49" s="103">
        <f t="shared" si="2"/>
        <v>0.70844185690209893</v>
      </c>
      <c r="Z49" s="98">
        <f t="shared" si="5"/>
        <v>32</v>
      </c>
      <c r="AA49" s="243">
        <f t="shared" si="3"/>
        <v>2.6263465010180901E-2</v>
      </c>
      <c r="AB49" s="104">
        <f>'Datos Crudos SE3-Ref'!S9</f>
        <v>78.232367573895232</v>
      </c>
      <c r="AC49" s="104">
        <f>'Datos Crudos SE3-Ref'!S56</f>
        <v>29.155814309790106</v>
      </c>
      <c r="AD49" s="97"/>
      <c r="AE49" s="97"/>
      <c r="AF49" s="97"/>
      <c r="AG49" s="105"/>
      <c r="AH49" s="66">
        <f>'Datos Crudos SE3-Ref'!U9</f>
        <v>21.767632426104768</v>
      </c>
      <c r="AI49" s="66">
        <f>'Datos Crudos SE3-Ref'!U56</f>
        <v>70.844185690209898</v>
      </c>
    </row>
    <row r="50" spans="1:35" x14ac:dyDescent="0.25">
      <c r="A50" s="9" t="s">
        <v>284</v>
      </c>
      <c r="B50" t="s">
        <v>60</v>
      </c>
      <c r="C50" s="61" t="s">
        <v>317</v>
      </c>
      <c r="D50" s="61">
        <v>1</v>
      </c>
      <c r="E50" t="s">
        <v>17</v>
      </c>
      <c r="F50" s="54">
        <v>44368</v>
      </c>
      <c r="G50" s="63">
        <f>'Datos Crudos SE3-Ref'!H10</f>
        <v>2.0234999999999999</v>
      </c>
      <c r="H50" s="64">
        <f>'Datos Crudos SE3-Ref'!H57</f>
        <v>2.1240999999999999</v>
      </c>
      <c r="I50" s="67">
        <f>'Datos Crudos SE3-Ref'!I10</f>
        <v>6.8149246355324999</v>
      </c>
      <c r="J50" s="67">
        <f>'Datos Crudos SE3-Ref'!I57</f>
        <v>8.2011204745539246</v>
      </c>
      <c r="K50" s="9">
        <f>'Datos Crudos SE3-Ref'!R10</f>
        <v>1.8197999999999999</v>
      </c>
      <c r="L50" s="18">
        <f>'Datos Crudos SE3-Ref'!R57</f>
        <v>1.9201999999999999</v>
      </c>
      <c r="M50" s="62">
        <v>44400</v>
      </c>
      <c r="N50" s="64">
        <f>'Datos Crudos SE3-Ref'!M10</f>
        <v>0.56730000000000003</v>
      </c>
      <c r="O50" s="64">
        <f>'Datos Crudos SE3-Ref'!P10</f>
        <v>0.13819999999999999</v>
      </c>
      <c r="P50" s="64">
        <f>'Datos Crudos SE3-Ref'!Q10</f>
        <v>6.5500000000000003E-2</v>
      </c>
      <c r="Q50" s="64">
        <f>'Datos Crudos SE3-Ref'!M57</f>
        <v>1.5809</v>
      </c>
      <c r="R50" s="64">
        <f>'Datos Crudos SE3-Ref'!P57</f>
        <v>0.13600000000000001</v>
      </c>
      <c r="S50" s="64">
        <f>'Datos Crudos SE3-Ref'!Q57</f>
        <v>6.7900000000000002E-2</v>
      </c>
      <c r="T50" s="64">
        <f>'Datos Crudos SE3-Ref'!O10</f>
        <v>0.36580000000000001</v>
      </c>
      <c r="U50" s="63">
        <f>'Datos Crudos SE3-Ref'!O57</f>
        <v>1.3794</v>
      </c>
      <c r="V50" s="19">
        <f t="shared" si="4"/>
        <v>0.79898889987910759</v>
      </c>
      <c r="W50" s="19">
        <f t="shared" si="0"/>
        <v>5.1082066651891189E-2</v>
      </c>
      <c r="X50" s="21">
        <f t="shared" si="1"/>
        <v>0.52380269920815614</v>
      </c>
      <c r="Y50" s="21">
        <f t="shared" si="2"/>
        <v>0.71836267055515057</v>
      </c>
      <c r="Z50" s="22">
        <f t="shared" si="5"/>
        <v>32</v>
      </c>
      <c r="AA50" s="242">
        <f t="shared" si="3"/>
        <v>2.4109195196136943E-2</v>
      </c>
      <c r="AB50" s="66">
        <f>'Datos Crudos SE3-Ref'!S10</f>
        <v>79.898889987910749</v>
      </c>
      <c r="AC50" s="66">
        <f>'Datos Crudos SE3-Ref'!S57</f>
        <v>28.163732944484948</v>
      </c>
      <c r="AD50" s="65">
        <f>AVERAGE(W50:W57)</f>
        <v>7.5919790355100561E-2</v>
      </c>
      <c r="AE50">
        <f>STDEV(W50:W57)</f>
        <v>2.7376689598585555E-2</v>
      </c>
      <c r="AF50" s="7">
        <f>AVERAGE(AA50:AA57)</f>
        <v>2.3482739073693339E-2</v>
      </c>
      <c r="AG50" s="122">
        <f>STDEV(AA50:AA57)</f>
        <v>1.3024339492667576E-3</v>
      </c>
      <c r="AH50" s="66">
        <f>'Datos Crudos SE3-Ref'!U10</f>
        <v>20.101110012089244</v>
      </c>
      <c r="AI50" s="66">
        <f>'Datos Crudos SE3-Ref'!U57</f>
        <v>71.836267055515052</v>
      </c>
    </row>
    <row r="51" spans="1:35" x14ac:dyDescent="0.25">
      <c r="A51" s="9" t="s">
        <v>285</v>
      </c>
      <c r="B51" t="s">
        <v>60</v>
      </c>
      <c r="C51" s="61" t="s">
        <v>317</v>
      </c>
      <c r="D51" s="61">
        <v>2</v>
      </c>
      <c r="E51" t="s">
        <v>17</v>
      </c>
      <c r="F51" s="54">
        <v>44368</v>
      </c>
      <c r="G51" s="63">
        <f>'Datos Crudos SE3-Ref'!H11</f>
        <v>2.0066000000000002</v>
      </c>
      <c r="H51" s="64">
        <f>'Datos Crudos SE3-Ref'!H58</f>
        <v>2.1048</v>
      </c>
      <c r="I51" s="67">
        <f>'Datos Crudos SE3-Ref'!I11</f>
        <v>6.7477324828067244</v>
      </c>
      <c r="J51" s="67">
        <f>'Datos Crudos SE3-Ref'!I58</f>
        <v>8.2430634739642823</v>
      </c>
      <c r="K51" s="9">
        <f>'Datos Crudos SE3-Ref'!R11</f>
        <v>1.8054000000000001</v>
      </c>
      <c r="L51" s="18">
        <f>'Datos Crudos SE3-Ref'!R58</f>
        <v>1.9017999999999999</v>
      </c>
      <c r="M51" s="62">
        <v>44400</v>
      </c>
      <c r="N51" s="64">
        <f>'Datos Crudos SE3-Ref'!M11</f>
        <v>0.60060000000000002</v>
      </c>
      <c r="O51" s="64">
        <f>'Datos Crudos SE3-Ref'!P11</f>
        <v>0.1343</v>
      </c>
      <c r="P51" s="64">
        <f>'Datos Crudos SE3-Ref'!Q11</f>
        <v>6.6900000000000001E-2</v>
      </c>
      <c r="Q51" s="64">
        <f>'Datos Crudos SE3-Ref'!M58</f>
        <v>1.5683</v>
      </c>
      <c r="R51" s="64">
        <f>'Datos Crudos SE3-Ref'!P58</f>
        <v>0.13539999999999999</v>
      </c>
      <c r="S51" s="64">
        <f>'Datos Crudos SE3-Ref'!Q58</f>
        <v>6.7599999999999993E-2</v>
      </c>
      <c r="T51" s="64">
        <f>'Datos Crudos SE3-Ref'!O11</f>
        <v>0.40139999999999998</v>
      </c>
      <c r="U51" s="63">
        <f>'Datos Crudos SE3-Ref'!O58</f>
        <v>1.3669</v>
      </c>
      <c r="V51" s="19">
        <f t="shared" si="4"/>
        <v>0.77766699900299108</v>
      </c>
      <c r="W51" s="19">
        <f t="shared" si="0"/>
        <v>7.6404989307611526E-2</v>
      </c>
      <c r="X51" s="21">
        <f t="shared" si="1"/>
        <v>0.50982444590219844</v>
      </c>
      <c r="Y51" s="21">
        <f t="shared" si="2"/>
        <v>0.7187401409191293</v>
      </c>
      <c r="Z51" s="22">
        <f t="shared" si="5"/>
        <v>32</v>
      </c>
      <c r="AA51" s="242">
        <f t="shared" si="3"/>
        <v>2.5070238020960325E-2</v>
      </c>
      <c r="AB51" s="66">
        <f>'Datos Crudos SE3-Ref'!S11</f>
        <v>77.766699900299102</v>
      </c>
      <c r="AC51" s="66">
        <f>'Datos Crudos SE3-Ref'!S58</f>
        <v>28.12598590808707</v>
      </c>
      <c r="AG51" s="123"/>
      <c r="AH51" s="66">
        <f>'Datos Crudos SE3-Ref'!U11</f>
        <v>22.233300099700894</v>
      </c>
      <c r="AI51" s="66">
        <f>'Datos Crudos SE3-Ref'!U58</f>
        <v>71.874014091912926</v>
      </c>
    </row>
    <row r="52" spans="1:35" x14ac:dyDescent="0.25">
      <c r="A52" s="9" t="s">
        <v>286</v>
      </c>
      <c r="B52" t="s">
        <v>60</v>
      </c>
      <c r="C52" s="61" t="s">
        <v>317</v>
      </c>
      <c r="D52" s="61">
        <v>1</v>
      </c>
      <c r="E52" t="s">
        <v>18</v>
      </c>
      <c r="F52" s="54">
        <v>44368</v>
      </c>
      <c r="G52" s="63">
        <f>'Datos Crudos SE3-Ref'!H12</f>
        <v>2.0270999999999999</v>
      </c>
      <c r="H52" s="64">
        <f>'Datos Crudos SE3-Ref'!H59</f>
        <v>2.1063999999999998</v>
      </c>
      <c r="I52" s="67">
        <f>'Datos Crudos SE3-Ref'!I12</f>
        <v>6.7584233634255835</v>
      </c>
      <c r="J52" s="67">
        <f>'Datos Crudos SE3-Ref'!I59</f>
        <v>8.1276110900114062</v>
      </c>
      <c r="K52" s="9">
        <f>'Datos Crudos SE3-Ref'!R12</f>
        <v>1.8234999999999999</v>
      </c>
      <c r="L52" s="18">
        <f>'Datos Crudos SE3-Ref'!R59</f>
        <v>1.9036</v>
      </c>
      <c r="M52" s="62">
        <v>44400</v>
      </c>
      <c r="N52" s="64">
        <f>'Datos Crudos SE3-Ref'!M12</f>
        <v>0.5716</v>
      </c>
      <c r="O52" s="64">
        <f>'Datos Crudos SE3-Ref'!P12</f>
        <v>0.14280000000000001</v>
      </c>
      <c r="P52" s="64">
        <f>'Datos Crudos SE3-Ref'!Q12</f>
        <v>6.08E-2</v>
      </c>
      <c r="Q52" s="64">
        <f>'Datos Crudos SE3-Ref'!M59</f>
        <v>1.5995999999999999</v>
      </c>
      <c r="R52" s="64">
        <f>'Datos Crudos SE3-Ref'!P59</f>
        <v>0.1384</v>
      </c>
      <c r="S52" s="64">
        <f>'Datos Crudos SE3-Ref'!Q59</f>
        <v>6.4399999999999999E-2</v>
      </c>
      <c r="T52" s="64">
        <f>'Datos Crudos SE3-Ref'!O12</f>
        <v>0.37059999999999998</v>
      </c>
      <c r="U52" s="63">
        <f>'Datos Crudos SE3-Ref'!O59</f>
        <v>1.4</v>
      </c>
      <c r="V52" s="19">
        <f t="shared" si="4"/>
        <v>0.79676446394296685</v>
      </c>
      <c r="W52" s="19">
        <f t="shared" si="0"/>
        <v>5.3723914557046504E-2</v>
      </c>
      <c r="X52" s="21">
        <f t="shared" si="1"/>
        <v>0.52234439916451036</v>
      </c>
      <c r="Y52" s="21">
        <f t="shared" si="2"/>
        <v>0.73544862366043284</v>
      </c>
      <c r="Z52" s="22">
        <f t="shared" si="5"/>
        <v>32</v>
      </c>
      <c r="AA52" s="242">
        <f t="shared" si="3"/>
        <v>2.2067816031277131E-2</v>
      </c>
      <c r="AB52" s="66">
        <f>'Datos Crudos SE3-Ref'!S12</f>
        <v>79.676446394296676</v>
      </c>
      <c r="AC52" s="66">
        <f>'Datos Crudos SE3-Ref'!S59</f>
        <v>26.455137633956717</v>
      </c>
      <c r="AG52" s="123"/>
      <c r="AH52" s="66">
        <f>'Datos Crudos SE3-Ref'!U12</f>
        <v>20.323553605703317</v>
      </c>
      <c r="AI52" s="66">
        <f>'Datos Crudos SE3-Ref'!U59</f>
        <v>73.54486236604329</v>
      </c>
    </row>
    <row r="53" spans="1:35" x14ac:dyDescent="0.25">
      <c r="A53" s="9" t="s">
        <v>287</v>
      </c>
      <c r="B53" t="s">
        <v>60</v>
      </c>
      <c r="C53" s="61" t="s">
        <v>317</v>
      </c>
      <c r="D53" s="61">
        <v>2</v>
      </c>
      <c r="E53" t="s">
        <v>18</v>
      </c>
      <c r="F53" s="54">
        <v>44368</v>
      </c>
      <c r="G53" s="63">
        <f>'Datos Crudos SE3-Ref'!H13</f>
        <v>2.0855999999999999</v>
      </c>
      <c r="H53" s="64">
        <f>'Datos Crudos SE3-Ref'!H60</f>
        <v>2.0604</v>
      </c>
      <c r="I53" s="67">
        <f>'Datos Crudos SE3-Ref'!I13</f>
        <v>6.7606444188722676</v>
      </c>
      <c r="J53" s="67">
        <f>'Datos Crudos SE3-Ref'!I60</f>
        <v>8.2168510968743824</v>
      </c>
      <c r="K53" s="9">
        <f>'Datos Crudos SE3-Ref'!R13</f>
        <v>1.8973</v>
      </c>
      <c r="L53" s="18">
        <f>'Datos Crudos SE3-Ref'!R60</f>
        <v>1.8599000000000001</v>
      </c>
      <c r="M53" s="62">
        <v>44400</v>
      </c>
      <c r="N53" s="64">
        <f>'Datos Crudos SE3-Ref'!M13</f>
        <v>0.57650000000000001</v>
      </c>
      <c r="O53" s="64">
        <f>'Datos Crudos SE3-Ref'!P13</f>
        <v>0.12939999999999999</v>
      </c>
      <c r="P53" s="64">
        <f>'Datos Crudos SE3-Ref'!Q13</f>
        <v>5.8900000000000001E-2</v>
      </c>
      <c r="Q53" s="64">
        <f>'Datos Crudos SE3-Ref'!M60</f>
        <v>1.5530999999999999</v>
      </c>
      <c r="R53" s="64">
        <f>'Datos Crudos SE3-Ref'!P60</f>
        <v>0.1348</v>
      </c>
      <c r="S53" s="64">
        <f>'Datos Crudos SE3-Ref'!Q60</f>
        <v>6.5699999999999995E-2</v>
      </c>
      <c r="T53" s="64">
        <f>'Datos Crudos SE3-Ref'!O13</f>
        <v>0.38879999999999998</v>
      </c>
      <c r="U53" s="63">
        <f>'Datos Crudos SE3-Ref'!O60</f>
        <v>1.3539000000000001</v>
      </c>
      <c r="V53" s="19">
        <f t="shared" si="4"/>
        <v>0.79507721498972228</v>
      </c>
      <c r="W53" s="19">
        <f t="shared" si="0"/>
        <v>5.5727773171351136E-2</v>
      </c>
      <c r="X53" s="21">
        <f t="shared" si="1"/>
        <v>0.52123826920941418</v>
      </c>
      <c r="Y53" s="21">
        <f t="shared" si="2"/>
        <v>0.72794236249260713</v>
      </c>
      <c r="Z53" s="22">
        <f t="shared" si="5"/>
        <v>32</v>
      </c>
      <c r="AA53" s="242">
        <f t="shared" si="3"/>
        <v>2.3063412679848131E-2</v>
      </c>
      <c r="AB53" s="66">
        <f>'Datos Crudos SE3-Ref'!S13</f>
        <v>79.507721498972217</v>
      </c>
      <c r="AC53" s="66">
        <f>'Datos Crudos SE3-Ref'!S60</f>
        <v>27.205763750739287</v>
      </c>
      <c r="AG53" s="123"/>
      <c r="AH53" s="66">
        <f>'Datos Crudos SE3-Ref'!U13</f>
        <v>20.492278501027776</v>
      </c>
      <c r="AI53" s="66">
        <f>'Datos Crudos SE3-Ref'!U60</f>
        <v>72.794236249260706</v>
      </c>
    </row>
    <row r="54" spans="1:35" x14ac:dyDescent="0.25">
      <c r="A54" s="9" t="s">
        <v>288</v>
      </c>
      <c r="B54" t="s">
        <v>60</v>
      </c>
      <c r="C54" s="61" t="s">
        <v>317</v>
      </c>
      <c r="D54" s="61">
        <v>1</v>
      </c>
      <c r="E54" t="s">
        <v>19</v>
      </c>
      <c r="F54" s="54">
        <v>44368</v>
      </c>
      <c r="G54" s="63">
        <f>'Datos Crudos SE3-Ref'!H14</f>
        <v>2.0586000000000002</v>
      </c>
      <c r="H54" s="64">
        <f>'Datos Crudos SE3-Ref'!H61</f>
        <v>2.0754999999999999</v>
      </c>
      <c r="I54" s="67">
        <f>'Datos Crudos SE3-Ref'!I14</f>
        <v>6.8007383658797078</v>
      </c>
      <c r="J54" s="67">
        <f>'Datos Crudos SE3-Ref'!I61</f>
        <v>8.0510720308359449</v>
      </c>
      <c r="K54" s="9">
        <f>'Datos Crudos SE3-Ref'!R14</f>
        <v>1.8552000000000002</v>
      </c>
      <c r="L54" s="18">
        <f>'Datos Crudos SE3-Ref'!R61</f>
        <v>1.8686999999999998</v>
      </c>
      <c r="M54" s="62">
        <v>44400</v>
      </c>
      <c r="N54" s="64">
        <f>'Datos Crudos SE3-Ref'!M14</f>
        <v>0.57410000000000005</v>
      </c>
      <c r="O54" s="64">
        <f>'Datos Crudos SE3-Ref'!P14</f>
        <v>0.13139999999999999</v>
      </c>
      <c r="P54" s="64">
        <f>'Datos Crudos SE3-Ref'!Q14</f>
        <v>7.1999999999999995E-2</v>
      </c>
      <c r="Q54" s="64">
        <f>'Datos Crudos SE3-Ref'!M61</f>
        <v>1.5746</v>
      </c>
      <c r="R54" s="64">
        <f>'Datos Crudos SE3-Ref'!P61</f>
        <v>0.13830000000000001</v>
      </c>
      <c r="S54" s="64">
        <f>'Datos Crudos SE3-Ref'!Q61</f>
        <v>6.8500000000000005E-2</v>
      </c>
      <c r="T54" s="64">
        <f>'Datos Crudos SE3-Ref'!O14</f>
        <v>0.37140000000000001</v>
      </c>
      <c r="U54" s="63">
        <f>'Datos Crudos SE3-Ref'!O61</f>
        <v>1.3688</v>
      </c>
      <c r="V54" s="19">
        <f t="shared" si="4"/>
        <v>0.79980595084087969</v>
      </c>
      <c r="W54" s="19">
        <f t="shared" si="0"/>
        <v>5.0111697338622641E-2</v>
      </c>
      <c r="X54" s="21">
        <f t="shared" si="1"/>
        <v>0.52433834306908034</v>
      </c>
      <c r="Y54" s="21">
        <f t="shared" si="2"/>
        <v>0.73248782576122451</v>
      </c>
      <c r="Z54" s="22">
        <f t="shared" si="5"/>
        <v>32</v>
      </c>
      <c r="AA54" s="242">
        <f t="shared" si="3"/>
        <v>2.2304303083194248E-2</v>
      </c>
      <c r="AB54" s="66">
        <f>'Datos Crudos SE3-Ref'!S14</f>
        <v>79.980595084087966</v>
      </c>
      <c r="AC54" s="66">
        <f>'Datos Crudos SE3-Ref'!S61</f>
        <v>26.751217423877556</v>
      </c>
      <c r="AG54" s="123"/>
      <c r="AH54" s="66">
        <f>'Datos Crudos SE3-Ref'!U14</f>
        <v>20.019404915912027</v>
      </c>
      <c r="AI54" s="66">
        <f>'Datos Crudos SE3-Ref'!U61</f>
        <v>73.248782576122451</v>
      </c>
    </row>
    <row r="55" spans="1:35" x14ac:dyDescent="0.25">
      <c r="A55" s="9" t="s">
        <v>289</v>
      </c>
      <c r="B55" t="s">
        <v>60</v>
      </c>
      <c r="C55" s="61" t="s">
        <v>317</v>
      </c>
      <c r="D55" s="61">
        <v>2</v>
      </c>
      <c r="E55" t="s">
        <v>19</v>
      </c>
      <c r="F55" s="54">
        <v>44368</v>
      </c>
      <c r="G55" s="63">
        <f>'Datos Crudos SE3-Ref'!H15</f>
        <v>2.0346000000000002</v>
      </c>
      <c r="H55" s="64">
        <f>'Datos Crudos SE3-Ref'!H62</f>
        <v>2.1078000000000001</v>
      </c>
      <c r="I55" s="67">
        <f>'Datos Crudos SE3-Ref'!I15</f>
        <v>6.6991054752776886</v>
      </c>
      <c r="J55" s="67">
        <f>'Datos Crudos SE3-Ref'!I62</f>
        <v>8.126957016794762</v>
      </c>
      <c r="K55" s="9">
        <f>'Datos Crudos SE3-Ref'!R15</f>
        <v>1.8364000000000003</v>
      </c>
      <c r="L55" s="18">
        <f>'Datos Crudos SE3-Ref'!R62</f>
        <v>1.9043000000000001</v>
      </c>
      <c r="M55" s="62">
        <v>44400</v>
      </c>
      <c r="N55" s="64">
        <f>'Datos Crudos SE3-Ref'!M15</f>
        <v>0.63600000000000001</v>
      </c>
      <c r="O55" s="64">
        <f>'Datos Crudos SE3-Ref'!P15</f>
        <v>0.13289999999999999</v>
      </c>
      <c r="P55" s="64">
        <f>'Datos Crudos SE3-Ref'!Q15</f>
        <v>6.5299999999999997E-2</v>
      </c>
      <c r="Q55" s="64">
        <f>'Datos Crudos SE3-Ref'!M62</f>
        <v>1.5922000000000001</v>
      </c>
      <c r="R55" s="64">
        <f>'Datos Crudos SE3-Ref'!P62</f>
        <v>0.1366</v>
      </c>
      <c r="S55" s="64">
        <f>'Datos Crudos SE3-Ref'!Q62</f>
        <v>6.6900000000000001E-2</v>
      </c>
      <c r="T55" s="64">
        <f>'Datos Crudos SE3-Ref'!O15</f>
        <v>0.43769999999999998</v>
      </c>
      <c r="U55" s="63">
        <f>'Datos Crudos SE3-Ref'!O62</f>
        <v>1.3924000000000001</v>
      </c>
      <c r="V55" s="19">
        <f t="shared" si="4"/>
        <v>0.76165323458941414</v>
      </c>
      <c r="W55" s="19">
        <f t="shared" si="0"/>
        <v>9.542371188905685E-2</v>
      </c>
      <c r="X55" s="21">
        <f t="shared" si="1"/>
        <v>0.49932611103724067</v>
      </c>
      <c r="Y55" s="21">
        <f t="shared" si="2"/>
        <v>0.7311873129233839</v>
      </c>
      <c r="Z55" s="22">
        <f t="shared" si="5"/>
        <v>32</v>
      </c>
      <c r="AA55" s="242">
        <f t="shared" si="3"/>
        <v>2.4154697257665579E-2</v>
      </c>
      <c r="AB55" s="66">
        <f>'Datos Crudos SE3-Ref'!S15</f>
        <v>76.165323458941415</v>
      </c>
      <c r="AC55" s="66">
        <f>'Datos Crudos SE3-Ref'!S62</f>
        <v>26.881268707661611</v>
      </c>
      <c r="AG55" s="123"/>
      <c r="AH55" s="66">
        <f>'Datos Crudos SE3-Ref'!U15</f>
        <v>23.834676541058588</v>
      </c>
      <c r="AI55" s="66">
        <f>'Datos Crudos SE3-Ref'!U62</f>
        <v>73.118731292338396</v>
      </c>
    </row>
    <row r="56" spans="1:35" x14ac:dyDescent="0.25">
      <c r="A56" s="9" t="s">
        <v>290</v>
      </c>
      <c r="B56" t="s">
        <v>60</v>
      </c>
      <c r="C56" s="61" t="s">
        <v>317</v>
      </c>
      <c r="D56" s="61">
        <v>1</v>
      </c>
      <c r="E56" t="s">
        <v>20</v>
      </c>
      <c r="F56" s="54">
        <v>44368</v>
      </c>
      <c r="G56" s="63">
        <f>'Datos Crudos SE3-Ref'!H16</f>
        <v>1.9198999999999999</v>
      </c>
      <c r="H56" s="64">
        <f>'Datos Crudos SE3-Ref'!H63</f>
        <v>2.0703</v>
      </c>
      <c r="I56" s="67">
        <f>'Datos Crudos SE3-Ref'!I16</f>
        <v>6.6565966977446696</v>
      </c>
      <c r="J56" s="67">
        <f>'Datos Crudos SE3-Ref'!I63</f>
        <v>8.0664637975172599</v>
      </c>
      <c r="K56" s="9">
        <f>'Datos Crudos SE3-Ref'!R16</f>
        <v>1.7156</v>
      </c>
      <c r="L56" s="18">
        <f>'Datos Crudos SE3-Ref'!R63</f>
        <v>1.8659000000000001</v>
      </c>
      <c r="M56" s="62">
        <v>44400</v>
      </c>
      <c r="N56" s="64">
        <f>'Datos Crudos SE3-Ref'!M16</f>
        <v>0.64280000000000004</v>
      </c>
      <c r="O56" s="64">
        <f>'Datos Crudos SE3-Ref'!P16</f>
        <v>0.1353</v>
      </c>
      <c r="P56" s="64">
        <f>'Datos Crudos SE3-Ref'!Q16</f>
        <v>6.9000000000000006E-2</v>
      </c>
      <c r="Q56" s="64">
        <f>'Datos Crudos SE3-Ref'!M63</f>
        <v>1.5649999999999999</v>
      </c>
      <c r="R56" s="64">
        <f>'Datos Crudos SE3-Ref'!P63</f>
        <v>0.1366</v>
      </c>
      <c r="S56" s="64">
        <f>'Datos Crudos SE3-Ref'!Q63</f>
        <v>6.7799999999999999E-2</v>
      </c>
      <c r="T56" s="64">
        <f>'Datos Crudos SE3-Ref'!O16</f>
        <v>0.43740000000000001</v>
      </c>
      <c r="U56" s="63">
        <f>'Datos Crudos SE3-Ref'!O63</f>
        <v>1.3625</v>
      </c>
      <c r="V56" s="19">
        <f t="shared" si="4"/>
        <v>0.74504546514338998</v>
      </c>
      <c r="W56" s="19">
        <f t="shared" si="0"/>
        <v>0.11514790363017813</v>
      </c>
      <c r="X56" s="21">
        <f t="shared" si="1"/>
        <v>0.4884383571961417</v>
      </c>
      <c r="Y56" s="21">
        <f t="shared" si="2"/>
        <v>0.73021062221984023</v>
      </c>
      <c r="Z56" s="22">
        <f t="shared" si="5"/>
        <v>32</v>
      </c>
      <c r="AA56" s="242">
        <f t="shared" si="3"/>
        <v>2.5117052043845411E-2</v>
      </c>
      <c r="AB56" s="66">
        <f>'Datos Crudos SE3-Ref'!S16</f>
        <v>74.504546514339012</v>
      </c>
      <c r="AC56" s="66">
        <f>'Datos Crudos SE3-Ref'!S63</f>
        <v>26.978937778015972</v>
      </c>
      <c r="AG56" s="123"/>
      <c r="AH56" s="66">
        <f>'Datos Crudos SE3-Ref'!U16</f>
        <v>25.495453485660995</v>
      </c>
      <c r="AI56" s="66">
        <f>'Datos Crudos SE3-Ref'!U63</f>
        <v>73.021062221984025</v>
      </c>
    </row>
    <row r="57" spans="1:35" x14ac:dyDescent="0.25">
      <c r="A57" s="124" t="s">
        <v>291</v>
      </c>
      <c r="B57" s="125" t="s">
        <v>60</v>
      </c>
      <c r="C57" s="174" t="s">
        <v>317</v>
      </c>
      <c r="D57" s="61">
        <v>2</v>
      </c>
      <c r="E57" t="s">
        <v>20</v>
      </c>
      <c r="F57" s="175">
        <v>44368</v>
      </c>
      <c r="G57" s="176">
        <f>'Datos Crudos SE3-Ref'!H17</f>
        <v>2.0198</v>
      </c>
      <c r="H57" s="174">
        <f>'Datos Crudos SE3-Ref'!H64</f>
        <v>2.0844999999999998</v>
      </c>
      <c r="I57" s="177">
        <f>'Datos Crudos SE3-Ref'!I17</f>
        <v>6.7878007723536875</v>
      </c>
      <c r="J57" s="177">
        <f>'Datos Crudos SE3-Ref'!I64</f>
        <v>7.9347565363396502</v>
      </c>
      <c r="K57" s="124">
        <f>'Datos Crudos SE3-Ref'!R17</f>
        <v>1.8219000000000001</v>
      </c>
      <c r="L57" s="127">
        <f>'Datos Crudos SE3-Ref'!R64</f>
        <v>1.8736999999999997</v>
      </c>
      <c r="M57" s="178">
        <v>44400</v>
      </c>
      <c r="N57" s="174">
        <f>'Datos Crudos SE3-Ref'!M17</f>
        <v>0.65339999999999998</v>
      </c>
      <c r="O57" s="174">
        <f>'Datos Crudos SE3-Ref'!P17</f>
        <v>0.1326</v>
      </c>
      <c r="P57" s="174">
        <f>'Datos Crudos SE3-Ref'!Q17</f>
        <v>6.5299999999999997E-2</v>
      </c>
      <c r="Q57" s="174">
        <f>'Datos Crudos SE3-Ref'!M64</f>
        <v>1.6142000000000001</v>
      </c>
      <c r="R57" s="174">
        <f>'Datos Crudos SE3-Ref'!P64</f>
        <v>0.14380000000000001</v>
      </c>
      <c r="S57" s="174">
        <f>'Datos Crudos SE3-Ref'!Q64</f>
        <v>6.7000000000000004E-2</v>
      </c>
      <c r="T57" s="174">
        <f>'Datos Crudos SE3-Ref'!O17</f>
        <v>0.45619999999999999</v>
      </c>
      <c r="U57" s="176">
        <f>'Datos Crudos SE3-Ref'!O64</f>
        <v>1.4087000000000001</v>
      </c>
      <c r="V57" s="129">
        <f t="shared" si="4"/>
        <v>0.74960206377957084</v>
      </c>
      <c r="W57" s="129">
        <f t="shared" si="0"/>
        <v>0.10973626629504651</v>
      </c>
      <c r="X57" s="130">
        <f t="shared" si="1"/>
        <v>0.49142558100513439</v>
      </c>
      <c r="Y57" s="130">
        <f t="shared" si="2"/>
        <v>0.75182793403426396</v>
      </c>
      <c r="Z57" s="124">
        <f t="shared" si="5"/>
        <v>32</v>
      </c>
      <c r="AA57" s="244">
        <f t="shared" si="3"/>
        <v>2.1975198276618958E-2</v>
      </c>
      <c r="AB57" s="131">
        <f>'Datos Crudos SE3-Ref'!S17</f>
        <v>74.960206377957078</v>
      </c>
      <c r="AC57" s="131">
        <f>'Datos Crudos SE3-Ref'!S64</f>
        <v>24.817206596573609</v>
      </c>
      <c r="AD57" s="125"/>
      <c r="AE57" s="125"/>
      <c r="AF57" s="125"/>
      <c r="AG57" s="132"/>
      <c r="AH57" s="66">
        <f>'Datos Crudos SE3-Ref'!U17</f>
        <v>25.039793622042922</v>
      </c>
      <c r="AI57" s="66">
        <f>'Datos Crudos SE3-Ref'!U64</f>
        <v>75.182793403426402</v>
      </c>
    </row>
    <row r="58" spans="1:35" x14ac:dyDescent="0.25">
      <c r="A58" s="9" t="s">
        <v>292</v>
      </c>
      <c r="B58" t="s">
        <v>63</v>
      </c>
      <c r="C58" s="61" t="s">
        <v>317</v>
      </c>
      <c r="D58" s="61">
        <v>1</v>
      </c>
      <c r="E58" t="s">
        <v>17</v>
      </c>
      <c r="F58" s="53">
        <v>44375</v>
      </c>
      <c r="G58" s="63">
        <f>'Datos Crudos SE3-Ref'!H18</f>
        <v>2.0865999999999998</v>
      </c>
      <c r="H58" s="64">
        <f>'Datos Crudos SE3-Ref'!H65</f>
        <v>2.2170999999999998</v>
      </c>
      <c r="I58" s="67">
        <f>'Datos Crudos SE3-Ref'!I18</f>
        <v>4.7253905875587199</v>
      </c>
      <c r="J58" s="67">
        <f>'Datos Crudos SE3-Ref'!I65</f>
        <v>5.3538406025889689</v>
      </c>
      <c r="K58" s="9">
        <f>'Datos Crudos SE3-Ref'!R18</f>
        <v>1.8862999999999999</v>
      </c>
      <c r="L58" s="18">
        <f>'Datos Crudos SE3-Ref'!R65</f>
        <v>2.0105999999999997</v>
      </c>
      <c r="M58" s="62">
        <v>44411</v>
      </c>
      <c r="N58" s="64">
        <f>'Datos Crudos SE3-Ref'!M18</f>
        <v>0.61060000000000003</v>
      </c>
      <c r="O58" s="64">
        <f>'Datos Crudos SE3-Ref'!P18</f>
        <v>0.1409</v>
      </c>
      <c r="P58" s="64">
        <f>'Datos Crudos SE3-Ref'!Q18</f>
        <v>5.9400000000000001E-2</v>
      </c>
      <c r="Q58" s="64">
        <f>'Datos Crudos SE3-Ref'!M65</f>
        <v>1.6205000000000001</v>
      </c>
      <c r="R58" s="64">
        <f>'Datos Crudos SE3-Ref'!P65</f>
        <v>0.13689999999999999</v>
      </c>
      <c r="S58" s="64">
        <f>'Datos Crudos SE3-Ref'!Q65</f>
        <v>6.9599999999999995E-2</v>
      </c>
      <c r="T58" s="64">
        <f>'Datos Crudos SE3-Ref'!O18</f>
        <v>0.41460000000000002</v>
      </c>
      <c r="U58" s="63">
        <f>'Datos Crudos SE3-Ref'!O65</f>
        <v>1.4201999999999999</v>
      </c>
      <c r="V58" s="19">
        <f t="shared" si="4"/>
        <v>0.78020463340931978</v>
      </c>
      <c r="W58" s="19">
        <f t="shared" si="0"/>
        <v>7.3391171722898108E-2</v>
      </c>
      <c r="X58" s="21">
        <f t="shared" si="1"/>
        <v>0.51148807320896028</v>
      </c>
      <c r="Y58" s="21">
        <f t="shared" si="2"/>
        <v>0.70635631154879142</v>
      </c>
      <c r="Z58" s="22">
        <f t="shared" si="5"/>
        <v>36</v>
      </c>
      <c r="AA58" s="242">
        <f t="shared" si="3"/>
        <v>2.3709535870322214E-2</v>
      </c>
      <c r="AB58" s="66">
        <f>'Datos Crudos SE3-Ref'!S18</f>
        <v>78.020463340931983</v>
      </c>
      <c r="AC58" s="66">
        <f>'Datos Crudos SE3-Ref'!S65</f>
        <v>29.364368845120854</v>
      </c>
      <c r="AD58" s="65">
        <f>AVERAGE(W58:W65)</f>
        <v>5.348410622970784E-2</v>
      </c>
      <c r="AE58">
        <f>STDEV(W58:W65)</f>
        <v>2.2755460049628341E-2</v>
      </c>
      <c r="AF58" s="7">
        <f>AVERAGE(AA58:AA65)</f>
        <v>2.227419042568991E-2</v>
      </c>
      <c r="AG58" s="141">
        <f>STDEV(AA58:AA65)</f>
        <v>1.6485127722320979E-3</v>
      </c>
      <c r="AH58" s="66">
        <f>'Datos Crudos SE3-Ref'!U18</f>
        <v>21.979536659068017</v>
      </c>
      <c r="AI58" s="66">
        <f>'Datos Crudos SE3-Ref'!U65</f>
        <v>70.635631154879135</v>
      </c>
    </row>
    <row r="59" spans="1:35" x14ac:dyDescent="0.25">
      <c r="A59" s="9" t="s">
        <v>293</v>
      </c>
      <c r="B59" t="s">
        <v>63</v>
      </c>
      <c r="C59" s="61" t="s">
        <v>317</v>
      </c>
      <c r="D59" s="61">
        <v>2</v>
      </c>
      <c r="E59" t="s">
        <v>17</v>
      </c>
      <c r="F59" s="53">
        <v>44375</v>
      </c>
      <c r="G59" s="63">
        <f>'Datos Crudos SE3-Ref'!H19</f>
        <v>2.0684999999999998</v>
      </c>
      <c r="H59" s="64">
        <f>'Datos Crudos SE3-Ref'!H66</f>
        <v>2.1998000000000002</v>
      </c>
      <c r="I59" s="67">
        <f>'Datos Crudos SE3-Ref'!I19</f>
        <v>4.7570703408266999</v>
      </c>
      <c r="J59" s="67">
        <f>'Datos Crudos SE3-Ref'!I66</f>
        <v>6.0096372397490514</v>
      </c>
      <c r="K59" s="9">
        <f>'Datos Crudos SE3-Ref'!R19</f>
        <v>1.8794999999999997</v>
      </c>
      <c r="L59" s="18">
        <f>'Datos Crudos SE3-Ref'!R66</f>
        <v>2.0022000000000002</v>
      </c>
      <c r="M59" s="62">
        <v>44411</v>
      </c>
      <c r="N59" s="64">
        <f>'Datos Crudos SE3-Ref'!M19</f>
        <v>0.62409999999999999</v>
      </c>
      <c r="O59" s="64">
        <f>'Datos Crudos SE3-Ref'!P19</f>
        <v>0.13220000000000001</v>
      </c>
      <c r="P59" s="64">
        <f>'Datos Crudos SE3-Ref'!Q19</f>
        <v>5.6800000000000003E-2</v>
      </c>
      <c r="Q59" s="64">
        <f>'Datos Crudos SE3-Ref'!M66</f>
        <v>1.6095999999999999</v>
      </c>
      <c r="R59" s="64">
        <f>'Datos Crudos SE3-Ref'!P66</f>
        <v>0.13819999999999999</v>
      </c>
      <c r="S59" s="64">
        <f>'Datos Crudos SE3-Ref'!Q66</f>
        <v>5.9400000000000001E-2</v>
      </c>
      <c r="T59" s="64">
        <f>'Datos Crudos SE3-Ref'!O19</f>
        <v>0.44130000000000003</v>
      </c>
      <c r="U59" s="63">
        <f>'Datos Crudos SE3-Ref'!O66</f>
        <v>1.4173</v>
      </c>
      <c r="V59" s="19">
        <f t="shared" si="4"/>
        <v>0.76520351157222666</v>
      </c>
      <c r="W59" s="19">
        <f t="shared" si="0"/>
        <v>9.1207230911844794E-2</v>
      </c>
      <c r="X59" s="21">
        <f t="shared" si="1"/>
        <v>0.50165360853666174</v>
      </c>
      <c r="Y59" s="21">
        <f t="shared" si="2"/>
        <v>0.70787134152432318</v>
      </c>
      <c r="Z59" s="22">
        <f t="shared" si="5"/>
        <v>36</v>
      </c>
      <c r="AA59" s="242">
        <f t="shared" si="3"/>
        <v>2.425186202889084E-2</v>
      </c>
      <c r="AB59" s="66">
        <f>'Datos Crudos SE3-Ref'!S19</f>
        <v>76.520351157222663</v>
      </c>
      <c r="AC59" s="66">
        <f>'Datos Crudos SE3-Ref'!S66</f>
        <v>29.212865847567681</v>
      </c>
      <c r="AG59" s="142"/>
      <c r="AH59" s="66">
        <f>'Datos Crudos SE3-Ref'!U19</f>
        <v>23.47964884277734</v>
      </c>
      <c r="AI59" s="66">
        <f>'Datos Crudos SE3-Ref'!U66</f>
        <v>70.787134152432316</v>
      </c>
    </row>
    <row r="60" spans="1:35" x14ac:dyDescent="0.25">
      <c r="A60" s="9" t="s">
        <v>294</v>
      </c>
      <c r="B60" t="s">
        <v>63</v>
      </c>
      <c r="C60" s="61" t="s">
        <v>317</v>
      </c>
      <c r="D60" s="61">
        <v>1</v>
      </c>
      <c r="E60" t="s">
        <v>18</v>
      </c>
      <c r="F60" s="53">
        <v>44375</v>
      </c>
      <c r="G60" s="63">
        <f>'Datos Crudos SE3-Ref'!H20</f>
        <v>2.0608</v>
      </c>
      <c r="H60" s="64">
        <f>'Datos Crudos SE3-Ref'!H67</f>
        <v>2.1438999999999999</v>
      </c>
      <c r="I60" s="67">
        <f>'Datos Crudos SE3-Ref'!I20</f>
        <v>4.7408773291925526</v>
      </c>
      <c r="J60" s="67">
        <f>'Datos Crudos SE3-Ref'!I67</f>
        <v>6.1896543682074849</v>
      </c>
      <c r="K60" s="9">
        <f>'Datos Crudos SE3-Ref'!R20</f>
        <v>1.8592</v>
      </c>
      <c r="L60" s="18">
        <f>'Datos Crudos SE3-Ref'!R67</f>
        <v>1.9297</v>
      </c>
      <c r="M60" s="62">
        <v>44411</v>
      </c>
      <c r="N60" s="64">
        <f>'Datos Crudos SE3-Ref'!M20</f>
        <v>0.56359999999999999</v>
      </c>
      <c r="O60" s="64">
        <f>'Datos Crudos SE3-Ref'!P20</f>
        <v>0.14050000000000001</v>
      </c>
      <c r="P60" s="64">
        <f>'Datos Crudos SE3-Ref'!Q20</f>
        <v>6.1100000000000002E-2</v>
      </c>
      <c r="Q60" s="64">
        <f>'Datos Crudos SE3-Ref'!M67</f>
        <v>1.5518000000000001</v>
      </c>
      <c r="R60" s="64">
        <f>'Datos Crudos SE3-Ref'!P67</f>
        <v>0.15129999999999999</v>
      </c>
      <c r="S60" s="64">
        <f>'Datos Crudos SE3-Ref'!Q67</f>
        <v>6.2899999999999998E-2</v>
      </c>
      <c r="T60" s="64">
        <f>'Datos Crudos SE3-Ref'!O20</f>
        <v>0.3695</v>
      </c>
      <c r="U60" s="63">
        <f>'Datos Crudos SE3-Ref'!O67</f>
        <v>1.3433999999999999</v>
      </c>
      <c r="V60" s="19">
        <f t="shared" si="4"/>
        <v>0.80125860585197928</v>
      </c>
      <c r="W60" s="19">
        <f t="shared" si="0"/>
        <v>4.8386453857506728E-2</v>
      </c>
      <c r="X60" s="21">
        <f t="shared" si="1"/>
        <v>0.52529067747065628</v>
      </c>
      <c r="Y60" s="21">
        <f t="shared" si="2"/>
        <v>0.69617038917966523</v>
      </c>
      <c r="Z60" s="22">
        <f t="shared" si="5"/>
        <v>36</v>
      </c>
      <c r="AA60" s="242">
        <f t="shared" si="3"/>
        <v>2.3991804945545505E-2</v>
      </c>
      <c r="AB60" s="66">
        <f>'Datos Crudos SE3-Ref'!S20</f>
        <v>80.125860585197941</v>
      </c>
      <c r="AC60" s="66">
        <f>'Datos Crudos SE3-Ref'!S67</f>
        <v>30.382961082033479</v>
      </c>
      <c r="AG60" s="142"/>
      <c r="AH60" s="66">
        <f>'Datos Crudos SE3-Ref'!U20</f>
        <v>19.874139414802066</v>
      </c>
      <c r="AI60" s="66">
        <f>'Datos Crudos SE3-Ref'!U67</f>
        <v>69.617038917966525</v>
      </c>
    </row>
    <row r="61" spans="1:35" x14ac:dyDescent="0.25">
      <c r="A61" s="9" t="s">
        <v>295</v>
      </c>
      <c r="B61" t="s">
        <v>63</v>
      </c>
      <c r="C61" s="61" t="s">
        <v>317</v>
      </c>
      <c r="D61" s="61">
        <v>2</v>
      </c>
      <c r="E61" t="s">
        <v>18</v>
      </c>
      <c r="F61" s="53">
        <v>44375</v>
      </c>
      <c r="G61" s="63">
        <f>'Datos Crudos SE3-Ref'!H21</f>
        <v>2.0268999999999999</v>
      </c>
      <c r="H61" s="64">
        <f>'Datos Crudos SE3-Ref'!H68</f>
        <v>2.0874000000000001</v>
      </c>
      <c r="I61" s="67">
        <f>'Datos Crudos SE3-Ref'!I21</f>
        <v>4.8300360155903155</v>
      </c>
      <c r="J61" s="67">
        <f>'Datos Crudos SE3-Ref'!I68</f>
        <v>5.4278049247868037</v>
      </c>
      <c r="K61" s="9">
        <f>'Datos Crudos SE3-Ref'!R21</f>
        <v>1.8349</v>
      </c>
      <c r="L61" s="18">
        <f>'Datos Crudos SE3-Ref'!R68</f>
        <v>1.8859000000000001</v>
      </c>
      <c r="M61" s="62">
        <v>44411</v>
      </c>
      <c r="N61" s="64">
        <f>'Datos Crudos SE3-Ref'!M21</f>
        <v>0.49940000000000001</v>
      </c>
      <c r="O61" s="64">
        <f>'Datos Crudos SE3-Ref'!P21</f>
        <v>0.13469999999999999</v>
      </c>
      <c r="P61" s="64">
        <f>'Datos Crudos SE3-Ref'!Q21</f>
        <v>5.7299999999999997E-2</v>
      </c>
      <c r="Q61" s="64">
        <f>'Datos Crudos SE3-Ref'!M68</f>
        <v>1.5528999999999999</v>
      </c>
      <c r="R61" s="64">
        <f>'Datos Crudos SE3-Ref'!P68</f>
        <v>0.14330000000000001</v>
      </c>
      <c r="S61" s="64">
        <f>'Datos Crudos SE3-Ref'!Q68</f>
        <v>5.8200000000000002E-2</v>
      </c>
      <c r="T61" s="64">
        <f>'Datos Crudos SE3-Ref'!O21</f>
        <v>0.31209999999999999</v>
      </c>
      <c r="U61" s="63">
        <f>'Datos Crudos SE3-Ref'!O68</f>
        <v>1.3574999999999999</v>
      </c>
      <c r="V61" s="19">
        <f t="shared" si="4"/>
        <v>0.82990898686576919</v>
      </c>
      <c r="W61" s="19">
        <f t="shared" si="0"/>
        <v>1.4359873081034147E-2</v>
      </c>
      <c r="X61" s="21">
        <f t="shared" si="1"/>
        <v>0.54407335005926916</v>
      </c>
      <c r="Y61" s="21">
        <f t="shared" si="2"/>
        <v>0.71981547271859581</v>
      </c>
      <c r="Z61" s="22">
        <f t="shared" si="5"/>
        <v>36</v>
      </c>
      <c r="AA61" s="242">
        <f t="shared" si="3"/>
        <v>2.0098782884106516E-2</v>
      </c>
      <c r="AB61" s="66">
        <f>'Datos Crudos SE3-Ref'!S21</f>
        <v>82.990898686576912</v>
      </c>
      <c r="AC61" s="66">
        <f>'Datos Crudos SE3-Ref'!S68</f>
        <v>28.018452728140421</v>
      </c>
      <c r="AG61" s="142"/>
      <c r="AH61" s="66">
        <f>'Datos Crudos SE3-Ref'!U21</f>
        <v>17.009101313423074</v>
      </c>
      <c r="AI61" s="66">
        <f>'Datos Crudos SE3-Ref'!U68</f>
        <v>71.981547271859583</v>
      </c>
    </row>
    <row r="62" spans="1:35" x14ac:dyDescent="0.25">
      <c r="A62" s="9" t="s">
        <v>296</v>
      </c>
      <c r="B62" t="s">
        <v>63</v>
      </c>
      <c r="C62" s="61" t="s">
        <v>317</v>
      </c>
      <c r="D62" s="61">
        <v>1</v>
      </c>
      <c r="E62" t="s">
        <v>19</v>
      </c>
      <c r="F62" s="53">
        <v>44375</v>
      </c>
      <c r="G62" s="63">
        <f>'Datos Crudos SE3-Ref'!H22</f>
        <v>1.9832000000000001</v>
      </c>
      <c r="H62" s="64">
        <f>'Datos Crudos SE3-Ref'!H69</f>
        <v>2.1114999999999999</v>
      </c>
      <c r="I62" s="67">
        <f>'Datos Crudos SE3-Ref'!I22</f>
        <v>4.6238402581686104</v>
      </c>
      <c r="J62" s="67">
        <f>'Datos Crudos SE3-Ref'!I69</f>
        <v>6.2988396874260015</v>
      </c>
      <c r="K62" s="9">
        <f>'Datos Crudos SE3-Ref'!R22</f>
        <v>1.784</v>
      </c>
      <c r="L62" s="18">
        <f>'Datos Crudos SE3-Ref'!R69</f>
        <v>1.9117999999999999</v>
      </c>
      <c r="M62" s="62">
        <v>44411</v>
      </c>
      <c r="N62" s="64">
        <f>'Datos Crudos SE3-Ref'!M22</f>
        <v>0.54530000000000001</v>
      </c>
      <c r="O62" s="64">
        <f>'Datos Crudos SE3-Ref'!P22</f>
        <v>0.14269999999999999</v>
      </c>
      <c r="P62" s="64">
        <f>'Datos Crudos SE3-Ref'!Q22</f>
        <v>5.6500000000000002E-2</v>
      </c>
      <c r="Q62" s="64">
        <f>'Datos Crudos SE3-Ref'!M69</f>
        <v>1.5894999999999999</v>
      </c>
      <c r="R62" s="64">
        <f>'Datos Crudos SE3-Ref'!P69</f>
        <v>0.14299999999999999</v>
      </c>
      <c r="S62" s="64">
        <f>'Datos Crudos SE3-Ref'!Q69</f>
        <v>5.67E-2</v>
      </c>
      <c r="T62" s="64">
        <f>'Datos Crudos SE3-Ref'!O22</f>
        <v>0.34789999999999999</v>
      </c>
      <c r="U62" s="63">
        <f>'Datos Crudos SE3-Ref'!O69</f>
        <v>1.3932</v>
      </c>
      <c r="V62" s="19">
        <f t="shared" si="4"/>
        <v>0.80498878923766815</v>
      </c>
      <c r="W62" s="19">
        <f t="shared" si="0"/>
        <v>4.3956307318683829E-2</v>
      </c>
      <c r="X62" s="21">
        <f t="shared" si="1"/>
        <v>0.5277361183600866</v>
      </c>
      <c r="Y62" s="21">
        <f t="shared" si="2"/>
        <v>0.72873731561878863</v>
      </c>
      <c r="Z62" s="22">
        <f t="shared" si="5"/>
        <v>36</v>
      </c>
      <c r="AA62" s="242">
        <f t="shared" si="3"/>
        <v>2.0043647081361821E-2</v>
      </c>
      <c r="AB62" s="66">
        <f>'Datos Crudos SE3-Ref'!S22</f>
        <v>80.498878923766824</v>
      </c>
      <c r="AC62" s="66">
        <f>'Datos Crudos SE3-Ref'!S69</f>
        <v>27.126268438121144</v>
      </c>
      <c r="AG62" s="142"/>
      <c r="AH62" s="66">
        <f>'Datos Crudos SE3-Ref'!U22</f>
        <v>19.501121076233183</v>
      </c>
      <c r="AI62" s="66">
        <f>'Datos Crudos SE3-Ref'!U69</f>
        <v>72.873731561878856</v>
      </c>
    </row>
    <row r="63" spans="1:35" x14ac:dyDescent="0.25">
      <c r="A63" s="9" t="s">
        <v>297</v>
      </c>
      <c r="B63" t="s">
        <v>63</v>
      </c>
      <c r="C63" s="61" t="s">
        <v>317</v>
      </c>
      <c r="D63" s="61">
        <v>2</v>
      </c>
      <c r="E63" t="s">
        <v>19</v>
      </c>
      <c r="F63" s="53">
        <v>44375</v>
      </c>
      <c r="G63" s="63">
        <f>'Datos Crudos SE3-Ref'!H23</f>
        <v>2.0541999999999998</v>
      </c>
      <c r="H63" s="64">
        <f>'Datos Crudos SE3-Ref'!H70</f>
        <v>2.1627999999999998</v>
      </c>
      <c r="I63" s="67">
        <f>'Datos Crudos SE3-Ref'!I23</f>
        <v>4.3374549703047505</v>
      </c>
      <c r="J63" s="67">
        <f>'Datos Crudos SE3-Ref'!I70</f>
        <v>5.2200850749029142</v>
      </c>
      <c r="K63" s="9">
        <f>'Datos Crudos SE3-Ref'!R23</f>
        <v>1.8555999999999999</v>
      </c>
      <c r="L63" s="18">
        <f>'Datos Crudos SE3-Ref'!R70</f>
        <v>1.9671999999999998</v>
      </c>
      <c r="M63" s="62">
        <v>44411</v>
      </c>
      <c r="N63" s="64">
        <f>'Datos Crudos SE3-Ref'!M23</f>
        <v>0.56379999999999997</v>
      </c>
      <c r="O63" s="64">
        <f>'Datos Crudos SE3-Ref'!P23</f>
        <v>0.1426</v>
      </c>
      <c r="P63" s="64">
        <f>'Datos Crudos SE3-Ref'!Q23</f>
        <v>5.6000000000000001E-2</v>
      </c>
      <c r="Q63" s="64">
        <f>'Datos Crudos SE3-Ref'!M70</f>
        <v>1.5946</v>
      </c>
      <c r="R63" s="64">
        <f>'Datos Crudos SE3-Ref'!P70</f>
        <v>0.1353</v>
      </c>
      <c r="S63" s="64">
        <f>'Datos Crudos SE3-Ref'!Q70</f>
        <v>6.0299999999999999E-2</v>
      </c>
      <c r="T63" s="64">
        <f>'Datos Crudos SE3-Ref'!O23</f>
        <v>0.37040000000000001</v>
      </c>
      <c r="U63" s="63">
        <f>'Datos Crudos SE3-Ref'!O70</f>
        <v>1.4056999999999999</v>
      </c>
      <c r="V63" s="19">
        <f t="shared" si="4"/>
        <v>0.80038801465833154</v>
      </c>
      <c r="W63" s="19">
        <f t="shared" si="0"/>
        <v>4.9420410144499383E-2</v>
      </c>
      <c r="X63" s="21">
        <f t="shared" si="1"/>
        <v>0.52471993360023639</v>
      </c>
      <c r="Y63" s="21">
        <f t="shared" si="2"/>
        <v>0.7145689304595364</v>
      </c>
      <c r="Z63" s="22">
        <f t="shared" si="5"/>
        <v>36</v>
      </c>
      <c r="AA63" s="242">
        <f t="shared" si="3"/>
        <v>2.1810922280281995E-2</v>
      </c>
      <c r="AB63" s="66">
        <f>'Datos Crudos SE3-Ref'!S23</f>
        <v>80.03880146583316</v>
      </c>
      <c r="AC63" s="66">
        <f>'Datos Crudos SE3-Ref'!S70</f>
        <v>28.543106954046355</v>
      </c>
      <c r="AG63" s="142"/>
      <c r="AH63" s="66">
        <f>'Datos Crudos SE3-Ref'!U23</f>
        <v>19.961198534166847</v>
      </c>
      <c r="AI63" s="66">
        <f>'Datos Crudos SE3-Ref'!U70</f>
        <v>71.456893045953635</v>
      </c>
    </row>
    <row r="64" spans="1:35" x14ac:dyDescent="0.25">
      <c r="A64" s="9" t="s">
        <v>298</v>
      </c>
      <c r="B64" t="s">
        <v>63</v>
      </c>
      <c r="C64" s="61" t="s">
        <v>317</v>
      </c>
      <c r="D64" s="61">
        <v>1</v>
      </c>
      <c r="E64" t="s">
        <v>20</v>
      </c>
      <c r="F64" s="53">
        <v>44375</v>
      </c>
      <c r="G64" s="63">
        <f>'Datos Crudos SE3-Ref'!H24</f>
        <v>1.9898</v>
      </c>
      <c r="H64" s="64">
        <f>'Datos Crudos SE3-Ref'!H71</f>
        <v>2.1175000000000002</v>
      </c>
      <c r="I64" s="67">
        <f>'Datos Crudos SE3-Ref'!I24</f>
        <v>4.8296311187054011</v>
      </c>
      <c r="J64" s="67">
        <f>'Datos Crudos SE3-Ref'!I71</f>
        <v>5.3459268004722533</v>
      </c>
      <c r="K64" s="9">
        <f>'Datos Crudos SE3-Ref'!R24</f>
        <v>1.796</v>
      </c>
      <c r="L64" s="18">
        <f>'Datos Crudos SE3-Ref'!R71</f>
        <v>1.9172000000000002</v>
      </c>
      <c r="M64" s="62">
        <v>44411</v>
      </c>
      <c r="N64" s="64">
        <f>'Datos Crudos SE3-Ref'!M24</f>
        <v>0.56820000000000004</v>
      </c>
      <c r="O64" s="64">
        <f>'Datos Crudos SE3-Ref'!P24</f>
        <v>0.13769999999999999</v>
      </c>
      <c r="P64" s="64">
        <f>'Datos Crudos SE3-Ref'!Q24</f>
        <v>5.6099999999999997E-2</v>
      </c>
      <c r="Q64" s="64">
        <f>'Datos Crudos SE3-Ref'!M71</f>
        <v>1.5658000000000001</v>
      </c>
      <c r="R64" s="64">
        <f>'Datos Crudos SE3-Ref'!P71</f>
        <v>0.14560000000000001</v>
      </c>
      <c r="S64" s="64">
        <f>'Datos Crudos SE3-Ref'!Q71</f>
        <v>5.4699999999999999E-2</v>
      </c>
      <c r="T64" s="64">
        <f>'Datos Crudos SE3-Ref'!O24</f>
        <v>0.3775</v>
      </c>
      <c r="U64" s="63">
        <f>'Datos Crudos SE3-Ref'!O71</f>
        <v>1.3674999999999999</v>
      </c>
      <c r="V64" s="19">
        <f t="shared" si="4"/>
        <v>0.78981069042316254</v>
      </c>
      <c r="W64" s="19">
        <f t="shared" si="0"/>
        <v>6.1982552941612146E-2</v>
      </c>
      <c r="X64" s="21">
        <f t="shared" si="1"/>
        <v>0.51778563077623019</v>
      </c>
      <c r="Y64" s="21">
        <f t="shared" si="2"/>
        <v>0.71327978301689954</v>
      </c>
      <c r="Z64" s="22">
        <f t="shared" si="5"/>
        <v>36</v>
      </c>
      <c r="AA64" s="242">
        <f t="shared" si="3"/>
        <v>2.2412790815976726E-2</v>
      </c>
      <c r="AB64" s="66">
        <f>'Datos Crudos SE3-Ref'!S24</f>
        <v>78.981069042316264</v>
      </c>
      <c r="AC64" s="66">
        <f>'Datos Crudos SE3-Ref'!S71</f>
        <v>28.672021698310047</v>
      </c>
      <c r="AG64" s="142"/>
      <c r="AH64" s="66">
        <f>'Datos Crudos SE3-Ref'!U24</f>
        <v>21.01893095768374</v>
      </c>
      <c r="AI64" s="66">
        <f>'Datos Crudos SE3-Ref'!U71</f>
        <v>71.327978301689953</v>
      </c>
    </row>
    <row r="65" spans="1:35" x14ac:dyDescent="0.25">
      <c r="A65" s="133" t="s">
        <v>299</v>
      </c>
      <c r="B65" s="134" t="s">
        <v>63</v>
      </c>
      <c r="C65" s="179" t="s">
        <v>317</v>
      </c>
      <c r="D65" s="61">
        <v>2</v>
      </c>
      <c r="E65" t="s">
        <v>20</v>
      </c>
      <c r="F65" s="180">
        <v>44375</v>
      </c>
      <c r="G65" s="181">
        <f>'Datos Crudos SE3-Ref'!H25</f>
        <v>2.0648</v>
      </c>
      <c r="H65" s="179">
        <f>'Datos Crudos SE3-Ref'!H72</f>
        <v>2.1734</v>
      </c>
      <c r="I65" s="182">
        <f>'Datos Crudos SE3-Ref'!I25</f>
        <v>4.7268500581170052</v>
      </c>
      <c r="J65" s="182">
        <f>'Datos Crudos SE3-Ref'!I72</f>
        <v>5.1716205024385777</v>
      </c>
      <c r="K65" s="133">
        <f>'Datos Crudos SE3-Ref'!R25</f>
        <v>1.865</v>
      </c>
      <c r="L65" s="136">
        <f>'Datos Crudos SE3-Ref'!R72</f>
        <v>1.9850000000000001</v>
      </c>
      <c r="M65" s="183">
        <v>44411</v>
      </c>
      <c r="N65" s="179">
        <f>'Datos Crudos SE3-Ref'!M25</f>
        <v>0.56340000000000001</v>
      </c>
      <c r="O65" s="179">
        <f>'Datos Crudos SE3-Ref'!P25</f>
        <v>0.14299999999999999</v>
      </c>
      <c r="P65" s="179">
        <f>'Datos Crudos SE3-Ref'!Q25</f>
        <v>5.6800000000000003E-2</v>
      </c>
      <c r="Q65" s="179">
        <f>'Datos Crudos SE3-Ref'!M72</f>
        <v>1.5991</v>
      </c>
      <c r="R65" s="179">
        <f>'Datos Crudos SE3-Ref'!P72</f>
        <v>0.13059999999999999</v>
      </c>
      <c r="S65" s="179">
        <f>'Datos Crudos SE3-Ref'!Q72</f>
        <v>5.7799999999999997E-2</v>
      </c>
      <c r="T65" s="179">
        <f>'Datos Crudos SE3-Ref'!O25</f>
        <v>0.36559999999999998</v>
      </c>
      <c r="U65" s="181">
        <f>'Datos Crudos SE3-Ref'!O72</f>
        <v>1.4148000000000001</v>
      </c>
      <c r="V65" s="138">
        <f t="shared" si="4"/>
        <v>0.80396782841823056</v>
      </c>
      <c r="W65" s="138">
        <f t="shared" si="0"/>
        <v>4.5168849859583582E-2</v>
      </c>
      <c r="X65" s="139">
        <f t="shared" si="1"/>
        <v>0.52706679487750996</v>
      </c>
      <c r="Y65" s="139">
        <f t="shared" si="2"/>
        <v>0.71274559193954656</v>
      </c>
      <c r="Z65" s="133">
        <f t="shared" si="5"/>
        <v>36</v>
      </c>
      <c r="AA65" s="245">
        <f t="shared" si="3"/>
        <v>2.187417749903366E-2</v>
      </c>
      <c r="AB65" s="140">
        <f>'Datos Crudos SE3-Ref'!S25</f>
        <v>80.396782841823054</v>
      </c>
      <c r="AC65" s="140">
        <f>'Datos Crudos SE3-Ref'!S72</f>
        <v>28.725440806045338</v>
      </c>
      <c r="AD65" s="134"/>
      <c r="AE65" s="134"/>
      <c r="AF65" s="134"/>
      <c r="AG65" s="143"/>
      <c r="AH65" s="66">
        <f>'Datos Crudos SE3-Ref'!U25</f>
        <v>19.603217158176943</v>
      </c>
      <c r="AI65" s="66">
        <f>'Datos Crudos SE3-Ref'!U72</f>
        <v>71.274559193954659</v>
      </c>
    </row>
    <row r="66" spans="1:35" x14ac:dyDescent="0.25">
      <c r="A66" s="9" t="s">
        <v>301</v>
      </c>
      <c r="B66" t="s">
        <v>937</v>
      </c>
      <c r="C66" s="61" t="s">
        <v>317</v>
      </c>
      <c r="D66" s="61">
        <v>1</v>
      </c>
      <c r="E66" t="s">
        <v>17</v>
      </c>
      <c r="F66" s="53">
        <v>44389</v>
      </c>
      <c r="G66" s="63">
        <f>'Datos Crudos SE3-Ref'!H26</f>
        <v>2.0324</v>
      </c>
      <c r="H66" s="64">
        <f>'Datos Crudos SE3-Ref'!H73</f>
        <v>2.1991000000000001</v>
      </c>
      <c r="I66" s="67">
        <f>'Datos Crudos SE3-Ref'!I26</f>
        <v>5.2843928360559023</v>
      </c>
      <c r="J66" s="67">
        <f>'Datos Crudos SE3-Ref'!I73</f>
        <v>6.7709517529898511</v>
      </c>
      <c r="K66" s="9">
        <f>'Datos Crudos SE3-Ref'!R26</f>
        <v>1.839</v>
      </c>
      <c r="L66" s="18">
        <f>'Datos Crudos SE3-Ref'!R73</f>
        <v>2.0097</v>
      </c>
      <c r="M66" s="62">
        <v>44420</v>
      </c>
      <c r="N66" s="64">
        <f>'Datos Crudos SE3-Ref'!M26</f>
        <v>0.57940000000000003</v>
      </c>
      <c r="O66" s="64">
        <f>'Datos Crudos SE3-Ref'!P26</f>
        <v>0.13869999999999999</v>
      </c>
      <c r="P66" s="64">
        <f>'Datos Crudos SE3-Ref'!Q26</f>
        <v>5.4699999999999999E-2</v>
      </c>
      <c r="Q66" s="64">
        <f>'Datos Crudos SE3-Ref'!M73</f>
        <v>1.6183000000000001</v>
      </c>
      <c r="R66" s="64">
        <f>'Datos Crudos SE3-Ref'!P73</f>
        <v>0.12720000000000001</v>
      </c>
      <c r="S66" s="64">
        <f>'Datos Crudos SE3-Ref'!Q73</f>
        <v>6.2199999999999998E-2</v>
      </c>
      <c r="T66" s="64">
        <f>'Datos Crudos SE3-Ref'!O26</f>
        <v>0.38729999999999998</v>
      </c>
      <c r="U66" s="63">
        <f>'Datos Crudos SE3-Ref'!O73</f>
        <v>1.4288000000000001</v>
      </c>
      <c r="V66" s="19">
        <f t="shared" si="4"/>
        <v>0.78939641109298531</v>
      </c>
      <c r="W66" s="19">
        <f t="shared" si="0"/>
        <v>6.2474571148473435E-2</v>
      </c>
      <c r="X66" s="21">
        <f t="shared" si="1"/>
        <v>0.51751403672604268</v>
      </c>
      <c r="Y66" s="21">
        <f t="shared" si="2"/>
        <v>0.7109518833656765</v>
      </c>
      <c r="Z66" s="22">
        <f t="shared" si="5"/>
        <v>31</v>
      </c>
      <c r="AA66" s="242">
        <f t="shared" si="3"/>
        <v>2.6375793415355727E-2</v>
      </c>
      <c r="AB66" s="66">
        <f>'Datos Crudos SE3-Ref'!S26</f>
        <v>78.939641109298535</v>
      </c>
      <c r="AC66" s="66">
        <f>'Datos Crudos SE3-Ref'!S73</f>
        <v>28.904811663432351</v>
      </c>
      <c r="AD66" s="65">
        <f>AVERAGE(W66:W73)</f>
        <v>6.9744024050092293E-2</v>
      </c>
      <c r="AE66">
        <f>STDEV(W66:W73)</f>
        <v>4.0771255385956523E-2</v>
      </c>
      <c r="AF66" s="7">
        <f>AVERAGE(AA66:AA73)</f>
        <v>2.9388206583299655E-2</v>
      </c>
      <c r="AG66" s="189">
        <f>STDEV(AA66:AA73)</f>
        <v>6.6564915367905379E-3</v>
      </c>
      <c r="AH66" s="66">
        <f>'Datos Crudos SE3-Ref'!U26</f>
        <v>21.060358890701465</v>
      </c>
      <c r="AI66" s="66">
        <f>'Datos Crudos SE3-Ref'!U73</f>
        <v>71.095188336567645</v>
      </c>
    </row>
    <row r="67" spans="1:35" x14ac:dyDescent="0.25">
      <c r="A67" s="9" t="s">
        <v>302</v>
      </c>
      <c r="B67" t="s">
        <v>937</v>
      </c>
      <c r="C67" s="61" t="s">
        <v>317</v>
      </c>
      <c r="D67" s="61">
        <v>2</v>
      </c>
      <c r="E67" t="s">
        <v>17</v>
      </c>
      <c r="F67" s="53">
        <v>44389</v>
      </c>
      <c r="G67" s="63">
        <f>'Datos Crudos SE3-Ref'!H27</f>
        <v>1.9937</v>
      </c>
      <c r="H67" s="64">
        <f>'Datos Crudos SE3-Ref'!H74</f>
        <v>2.1699000000000002</v>
      </c>
      <c r="I67" s="67">
        <f>'Datos Crudos SE3-Ref'!I27</f>
        <v>5.3217635551988804</v>
      </c>
      <c r="J67" s="67">
        <f>'Datos Crudos SE3-Ref'!I74</f>
        <v>6.5302548504539244</v>
      </c>
      <c r="K67" s="9">
        <f>'Datos Crudos SE3-Ref'!R27</f>
        <v>1.7991000000000001</v>
      </c>
      <c r="L67" s="18">
        <f>'Datos Crudos SE3-Ref'!R74</f>
        <v>1.9801000000000002</v>
      </c>
      <c r="M67" s="62">
        <v>44420</v>
      </c>
      <c r="N67" s="64">
        <f>'Datos Crudos SE3-Ref'!M27</f>
        <v>0.62070000000000003</v>
      </c>
      <c r="O67" s="64">
        <f>'Datos Crudos SE3-Ref'!P27</f>
        <v>0.1396</v>
      </c>
      <c r="P67" s="64">
        <f>'Datos Crudos SE3-Ref'!Q27</f>
        <v>5.5E-2</v>
      </c>
      <c r="Q67" s="64">
        <f>'Datos Crudos SE3-Ref'!M74</f>
        <v>1.5843</v>
      </c>
      <c r="R67" s="64">
        <f>'Datos Crudos SE3-Ref'!P74</f>
        <v>0.13039999999999999</v>
      </c>
      <c r="S67" s="64">
        <f>'Datos Crudos SE3-Ref'!Q74</f>
        <v>5.9400000000000001E-2</v>
      </c>
      <c r="T67" s="64">
        <f>'Datos Crudos SE3-Ref'!O27</f>
        <v>0.42780000000000001</v>
      </c>
      <c r="U67" s="63">
        <f>'Datos Crudos SE3-Ref'!O74</f>
        <v>1.3967000000000001</v>
      </c>
      <c r="V67" s="19">
        <f t="shared" ref="V67:V130" si="8">1-FINAL_WEIGHT_GREEN/INITIAL_WEIGHT_GREEN</f>
        <v>0.76221444055361021</v>
      </c>
      <c r="W67" s="19">
        <f t="shared" ref="W67:W130" si="9">1-(V67/0.842)</f>
        <v>9.475719649214942E-2</v>
      </c>
      <c r="X67" s="21">
        <f t="shared" ref="X67:X130" si="10">0.552*(1-W67)</f>
        <v>0.49969402753633357</v>
      </c>
      <c r="Y67" s="21">
        <f t="shared" ref="Y67:Y130" si="11">FINAL_WEIGHT_RED/INITIAL_WEIGHT_RED</f>
        <v>0.70536841573657894</v>
      </c>
      <c r="Z67" s="22">
        <f t="shared" ref="Z67:Z130" si="12">M67-F67</f>
        <v>31</v>
      </c>
      <c r="AA67" s="242">
        <f t="shared" ref="AA67:AA130" si="13">LN(X67/(Y67-(1-X67)))/Z67</f>
        <v>2.8731659099742554E-2</v>
      </c>
      <c r="AB67" s="66">
        <f>'Datos Crudos SE3-Ref'!S27</f>
        <v>76.221444055361019</v>
      </c>
      <c r="AC67" s="66">
        <f>'Datos Crudos SE3-Ref'!S74</f>
        <v>29.463158426342105</v>
      </c>
      <c r="AG67" s="166"/>
      <c r="AH67" s="66">
        <f>'Datos Crudos SE3-Ref'!U27</f>
        <v>23.778555944638985</v>
      </c>
      <c r="AI67" s="66">
        <f>'Datos Crudos SE3-Ref'!U74</f>
        <v>70.536841573657895</v>
      </c>
    </row>
    <row r="68" spans="1:35" x14ac:dyDescent="0.25">
      <c r="A68" s="9" t="s">
        <v>303</v>
      </c>
      <c r="B68" t="s">
        <v>937</v>
      </c>
      <c r="C68" s="61" t="s">
        <v>317</v>
      </c>
      <c r="D68" s="61">
        <v>1</v>
      </c>
      <c r="E68" t="s">
        <v>18</v>
      </c>
      <c r="F68" s="53">
        <v>44389</v>
      </c>
      <c r="G68" s="63">
        <f>'Datos Crudos SE3-Ref'!H28</f>
        <v>1.9313</v>
      </c>
      <c r="H68" s="64">
        <f>'Datos Crudos SE3-Ref'!H75</f>
        <v>2.2315</v>
      </c>
      <c r="I68" s="67">
        <f>'Datos Crudos SE3-Ref'!I28</f>
        <v>5.3280173976078169</v>
      </c>
      <c r="J68" s="67">
        <f>'Datos Crudos SE3-Ref'!I75</f>
        <v>6.6681604302039013</v>
      </c>
      <c r="K68" s="9">
        <f>'Datos Crudos SE3-Ref'!R28</f>
        <v>1.7322</v>
      </c>
      <c r="L68" s="18">
        <f>'Datos Crudos SE3-Ref'!R75</f>
        <v>2.0461</v>
      </c>
      <c r="M68" s="62">
        <v>44420</v>
      </c>
      <c r="N68" s="64">
        <f>'Datos Crudos SE3-Ref'!M28</f>
        <v>0.69520000000000004</v>
      </c>
      <c r="O68" s="64">
        <f>'Datos Crudos SE3-Ref'!P28</f>
        <v>0.1419</v>
      </c>
      <c r="P68" s="64">
        <f>'Datos Crudos SE3-Ref'!Q28</f>
        <v>5.7200000000000001E-2</v>
      </c>
      <c r="Q68" s="64">
        <f>'Datos Crudos SE3-Ref'!M75</f>
        <v>1.5242</v>
      </c>
      <c r="R68" s="64">
        <f>'Datos Crudos SE3-Ref'!P75</f>
        <v>0.127</v>
      </c>
      <c r="S68" s="64">
        <f>'Datos Crudos SE3-Ref'!Q75</f>
        <v>5.8400000000000001E-2</v>
      </c>
      <c r="T68" s="64">
        <f>'Datos Crudos SE3-Ref'!O28</f>
        <v>0.49959999999999999</v>
      </c>
      <c r="U68" s="63">
        <f>'Datos Crudos SE3-Ref'!O75</f>
        <v>1.3416999999999999</v>
      </c>
      <c r="V68" s="19">
        <f t="shared" si="8"/>
        <v>0.71158064888580996</v>
      </c>
      <c r="W68" s="19">
        <f t="shared" si="9"/>
        <v>0.15489234099072446</v>
      </c>
      <c r="X68" s="21">
        <f t="shared" si="10"/>
        <v>0.46649942777312015</v>
      </c>
      <c r="Y68" s="21">
        <f t="shared" si="11"/>
        <v>0.65573530130492153</v>
      </c>
      <c r="Z68" s="22">
        <f t="shared" si="12"/>
        <v>31</v>
      </c>
      <c r="AA68" s="242">
        <f t="shared" si="13"/>
        <v>4.3203664148798622E-2</v>
      </c>
      <c r="AB68" s="66">
        <f>'Datos Crudos SE3-Ref'!S28</f>
        <v>71.158064888580995</v>
      </c>
      <c r="AC68" s="66">
        <f>'Datos Crudos SE3-Ref'!S75</f>
        <v>34.426469869507855</v>
      </c>
      <c r="AG68" s="166"/>
      <c r="AH68" s="66">
        <f>'Datos Crudos SE3-Ref'!U28</f>
        <v>28.841935111419005</v>
      </c>
      <c r="AI68" s="66">
        <f>'Datos Crudos SE3-Ref'!U75</f>
        <v>65.573530130492159</v>
      </c>
    </row>
    <row r="69" spans="1:35" x14ac:dyDescent="0.25">
      <c r="A69" s="9" t="s">
        <v>304</v>
      </c>
      <c r="B69" t="s">
        <v>937</v>
      </c>
      <c r="C69" s="61" t="s">
        <v>317</v>
      </c>
      <c r="D69" s="61">
        <v>2</v>
      </c>
      <c r="E69" t="s">
        <v>18</v>
      </c>
      <c r="F69" s="53">
        <v>44389</v>
      </c>
      <c r="G69" s="63">
        <f>'Datos Crudos SE3-Ref'!H29</f>
        <v>2.0550999999999999</v>
      </c>
      <c r="H69" s="64">
        <f>'Datos Crudos SE3-Ref'!H76</f>
        <v>2.1175999999999999</v>
      </c>
      <c r="I69" s="67">
        <f>'Datos Crudos SE3-Ref'!I29</f>
        <v>5.5228456036202696</v>
      </c>
      <c r="J69" s="67">
        <f>'Datos Crudos SE3-Ref'!I76</f>
        <v>6.5357007933509568</v>
      </c>
      <c r="K69" s="9">
        <f>'Datos Crudos SE3-Ref'!R29</f>
        <v>1.8562999999999998</v>
      </c>
      <c r="L69" s="18">
        <f>'Datos Crudos SE3-Ref'!R76</f>
        <v>1.9317</v>
      </c>
      <c r="M69" s="62">
        <v>44420</v>
      </c>
      <c r="N69" s="64">
        <f>'Datos Crudos SE3-Ref'!M29</f>
        <v>0.60370000000000001</v>
      </c>
      <c r="O69" s="64">
        <f>'Datos Crudos SE3-Ref'!P29</f>
        <v>0.1419</v>
      </c>
      <c r="P69" s="64">
        <f>'Datos Crudos SE3-Ref'!Q29</f>
        <v>5.6899999999999999E-2</v>
      </c>
      <c r="Q69" s="64">
        <f>'Datos Crudos SE3-Ref'!M76</f>
        <v>1.5734999999999999</v>
      </c>
      <c r="R69" s="64">
        <f>'Datos Crudos SE3-Ref'!P76</f>
        <v>0.1273</v>
      </c>
      <c r="S69" s="64">
        <f>'Datos Crudos SE3-Ref'!Q76</f>
        <v>5.8599999999999999E-2</v>
      </c>
      <c r="T69" s="64">
        <f>'Datos Crudos SE3-Ref'!O29</f>
        <v>0.40589999999999998</v>
      </c>
      <c r="U69" s="63">
        <f>'Datos Crudos SE3-Ref'!O76</f>
        <v>1.3917999999999999</v>
      </c>
      <c r="V69" s="19">
        <f t="shared" si="8"/>
        <v>0.78133922318590743</v>
      </c>
      <c r="W69" s="19">
        <f t="shared" si="9"/>
        <v>7.2043677926475702E-2</v>
      </c>
      <c r="X69" s="21">
        <f t="shared" si="10"/>
        <v>0.51223188978458545</v>
      </c>
      <c r="Y69" s="21">
        <f t="shared" si="11"/>
        <v>0.72050525443909508</v>
      </c>
      <c r="Z69" s="22">
        <f t="shared" si="12"/>
        <v>31</v>
      </c>
      <c r="AA69" s="242">
        <f t="shared" si="13"/>
        <v>2.544734683485686E-2</v>
      </c>
      <c r="AB69" s="66">
        <f>'Datos Crudos SE3-Ref'!S29</f>
        <v>78.133922318590749</v>
      </c>
      <c r="AC69" s="66">
        <f>'Datos Crudos SE3-Ref'!S76</f>
        <v>27.949474556090493</v>
      </c>
      <c r="AG69" s="166"/>
      <c r="AH69" s="66">
        <f>'Datos Crudos SE3-Ref'!U29</f>
        <v>21.866077681409259</v>
      </c>
      <c r="AI69" s="66">
        <f>'Datos Crudos SE3-Ref'!U76</f>
        <v>72.050525443909507</v>
      </c>
    </row>
    <row r="70" spans="1:35" x14ac:dyDescent="0.25">
      <c r="A70" s="9" t="s">
        <v>305</v>
      </c>
      <c r="B70" t="s">
        <v>937</v>
      </c>
      <c r="C70" s="61" t="s">
        <v>317</v>
      </c>
      <c r="D70" s="61">
        <v>1</v>
      </c>
      <c r="E70" t="s">
        <v>19</v>
      </c>
      <c r="F70" s="53">
        <v>44389</v>
      </c>
      <c r="G70" s="63">
        <f>'Datos Crudos SE3-Ref'!H30</f>
        <v>1.9611000000000001</v>
      </c>
      <c r="H70" s="64">
        <f>'Datos Crudos SE3-Ref'!H77</f>
        <v>2.169</v>
      </c>
      <c r="I70" s="67">
        <f>'Datos Crudos SE3-Ref'!I30</f>
        <v>5.3439396257202594</v>
      </c>
      <c r="J70" s="67">
        <f>'Datos Crudos SE3-Ref'!I77</f>
        <v>6.6574458275703128</v>
      </c>
      <c r="K70" s="9">
        <f>'Datos Crudos SE3-Ref'!R30</f>
        <v>1.7732000000000001</v>
      </c>
      <c r="L70" s="18">
        <f>'Datos Crudos SE3-Ref'!R77</f>
        <v>1.9727000000000001</v>
      </c>
      <c r="M70" s="62">
        <v>44420</v>
      </c>
      <c r="N70" s="64">
        <f>'Datos Crudos SE3-Ref'!M30</f>
        <v>0.5302</v>
      </c>
      <c r="O70" s="64">
        <f>'Datos Crudos SE3-Ref'!P30</f>
        <v>0.13109999999999999</v>
      </c>
      <c r="P70" s="64">
        <f>'Datos Crudos SE3-Ref'!Q30</f>
        <v>5.6800000000000003E-2</v>
      </c>
      <c r="Q70" s="64">
        <f>'Datos Crudos SE3-Ref'!M77</f>
        <v>1.5106999999999999</v>
      </c>
      <c r="R70" s="64">
        <f>'Datos Crudos SE3-Ref'!P77</f>
        <v>0.12939999999999999</v>
      </c>
      <c r="S70" s="64">
        <f>'Datos Crudos SE3-Ref'!Q77</f>
        <v>6.6900000000000001E-2</v>
      </c>
      <c r="T70" s="64">
        <f>'Datos Crudos SE3-Ref'!O30</f>
        <v>0.34250000000000003</v>
      </c>
      <c r="U70" s="63">
        <f>'Datos Crudos SE3-Ref'!O77</f>
        <v>1.3161</v>
      </c>
      <c r="V70" s="19">
        <f t="shared" si="8"/>
        <v>0.80684637942702464</v>
      </c>
      <c r="W70" s="19">
        <f t="shared" si="9"/>
        <v>4.1750143198307943E-2</v>
      </c>
      <c r="X70" s="21">
        <f t="shared" si="10"/>
        <v>0.52895392095453408</v>
      </c>
      <c r="Y70" s="21">
        <f t="shared" si="11"/>
        <v>0.66715668880214929</v>
      </c>
      <c r="Z70" s="22">
        <f t="shared" si="12"/>
        <v>31</v>
      </c>
      <c r="AA70" s="242">
        <f t="shared" si="13"/>
        <v>3.2007176986189906E-2</v>
      </c>
      <c r="AB70" s="66">
        <f>'Datos Crudos SE3-Ref'!S30</f>
        <v>80.684637942702466</v>
      </c>
      <c r="AC70" s="66">
        <f>'Datos Crudos SE3-Ref'!S77</f>
        <v>33.284331119785065</v>
      </c>
      <c r="AG70" s="166"/>
      <c r="AH70" s="66">
        <f>'Datos Crudos SE3-Ref'!U30</f>
        <v>19.315362057297541</v>
      </c>
      <c r="AI70" s="66">
        <f>'Datos Crudos SE3-Ref'!U77</f>
        <v>66.715668880214935</v>
      </c>
    </row>
    <row r="71" spans="1:35" x14ac:dyDescent="0.25">
      <c r="A71" s="9" t="s">
        <v>306</v>
      </c>
      <c r="B71" t="s">
        <v>937</v>
      </c>
      <c r="C71" s="61" t="s">
        <v>317</v>
      </c>
      <c r="D71" s="61">
        <v>2</v>
      </c>
      <c r="E71" t="s">
        <v>19</v>
      </c>
      <c r="F71" s="53">
        <v>44389</v>
      </c>
      <c r="G71" s="63">
        <f>'Datos Crudos SE3-Ref'!H31</f>
        <v>2.0807000000000002</v>
      </c>
      <c r="H71" s="64">
        <f>'Datos Crudos SE3-Ref'!H78</f>
        <v>2.1983999999999999</v>
      </c>
      <c r="I71" s="67">
        <f>'Datos Crudos SE3-Ref'!I31</f>
        <v>5.4500889123852518</v>
      </c>
      <c r="J71" s="67">
        <f>'Datos Crudos SE3-Ref'!I78</f>
        <v>6.7549126637554719</v>
      </c>
      <c r="K71" s="9">
        <f>'Datos Crudos SE3-Ref'!R31</f>
        <v>1.8897000000000002</v>
      </c>
      <c r="L71" s="18">
        <f>'Datos Crudos SE3-Ref'!R78</f>
        <v>2.0126999999999997</v>
      </c>
      <c r="M71" s="62">
        <v>44420</v>
      </c>
      <c r="N71" s="64">
        <f>'Datos Crudos SE3-Ref'!M31</f>
        <v>0.52110000000000001</v>
      </c>
      <c r="O71" s="64">
        <f>'Datos Crudos SE3-Ref'!P31</f>
        <v>0.1366</v>
      </c>
      <c r="P71" s="64">
        <f>'Datos Crudos SE3-Ref'!Q31</f>
        <v>5.4399999999999997E-2</v>
      </c>
      <c r="Q71" s="64">
        <f>'Datos Crudos SE3-Ref'!M78</f>
        <v>1.5503</v>
      </c>
      <c r="R71" s="64">
        <f>'Datos Crudos SE3-Ref'!P78</f>
        <v>0.12859999999999999</v>
      </c>
      <c r="S71" s="64">
        <f>'Datos Crudos SE3-Ref'!Q78</f>
        <v>5.7099999999999998E-2</v>
      </c>
      <c r="T71" s="64">
        <f>'Datos Crudos SE3-Ref'!O31</f>
        <v>0.32979999999999998</v>
      </c>
      <c r="U71" s="63">
        <f>'Datos Crudos SE3-Ref'!O78</f>
        <v>1.3678999999999999</v>
      </c>
      <c r="V71" s="19">
        <f t="shared" si="8"/>
        <v>0.82547494311266345</v>
      </c>
      <c r="W71" s="19">
        <f t="shared" si="9"/>
        <v>1.9625958298499446E-2</v>
      </c>
      <c r="X71" s="21">
        <f t="shared" si="10"/>
        <v>0.54116647101922832</v>
      </c>
      <c r="Y71" s="21">
        <f t="shared" si="11"/>
        <v>0.67963432205495111</v>
      </c>
      <c r="Z71" s="22">
        <f t="shared" si="12"/>
        <v>31</v>
      </c>
      <c r="AA71" s="242">
        <f t="shared" si="13"/>
        <v>2.8918259197670361E-2</v>
      </c>
      <c r="AB71" s="66">
        <f>'Datos Crudos SE3-Ref'!S31</f>
        <v>82.547494311266348</v>
      </c>
      <c r="AC71" s="66">
        <f>'Datos Crudos SE3-Ref'!S78</f>
        <v>32.03656779450489</v>
      </c>
      <c r="AG71" s="166"/>
      <c r="AH71" s="66">
        <f>'Datos Crudos SE3-Ref'!U31</f>
        <v>17.452505688733659</v>
      </c>
      <c r="AI71" s="66">
        <f>'Datos Crudos SE3-Ref'!U78</f>
        <v>67.96343220549511</v>
      </c>
    </row>
    <row r="72" spans="1:35" x14ac:dyDescent="0.25">
      <c r="A72" s="9" t="s">
        <v>307</v>
      </c>
      <c r="B72" t="s">
        <v>937</v>
      </c>
      <c r="C72" s="61" t="s">
        <v>317</v>
      </c>
      <c r="D72" s="61">
        <v>1</v>
      </c>
      <c r="E72" t="s">
        <v>20</v>
      </c>
      <c r="F72" s="53">
        <v>44389</v>
      </c>
      <c r="G72" s="63">
        <f>'Datos Crudos SE3-Ref'!H32</f>
        <v>1.9893000000000001</v>
      </c>
      <c r="H72" s="64">
        <f>'Datos Crudos SE3-Ref'!H79</f>
        <v>2.1955</v>
      </c>
      <c r="I72" s="67">
        <f>'Datos Crudos SE3-Ref'!I32</f>
        <v>5.4240184989694811</v>
      </c>
      <c r="J72" s="67">
        <f>'Datos Crudos SE3-Ref'!I79</f>
        <v>6.4996583921657951</v>
      </c>
      <c r="K72" s="9">
        <f>'Datos Crudos SE3-Ref'!R32</f>
        <v>1.8044</v>
      </c>
      <c r="L72" s="18">
        <f>'Datos Crudos SE3-Ref'!R79</f>
        <v>2.0143</v>
      </c>
      <c r="M72" s="62">
        <v>44420</v>
      </c>
      <c r="N72" s="64">
        <f>'Datos Crudos SE3-Ref'!M32</f>
        <v>0.54810000000000003</v>
      </c>
      <c r="O72" s="64">
        <f>'Datos Crudos SE3-Ref'!P32</f>
        <v>0.13039999999999999</v>
      </c>
      <c r="P72" s="64">
        <f>'Datos Crudos SE3-Ref'!Q32</f>
        <v>5.45E-2</v>
      </c>
      <c r="Q72" s="64">
        <f>'Datos Crudos SE3-Ref'!M79</f>
        <v>1.6056999999999999</v>
      </c>
      <c r="R72" s="64">
        <f>'Datos Crudos SE3-Ref'!P79</f>
        <v>0.12479999999999999</v>
      </c>
      <c r="S72" s="64">
        <f>'Datos Crudos SE3-Ref'!Q79</f>
        <v>5.6399999999999999E-2</v>
      </c>
      <c r="T72" s="64">
        <f>'Datos Crudos SE3-Ref'!O32</f>
        <v>0.36370000000000002</v>
      </c>
      <c r="U72" s="63">
        <f>'Datos Crudos SE3-Ref'!O79</f>
        <v>1.5254000000000001</v>
      </c>
      <c r="V72" s="19">
        <f t="shared" si="8"/>
        <v>0.79843715362447343</v>
      </c>
      <c r="W72" s="19">
        <f t="shared" si="9"/>
        <v>5.1737347239342646E-2</v>
      </c>
      <c r="X72" s="21">
        <f t="shared" si="10"/>
        <v>0.52344098432388286</v>
      </c>
      <c r="Y72" s="21">
        <f t="shared" si="11"/>
        <v>0.75728540932333821</v>
      </c>
      <c r="Z72" s="22">
        <f t="shared" si="12"/>
        <v>31</v>
      </c>
      <c r="AA72" s="242">
        <f t="shared" si="13"/>
        <v>2.0098186585377632E-2</v>
      </c>
      <c r="AB72" s="66">
        <f>'Datos Crudos SE3-Ref'!S32</f>
        <v>79.843715362447355</v>
      </c>
      <c r="AC72" s="66">
        <f>'Datos Crudos SE3-Ref'!S79</f>
        <v>24.271459067666182</v>
      </c>
      <c r="AG72" s="166"/>
      <c r="AH72" s="66">
        <f>'Datos Crudos SE3-Ref'!U32</f>
        <v>20.156284637552652</v>
      </c>
      <c r="AI72" s="66">
        <f>'Datos Crudos SE3-Ref'!U79</f>
        <v>75.728540932333814</v>
      </c>
    </row>
    <row r="73" spans="1:35" x14ac:dyDescent="0.25">
      <c r="A73" s="157" t="s">
        <v>308</v>
      </c>
      <c r="B73" t="s">
        <v>937</v>
      </c>
      <c r="C73" s="184" t="s">
        <v>317</v>
      </c>
      <c r="D73" s="61">
        <v>2</v>
      </c>
      <c r="E73" t="s">
        <v>20</v>
      </c>
      <c r="F73" s="185">
        <v>44389</v>
      </c>
      <c r="G73" s="186">
        <f>'Datos Crudos SE3-Ref'!H33</f>
        <v>2.0139999999999998</v>
      </c>
      <c r="H73" s="184">
        <f>'Datos Crudos SE3-Ref'!H80</f>
        <v>2.1789999999999998</v>
      </c>
      <c r="I73" s="187">
        <f>'Datos Crudos SE3-Ref'!I33</f>
        <v>5.6007944389275091</v>
      </c>
      <c r="J73" s="187">
        <f>'Datos Crudos SE3-Ref'!I80</f>
        <v>6.608536025699868</v>
      </c>
      <c r="K73" s="157">
        <f>'Datos Crudos SE3-Ref'!R33</f>
        <v>1.8293999999999997</v>
      </c>
      <c r="L73" s="160">
        <f>'Datos Crudos SE3-Ref'!R80</f>
        <v>1.9947999999999999</v>
      </c>
      <c r="M73" s="188">
        <v>44420</v>
      </c>
      <c r="N73" s="184">
        <f>'Datos Crudos SE3-Ref'!M33</f>
        <v>0.56720000000000004</v>
      </c>
      <c r="O73" s="184">
        <f>'Datos Crudos SE3-Ref'!P33</f>
        <v>0.12989999999999999</v>
      </c>
      <c r="P73" s="184">
        <f>'Datos Crudos SE3-Ref'!Q33</f>
        <v>5.4699999999999999E-2</v>
      </c>
      <c r="Q73" s="184">
        <f>'Datos Crudos SE3-Ref'!M80</f>
        <v>1.5469999999999999</v>
      </c>
      <c r="R73" s="184">
        <f>'Datos Crudos SE3-Ref'!P80</f>
        <v>0.12559999999999999</v>
      </c>
      <c r="S73" s="184">
        <f>'Datos Crudos SE3-Ref'!Q80</f>
        <v>5.8599999999999999E-2</v>
      </c>
      <c r="T73" s="184">
        <f>'Datos Crudos SE3-Ref'!O33</f>
        <v>0.38250000000000001</v>
      </c>
      <c r="U73" s="186">
        <f>'Datos Crudos SE3-Ref'!O80</f>
        <v>1.3645</v>
      </c>
      <c r="V73" s="162">
        <f t="shared" si="8"/>
        <v>0.79091505411610363</v>
      </c>
      <c r="W73" s="162">
        <f t="shared" si="9"/>
        <v>6.0670957106765289E-2</v>
      </c>
      <c r="X73" s="163">
        <f t="shared" si="10"/>
        <v>0.51850963167706565</v>
      </c>
      <c r="Y73" s="163">
        <f t="shared" si="11"/>
        <v>0.68402847403248457</v>
      </c>
      <c r="Z73" s="157">
        <f t="shared" si="12"/>
        <v>31</v>
      </c>
      <c r="AA73" s="247">
        <f t="shared" si="13"/>
        <v>3.0323566398405586E-2</v>
      </c>
      <c r="AB73" s="164">
        <f>'Datos Crudos SE3-Ref'!S33</f>
        <v>79.091505411610356</v>
      </c>
      <c r="AC73" s="164">
        <f>'Datos Crudos SE3-Ref'!S80</f>
        <v>31.597152596751549</v>
      </c>
      <c r="AD73" s="158"/>
      <c r="AE73" s="158"/>
      <c r="AF73" s="158"/>
      <c r="AG73" s="167"/>
      <c r="AH73" s="66">
        <f>'Datos Crudos SE3-Ref'!U33</f>
        <v>20.90849458838964</v>
      </c>
      <c r="AI73" s="66">
        <f>'Datos Crudos SE3-Ref'!U80</f>
        <v>68.402847403248458</v>
      </c>
    </row>
    <row r="74" spans="1:35" x14ac:dyDescent="0.25">
      <c r="A74" s="69" t="s">
        <v>309</v>
      </c>
      <c r="B74" s="23" t="s">
        <v>80</v>
      </c>
      <c r="C74" s="61" t="s">
        <v>317</v>
      </c>
      <c r="D74" s="61">
        <v>1</v>
      </c>
      <c r="E74" t="s">
        <v>17</v>
      </c>
      <c r="F74" s="72">
        <v>44396</v>
      </c>
      <c r="G74" s="73">
        <f>'Datos Crudos SE3-Ref'!H34</f>
        <v>2.0611999999999999</v>
      </c>
      <c r="H74" s="61">
        <f>'Datos Crudos SE3-Ref'!H81</f>
        <v>2.2090000000000001</v>
      </c>
      <c r="I74" s="74">
        <f>'Datos Crudos SE3-Ref'!I34</f>
        <v>6.0789831166310986</v>
      </c>
      <c r="J74" s="74">
        <f>'Datos Crudos SE3-Ref'!I81</f>
        <v>5.8216387505658691</v>
      </c>
      <c r="K74" s="22">
        <f>'Datos Crudos SE3-Ref'!R34</f>
        <v>1.8746999999999998</v>
      </c>
      <c r="L74" s="26">
        <f>'Datos Crudos SE3-Ref'!R81</f>
        <v>2.0274999999999999</v>
      </c>
      <c r="M74" s="75">
        <v>44426</v>
      </c>
      <c r="N74" s="61">
        <f>'Datos Crudos SE3-Ref'!M34</f>
        <v>0.53759999999999997</v>
      </c>
      <c r="O74" s="61">
        <f>'Datos Crudos SE3-Ref'!P34</f>
        <v>0.13039999999999999</v>
      </c>
      <c r="P74" s="61">
        <f>'Datos Crudos SE3-Ref'!Q34</f>
        <v>5.6099999999999997E-2</v>
      </c>
      <c r="Q74" s="61">
        <f>'Datos Crudos SE3-Ref'!M81</f>
        <v>1.6161000000000001</v>
      </c>
      <c r="R74" s="61">
        <f>'Datos Crudos SE3-Ref'!P81</f>
        <v>0.12509999999999999</v>
      </c>
      <c r="S74" s="61">
        <f>'Datos Crudos SE3-Ref'!Q81</f>
        <v>5.6399999999999999E-2</v>
      </c>
      <c r="T74" s="61">
        <f>'Datos Crudos SE3-Ref'!O34</f>
        <v>0.35149999999999998</v>
      </c>
      <c r="U74" s="73">
        <f>'Datos Crudos SE3-Ref'!O81</f>
        <v>1.4355</v>
      </c>
      <c r="V74" s="19">
        <f t="shared" si="8"/>
        <v>0.812503333866752</v>
      </c>
      <c r="W74" s="19">
        <f t="shared" si="9"/>
        <v>3.5031669991980929E-2</v>
      </c>
      <c r="X74" s="21">
        <f t="shared" si="10"/>
        <v>0.53266251816442656</v>
      </c>
      <c r="Y74" s="21">
        <f t="shared" si="11"/>
        <v>0.70801479654747235</v>
      </c>
      <c r="Z74" s="22">
        <f t="shared" si="12"/>
        <v>30</v>
      </c>
      <c r="AA74" s="242">
        <f t="shared" si="13"/>
        <v>2.6481031874987356E-2</v>
      </c>
      <c r="AB74" s="66">
        <f>'Datos Crudos SE3-Ref'!S34</f>
        <v>81.250333386675194</v>
      </c>
      <c r="AC74" s="66">
        <f>'Datos Crudos SE3-Ref'!S81</f>
        <v>29.198520345252771</v>
      </c>
      <c r="AD74" s="65">
        <f>AVERAGE(W74:W81)</f>
        <v>1.1474906386678085E-2</v>
      </c>
      <c r="AE74">
        <f>STDEV(W74:W81)</f>
        <v>5.17836624753788E-2</v>
      </c>
      <c r="AF74" s="7">
        <f>AVERAGE(AA74:AA81)</f>
        <v>2.9162967527923175E-2</v>
      </c>
      <c r="AG74" s="200">
        <f>STDEV(AA74:AA81)</f>
        <v>2.4951830947292806E-3</v>
      </c>
      <c r="AH74" s="66">
        <f>'Datos Crudos SE3-Ref'!U34</f>
        <v>18.749666613324798</v>
      </c>
      <c r="AI74" s="66">
        <f>'Datos Crudos SE3-Ref'!U81</f>
        <v>70.80147965474724</v>
      </c>
    </row>
    <row r="75" spans="1:35" x14ac:dyDescent="0.25">
      <c r="A75" s="69" t="s">
        <v>310</v>
      </c>
      <c r="B75" s="23" t="s">
        <v>80</v>
      </c>
      <c r="C75" s="61" t="s">
        <v>317</v>
      </c>
      <c r="D75" s="61">
        <v>2</v>
      </c>
      <c r="E75" t="s">
        <v>17</v>
      </c>
      <c r="F75" s="72">
        <v>44396</v>
      </c>
      <c r="G75" s="73">
        <f>'Datos Crudos SE3-Ref'!H35</f>
        <v>2.0426000000000002</v>
      </c>
      <c r="H75" s="61">
        <f>'Datos Crudos SE3-Ref'!H82</f>
        <v>2.1528</v>
      </c>
      <c r="I75" s="74">
        <f>'Datos Crudos SE3-Ref'!I35</f>
        <v>5.9776755116028415</v>
      </c>
      <c r="J75" s="74">
        <f>'Datos Crudos SE3-Ref'!I82</f>
        <v>5.8342623560014832</v>
      </c>
      <c r="K75" s="22">
        <f>'Datos Crudos SE3-Ref'!R35</f>
        <v>1.8521000000000001</v>
      </c>
      <c r="L75" s="26">
        <f>'Datos Crudos SE3-Ref'!R82</f>
        <v>1.9646000000000001</v>
      </c>
      <c r="M75" s="75">
        <v>44426</v>
      </c>
      <c r="N75" s="61">
        <f>'Datos Crudos SE3-Ref'!M35</f>
        <v>0.52190000000000003</v>
      </c>
      <c r="O75" s="61">
        <f>'Datos Crudos SE3-Ref'!P35</f>
        <v>0.1351</v>
      </c>
      <c r="P75" s="61">
        <f>'Datos Crudos SE3-Ref'!Q35</f>
        <v>5.5399999999999998E-2</v>
      </c>
      <c r="Q75" s="61">
        <f>'Datos Crudos SE3-Ref'!M82</f>
        <v>1.5696000000000001</v>
      </c>
      <c r="R75" s="61">
        <f>'Datos Crudos SE3-Ref'!P82</f>
        <v>0.13239999999999999</v>
      </c>
      <c r="S75" s="61">
        <f>'Datos Crudos SE3-Ref'!Q82</f>
        <v>5.5800000000000002E-2</v>
      </c>
      <c r="T75" s="61">
        <f>'Datos Crudos SE3-Ref'!O35</f>
        <v>0.33100000000000002</v>
      </c>
      <c r="U75" s="73">
        <f>'Datos Crudos SE3-Ref'!O82</f>
        <v>1.3833</v>
      </c>
      <c r="V75" s="19">
        <f t="shared" si="8"/>
        <v>0.82128394795097459</v>
      </c>
      <c r="W75" s="19">
        <f t="shared" si="9"/>
        <v>2.4603387231621587E-2</v>
      </c>
      <c r="X75" s="21">
        <f t="shared" si="10"/>
        <v>0.53841893024814491</v>
      </c>
      <c r="Y75" s="21">
        <f t="shared" si="11"/>
        <v>0.70411279649801484</v>
      </c>
      <c r="Z75" s="22">
        <f t="shared" si="12"/>
        <v>30</v>
      </c>
      <c r="AA75" s="242">
        <f t="shared" si="13"/>
        <v>2.6583480138104482E-2</v>
      </c>
      <c r="AB75" s="66">
        <f>'Datos Crudos SE3-Ref'!S35</f>
        <v>82.128394795097464</v>
      </c>
      <c r="AC75" s="66">
        <f>'Datos Crudos SE3-Ref'!S82</f>
        <v>29.588720350198521</v>
      </c>
      <c r="AG75" s="201"/>
      <c r="AH75" s="66">
        <f>'Datos Crudos SE3-Ref'!U35</f>
        <v>17.871605204902544</v>
      </c>
      <c r="AI75" s="66">
        <f>'Datos Crudos SE3-Ref'!U82</f>
        <v>70.411279649801486</v>
      </c>
    </row>
    <row r="76" spans="1:35" x14ac:dyDescent="0.25">
      <c r="A76" s="69" t="s">
        <v>311</v>
      </c>
      <c r="B76" s="23" t="s">
        <v>80</v>
      </c>
      <c r="C76" s="61" t="s">
        <v>317</v>
      </c>
      <c r="D76" s="61">
        <v>1</v>
      </c>
      <c r="E76" t="s">
        <v>18</v>
      </c>
      <c r="F76" s="72">
        <v>44396</v>
      </c>
      <c r="G76" s="73">
        <f>'Datos Crudos SE3-Ref'!H36</f>
        <v>2.0205000000000002</v>
      </c>
      <c r="H76" s="61">
        <f>'Datos Crudos SE3-Ref'!H83</f>
        <v>2.1503000000000001</v>
      </c>
      <c r="I76" s="74">
        <f>'Datos Crudos SE3-Ref'!I36</f>
        <v>5.9688195991091115</v>
      </c>
      <c r="J76" s="74">
        <f>'Datos Crudos SE3-Ref'!I83</f>
        <v>5.7294331023577989</v>
      </c>
      <c r="K76" s="22">
        <f>'Datos Crudos SE3-Ref'!R36</f>
        <v>1.8379000000000003</v>
      </c>
      <c r="L76" s="26">
        <f>'Datos Crudos SE3-Ref'!R83</f>
        <v>1.9619</v>
      </c>
      <c r="M76" s="75">
        <v>44426</v>
      </c>
      <c r="N76" s="61">
        <f>'Datos Crudos SE3-Ref'!M36</f>
        <v>0.38369999999999999</v>
      </c>
      <c r="O76" s="61">
        <f>'Datos Crudos SE3-Ref'!P36</f>
        <v>0.127</v>
      </c>
      <c r="P76" s="61">
        <f>'Datos Crudos SE3-Ref'!Q36</f>
        <v>5.5599999999999997E-2</v>
      </c>
      <c r="Q76" s="61">
        <f>'Datos Crudos SE3-Ref'!M83</f>
        <v>1.4965999999999999</v>
      </c>
      <c r="R76" s="61">
        <f>'Datos Crudos SE3-Ref'!P83</f>
        <v>0.1293</v>
      </c>
      <c r="S76" s="61">
        <f>'Datos Crudos SE3-Ref'!Q83</f>
        <v>5.91E-2</v>
      </c>
      <c r="T76" s="61">
        <f>'Datos Crudos SE3-Ref'!O36</f>
        <v>0.20039999999999999</v>
      </c>
      <c r="U76" s="73">
        <f>'Datos Crudos SE3-Ref'!O83</f>
        <v>1.3106</v>
      </c>
      <c r="V76" s="19">
        <f t="shared" si="8"/>
        <v>0.89096251156210893</v>
      </c>
      <c r="W76" s="20">
        <f t="shared" si="9"/>
        <v>-5.8150251261412045E-2</v>
      </c>
      <c r="X76" s="21">
        <f t="shared" si="10"/>
        <v>0.58409893869629947</v>
      </c>
      <c r="Y76" s="21">
        <f t="shared" si="11"/>
        <v>0.66802589326673123</v>
      </c>
      <c r="Z76" s="22">
        <f t="shared" si="12"/>
        <v>30</v>
      </c>
      <c r="AA76" s="242">
        <f t="shared" si="13"/>
        <v>2.8004868475450136E-2</v>
      </c>
      <c r="AB76" s="66">
        <f>'Datos Crudos SE3-Ref'!S36</f>
        <v>89.096251156210897</v>
      </c>
      <c r="AC76" s="66">
        <f>'Datos Crudos SE3-Ref'!S83</f>
        <v>33.197410673326878</v>
      </c>
      <c r="AG76" s="201"/>
      <c r="AH76" s="66">
        <f>'Datos Crudos SE3-Ref'!U36</f>
        <v>10.903748843789105</v>
      </c>
      <c r="AI76" s="66">
        <f>'Datos Crudos SE3-Ref'!U83</f>
        <v>66.802589326673129</v>
      </c>
    </row>
    <row r="77" spans="1:35" x14ac:dyDescent="0.25">
      <c r="A77" s="69" t="s">
        <v>312</v>
      </c>
      <c r="B77" s="23" t="s">
        <v>80</v>
      </c>
      <c r="C77" s="61" t="s">
        <v>317</v>
      </c>
      <c r="D77" s="61">
        <v>2</v>
      </c>
      <c r="E77" t="s">
        <v>18</v>
      </c>
      <c r="F77" s="72">
        <v>44396</v>
      </c>
      <c r="G77" s="73">
        <f>'Datos Crudos SE3-Ref'!H37</f>
        <v>2.0442999999999998</v>
      </c>
      <c r="H77" s="61">
        <f>'Datos Crudos SE3-Ref'!H84</f>
        <v>2.1825000000000001</v>
      </c>
      <c r="I77" s="74">
        <f>'Datos Crudos SE3-Ref'!I37</f>
        <v>5.9678129433057938</v>
      </c>
      <c r="J77" s="74">
        <f>'Datos Crudos SE3-Ref'!I84</f>
        <v>5.6907216494845398</v>
      </c>
      <c r="K77" s="22">
        <f>'Datos Crudos SE3-Ref'!R37</f>
        <v>1.8582999999999998</v>
      </c>
      <c r="L77" s="26">
        <f>'Datos Crudos SE3-Ref'!R84</f>
        <v>1.9968000000000001</v>
      </c>
      <c r="M77" s="75">
        <v>44426</v>
      </c>
      <c r="N77" s="61">
        <f>'Datos Crudos SE3-Ref'!M37</f>
        <v>0.59699999999999998</v>
      </c>
      <c r="O77" s="61">
        <f>'Datos Crudos SE3-Ref'!P37</f>
        <v>0.13039999999999999</v>
      </c>
      <c r="P77" s="61">
        <f>'Datos Crudos SE3-Ref'!Q37</f>
        <v>5.5599999999999997E-2</v>
      </c>
      <c r="Q77" s="61">
        <f>'Datos Crudos SE3-Ref'!M84</f>
        <v>1.6053999999999999</v>
      </c>
      <c r="R77" s="61">
        <f>'Datos Crudos SE3-Ref'!P84</f>
        <v>0.12859999999999999</v>
      </c>
      <c r="S77" s="61">
        <f>'Datos Crudos SE3-Ref'!Q84</f>
        <v>5.7099999999999998E-2</v>
      </c>
      <c r="T77" s="61">
        <f>'Datos Crudos SE3-Ref'!O37</f>
        <v>0.41</v>
      </c>
      <c r="U77" s="73">
        <f>'Datos Crudos SE3-Ref'!O84</f>
        <v>1.421</v>
      </c>
      <c r="V77" s="19">
        <f t="shared" si="8"/>
        <v>0.77936823978905445</v>
      </c>
      <c r="W77" s="19">
        <f t="shared" si="9"/>
        <v>7.4384513314662115E-2</v>
      </c>
      <c r="X77" s="21">
        <f t="shared" si="10"/>
        <v>0.51093974865030656</v>
      </c>
      <c r="Y77" s="21">
        <f t="shared" si="11"/>
        <v>0.71163862179487181</v>
      </c>
      <c r="Z77" s="22">
        <f t="shared" si="12"/>
        <v>30</v>
      </c>
      <c r="AA77" s="242">
        <f t="shared" si="13"/>
        <v>2.7699080274506079E-2</v>
      </c>
      <c r="AB77" s="66">
        <f>'Datos Crudos SE3-Ref'!S37</f>
        <v>77.936823978905451</v>
      </c>
      <c r="AC77" s="66">
        <f>'Datos Crudos SE3-Ref'!S84</f>
        <v>28.836137820512825</v>
      </c>
      <c r="AG77" s="201"/>
      <c r="AH77" s="66">
        <f>'Datos Crudos SE3-Ref'!U37</f>
        <v>22.063176021094549</v>
      </c>
      <c r="AI77" s="66">
        <f>'Datos Crudos SE3-Ref'!U84</f>
        <v>71.163862179487182</v>
      </c>
    </row>
    <row r="78" spans="1:35" x14ac:dyDescent="0.25">
      <c r="A78" s="69" t="s">
        <v>313</v>
      </c>
      <c r="B78" s="23" t="s">
        <v>80</v>
      </c>
      <c r="C78" s="61" t="s">
        <v>317</v>
      </c>
      <c r="D78" s="61">
        <v>1</v>
      </c>
      <c r="E78" t="s">
        <v>19</v>
      </c>
      <c r="F78" s="72">
        <v>44396</v>
      </c>
      <c r="G78" s="73">
        <f>'Datos Crudos SE3-Ref'!H38</f>
        <v>1.9958</v>
      </c>
      <c r="H78" s="61">
        <f>'Datos Crudos SE3-Ref'!H85</f>
        <v>2.1873</v>
      </c>
      <c r="I78" s="74">
        <f>'Datos Crudos SE3-Ref'!I38</f>
        <v>5.9775528610081157</v>
      </c>
      <c r="J78" s="74">
        <f>'Datos Crudos SE3-Ref'!I85</f>
        <v>5.696520824761123</v>
      </c>
      <c r="K78" s="22">
        <f>'Datos Crudos SE3-Ref'!R38</f>
        <v>1.8037000000000001</v>
      </c>
      <c r="L78" s="26">
        <f>'Datos Crudos SE3-Ref'!R85</f>
        <v>2.0057</v>
      </c>
      <c r="M78" s="75">
        <v>44426</v>
      </c>
      <c r="N78" s="61">
        <f>'Datos Crudos SE3-Ref'!M38</f>
        <v>0.40739999999999998</v>
      </c>
      <c r="O78" s="61">
        <f>'Datos Crudos SE3-Ref'!P38</f>
        <v>0.1366</v>
      </c>
      <c r="P78" s="61">
        <f>'Datos Crudos SE3-Ref'!Q38</f>
        <v>5.5500000000000001E-2</v>
      </c>
      <c r="Q78" s="61">
        <f>'Datos Crudos SE3-Ref'!M85</f>
        <v>1.5125999999999999</v>
      </c>
      <c r="R78" s="61">
        <f>'Datos Crudos SE3-Ref'!P85</f>
        <v>0.12570000000000001</v>
      </c>
      <c r="S78" s="61">
        <f>'Datos Crudos SE3-Ref'!Q85</f>
        <v>5.5899999999999998E-2</v>
      </c>
      <c r="T78" s="61">
        <f>'Datos Crudos SE3-Ref'!O38</f>
        <v>0.2152</v>
      </c>
      <c r="U78" s="73">
        <f>'Datos Crudos SE3-Ref'!O85</f>
        <v>1.3314999999999999</v>
      </c>
      <c r="V78" s="19">
        <f t="shared" si="8"/>
        <v>0.88068969340799463</v>
      </c>
      <c r="W78" s="20">
        <f t="shared" si="9"/>
        <v>-4.5949754641323892E-2</v>
      </c>
      <c r="X78" s="21">
        <f t="shared" si="10"/>
        <v>0.57736426456201084</v>
      </c>
      <c r="Y78" s="21">
        <f t="shared" si="11"/>
        <v>0.66385800468664302</v>
      </c>
      <c r="Z78" s="22">
        <f t="shared" si="12"/>
        <v>30</v>
      </c>
      <c r="AA78" s="242">
        <f t="shared" si="13"/>
        <v>2.9091819585253628E-2</v>
      </c>
      <c r="AB78" s="66">
        <f>'Datos Crudos SE3-Ref'!S38</f>
        <v>88.06896934079947</v>
      </c>
      <c r="AC78" s="66">
        <f>'Datos Crudos SE3-Ref'!S85</f>
        <v>33.6141995313357</v>
      </c>
      <c r="AG78" s="201"/>
      <c r="AH78" s="66">
        <f>'Datos Crudos SE3-Ref'!U38</f>
        <v>11.931030659200532</v>
      </c>
      <c r="AI78" s="66">
        <f>'Datos Crudos SE3-Ref'!U85</f>
        <v>66.3858004686643</v>
      </c>
    </row>
    <row r="79" spans="1:35" x14ac:dyDescent="0.25">
      <c r="A79" s="69" t="s">
        <v>314</v>
      </c>
      <c r="B79" s="23" t="s">
        <v>80</v>
      </c>
      <c r="C79" s="61" t="s">
        <v>317</v>
      </c>
      <c r="D79" s="61">
        <v>2</v>
      </c>
      <c r="E79" t="s">
        <v>19</v>
      </c>
      <c r="F79" s="72">
        <v>44396</v>
      </c>
      <c r="G79" s="73">
        <f>'Datos Crudos SE3-Ref'!H39</f>
        <v>1.9490000000000001</v>
      </c>
      <c r="H79" s="61">
        <f>'Datos Crudos SE3-Ref'!H86</f>
        <v>2.2153</v>
      </c>
      <c r="I79" s="74">
        <f>'Datos Crudos SE3-Ref'!I39</f>
        <v>5.9671626475115485</v>
      </c>
      <c r="J79" s="74">
        <f>'Datos Crudos SE3-Ref'!I86</f>
        <v>5.750914097413431</v>
      </c>
      <c r="K79" s="22">
        <f>'Datos Crudos SE3-Ref'!R39</f>
        <v>1.7639</v>
      </c>
      <c r="L79" s="26">
        <f>'Datos Crudos SE3-Ref'!R86</f>
        <v>2.0348000000000002</v>
      </c>
      <c r="M79" s="75">
        <v>44426</v>
      </c>
      <c r="N79" s="61">
        <f>'Datos Crudos SE3-Ref'!M39</f>
        <v>0.40500000000000003</v>
      </c>
      <c r="O79" s="61">
        <f>'Datos Crudos SE3-Ref'!P39</f>
        <v>0.12939999999999999</v>
      </c>
      <c r="P79" s="61">
        <f>'Datos Crudos SE3-Ref'!Q39</f>
        <v>5.57E-2</v>
      </c>
      <c r="Q79" s="61">
        <f>'Datos Crudos SE3-Ref'!M86</f>
        <v>1.5139</v>
      </c>
      <c r="R79" s="61">
        <f>'Datos Crudos SE3-Ref'!P86</f>
        <v>0.1241</v>
      </c>
      <c r="S79" s="61">
        <f>'Datos Crudos SE3-Ref'!Q86</f>
        <v>5.6399999999999999E-2</v>
      </c>
      <c r="T79" s="61">
        <f>'Datos Crudos SE3-Ref'!O39</f>
        <v>0.21940000000000001</v>
      </c>
      <c r="U79" s="73">
        <f>'Datos Crudos SE3-Ref'!O86</f>
        <v>1.3337000000000001</v>
      </c>
      <c r="V79" s="19">
        <f t="shared" si="8"/>
        <v>0.87561653154940755</v>
      </c>
      <c r="W79" s="20">
        <f t="shared" si="9"/>
        <v>-3.9924621792645665E-2</v>
      </c>
      <c r="X79" s="21">
        <f t="shared" si="10"/>
        <v>0.57403839122954048</v>
      </c>
      <c r="Y79" s="21">
        <f t="shared" si="11"/>
        <v>0.65544525260467856</v>
      </c>
      <c r="Z79" s="22">
        <f t="shared" si="12"/>
        <v>30</v>
      </c>
      <c r="AA79" s="242">
        <f t="shared" si="13"/>
        <v>3.056215064978195E-2</v>
      </c>
      <c r="AB79" s="66">
        <f>'Datos Crudos SE3-Ref'!S39</f>
        <v>87.561653154940757</v>
      </c>
      <c r="AC79" s="66">
        <f>'Datos Crudos SE3-Ref'!S86</f>
        <v>34.455474739532136</v>
      </c>
      <c r="AG79" s="201"/>
      <c r="AH79" s="66">
        <f>'Datos Crudos SE3-Ref'!U39</f>
        <v>12.438346845059243</v>
      </c>
      <c r="AI79" s="66">
        <f>'Datos Crudos SE3-Ref'!U86</f>
        <v>65.54452526046785</v>
      </c>
    </row>
    <row r="80" spans="1:35" x14ac:dyDescent="0.25">
      <c r="A80" s="69" t="s">
        <v>315</v>
      </c>
      <c r="B80" s="23" t="s">
        <v>80</v>
      </c>
      <c r="C80" s="61" t="s">
        <v>317</v>
      </c>
      <c r="D80" s="61">
        <v>1</v>
      </c>
      <c r="E80" t="s">
        <v>20</v>
      </c>
      <c r="F80" s="72">
        <v>44396</v>
      </c>
      <c r="G80" s="73">
        <f>'Datos Crudos SE3-Ref'!H40</f>
        <v>2.0247999999999999</v>
      </c>
      <c r="H80" s="61">
        <f>'Datos Crudos SE3-Ref'!H87</f>
        <v>2.1331000000000002</v>
      </c>
      <c r="I80" s="74">
        <f>'Datos Crudos SE3-Ref'!I40</f>
        <v>5.911694982220463</v>
      </c>
      <c r="J80" s="74">
        <f>'Datos Crudos SE3-Ref'!I87</f>
        <v>5.6537433781819688</v>
      </c>
      <c r="K80" s="22">
        <f>'Datos Crudos SE3-Ref'!R40</f>
        <v>1.8319999999999999</v>
      </c>
      <c r="L80" s="26">
        <f>'Datos Crudos SE3-Ref'!R87</f>
        <v>1.9470000000000003</v>
      </c>
      <c r="M80" s="75">
        <v>44426</v>
      </c>
      <c r="N80" s="61">
        <f>'Datos Crudos SE3-Ref'!M40</f>
        <v>0.57689999999999997</v>
      </c>
      <c r="O80" s="61">
        <f>'Datos Crudos SE3-Ref'!P40</f>
        <v>0.13639999999999999</v>
      </c>
      <c r="P80" s="61">
        <f>'Datos Crudos SE3-Ref'!Q40</f>
        <v>5.6399999999999999E-2</v>
      </c>
      <c r="Q80" s="61">
        <f>'Datos Crudos SE3-Ref'!M87</f>
        <v>1.5189999999999999</v>
      </c>
      <c r="R80" s="61">
        <f>'Datos Crudos SE3-Ref'!P87</f>
        <v>0.1288</v>
      </c>
      <c r="S80" s="61">
        <f>'Datos Crudos SE3-Ref'!Q87</f>
        <v>5.7299999999999997E-2</v>
      </c>
      <c r="T80" s="61">
        <f>'Datos Crudos SE3-Ref'!O40</f>
        <v>0.38300000000000001</v>
      </c>
      <c r="U80" s="73">
        <f>'Datos Crudos SE3-Ref'!O87</f>
        <v>1.3327</v>
      </c>
      <c r="V80" s="19">
        <f t="shared" si="8"/>
        <v>0.7909388646288209</v>
      </c>
      <c r="W80" s="19">
        <f t="shared" si="9"/>
        <v>6.0642678588098686E-2</v>
      </c>
      <c r="X80" s="21">
        <f t="shared" si="10"/>
        <v>0.51852524141936962</v>
      </c>
      <c r="Y80" s="21">
        <f t="shared" si="11"/>
        <v>0.68448895737031323</v>
      </c>
      <c r="Z80" s="22">
        <f t="shared" si="12"/>
        <v>30</v>
      </c>
      <c r="AA80" s="242">
        <f t="shared" si="13"/>
        <v>3.1257092891032803E-2</v>
      </c>
      <c r="AB80" s="66">
        <f>'Datos Crudos SE3-Ref'!S40</f>
        <v>79.093886462882097</v>
      </c>
      <c r="AC80" s="66">
        <f>'Datos Crudos SE3-Ref'!S87</f>
        <v>31.551104262968682</v>
      </c>
      <c r="AG80" s="201"/>
      <c r="AH80" s="66">
        <f>'Datos Crudos SE3-Ref'!U40</f>
        <v>20.906113537117907</v>
      </c>
      <c r="AI80" s="66">
        <f>'Datos Crudos SE3-Ref'!U87</f>
        <v>68.448895737031322</v>
      </c>
    </row>
    <row r="81" spans="1:35" ht="15.75" thickBot="1" x14ac:dyDescent="0.3">
      <c r="A81" s="70" t="s">
        <v>316</v>
      </c>
      <c r="B81" s="190" t="s">
        <v>80</v>
      </c>
      <c r="C81" s="191" t="s">
        <v>317</v>
      </c>
      <c r="D81" s="61">
        <v>2</v>
      </c>
      <c r="E81" t="s">
        <v>20</v>
      </c>
      <c r="F81" s="193">
        <v>44396</v>
      </c>
      <c r="G81" s="194">
        <f>'Datos Crudos SE3-Ref'!H41</f>
        <v>2.0577000000000001</v>
      </c>
      <c r="H81" s="191">
        <f>'Datos Crudos SE3-Ref'!H88</f>
        <v>2.2263999999999999</v>
      </c>
      <c r="I81" s="195">
        <f>'Datos Crudos SE3-Ref'!I41</f>
        <v>6.0115663119016336</v>
      </c>
      <c r="J81" s="195">
        <f>'Datos Crudos SE3-Ref'!I88</f>
        <v>5.5425799496945825</v>
      </c>
      <c r="K81" s="192">
        <f>'Datos Crudos SE3-Ref'!R41</f>
        <v>1.8660000000000001</v>
      </c>
      <c r="L81" s="196">
        <f>'Datos Crudos SE3-Ref'!R88</f>
        <v>2.0388999999999999</v>
      </c>
      <c r="M81" s="197">
        <v>44426</v>
      </c>
      <c r="N81" s="191">
        <f>'Datos Crudos SE3-Ref'!M41</f>
        <v>0.5524</v>
      </c>
      <c r="O81" s="191">
        <f>'Datos Crudos SE3-Ref'!P41</f>
        <v>0.13439999999999999</v>
      </c>
      <c r="P81" s="191">
        <f>'Datos Crudos SE3-Ref'!Q41</f>
        <v>5.7299999999999997E-2</v>
      </c>
      <c r="Q81" s="191">
        <f>'Datos Crudos SE3-Ref'!M88</f>
        <v>1.5416000000000001</v>
      </c>
      <c r="R81" s="191">
        <f>'Datos Crudos SE3-Ref'!P88</f>
        <v>0.13020000000000001</v>
      </c>
      <c r="S81" s="191">
        <f>'Datos Crudos SE3-Ref'!Q88</f>
        <v>5.7299999999999997E-2</v>
      </c>
      <c r="T81" s="191">
        <f>'Datos Crudos SE3-Ref'!O41</f>
        <v>0.35949999999999999</v>
      </c>
      <c r="U81" s="194">
        <f>'Datos Crudos SE3-Ref'!O88</f>
        <v>1.3532999999999999</v>
      </c>
      <c r="V81" s="198">
        <f t="shared" si="8"/>
        <v>0.80734190782422299</v>
      </c>
      <c r="W81" s="198">
        <f t="shared" si="9"/>
        <v>4.1161629662442967E-2</v>
      </c>
      <c r="X81" s="21">
        <f t="shared" si="10"/>
        <v>0.52927878042633147</v>
      </c>
      <c r="Y81" s="21">
        <f t="shared" si="11"/>
        <v>0.66374025209671883</v>
      </c>
      <c r="Z81" s="22">
        <f t="shared" si="12"/>
        <v>30</v>
      </c>
      <c r="AA81" s="248">
        <f t="shared" si="13"/>
        <v>3.3624216334268993E-2</v>
      </c>
      <c r="AB81" s="199">
        <f>'Datos Crudos SE3-Ref'!S41</f>
        <v>80.734190782422303</v>
      </c>
      <c r="AC81" s="199">
        <f>'Datos Crudos SE3-Ref'!S88</f>
        <v>33.625974790328115</v>
      </c>
      <c r="AD81" s="190"/>
      <c r="AE81" s="190"/>
      <c r="AF81" s="190"/>
      <c r="AG81" s="202"/>
      <c r="AH81" s="66">
        <f>'Datos Crudos SE3-Ref'!U41</f>
        <v>19.265809217577704</v>
      </c>
      <c r="AI81" s="66">
        <f>'Datos Crudos SE3-Ref'!U88</f>
        <v>66.374025209671885</v>
      </c>
    </row>
    <row r="82" spans="1:35" x14ac:dyDescent="0.25">
      <c r="A82" s="9" t="s">
        <v>434</v>
      </c>
      <c r="B82" s="87" t="s">
        <v>327</v>
      </c>
      <c r="C82" s="22" t="s">
        <v>143</v>
      </c>
      <c r="D82" s="61">
        <v>1</v>
      </c>
      <c r="E82" t="s">
        <v>17</v>
      </c>
      <c r="F82" s="54">
        <v>44452</v>
      </c>
      <c r="G82" s="9">
        <f>'Datos Crudos SE2 Impact'!H2</f>
        <v>1.9349000000000001</v>
      </c>
      <c r="H82" s="9">
        <f>'Datos Crudos SE2 Impact'!H56</f>
        <v>2.1193</v>
      </c>
      <c r="I82" s="17">
        <f>'Datos Crudos SE2 Impact'!I2</f>
        <v>5.7987492893689518</v>
      </c>
      <c r="J82" s="17">
        <f>'Datos Crudos SE2 Impact'!I56</f>
        <v>6.9268154579342154</v>
      </c>
      <c r="K82" s="9">
        <f>'Datos Crudos SE2 Impact'!R2</f>
        <v>1.7491000000000001</v>
      </c>
      <c r="L82" s="9">
        <f>'Datos Crudos SE2 Impact'!R56</f>
        <v>1.9225999999999999</v>
      </c>
      <c r="M82" s="62">
        <v>44515</v>
      </c>
      <c r="N82" s="9">
        <f>'Datos Crudos SE2 Impact'!M2</f>
        <v>0.34699999999999998</v>
      </c>
      <c r="O82" s="9">
        <f>'Datos Crudos SE2 Impact'!P2</f>
        <v>0.126</v>
      </c>
      <c r="P82" s="9">
        <f>'Datos Crudos SE2 Impact'!Q2</f>
        <v>5.9799999999999999E-2</v>
      </c>
      <c r="Q82" s="9">
        <f>'Datos Crudos SE2 Impact'!M56</f>
        <v>1.5081</v>
      </c>
      <c r="R82" s="9">
        <f>'Datos Crudos SE2 Impact'!P56</f>
        <v>0.13420000000000001</v>
      </c>
      <c r="S82" s="9">
        <f>'Datos Crudos SE2 Impact'!Q56</f>
        <v>6.25E-2</v>
      </c>
      <c r="T82" s="9">
        <f>'Datos Crudos SE2 Impact'!O2</f>
        <v>0.15970000000000001</v>
      </c>
      <c r="U82" s="9">
        <f>'Datos Crudos SE2 Impact'!O56</f>
        <v>1.3090999999999999</v>
      </c>
      <c r="V82" s="198">
        <f t="shared" si="8"/>
        <v>0.90869590074895656</v>
      </c>
      <c r="W82" s="241">
        <f t="shared" si="9"/>
        <v>-7.9211283549829758E-2</v>
      </c>
      <c r="X82" s="21">
        <f t="shared" si="10"/>
        <v>0.59572462851950603</v>
      </c>
      <c r="Y82" s="21">
        <f t="shared" si="11"/>
        <v>0.6809008634141267</v>
      </c>
      <c r="Z82" s="22">
        <f>M82-F82</f>
        <v>63</v>
      </c>
      <c r="AA82" s="248">
        <f t="shared" si="13"/>
        <v>1.2176411919033984E-2</v>
      </c>
      <c r="AB82" s="17">
        <f>'Datos Crudos SE2 Impact'!S2</f>
        <v>90.869590074895669</v>
      </c>
      <c r="AC82" s="17">
        <f>'Datos Crudos SE2 Impact'!S56</f>
        <v>31.909913658587328</v>
      </c>
      <c r="AD82" s="65">
        <f>AVERAGE(W82:W88)</f>
        <v>-1.286856054850581E-2</v>
      </c>
      <c r="AE82">
        <f>STDEV(W82:W88)</f>
        <v>4.0505262824953453E-2</v>
      </c>
      <c r="AF82" s="7">
        <f>AVERAGE(AA82:AA88)</f>
        <v>1.4310183661054207E-2</v>
      </c>
      <c r="AG82" s="205">
        <f>STDEV(AA82:AA88)</f>
        <v>2.0300662200519303E-3</v>
      </c>
      <c r="AH82" s="17">
        <f>'Datos Crudos SE2 Impact'!U2</f>
        <v>9.13040992510434</v>
      </c>
      <c r="AI82" s="17">
        <f>'Datos Crudos SE2 Impact'!U56</f>
        <v>68.090086341412672</v>
      </c>
    </row>
    <row r="83" spans="1:35" x14ac:dyDescent="0.25">
      <c r="A83" s="9" t="s">
        <v>435</v>
      </c>
      <c r="B83" s="87" t="s">
        <v>327</v>
      </c>
      <c r="C83" s="22" t="s">
        <v>143</v>
      </c>
      <c r="D83" s="61">
        <v>2</v>
      </c>
      <c r="E83" t="s">
        <v>17</v>
      </c>
      <c r="F83" s="54">
        <v>44452</v>
      </c>
      <c r="G83" s="9">
        <f>'Datos Crudos SE2 Impact'!H3</f>
        <v>1.9308000000000001</v>
      </c>
      <c r="H83" s="9">
        <f>'Datos Crudos SE2 Impact'!H57</f>
        <v>2.1726000000000001</v>
      </c>
      <c r="I83" s="17">
        <f>'Datos Crudos SE2 Impact'!I3</f>
        <v>5.6815827636213037</v>
      </c>
      <c r="J83" s="17">
        <f>'Datos Crudos SE2 Impact'!I57</f>
        <v>7.3736536868268487</v>
      </c>
      <c r="K83" s="9">
        <f>'Datos Crudos SE2 Impact'!R3</f>
        <v>1.7395</v>
      </c>
      <c r="L83" s="9">
        <f>'Datos Crudos SE2 Impact'!R57</f>
        <v>1.9730000000000001</v>
      </c>
      <c r="M83" s="62">
        <v>44515</v>
      </c>
      <c r="N83" s="9">
        <f>'Datos Crudos SE2 Impact'!M3</f>
        <v>0.47660000000000002</v>
      </c>
      <c r="O83" s="9">
        <f>'Datos Crudos SE2 Impact'!P3</f>
        <v>0.12939999999999999</v>
      </c>
      <c r="P83" s="9">
        <f>'Datos Crudos SE2 Impact'!Q3</f>
        <v>6.1899999999999997E-2</v>
      </c>
      <c r="Q83" s="9">
        <f>'Datos Crudos SE2 Impact'!M57</f>
        <v>1.5316000000000001</v>
      </c>
      <c r="R83" s="9">
        <f>'Datos Crudos SE2 Impact'!P57</f>
        <v>0.14000000000000001</v>
      </c>
      <c r="S83" s="9">
        <f>'Datos Crudos SE2 Impact'!Q57</f>
        <v>5.96E-2</v>
      </c>
      <c r="T83" s="9">
        <f>'Datos Crudos SE2 Impact'!O3</f>
        <v>0.2848</v>
      </c>
      <c r="U83" s="9">
        <f>'Datos Crudos SE2 Impact'!O57</f>
        <v>1.3349</v>
      </c>
      <c r="V83" s="198">
        <f t="shared" si="8"/>
        <v>0.83627479160678353</v>
      </c>
      <c r="W83" s="198">
        <f t="shared" si="9"/>
        <v>6.7995349088081358E-3</v>
      </c>
      <c r="X83" s="21">
        <f t="shared" si="10"/>
        <v>0.5482466567303379</v>
      </c>
      <c r="Y83" s="21">
        <f t="shared" si="11"/>
        <v>0.67658388241256961</v>
      </c>
      <c r="Z83" s="22">
        <f t="shared" si="12"/>
        <v>63</v>
      </c>
      <c r="AA83" s="248">
        <f t="shared" si="13"/>
        <v>1.414886238304389E-2</v>
      </c>
      <c r="AB83" s="17">
        <f>'Datos Crudos SE2 Impact'!S3</f>
        <v>83.627479160678362</v>
      </c>
      <c r="AC83" s="17">
        <f>'Datos Crudos SE2 Impact'!S57</f>
        <v>32.341611758743035</v>
      </c>
      <c r="AG83" s="92"/>
      <c r="AH83" s="17">
        <f>'Datos Crudos SE2 Impact'!U3</f>
        <v>16.372520839321645</v>
      </c>
      <c r="AI83" s="17">
        <f>'Datos Crudos SE2 Impact'!U57</f>
        <v>67.658388241256958</v>
      </c>
    </row>
    <row r="84" spans="1:35" x14ac:dyDescent="0.25">
      <c r="A84" s="9" t="s">
        <v>436</v>
      </c>
      <c r="B84" s="87" t="s">
        <v>327</v>
      </c>
      <c r="C84" s="22" t="s">
        <v>143</v>
      </c>
      <c r="D84" s="61">
        <v>1</v>
      </c>
      <c r="E84" t="s">
        <v>18</v>
      </c>
      <c r="F84" s="54">
        <v>44452</v>
      </c>
      <c r="G84" s="9">
        <f>'Datos Crudos SE2 Impact'!H4</f>
        <v>1.9964999999999999</v>
      </c>
      <c r="H84" s="9">
        <f>'Datos Crudos SE2 Impact'!H58</f>
        <v>2.1825999999999999</v>
      </c>
      <c r="I84" s="17">
        <f>'Datos Crudos SE2 Impact'!I4</f>
        <v>5.7200100175306829</v>
      </c>
      <c r="J84" s="17">
        <f>'Datos Crudos SE2 Impact'!I58</f>
        <v>7.5368826170622336</v>
      </c>
      <c r="K84" s="9">
        <f>'Datos Crudos SE2 Impact'!R4</f>
        <v>1.8109</v>
      </c>
      <c r="L84" s="9">
        <f>'Datos Crudos SE2 Impact'!R58</f>
        <v>1.9851999999999999</v>
      </c>
      <c r="M84" s="62">
        <v>44515</v>
      </c>
      <c r="N84" s="9">
        <f>'Datos Crudos SE2 Impact'!M4</f>
        <v>0.49299999999999999</v>
      </c>
      <c r="O84" s="9">
        <f>'Datos Crudos SE2 Impact'!P4</f>
        <v>0.1275</v>
      </c>
      <c r="P84" s="9">
        <f>'Datos Crudos SE2 Impact'!Q4</f>
        <v>5.8099999999999999E-2</v>
      </c>
      <c r="Q84" s="9">
        <f>'Datos Crudos SE2 Impact'!M58</f>
        <v>1.5198</v>
      </c>
      <c r="R84" s="9">
        <f>'Datos Crudos SE2 Impact'!P58</f>
        <v>0.13750000000000001</v>
      </c>
      <c r="S84" s="9">
        <f>'Datos Crudos SE2 Impact'!Q58</f>
        <v>5.9900000000000002E-2</v>
      </c>
      <c r="T84" s="9">
        <f>'Datos Crudos SE2 Impact'!O4</f>
        <v>0.30620000000000003</v>
      </c>
      <c r="U84" s="9">
        <f>'Datos Crudos SE2 Impact'!O58</f>
        <v>1.3228</v>
      </c>
      <c r="V84" s="198">
        <f t="shared" si="8"/>
        <v>0.83091280578717763</v>
      </c>
      <c r="W84" s="198">
        <f t="shared" si="9"/>
        <v>1.3167689088862677E-2</v>
      </c>
      <c r="X84" s="21">
        <f t="shared" si="10"/>
        <v>0.5447314356229479</v>
      </c>
      <c r="Y84" s="21">
        <f t="shared" si="11"/>
        <v>0.66633084827725175</v>
      </c>
      <c r="Z84" s="22">
        <f t="shared" si="12"/>
        <v>63</v>
      </c>
      <c r="AA84" s="248">
        <f t="shared" si="13"/>
        <v>1.5049835242151923E-2</v>
      </c>
      <c r="AB84" s="17">
        <f>'Datos Crudos SE2 Impact'!S4</f>
        <v>83.091280578717758</v>
      </c>
      <c r="AC84" s="17">
        <f>'Datos Crudos SE2 Impact'!S58</f>
        <v>33.36691517227483</v>
      </c>
      <c r="AG84" s="92"/>
      <c r="AH84" s="17">
        <f>'Datos Crudos SE2 Impact'!U4</f>
        <v>16.908719421282235</v>
      </c>
      <c r="AI84" s="17">
        <f>'Datos Crudos SE2 Impact'!U58</f>
        <v>66.63308482772517</v>
      </c>
    </row>
    <row r="85" spans="1:35" x14ac:dyDescent="0.25">
      <c r="A85" s="9" t="s">
        <v>437</v>
      </c>
      <c r="B85" s="87" t="s">
        <v>327</v>
      </c>
      <c r="C85" s="22" t="s">
        <v>143</v>
      </c>
      <c r="D85" s="61">
        <v>2</v>
      </c>
      <c r="E85" t="s">
        <v>18</v>
      </c>
      <c r="F85" s="54">
        <v>44452</v>
      </c>
      <c r="G85" s="9">
        <f>'Datos Crudos SE2 Impact'!H5</f>
        <v>2.0666000000000002</v>
      </c>
      <c r="H85" s="9">
        <f>'Datos Crudos SE2 Impact'!H59</f>
        <v>2.1795</v>
      </c>
      <c r="I85" s="17">
        <f>'Datos Crudos SE2 Impact'!I5</f>
        <v>5.7582502661376056</v>
      </c>
      <c r="J85" s="17">
        <f>'Datos Crudos SE2 Impact'!I59</f>
        <v>7.5384262445514976</v>
      </c>
      <c r="K85" s="9">
        <f>'Datos Crudos SE2 Impact'!R5</f>
        <v>1.8729000000000002</v>
      </c>
      <c r="L85" s="9">
        <f>'Datos Crudos SE2 Impact'!R59</f>
        <v>1.9781</v>
      </c>
      <c r="M85" s="62">
        <v>44515</v>
      </c>
      <c r="N85" s="9">
        <f>'Datos Crudos SE2 Impact'!M5</f>
        <v>0.40379999999999999</v>
      </c>
      <c r="O85" s="9">
        <f>'Datos Crudos SE2 Impact'!P5</f>
        <v>0.13</v>
      </c>
      <c r="P85" s="9">
        <f>'Datos Crudos SE2 Impact'!Q5</f>
        <v>6.3700000000000007E-2</v>
      </c>
      <c r="Q85" s="9">
        <f>'Datos Crudos SE2 Impact'!M59</f>
        <v>1.6012</v>
      </c>
      <c r="R85" s="9">
        <f>'Datos Crudos SE2 Impact'!P59</f>
        <v>0.13900000000000001</v>
      </c>
      <c r="S85" s="9">
        <f>'Datos Crudos SE2 Impact'!Q59</f>
        <v>6.2399999999999997E-2</v>
      </c>
      <c r="T85" s="9">
        <f>'Datos Crudos SE2 Impact'!O5</f>
        <v>0.2077</v>
      </c>
      <c r="U85" s="9">
        <f>'Datos Crudos SE2 Impact'!O59</f>
        <v>1.3976</v>
      </c>
      <c r="V85" s="198">
        <f t="shared" si="8"/>
        <v>0.88910246142346094</v>
      </c>
      <c r="W85" s="241">
        <f t="shared" si="9"/>
        <v>-5.5941165586058217E-2</v>
      </c>
      <c r="X85" s="21">
        <f t="shared" si="10"/>
        <v>0.58287952340350413</v>
      </c>
      <c r="Y85" s="21">
        <f t="shared" si="11"/>
        <v>0.70653657550174409</v>
      </c>
      <c r="Z85" s="22">
        <f t="shared" si="12"/>
        <v>63</v>
      </c>
      <c r="AA85" s="248">
        <f t="shared" si="13"/>
        <v>1.111293768875873E-2</v>
      </c>
      <c r="AB85" s="17">
        <f>'Datos Crudos SE2 Impact'!S5</f>
        <v>88.910246142346097</v>
      </c>
      <c r="AC85" s="17">
        <f>'Datos Crudos SE2 Impact'!S59</f>
        <v>29.346342449825592</v>
      </c>
      <c r="AG85" s="92"/>
      <c r="AH85" s="17">
        <f>'Datos Crudos SE2 Impact'!U5</f>
        <v>11.089753857653903</v>
      </c>
      <c r="AI85" s="17">
        <f>'Datos Crudos SE2 Impact'!U59</f>
        <v>70.653657550174415</v>
      </c>
    </row>
    <row r="86" spans="1:35" x14ac:dyDescent="0.25">
      <c r="A86" s="9" t="s">
        <v>438</v>
      </c>
      <c r="B86" s="87" t="s">
        <v>327</v>
      </c>
      <c r="C86" s="22" t="s">
        <v>143</v>
      </c>
      <c r="D86" s="61">
        <v>1</v>
      </c>
      <c r="E86" t="s">
        <v>19</v>
      </c>
      <c r="F86" s="54">
        <v>44452</v>
      </c>
      <c r="G86" s="9">
        <f>'Datos Crudos SE2 Impact'!H6</f>
        <v>2.0905</v>
      </c>
      <c r="H86" s="9">
        <f>'Datos Crudos SE2 Impact'!H60</f>
        <v>2.1206999999999998</v>
      </c>
      <c r="I86" s="17">
        <f>'Datos Crudos SE2 Impact'!I6</f>
        <v>5.802439607749351</v>
      </c>
      <c r="J86" s="17">
        <f>'Datos Crudos SE2 Impact'!I60</f>
        <v>6.9599660489461117</v>
      </c>
      <c r="K86" s="9">
        <f>'Datos Crudos SE2 Impact'!R6</f>
        <v>1.9041000000000001</v>
      </c>
      <c r="L86" s="9">
        <f>'Datos Crudos SE2 Impact'!R60</f>
        <v>1.9339999999999997</v>
      </c>
      <c r="M86" s="62">
        <v>44515</v>
      </c>
      <c r="N86" s="9">
        <f>'Datos Crudos SE2 Impact'!M6</f>
        <v>0.54449999999999998</v>
      </c>
      <c r="O86" s="9">
        <f>'Datos Crudos SE2 Impact'!P6</f>
        <v>0.12790000000000001</v>
      </c>
      <c r="P86" s="9">
        <f>'Datos Crudos SE2 Impact'!Q6</f>
        <v>5.8500000000000003E-2</v>
      </c>
      <c r="Q86" s="9">
        <f>'Datos Crudos SE2 Impact'!M60</f>
        <v>1.4941</v>
      </c>
      <c r="R86" s="9">
        <f>'Datos Crudos SE2 Impact'!P60</f>
        <v>0.12820000000000001</v>
      </c>
      <c r="S86" s="9">
        <f>'Datos Crudos SE2 Impact'!Q60</f>
        <v>5.8500000000000003E-2</v>
      </c>
      <c r="T86" s="9">
        <f>'Datos Crudos SE2 Impact'!O6</f>
        <v>0.35820000000000002</v>
      </c>
      <c r="U86" s="9">
        <f>'Datos Crudos SE2 Impact'!O60</f>
        <v>1.3066</v>
      </c>
      <c r="V86" s="198">
        <f t="shared" si="8"/>
        <v>0.8118796281707894</v>
      </c>
      <c r="W86" s="198">
        <f t="shared" si="9"/>
        <v>3.5772413098824951E-2</v>
      </c>
      <c r="X86" s="21">
        <f t="shared" si="10"/>
        <v>0.53225362796944864</v>
      </c>
      <c r="Y86" s="21">
        <f t="shared" si="11"/>
        <v>0.67559462254395042</v>
      </c>
      <c r="Z86" s="22">
        <f t="shared" si="12"/>
        <v>63</v>
      </c>
      <c r="AA86" s="248">
        <f t="shared" si="13"/>
        <v>1.4925585260931882E-2</v>
      </c>
      <c r="AB86" s="17">
        <f>'Datos Crudos SE2 Impact'!S6</f>
        <v>81.187962817078926</v>
      </c>
      <c r="AC86" s="17">
        <f>'Datos Crudos SE2 Impact'!S60</f>
        <v>32.440537745604949</v>
      </c>
      <c r="AG86" s="92"/>
      <c r="AH86" s="17">
        <f>'Datos Crudos SE2 Impact'!U6</f>
        <v>18.812037182921067</v>
      </c>
      <c r="AI86" s="17">
        <f>'Datos Crudos SE2 Impact'!U60</f>
        <v>67.559462254395044</v>
      </c>
    </row>
    <row r="87" spans="1:35" x14ac:dyDescent="0.25">
      <c r="A87" s="9" t="s">
        <v>439</v>
      </c>
      <c r="B87" s="87" t="s">
        <v>327</v>
      </c>
      <c r="C87" s="22" t="s">
        <v>143</v>
      </c>
      <c r="D87" s="61">
        <v>2</v>
      </c>
      <c r="E87" t="s">
        <v>19</v>
      </c>
      <c r="F87" s="54">
        <v>44452</v>
      </c>
      <c r="G87" s="9">
        <f>'Datos Crudos SE2 Impact'!H7</f>
        <v>2.0282</v>
      </c>
      <c r="H87" s="9">
        <f>'Datos Crudos SE2 Impact'!H61</f>
        <v>2.1768000000000001</v>
      </c>
      <c r="I87" s="17">
        <f>'Datos Crudos SE2 Impact'!I7</f>
        <v>5.7982447490385534</v>
      </c>
      <c r="J87" s="17">
        <f>'Datos Crudos SE2 Impact'!I61</f>
        <v>7.4742741639103301</v>
      </c>
      <c r="K87" s="9">
        <f>'Datos Crudos SE2 Impact'!R7</f>
        <v>1.8447</v>
      </c>
      <c r="L87" s="9">
        <f>'Datos Crudos SE2 Impact'!R61</f>
        <v>1.9778</v>
      </c>
      <c r="M87" s="62">
        <v>44515</v>
      </c>
      <c r="N87" s="9">
        <f>'Datos Crudos SE2 Impact'!M7</f>
        <v>0.47210000000000002</v>
      </c>
      <c r="O87" s="9">
        <f>'Datos Crudos SE2 Impact'!P7</f>
        <v>0.125</v>
      </c>
      <c r="P87" s="9">
        <f>'Datos Crudos SE2 Impact'!Q7</f>
        <v>5.8500000000000003E-2</v>
      </c>
      <c r="Q87" s="9">
        <f>'Datos Crudos SE2 Impact'!M61</f>
        <v>1.4824999999999999</v>
      </c>
      <c r="R87" s="9">
        <f>'Datos Crudos SE2 Impact'!P61</f>
        <v>0.1419</v>
      </c>
      <c r="S87" s="9">
        <f>'Datos Crudos SE2 Impact'!Q61</f>
        <v>5.7099999999999998E-2</v>
      </c>
      <c r="T87" s="9">
        <f>'Datos Crudos SE2 Impact'!O7</f>
        <v>0.29039999999999999</v>
      </c>
      <c r="U87" s="9">
        <f>'Datos Crudos SE2 Impact'!O61</f>
        <v>1.2863</v>
      </c>
      <c r="V87" s="198">
        <f t="shared" si="8"/>
        <v>0.84257602862254022</v>
      </c>
      <c r="W87" s="241">
        <f t="shared" si="9"/>
        <v>-6.8411950420466106E-4</v>
      </c>
      <c r="X87" s="21">
        <f t="shared" si="10"/>
        <v>0.552377633966321</v>
      </c>
      <c r="Y87" s="21">
        <f t="shared" si="11"/>
        <v>0.65036909697643852</v>
      </c>
      <c r="Z87" s="22">
        <f t="shared" si="12"/>
        <v>63</v>
      </c>
      <c r="AA87" s="248">
        <f t="shared" si="13"/>
        <v>1.5909116866659863E-2</v>
      </c>
      <c r="AB87" s="17">
        <f>'Datos Crudos SE2 Impact'!S7</f>
        <v>84.257602862254018</v>
      </c>
      <c r="AC87" s="17">
        <f>'Datos Crudos SE2 Impact'!S61</f>
        <v>34.96309030235615</v>
      </c>
      <c r="AG87" s="92"/>
      <c r="AH87" s="17">
        <f>'Datos Crudos SE2 Impact'!U7</f>
        <v>15.742397137745975</v>
      </c>
      <c r="AI87" s="17">
        <f>'Datos Crudos SE2 Impact'!U61</f>
        <v>65.03690969764385</v>
      </c>
    </row>
    <row r="88" spans="1:35" x14ac:dyDescent="0.25">
      <c r="A88" s="91" t="s">
        <v>426</v>
      </c>
      <c r="B88" s="203" t="s">
        <v>327</v>
      </c>
      <c r="C88" s="91" t="s">
        <v>143</v>
      </c>
      <c r="D88" s="61">
        <v>2</v>
      </c>
      <c r="E88" t="s">
        <v>20</v>
      </c>
      <c r="F88" s="204">
        <v>44452</v>
      </c>
      <c r="G88" s="91">
        <f>'Datos Crudos SE2 Impact'!H8</f>
        <v>1.9671000000000001</v>
      </c>
      <c r="H88" s="91">
        <f>'Datos Crudos SE2 Impact'!H63</f>
        <v>2.1539000000000001</v>
      </c>
      <c r="I88" s="17">
        <f>'Datos Crudos SE2 Impact'!I8</f>
        <v>5.0988765187331637</v>
      </c>
      <c r="J88" s="93">
        <f>'Datos Crudos SE2 Impact'!I63</f>
        <v>7.5862389154556729</v>
      </c>
      <c r="K88" s="9">
        <f>'Datos Crudos SE2 Impact'!R8</f>
        <v>1.7747999999999999</v>
      </c>
      <c r="L88" s="91">
        <f>'Datos Crudos SE2 Impact'!R63</f>
        <v>1.9581000000000002</v>
      </c>
      <c r="M88" s="62">
        <v>44515</v>
      </c>
      <c r="N88" s="9">
        <f>'Datos Crudos SE2 Impact'!M8</f>
        <v>0.45800000000000002</v>
      </c>
      <c r="O88" s="9">
        <f>'Datos Crudos SE2 Impact'!P8</f>
        <v>0.13320000000000001</v>
      </c>
      <c r="P88" s="9">
        <f>'Datos Crudos SE2 Impact'!Q8</f>
        <v>5.91E-2</v>
      </c>
      <c r="Q88" s="91">
        <f>'Datos Crudos SE2 Impact'!M63</f>
        <v>1.4411</v>
      </c>
      <c r="R88" s="91">
        <f>'Datos Crudos SE2 Impact'!P63</f>
        <v>0.13420000000000001</v>
      </c>
      <c r="S88" s="91">
        <f>'Datos Crudos SE2 Impact'!Q63</f>
        <v>6.1600000000000002E-2</v>
      </c>
      <c r="T88" s="9">
        <f>'Datos Crudos SE2 Impact'!O8</f>
        <v>0.26550000000000001</v>
      </c>
      <c r="U88" s="91">
        <f>'Datos Crudos SE2 Impact'!O63</f>
        <v>1.2441</v>
      </c>
      <c r="V88" s="198">
        <f t="shared" si="8"/>
        <v>0.85040567951318458</v>
      </c>
      <c r="W88" s="241">
        <f t="shared" si="9"/>
        <v>-9.9829922959437933E-3</v>
      </c>
      <c r="X88" s="21">
        <f t="shared" si="10"/>
        <v>0.55751061174736105</v>
      </c>
      <c r="Y88" s="21">
        <f t="shared" si="11"/>
        <v>0.63536080894744895</v>
      </c>
      <c r="Z88" s="22">
        <f t="shared" si="12"/>
        <v>63</v>
      </c>
      <c r="AA88" s="248">
        <f t="shared" si="13"/>
        <v>1.6848536266799184E-2</v>
      </c>
      <c r="AB88" s="17">
        <f>'Datos Crudos SE2 Impact'!S8</f>
        <v>85.040567951318451</v>
      </c>
      <c r="AC88" s="93">
        <f>'Datos Crudos SE2 Impact'!S63</f>
        <v>36.463919105255101</v>
      </c>
      <c r="AD88" s="90"/>
      <c r="AE88" s="90"/>
      <c r="AF88" s="90"/>
      <c r="AG88" s="94"/>
      <c r="AH88" s="17">
        <f>'Datos Crudos SE2 Impact'!U8</f>
        <v>14.959432048681542</v>
      </c>
      <c r="AI88" s="93">
        <f>'Datos Crudos SE2 Impact'!U63</f>
        <v>63.536080894744899</v>
      </c>
    </row>
    <row r="89" spans="1:35" x14ac:dyDescent="0.25">
      <c r="A89" s="9" t="s">
        <v>427</v>
      </c>
      <c r="B89" s="87" t="s">
        <v>328</v>
      </c>
      <c r="C89" s="22" t="s">
        <v>143</v>
      </c>
      <c r="D89" s="61">
        <v>1</v>
      </c>
      <c r="E89" t="s">
        <v>17</v>
      </c>
      <c r="F89" s="53">
        <v>44459</v>
      </c>
      <c r="G89" s="91">
        <f>'Datos Crudos SE2 Impact'!H9</f>
        <v>1.9664999999999999</v>
      </c>
      <c r="H89" s="9">
        <f>'Datos Crudos SE2 Impact'!H64</f>
        <v>2.1212</v>
      </c>
      <c r="I89" s="17">
        <f>'Datos Crudos SE2 Impact'!I9</f>
        <v>6.4022374777523581</v>
      </c>
      <c r="J89" s="17">
        <f>'Datos Crudos SE2 Impact'!I64</f>
        <v>7.9483311333207656</v>
      </c>
      <c r="K89" s="9">
        <f>'Datos Crudos SE2 Impact'!R9</f>
        <v>1.7732999999999999</v>
      </c>
      <c r="L89" s="9">
        <f>'Datos Crudos SE2 Impact'!R64</f>
        <v>1.9188000000000001</v>
      </c>
      <c r="M89" s="62">
        <v>44515</v>
      </c>
      <c r="N89" s="9">
        <f>'Datos Crudos SE2 Impact'!M9</f>
        <v>0.4486</v>
      </c>
      <c r="O89" s="9">
        <f>'Datos Crudos SE2 Impact'!P9</f>
        <v>0.1288</v>
      </c>
      <c r="P89" s="9">
        <f>'Datos Crudos SE2 Impact'!Q9</f>
        <v>6.4399999999999999E-2</v>
      </c>
      <c r="Q89" s="9">
        <f>'Datos Crudos SE2 Impact'!M64</f>
        <v>1.4653</v>
      </c>
      <c r="R89" s="9">
        <f>'Datos Crudos SE2 Impact'!P64</f>
        <v>0.1348</v>
      </c>
      <c r="S89" s="9">
        <f>'Datos Crudos SE2 Impact'!Q64</f>
        <v>6.7599999999999993E-2</v>
      </c>
      <c r="T89" s="9">
        <f>'Datos Crudos SE2 Impact'!O9</f>
        <v>0.25569999999999998</v>
      </c>
      <c r="U89" s="9">
        <f>'Datos Crudos SE2 Impact'!O56</f>
        <v>1.3090999999999999</v>
      </c>
      <c r="V89" s="198">
        <f t="shared" si="8"/>
        <v>0.85580556025489196</v>
      </c>
      <c r="W89" s="241">
        <f t="shared" si="9"/>
        <v>-1.6396152321724422E-2</v>
      </c>
      <c r="X89" s="21">
        <f t="shared" si="10"/>
        <v>0.56105067608159198</v>
      </c>
      <c r="Y89" s="21">
        <f t="shared" si="11"/>
        <v>0.6822493224932249</v>
      </c>
      <c r="Z89" s="22">
        <f t="shared" si="12"/>
        <v>56</v>
      </c>
      <c r="AA89" s="248">
        <f t="shared" si="13"/>
        <v>1.4919928378705701E-2</v>
      </c>
      <c r="AB89" s="17">
        <f>'Datos Crudos SE2 Impact'!S9</f>
        <v>85.580556025489201</v>
      </c>
      <c r="AC89" s="17">
        <f>'Datos Crudos SE2 Impact'!S64</f>
        <v>34.042109651865751</v>
      </c>
      <c r="AD89" s="65">
        <f>AVERAGE(W89:W96)</f>
        <v>-4.924156474471475E-3</v>
      </c>
      <c r="AE89">
        <f>STDEV(W89:W96)</f>
        <v>1.6835620140111786E-2</v>
      </c>
      <c r="AF89" s="7">
        <f>AVERAGE(AA89:AA96)</f>
        <v>1.6010726426309001E-2</v>
      </c>
      <c r="AG89" s="210">
        <f>STDEV(AA89:AA96)</f>
        <v>3.2590669636330173E-3</v>
      </c>
      <c r="AH89" s="17">
        <f>'Datos Crudos SE2 Impact'!U9</f>
        <v>14.419443974510799</v>
      </c>
      <c r="AI89" s="93">
        <f>'Datos Crudos SE2 Impact'!U64</f>
        <v>65.957890348134256</v>
      </c>
    </row>
    <row r="90" spans="1:35" x14ac:dyDescent="0.25">
      <c r="A90" s="9" t="s">
        <v>428</v>
      </c>
      <c r="B90" s="87" t="s">
        <v>328</v>
      </c>
      <c r="C90" s="22" t="s">
        <v>143</v>
      </c>
      <c r="D90" s="61">
        <v>2</v>
      </c>
      <c r="E90" t="s">
        <v>17</v>
      </c>
      <c r="F90" s="53">
        <v>44459</v>
      </c>
      <c r="G90" s="91">
        <f>'Datos Crudos SE2 Impact'!H10</f>
        <v>1.8947000000000001</v>
      </c>
      <c r="H90" s="9">
        <f>'Datos Crudos SE2 Impact'!H65</f>
        <v>2.0958999999999999</v>
      </c>
      <c r="I90" s="17">
        <f>'Datos Crudos SE2 Impact'!I10</f>
        <v>6.4495698527471417</v>
      </c>
      <c r="J90" s="17">
        <f>'Datos Crudos SE2 Impact'!I65</f>
        <v>8.0442769216088603</v>
      </c>
      <c r="K90" s="9">
        <f>'Datos Crudos SE2 Impact'!R10</f>
        <v>1.6998</v>
      </c>
      <c r="L90" s="9">
        <f>'Datos Crudos SE2 Impact'!R65</f>
        <v>1.8860999999999999</v>
      </c>
      <c r="M90" s="62">
        <v>44515</v>
      </c>
      <c r="N90" s="9">
        <f>'Datos Crudos SE2 Impact'!M10</f>
        <v>0.45490000000000003</v>
      </c>
      <c r="O90" s="9">
        <f>'Datos Crudos SE2 Impact'!P10</f>
        <v>0.12859999999999999</v>
      </c>
      <c r="P90" s="9">
        <f>'Datos Crudos SE2 Impact'!Q10</f>
        <v>6.6299999999999998E-2</v>
      </c>
      <c r="Q90" s="9">
        <f>'Datos Crudos SE2 Impact'!M65</f>
        <v>1.4824999999999999</v>
      </c>
      <c r="R90" s="9">
        <f>'Datos Crudos SE2 Impact'!P65</f>
        <v>0.14280000000000001</v>
      </c>
      <c r="S90" s="9">
        <f>'Datos Crudos SE2 Impact'!Q65</f>
        <v>6.7000000000000004E-2</v>
      </c>
      <c r="T90" s="9">
        <f>'Datos Crudos SE2 Impact'!O10</f>
        <v>0.26229999999999998</v>
      </c>
      <c r="U90" s="9">
        <f>'Datos Crudos SE2 Impact'!O57</f>
        <v>1.3349</v>
      </c>
      <c r="V90" s="198">
        <f t="shared" si="8"/>
        <v>0.84568772796799618</v>
      </c>
      <c r="W90" s="241">
        <f t="shared" si="9"/>
        <v>-4.37972442754897E-3</v>
      </c>
      <c r="X90" s="21">
        <f t="shared" si="10"/>
        <v>0.55441760788400707</v>
      </c>
      <c r="Y90" s="21">
        <f t="shared" si="11"/>
        <v>0.70775674672604849</v>
      </c>
      <c r="Z90" s="22">
        <f t="shared" si="12"/>
        <v>56</v>
      </c>
      <c r="AA90" s="248">
        <f t="shared" si="13"/>
        <v>1.3373365171117781E-2</v>
      </c>
      <c r="AB90" s="17">
        <f>'Datos Crudos SE2 Impact'!S10</f>
        <v>84.568772796799635</v>
      </c>
      <c r="AC90" s="17">
        <f>'Datos Crudos SE2 Impact'!S65</f>
        <v>32.357775303536393</v>
      </c>
      <c r="AG90" s="211"/>
      <c r="AH90" s="17">
        <f>'Datos Crudos SE2 Impact'!U10</f>
        <v>15.431227203200375</v>
      </c>
      <c r="AI90" s="93">
        <f>'Datos Crudos SE2 Impact'!U65</f>
        <v>67.6422246964636</v>
      </c>
    </row>
    <row r="91" spans="1:35" x14ac:dyDescent="0.25">
      <c r="A91" s="9" t="s">
        <v>429</v>
      </c>
      <c r="B91" s="87" t="s">
        <v>328</v>
      </c>
      <c r="C91" s="22" t="s">
        <v>143</v>
      </c>
      <c r="D91" s="61">
        <v>1</v>
      </c>
      <c r="E91" t="s">
        <v>18</v>
      </c>
      <c r="F91" s="53">
        <v>44459</v>
      </c>
      <c r="G91" s="91">
        <f>'Datos Crudos SE2 Impact'!H11</f>
        <v>1.9502999999999999</v>
      </c>
      <c r="H91" s="9">
        <f>'Datos Crudos SE2 Impact'!H66</f>
        <v>2.1114999999999999</v>
      </c>
      <c r="I91" s="17">
        <f>'Datos Crudos SE2 Impact'!I11</f>
        <v>6.28108496128801</v>
      </c>
      <c r="J91" s="17">
        <f>'Datos Crudos SE2 Impact'!I66</f>
        <v>7.8948614728865776</v>
      </c>
      <c r="K91" s="9">
        <f>'Datos Crudos SE2 Impact'!R11</f>
        <v>1.7485999999999999</v>
      </c>
      <c r="L91" s="9">
        <f>'Datos Crudos SE2 Impact'!R66</f>
        <v>1.8988999999999998</v>
      </c>
      <c r="M91" s="62">
        <v>44515</v>
      </c>
      <c r="N91" s="9">
        <f>'Datos Crudos SE2 Impact'!M11</f>
        <v>0.44900000000000001</v>
      </c>
      <c r="O91" s="9">
        <f>'Datos Crudos SE2 Impact'!P11</f>
        <v>0.1361</v>
      </c>
      <c r="P91" s="9">
        <f>'Datos Crudos SE2 Impact'!Q11</f>
        <v>6.5600000000000006E-2</v>
      </c>
      <c r="Q91" s="9">
        <f>'Datos Crudos SE2 Impact'!M66</f>
        <v>1.5851999999999999</v>
      </c>
      <c r="R91" s="9">
        <f>'Datos Crudos SE2 Impact'!P66</f>
        <v>0.14169999999999999</v>
      </c>
      <c r="S91" s="9">
        <f>'Datos Crudos SE2 Impact'!Q66</f>
        <v>7.0900000000000005E-2</v>
      </c>
      <c r="T91" s="9">
        <f>'Datos Crudos SE2 Impact'!O11</f>
        <v>0.25219999999999998</v>
      </c>
      <c r="U91" s="9">
        <f>'Datos Crudos SE2 Impact'!O58</f>
        <v>1.3228</v>
      </c>
      <c r="V91" s="198">
        <f t="shared" si="8"/>
        <v>0.85577033055015439</v>
      </c>
      <c r="W91" s="241">
        <f t="shared" si="9"/>
        <v>-1.6354311817285527E-2</v>
      </c>
      <c r="X91" s="21">
        <f t="shared" si="10"/>
        <v>0.56102758012314169</v>
      </c>
      <c r="Y91" s="21">
        <f t="shared" si="11"/>
        <v>0.69661382905892888</v>
      </c>
      <c r="Z91" s="22">
        <f t="shared" si="12"/>
        <v>56</v>
      </c>
      <c r="AA91" s="248">
        <f t="shared" si="13"/>
        <v>1.3896452419685628E-2</v>
      </c>
      <c r="AB91" s="17">
        <f>'Datos Crudos SE2 Impact'!S11</f>
        <v>85.577033055015434</v>
      </c>
      <c r="AC91" s="17">
        <f>'Datos Crudos SE2 Impact'!S66</f>
        <v>27.88983095476328</v>
      </c>
      <c r="AG91" s="211"/>
      <c r="AH91" s="17">
        <f>'Datos Crudos SE2 Impact'!U11</f>
        <v>14.422966944984559</v>
      </c>
      <c r="AI91" s="93">
        <f>'Datos Crudos SE2 Impact'!U66</f>
        <v>72.110169045236717</v>
      </c>
    </row>
    <row r="92" spans="1:35" x14ac:dyDescent="0.25">
      <c r="A92" s="9" t="s">
        <v>430</v>
      </c>
      <c r="B92" s="87" t="s">
        <v>328</v>
      </c>
      <c r="C92" s="22" t="s">
        <v>143</v>
      </c>
      <c r="D92" s="61">
        <v>2</v>
      </c>
      <c r="E92" t="s">
        <v>18</v>
      </c>
      <c r="F92" s="53">
        <v>44459</v>
      </c>
      <c r="G92" s="91">
        <f>'Datos Crudos SE2 Impact'!H12</f>
        <v>1.8281000000000001</v>
      </c>
      <c r="H92" s="9">
        <f>'Datos Crudos SE2 Impact'!H67</f>
        <v>2.1642000000000001</v>
      </c>
      <c r="I92" s="17">
        <f>'Datos Crudos SE2 Impact'!I12</f>
        <v>61.041518516492523</v>
      </c>
      <c r="J92" s="17">
        <f>'Datos Crudos SE2 Impact'!I67</f>
        <v>7.9890952777007582</v>
      </c>
      <c r="K92" s="9">
        <f>'Datos Crudos SE2 Impact'!R12</f>
        <v>1.6324000000000001</v>
      </c>
      <c r="L92" s="9">
        <f>'Datos Crudos SE2 Impact'!R67</f>
        <v>1.9557000000000002</v>
      </c>
      <c r="M92" s="62">
        <v>44515</v>
      </c>
      <c r="N92" s="9">
        <f>'Datos Crudos SE2 Impact'!M12</f>
        <v>0.45800000000000002</v>
      </c>
      <c r="O92" s="9">
        <f>'Datos Crudos SE2 Impact'!P12</f>
        <v>0.13</v>
      </c>
      <c r="P92" s="9">
        <f>'Datos Crudos SE2 Impact'!Q12</f>
        <v>6.5699999999999995E-2</v>
      </c>
      <c r="Q92" s="9">
        <f>'Datos Crudos SE2 Impact'!M67</f>
        <v>1.6138999999999999</v>
      </c>
      <c r="R92" s="9">
        <f>'Datos Crudos SE2 Impact'!P67</f>
        <v>0.14169999999999999</v>
      </c>
      <c r="S92" s="9">
        <f>'Datos Crudos SE2 Impact'!Q67</f>
        <v>6.6799999999999998E-2</v>
      </c>
      <c r="T92" s="9">
        <f>'Datos Crudos SE2 Impact'!O12</f>
        <v>0.26229999999999998</v>
      </c>
      <c r="U92" s="9">
        <f>'Datos Crudos SE2 Impact'!O59</f>
        <v>1.3976</v>
      </c>
      <c r="V92" s="198">
        <f t="shared" si="8"/>
        <v>0.83931634403332522</v>
      </c>
      <c r="W92" s="198">
        <f t="shared" si="9"/>
        <v>3.1872398654094747E-3</v>
      </c>
      <c r="X92" s="21">
        <f t="shared" si="10"/>
        <v>0.55024064359429403</v>
      </c>
      <c r="Y92" s="21">
        <f t="shared" si="11"/>
        <v>0.71462903308278358</v>
      </c>
      <c r="Z92" s="22">
        <f t="shared" si="12"/>
        <v>56</v>
      </c>
      <c r="AA92" s="248">
        <f t="shared" si="13"/>
        <v>1.3055674954442657E-2</v>
      </c>
      <c r="AB92" s="17">
        <f>'Datos Crudos SE2 Impact'!S12</f>
        <v>83.931634403332524</v>
      </c>
      <c r="AC92" s="17">
        <f>'Datos Crudos SE2 Impact'!S67</f>
        <v>28.138262514700628</v>
      </c>
      <c r="AG92" s="211"/>
      <c r="AH92" s="17">
        <f>'Datos Crudos SE2 Impact'!U12</f>
        <v>16.06836559666748</v>
      </c>
      <c r="AI92" s="93">
        <f>'Datos Crudos SE2 Impact'!U67</f>
        <v>71.861737485299372</v>
      </c>
    </row>
    <row r="93" spans="1:35" x14ac:dyDescent="0.25">
      <c r="A93" s="9" t="s">
        <v>431</v>
      </c>
      <c r="B93" s="87" t="s">
        <v>328</v>
      </c>
      <c r="C93" s="22" t="s">
        <v>143</v>
      </c>
      <c r="D93" s="61">
        <v>1</v>
      </c>
      <c r="E93" t="s">
        <v>19</v>
      </c>
      <c r="F93" s="53">
        <v>44459</v>
      </c>
      <c r="G93" s="91">
        <f>'Datos Crudos SE2 Impact'!H13</f>
        <v>2.1091000000000002</v>
      </c>
      <c r="H93" s="9">
        <f>'Datos Crudos SE2 Impact'!H68</f>
        <v>2.1006999999999998</v>
      </c>
      <c r="I93" s="17">
        <f>'Datos Crudos SE2 Impact'!I13</f>
        <v>6.5857474752264</v>
      </c>
      <c r="J93" s="17">
        <f>'Datos Crudos SE2 Impact'!I68</f>
        <v>7.7831199124101706</v>
      </c>
      <c r="K93" s="9">
        <f>'Datos Crudos SE2 Impact'!R13</f>
        <v>1.9099000000000002</v>
      </c>
      <c r="L93" s="9">
        <f>'Datos Crudos SE2 Impact'!R68</f>
        <v>1.8935999999999997</v>
      </c>
      <c r="M93" s="62">
        <v>44515</v>
      </c>
      <c r="N93" s="9">
        <f>'Datos Crudos SE2 Impact'!M13</f>
        <v>0.45929999999999999</v>
      </c>
      <c r="O93" s="9">
        <f>'Datos Crudos SE2 Impact'!P13</f>
        <v>0.1331</v>
      </c>
      <c r="P93" s="9">
        <f>'Datos Crudos SE2 Impact'!Q13</f>
        <v>6.6100000000000006E-2</v>
      </c>
      <c r="Q93" s="9">
        <f>'Datos Crudos SE2 Impact'!M68</f>
        <v>1.4871000000000001</v>
      </c>
      <c r="R93" s="9">
        <f>'Datos Crudos SE2 Impact'!P68</f>
        <v>0.13789999999999999</v>
      </c>
      <c r="S93" s="9">
        <f>'Datos Crudos SE2 Impact'!Q68</f>
        <v>6.9199999999999998E-2</v>
      </c>
      <c r="T93" s="9">
        <f>'Datos Crudos SE2 Impact'!O13</f>
        <v>0.2611</v>
      </c>
      <c r="U93" s="9">
        <f>'Datos Crudos SE2 Impact'!O60</f>
        <v>1.3066</v>
      </c>
      <c r="V93" s="198">
        <f t="shared" si="8"/>
        <v>0.86329127179433485</v>
      </c>
      <c r="W93" s="241">
        <f t="shared" si="9"/>
        <v>-2.5286546074031913E-2</v>
      </c>
      <c r="X93" s="21">
        <f t="shared" si="10"/>
        <v>0.5659581734328657</v>
      </c>
      <c r="Y93" s="21">
        <f t="shared" si="11"/>
        <v>0.69000844951415308</v>
      </c>
      <c r="Z93" s="22">
        <f t="shared" si="12"/>
        <v>56</v>
      </c>
      <c r="AA93" s="248">
        <f t="shared" si="13"/>
        <v>1.4169162858531915E-2</v>
      </c>
      <c r="AB93" s="17">
        <f>'Datos Crudos SE2 Impact'!S13</f>
        <v>86.32912717943347</v>
      </c>
      <c r="AC93" s="17">
        <f>'Datos Crudos SE2 Impact'!S68</f>
        <v>32.102872834811983</v>
      </c>
      <c r="AG93" s="211"/>
      <c r="AH93" s="17">
        <f>'Datos Crudos SE2 Impact'!U13</f>
        <v>13.670872820566521</v>
      </c>
      <c r="AI93" s="93">
        <f>'Datos Crudos SE2 Impact'!U68</f>
        <v>67.897127165188024</v>
      </c>
    </row>
    <row r="94" spans="1:35" x14ac:dyDescent="0.25">
      <c r="A94" s="9" t="s">
        <v>432</v>
      </c>
      <c r="B94" s="87" t="s">
        <v>328</v>
      </c>
      <c r="C94" s="22" t="s">
        <v>143</v>
      </c>
      <c r="D94" s="61">
        <v>2</v>
      </c>
      <c r="E94" t="s">
        <v>19</v>
      </c>
      <c r="F94" s="53">
        <v>44459</v>
      </c>
      <c r="G94" s="91">
        <f>'Datos Crudos SE2 Impact'!H14</f>
        <v>2.0144000000000002</v>
      </c>
      <c r="H94" s="9">
        <f>'Datos Crudos SE2 Impact'!H69</f>
        <v>2.2534999999999998</v>
      </c>
      <c r="I94" s="17">
        <f>'Datos Crudos SE2 Impact'!I14</f>
        <v>6.527998411437645</v>
      </c>
      <c r="J94" s="17">
        <f>'Datos Crudos SE2 Impact'!I69</f>
        <v>8.076325715553601</v>
      </c>
      <c r="K94" s="9">
        <f>'Datos Crudos SE2 Impact'!R14</f>
        <v>1.8220000000000003</v>
      </c>
      <c r="L94" s="9">
        <f>'Datos Crudos SE2 Impact'!R69</f>
        <v>2.0503999999999998</v>
      </c>
      <c r="M94" s="62">
        <v>44515</v>
      </c>
      <c r="N94" s="9">
        <f>'Datos Crudos SE2 Impact'!M14</f>
        <v>0.52569999999999995</v>
      </c>
      <c r="O94" s="9">
        <f>'Datos Crudos SE2 Impact'!P14</f>
        <v>0.12989999999999999</v>
      </c>
      <c r="P94" s="9">
        <f>'Datos Crudos SE2 Impact'!Q14</f>
        <v>6.25E-2</v>
      </c>
      <c r="Q94" s="9">
        <f>'Datos Crudos SE2 Impact'!M69</f>
        <v>1.6463000000000001</v>
      </c>
      <c r="R94" s="9">
        <f>'Datos Crudos SE2 Impact'!P69</f>
        <v>0.13950000000000001</v>
      </c>
      <c r="S94" s="9">
        <f>'Datos Crudos SE2 Impact'!Q69</f>
        <v>6.3600000000000004E-2</v>
      </c>
      <c r="T94" s="9">
        <f>'Datos Crudos SE2 Impact'!O14</f>
        <v>0.33339999999999997</v>
      </c>
      <c r="U94" s="9">
        <f>'Datos Crudos SE2 Impact'!O61</f>
        <v>1.2863</v>
      </c>
      <c r="V94" s="198">
        <f t="shared" si="8"/>
        <v>0.81701427003293092</v>
      </c>
      <c r="W94" s="198">
        <f t="shared" si="9"/>
        <v>2.9674263618846841E-2</v>
      </c>
      <c r="X94" s="21">
        <f t="shared" si="10"/>
        <v>0.5356198064823966</v>
      </c>
      <c r="Y94" s="21">
        <f t="shared" si="11"/>
        <v>0.62734100663285219</v>
      </c>
      <c r="Z94" s="22">
        <f t="shared" si="12"/>
        <v>56</v>
      </c>
      <c r="AA94" s="248">
        <f t="shared" si="13"/>
        <v>2.1248479134913293E-2</v>
      </c>
      <c r="AB94" s="17">
        <f>'Datos Crudos SE2 Impact'!S14</f>
        <v>81.701427003293091</v>
      </c>
      <c r="AC94" s="17">
        <f>'Datos Crudos SE2 Impact'!S69</f>
        <v>29.477175185329685</v>
      </c>
      <c r="AG94" s="211"/>
      <c r="AH94" s="17">
        <f>'Datos Crudos SE2 Impact'!U14</f>
        <v>18.298572996706909</v>
      </c>
      <c r="AI94" s="93">
        <f>'Datos Crudos SE2 Impact'!U69</f>
        <v>70.522824814670315</v>
      </c>
    </row>
    <row r="95" spans="1:35" x14ac:dyDescent="0.25">
      <c r="A95" s="9" t="s">
        <v>433</v>
      </c>
      <c r="B95" s="87" t="s">
        <v>328</v>
      </c>
      <c r="C95" s="22" t="s">
        <v>143</v>
      </c>
      <c r="D95" s="61">
        <v>1</v>
      </c>
      <c r="E95" t="s">
        <v>20</v>
      </c>
      <c r="F95" s="53">
        <v>44459</v>
      </c>
      <c r="G95" s="91">
        <f>'Datos Crudos SE2 Impact'!H15</f>
        <v>1.9737</v>
      </c>
      <c r="H95" s="9">
        <f>'Datos Crudos SE2 Impact'!H70</f>
        <v>2.2172999999999998</v>
      </c>
      <c r="I95" s="17">
        <f>'Datos Crudos SE2 Impact'!I15</f>
        <v>6.3079495364037008</v>
      </c>
      <c r="J95" s="17">
        <f>'Datos Crudos SE2 Impact'!I70</f>
        <v>8.0277815361024842</v>
      </c>
      <c r="K95" s="9">
        <f>'Datos Crudos SE2 Impact'!R15</f>
        <v>1.7730999999999999</v>
      </c>
      <c r="L95" s="9">
        <f>'Datos Crudos SE2 Impact'!R70</f>
        <v>2.0112999999999999</v>
      </c>
      <c r="M95" s="62">
        <v>44515</v>
      </c>
      <c r="N95" s="9">
        <f>'Datos Crudos SE2 Impact'!M15</f>
        <v>0.46479999999999999</v>
      </c>
      <c r="O95" s="9">
        <f>'Datos Crudos SE2 Impact'!P15</f>
        <v>0.1368</v>
      </c>
      <c r="P95" s="9">
        <f>'Datos Crudos SE2 Impact'!Q15</f>
        <v>6.3799999999999996E-2</v>
      </c>
      <c r="Q95" s="9">
        <f>'Datos Crudos SE2 Impact'!M70</f>
        <v>1.6176999999999999</v>
      </c>
      <c r="R95" s="9">
        <f>'Datos Crudos SE2 Impact'!P70</f>
        <v>0.13969999999999999</v>
      </c>
      <c r="S95" s="9">
        <f>'Datos Crudos SE2 Impact'!Q70</f>
        <v>6.6299999999999998E-2</v>
      </c>
      <c r="T95" s="9">
        <f>'Datos Crudos SE2 Impact'!O15</f>
        <v>0.26579999999999998</v>
      </c>
      <c r="U95" s="9">
        <f>'Datos Crudos SE2 Impact'!O62</f>
        <v>1.3288</v>
      </c>
      <c r="V95" s="198">
        <f t="shared" si="8"/>
        <v>0.850093057357171</v>
      </c>
      <c r="W95" s="241">
        <f t="shared" si="9"/>
        <v>-9.6117070750250111E-3</v>
      </c>
      <c r="X95" s="21">
        <f t="shared" si="10"/>
        <v>0.5573056623054139</v>
      </c>
      <c r="Y95" s="21">
        <f t="shared" si="11"/>
        <v>0.66066723014965445</v>
      </c>
      <c r="Z95" s="22">
        <f t="shared" si="12"/>
        <v>56</v>
      </c>
      <c r="AA95" s="248">
        <f t="shared" si="13"/>
        <v>1.6763270468739513E-2</v>
      </c>
      <c r="AB95" s="17">
        <f>'Datos Crudos SE2 Impact'!S15</f>
        <v>85.009305735717106</v>
      </c>
      <c r="AC95" s="17">
        <f>'Datos Crudos SE2 Impact'!S70</f>
        <v>29.687266941778951</v>
      </c>
      <c r="AG95" s="211"/>
      <c r="AH95" s="17">
        <f>'Datos Crudos SE2 Impact'!U15</f>
        <v>14.990694264282894</v>
      </c>
      <c r="AI95" s="93">
        <f>'Datos Crudos SE2 Impact'!U70</f>
        <v>70.312733058221056</v>
      </c>
    </row>
    <row r="96" spans="1:35" x14ac:dyDescent="0.25">
      <c r="A96" s="206" t="s">
        <v>441</v>
      </c>
      <c r="B96" s="207" t="s">
        <v>328</v>
      </c>
      <c r="C96" s="206" t="s">
        <v>143</v>
      </c>
      <c r="D96" s="61">
        <v>2</v>
      </c>
      <c r="E96" t="s">
        <v>20</v>
      </c>
      <c r="F96" s="208">
        <v>44459</v>
      </c>
      <c r="G96" s="91">
        <f>'Datos Crudos SE2 Impact'!H16</f>
        <v>1.9907999999999999</v>
      </c>
      <c r="H96" s="9">
        <f>'Datos Crudos SE2 Impact'!H71</f>
        <v>2.2023999999999999</v>
      </c>
      <c r="I96" s="17">
        <f>'Datos Crudos SE2 Impact'!I16</f>
        <v>6.2839059674502709</v>
      </c>
      <c r="J96" s="17">
        <f>'Datos Crudos SE2 Impact'!I71</f>
        <v>8.0412277515437829</v>
      </c>
      <c r="K96" s="9">
        <f>'Datos Crudos SE2 Impact'!R16</f>
        <v>1.7894999999999999</v>
      </c>
      <c r="L96" s="9">
        <f>'Datos Crudos SE2 Impact'!R71</f>
        <v>2.0017999999999998</v>
      </c>
      <c r="M96" s="62">
        <v>44515</v>
      </c>
      <c r="N96" s="9">
        <f>'Datos Crudos SE2 Impact'!M16</f>
        <v>0.48209999999999997</v>
      </c>
      <c r="O96" s="9">
        <f>'Datos Crudos SE2 Impact'!P16</f>
        <v>0.13619999999999999</v>
      </c>
      <c r="P96" s="9">
        <f>'Datos Crudos SE2 Impact'!Q16</f>
        <v>6.5100000000000005E-2</v>
      </c>
      <c r="Q96" s="9">
        <f>'Datos Crudos SE2 Impact'!M71</f>
        <v>1.5872999999999999</v>
      </c>
      <c r="R96" s="9">
        <f>'Datos Crudos SE2 Impact'!P71</f>
        <v>0.1336</v>
      </c>
      <c r="S96" s="9">
        <f>'Datos Crudos SE2 Impact'!Q71</f>
        <v>6.7000000000000004E-2</v>
      </c>
      <c r="T96" s="9">
        <f>'Datos Crudos SE2 Impact'!O16</f>
        <v>0.28239999999999998</v>
      </c>
      <c r="U96" s="206">
        <f>'Datos Crudos SE2 Impact'!O63</f>
        <v>1.2441</v>
      </c>
      <c r="V96" s="198">
        <f t="shared" si="8"/>
        <v>0.84219055602123505</v>
      </c>
      <c r="W96" s="241">
        <f t="shared" si="9"/>
        <v>-2.2631356441227268E-4</v>
      </c>
      <c r="X96" s="21">
        <f t="shared" si="10"/>
        <v>0.55212492508755562</v>
      </c>
      <c r="Y96" s="21">
        <f t="shared" si="11"/>
        <v>0.62149065840743334</v>
      </c>
      <c r="Z96" s="22">
        <f t="shared" si="12"/>
        <v>56</v>
      </c>
      <c r="AA96" s="248">
        <f t="shared" si="13"/>
        <v>2.0659478024335525E-2</v>
      </c>
      <c r="AB96" s="17">
        <f>'Datos Crudos SE2 Impact'!S16</f>
        <v>84.21905560212349</v>
      </c>
      <c r="AC96" s="17">
        <f>'Datos Crudos SE2 Impact'!S71</f>
        <v>30.532520731341783</v>
      </c>
      <c r="AD96" s="209"/>
      <c r="AE96" s="209"/>
      <c r="AF96" s="209"/>
      <c r="AG96" s="212"/>
      <c r="AH96" s="17">
        <f>'Datos Crudos SE2 Impact'!U16</f>
        <v>15.780944397876501</v>
      </c>
      <c r="AI96" s="93">
        <f>'Datos Crudos SE2 Impact'!U71</f>
        <v>69.467479268658224</v>
      </c>
    </row>
    <row r="97" spans="1:35" x14ac:dyDescent="0.25">
      <c r="A97" s="9" t="s">
        <v>442</v>
      </c>
      <c r="B97" s="87" t="s">
        <v>329</v>
      </c>
      <c r="C97" s="22" t="s">
        <v>143</v>
      </c>
      <c r="D97" s="61">
        <v>1</v>
      </c>
      <c r="E97" t="s">
        <v>17</v>
      </c>
      <c r="F97" s="53">
        <v>44466</v>
      </c>
      <c r="G97" s="91">
        <f>'Datos Crudos SE2 Impact'!H17</f>
        <v>2.0246</v>
      </c>
      <c r="H97" s="9">
        <f>'Datos Crudos SE2 Impact'!H72</f>
        <v>2.0419</v>
      </c>
      <c r="I97" s="17">
        <f>'Datos Crudos SE2 Impact'!I17</f>
        <v>5.9419144522374721</v>
      </c>
      <c r="J97" s="17">
        <f>'Datos Crudos SE2 Impact'!I72</f>
        <v>4.5545815172143573</v>
      </c>
      <c r="K97" s="9">
        <f>'Datos Crudos SE2 Impact'!R17</f>
        <v>1.8315999999999999</v>
      </c>
      <c r="L97" s="9">
        <f>'Datos Crudos SE2 Impact'!R72</f>
        <v>1.8437000000000001</v>
      </c>
      <c r="M97" s="62">
        <v>44524</v>
      </c>
      <c r="N97" s="9">
        <f>'Datos Crudos SE2 Impact'!M17</f>
        <v>0.49869999999999998</v>
      </c>
      <c r="O97" s="9">
        <f>'Datos Crudos SE2 Impact'!P17</f>
        <v>0.13689999999999999</v>
      </c>
      <c r="P97" s="9">
        <f>'Datos Crudos SE2 Impact'!Q17</f>
        <v>5.6099999999999997E-2</v>
      </c>
      <c r="Q97" s="9">
        <f>'Datos Crudos SE2 Impact'!M72</f>
        <v>1.3371999999999999</v>
      </c>
      <c r="R97" s="9">
        <f>'Datos Crudos SE2 Impact'!P72</f>
        <v>0.14050000000000001</v>
      </c>
      <c r="S97" s="9">
        <f>'Datos Crudos SE2 Impact'!Q72</f>
        <v>5.7700000000000001E-2</v>
      </c>
      <c r="T97" s="9">
        <f>'Datos Crudos SE2 Impact'!O17</f>
        <v>0.30320000000000003</v>
      </c>
      <c r="U97" s="9">
        <f>'Datos Crudos SE2 Impact'!O64</f>
        <v>1.2656000000000001</v>
      </c>
      <c r="V97" s="198">
        <f t="shared" si="8"/>
        <v>0.83446167285433503</v>
      </c>
      <c r="W97" s="198">
        <f t="shared" si="9"/>
        <v>8.9528825958016256E-3</v>
      </c>
      <c r="X97" s="21">
        <f t="shared" si="10"/>
        <v>0.54705800880711752</v>
      </c>
      <c r="Y97" s="21">
        <f t="shared" si="11"/>
        <v>0.68644573412160326</v>
      </c>
      <c r="Z97" s="22">
        <f t="shared" si="12"/>
        <v>58</v>
      </c>
      <c r="AA97" s="248">
        <f t="shared" si="13"/>
        <v>1.4678564468153615E-2</v>
      </c>
      <c r="AB97" s="17">
        <f>'Datos Crudos SE2 Impact'!S17</f>
        <v>83.446167285433503</v>
      </c>
      <c r="AC97" s="17">
        <f>'Datos Crudos SE2 Impact'!S72</f>
        <v>38.135271464988882</v>
      </c>
      <c r="AD97" s="65">
        <f>AVERAGE(W97:W104)</f>
        <v>1.2007631608946009E-2</v>
      </c>
      <c r="AE97">
        <f>STDEV(W97:W104)</f>
        <v>1.5900481879079255E-2</v>
      </c>
      <c r="AF97" s="7">
        <f>AVERAGE(AA97:AA104)</f>
        <v>1.4559332786131541E-2</v>
      </c>
      <c r="AG97" s="217">
        <f>STDEV(AA97:AA104)</f>
        <v>2.6297677554517908E-3</v>
      </c>
      <c r="AH97" s="17">
        <f>'Datos Crudos SE2 Impact'!U17</f>
        <v>16.553832714566504</v>
      </c>
      <c r="AI97" s="93">
        <f>'Datos Crudos SE2 Impact'!U72</f>
        <v>61.864728535011118</v>
      </c>
    </row>
    <row r="98" spans="1:35" x14ac:dyDescent="0.25">
      <c r="A98" s="9" t="s">
        <v>443</v>
      </c>
      <c r="B98" s="87" t="s">
        <v>329</v>
      </c>
      <c r="C98" s="22" t="s">
        <v>143</v>
      </c>
      <c r="D98" s="61">
        <v>2</v>
      </c>
      <c r="E98" t="s">
        <v>17</v>
      </c>
      <c r="F98" s="53">
        <v>44466</v>
      </c>
      <c r="G98" s="91">
        <f>'Datos Crudos SE2 Impact'!H18</f>
        <v>2.0158</v>
      </c>
      <c r="H98" s="9">
        <f>'Datos Crudos SE2 Impact'!H73</f>
        <v>2.2448999999999999</v>
      </c>
      <c r="I98" s="17">
        <f>'Datos Crudos SE2 Impact'!I18</f>
        <v>5.8388729040579488</v>
      </c>
      <c r="J98" s="17">
        <f>'Datos Crudos SE2 Impact'!I73</f>
        <v>4.8866319212437146</v>
      </c>
      <c r="K98" s="9">
        <f>'Datos Crudos SE2 Impact'!R18</f>
        <v>1.8325</v>
      </c>
      <c r="L98" s="9">
        <f>'Datos Crudos SE2 Impact'!R73</f>
        <v>2.0511999999999997</v>
      </c>
      <c r="M98" s="62">
        <v>44524</v>
      </c>
      <c r="N98" s="9">
        <f>'Datos Crudos SE2 Impact'!M18</f>
        <v>0.4486</v>
      </c>
      <c r="O98" s="9">
        <f>'Datos Crudos SE2 Impact'!P18</f>
        <v>0.12839999999999999</v>
      </c>
      <c r="P98" s="9">
        <f>'Datos Crudos SE2 Impact'!Q18</f>
        <v>5.4899999999999997E-2</v>
      </c>
      <c r="Q98" s="9">
        <f>'Datos Crudos SE2 Impact'!M73</f>
        <v>1.3684000000000001</v>
      </c>
      <c r="R98" s="9">
        <f>'Datos Crudos SE2 Impact'!P73</f>
        <v>0.1368</v>
      </c>
      <c r="S98" s="9">
        <f>'Datos Crudos SE2 Impact'!Q73</f>
        <v>5.6899999999999999E-2</v>
      </c>
      <c r="T98" s="9">
        <f>'Datos Crudos SE2 Impact'!O18</f>
        <v>0.26450000000000001</v>
      </c>
      <c r="U98" s="9">
        <f>'Datos Crudos SE2 Impact'!O65</f>
        <v>1.2758</v>
      </c>
      <c r="V98" s="198">
        <f t="shared" si="8"/>
        <v>0.85566166439290581</v>
      </c>
      <c r="W98" s="241">
        <f t="shared" si="9"/>
        <v>-1.6225254623403629E-2</v>
      </c>
      <c r="X98" s="21">
        <f t="shared" si="10"/>
        <v>0.56095634055211885</v>
      </c>
      <c r="Y98" s="21">
        <f t="shared" si="11"/>
        <v>0.62197737909516393</v>
      </c>
      <c r="Z98" s="22">
        <f t="shared" si="12"/>
        <v>58</v>
      </c>
      <c r="AA98" s="248">
        <f t="shared" si="13"/>
        <v>1.9319296183631228E-2</v>
      </c>
      <c r="AB98" s="17">
        <f>'Datos Crudos SE2 Impact'!S18</f>
        <v>85.566166439290598</v>
      </c>
      <c r="AC98" s="17">
        <f>'Datos Crudos SE2 Impact'!S73</f>
        <v>42.721333853354118</v>
      </c>
      <c r="AG98" s="218"/>
      <c r="AH98" s="17">
        <f>'Datos Crudos SE2 Impact'!U18</f>
        <v>14.433833560709413</v>
      </c>
      <c r="AI98" s="93">
        <f>'Datos Crudos SE2 Impact'!U73</f>
        <v>57.278666146645875</v>
      </c>
    </row>
    <row r="99" spans="1:35" x14ac:dyDescent="0.25">
      <c r="A99" s="9" t="s">
        <v>444</v>
      </c>
      <c r="B99" s="87" t="s">
        <v>329</v>
      </c>
      <c r="C99" s="22" t="s">
        <v>143</v>
      </c>
      <c r="D99" s="61">
        <v>1</v>
      </c>
      <c r="E99" t="s">
        <v>18</v>
      </c>
      <c r="F99" s="53">
        <v>44466</v>
      </c>
      <c r="G99" s="91">
        <f>'Datos Crudos SE2 Impact'!H19</f>
        <v>1.962</v>
      </c>
      <c r="H99" s="9">
        <f>'Datos Crudos SE2 Impact'!H74</f>
        <v>2.2109000000000001</v>
      </c>
      <c r="I99" s="17">
        <f>'Datos Crudos SE2 Impact'!I19</f>
        <v>4.8419979612640152</v>
      </c>
      <c r="J99" s="17">
        <f>'Datos Crudos SE2 Impact'!I74</f>
        <v>4.5501831833190112</v>
      </c>
      <c r="K99" s="9">
        <f>'Datos Crudos SE2 Impact'!R19</f>
        <v>1.7728999999999999</v>
      </c>
      <c r="L99" s="9">
        <f>'Datos Crudos SE2 Impact'!R74</f>
        <v>2.0082</v>
      </c>
      <c r="M99" s="62">
        <v>44524</v>
      </c>
      <c r="N99" s="9">
        <f>'Datos Crudos SE2 Impact'!M19</f>
        <v>0.49299999999999999</v>
      </c>
      <c r="O99" s="9">
        <f>'Datos Crudos SE2 Impact'!P19</f>
        <v>0.1331</v>
      </c>
      <c r="P99" s="9">
        <f>'Datos Crudos SE2 Impact'!Q19</f>
        <v>5.6000000000000001E-2</v>
      </c>
      <c r="Q99" s="9">
        <f>'Datos Crudos SE2 Impact'!M74</f>
        <v>1.5190999999999999</v>
      </c>
      <c r="R99" s="9">
        <f>'Datos Crudos SE2 Impact'!P74</f>
        <v>0.13589999999999999</v>
      </c>
      <c r="S99" s="9">
        <f>'Datos Crudos SE2 Impact'!Q74</f>
        <v>6.6799999999999998E-2</v>
      </c>
      <c r="T99" s="9">
        <f>'Datos Crudos SE2 Impact'!O19</f>
        <v>0.30259999999999998</v>
      </c>
      <c r="U99" s="9">
        <f>'Datos Crudos SE2 Impact'!O66</f>
        <v>1.3693</v>
      </c>
      <c r="V99" s="198">
        <f t="shared" si="8"/>
        <v>0.82931919454001912</v>
      </c>
      <c r="W99" s="198">
        <f t="shared" si="9"/>
        <v>1.5060339026105485E-2</v>
      </c>
      <c r="X99" s="21">
        <f t="shared" si="10"/>
        <v>0.54368669285758986</v>
      </c>
      <c r="Y99" s="21">
        <f t="shared" si="11"/>
        <v>0.68185439697241312</v>
      </c>
      <c r="Z99" s="22">
        <f t="shared" si="12"/>
        <v>58</v>
      </c>
      <c r="AA99" s="248">
        <f t="shared" si="13"/>
        <v>1.5170186031238516E-2</v>
      </c>
      <c r="AB99" s="17">
        <f>'Datos Crudos SE2 Impact'!S19</f>
        <v>82.931919454001928</v>
      </c>
      <c r="AC99" s="17">
        <f>'Datos Crudos SE2 Impact'!S74</f>
        <v>34.747535106065129</v>
      </c>
      <c r="AG99" s="218"/>
      <c r="AH99" s="17">
        <f>'Datos Crudos SE2 Impact'!U19</f>
        <v>17.068080545998082</v>
      </c>
      <c r="AI99" s="93">
        <f>'Datos Crudos SE2 Impact'!U74</f>
        <v>65.252464893934871</v>
      </c>
    </row>
    <row r="100" spans="1:35" x14ac:dyDescent="0.25">
      <c r="A100" s="9" t="s">
        <v>445</v>
      </c>
      <c r="B100" s="87" t="s">
        <v>329</v>
      </c>
      <c r="C100" s="22" t="s">
        <v>143</v>
      </c>
      <c r="D100" s="61">
        <v>2</v>
      </c>
      <c r="E100" t="s">
        <v>18</v>
      </c>
      <c r="F100" s="53">
        <v>44466</v>
      </c>
      <c r="G100" s="91">
        <f>'Datos Crudos SE2 Impact'!H20</f>
        <v>2.0543</v>
      </c>
      <c r="H100" s="9">
        <f>'Datos Crudos SE2 Impact'!H75</f>
        <v>2.2219000000000002</v>
      </c>
      <c r="I100" s="17">
        <f>'Datos Crudos SE2 Impact'!I20</f>
        <v>5.9192912427590869</v>
      </c>
      <c r="J100" s="17">
        <f>'Datos Crudos SE2 Impact'!I75</f>
        <v>4.9327152437103337</v>
      </c>
      <c r="K100" s="9">
        <f>'Datos Crudos SE2 Impact'!R20</f>
        <v>1.867</v>
      </c>
      <c r="L100" s="9">
        <f>'Datos Crudos SE2 Impact'!R75</f>
        <v>2.0058000000000002</v>
      </c>
      <c r="M100" s="62">
        <v>44524</v>
      </c>
      <c r="N100" s="9">
        <f>'Datos Crudos SE2 Impact'!M20</f>
        <v>0.50129999999999997</v>
      </c>
      <c r="O100" s="9">
        <f>'Datos Crudos SE2 Impact'!P20</f>
        <v>0.1298</v>
      </c>
      <c r="P100" s="9">
        <f>'Datos Crudos SE2 Impact'!Q20</f>
        <v>5.7500000000000002E-2</v>
      </c>
      <c r="Q100" s="9">
        <f>'Datos Crudos SE2 Impact'!M75</f>
        <v>1.4882</v>
      </c>
      <c r="R100" s="9">
        <f>'Datos Crudos SE2 Impact'!P75</f>
        <v>0.15279999999999999</v>
      </c>
      <c r="S100" s="9">
        <f>'Datos Crudos SE2 Impact'!Q75</f>
        <v>6.3299999999999995E-2</v>
      </c>
      <c r="T100" s="9">
        <f>'Datos Crudos SE2 Impact'!O20</f>
        <v>0.3085</v>
      </c>
      <c r="U100" s="9">
        <f>'Datos Crudos SE2 Impact'!O67</f>
        <v>1.4054</v>
      </c>
      <c r="V100" s="198">
        <f t="shared" si="8"/>
        <v>0.83476164970540978</v>
      </c>
      <c r="W100" s="198">
        <f t="shared" si="9"/>
        <v>8.5966155517698262E-3</v>
      </c>
      <c r="X100" s="21">
        <f t="shared" si="10"/>
        <v>0.54725466821542312</v>
      </c>
      <c r="Y100" s="21">
        <f t="shared" si="11"/>
        <v>0.70066806261840653</v>
      </c>
      <c r="Z100" s="22">
        <f t="shared" si="12"/>
        <v>58</v>
      </c>
      <c r="AA100" s="248">
        <f t="shared" si="13"/>
        <v>1.3651674797996463E-2</v>
      </c>
      <c r="AB100" s="17">
        <f>'Datos Crudos SE2 Impact'!S20</f>
        <v>83.476164970540978</v>
      </c>
      <c r="AC100" s="17">
        <f>'Datos Crudos SE2 Impact'!S75</f>
        <v>37.047562069997021</v>
      </c>
      <c r="AG100" s="218"/>
      <c r="AH100" s="17">
        <f>'Datos Crudos SE2 Impact'!U20</f>
        <v>16.523835029459025</v>
      </c>
      <c r="AI100" s="93">
        <f>'Datos Crudos SE2 Impact'!U75</f>
        <v>62.952437930002979</v>
      </c>
    </row>
    <row r="101" spans="1:35" x14ac:dyDescent="0.25">
      <c r="A101" s="9" t="s">
        <v>446</v>
      </c>
      <c r="B101" s="87" t="s">
        <v>329</v>
      </c>
      <c r="C101" s="22" t="s">
        <v>143</v>
      </c>
      <c r="D101" s="61">
        <v>1</v>
      </c>
      <c r="E101" t="s">
        <v>19</v>
      </c>
      <c r="F101" s="53">
        <v>44466</v>
      </c>
      <c r="G101" s="91">
        <f>'Datos Crudos SE2 Impact'!H21</f>
        <v>1.9429000000000001</v>
      </c>
      <c r="H101" s="9">
        <f>'Datos Crudos SE2 Impact'!H76</f>
        <v>2.1629</v>
      </c>
      <c r="I101" s="17">
        <f>'Datos Crudos SE2 Impact'!I21</f>
        <v>4.5807813062947016</v>
      </c>
      <c r="J101" s="17">
        <f>'Datos Crudos SE2 Impact'!I76</f>
        <v>4.0177539414674728</v>
      </c>
      <c r="K101" s="9">
        <f>'Datos Crudos SE2 Impact'!R21</f>
        <v>1.7402</v>
      </c>
      <c r="L101" s="9">
        <f>'Datos Crudos SE2 Impact'!R76</f>
        <v>1.9584999999999999</v>
      </c>
      <c r="M101" s="62">
        <v>44524</v>
      </c>
      <c r="N101" s="9">
        <f>'Datos Crudos SE2 Impact'!M21</f>
        <v>0.49280000000000002</v>
      </c>
      <c r="O101" s="9">
        <f>'Datos Crudos SE2 Impact'!P21</f>
        <v>0.14330000000000001</v>
      </c>
      <c r="P101" s="9">
        <f>'Datos Crudos SE2 Impact'!Q21</f>
        <v>5.9400000000000001E-2</v>
      </c>
      <c r="Q101" s="9">
        <f>'Datos Crudos SE2 Impact'!M76</f>
        <v>1.4863999999999999</v>
      </c>
      <c r="R101" s="9">
        <f>'Datos Crudos SE2 Impact'!P76</f>
        <v>0.13600000000000001</v>
      </c>
      <c r="S101" s="9">
        <f>'Datos Crudos SE2 Impact'!Q76</f>
        <v>6.8400000000000002E-2</v>
      </c>
      <c r="T101" s="9">
        <f>'Datos Crudos SE2 Impact'!O21</f>
        <v>0.28560000000000002</v>
      </c>
      <c r="U101" s="9">
        <f>'Datos Crudos SE2 Impact'!O68</f>
        <v>1.2857000000000001</v>
      </c>
      <c r="V101" s="198">
        <f t="shared" si="8"/>
        <v>0.83588093322606594</v>
      </c>
      <c r="W101" s="198">
        <f t="shared" si="9"/>
        <v>7.2673002065725134E-3</v>
      </c>
      <c r="X101" s="21">
        <f t="shared" si="10"/>
        <v>0.54798845028597198</v>
      </c>
      <c r="Y101" s="21">
        <f t="shared" si="11"/>
        <v>0.6564717896349247</v>
      </c>
      <c r="Z101" s="22">
        <f t="shared" si="12"/>
        <v>58</v>
      </c>
      <c r="AA101" s="248">
        <f t="shared" si="13"/>
        <v>1.6997942755868977E-2</v>
      </c>
      <c r="AB101" s="17">
        <f>'Datos Crudos SE2 Impact'!S21</f>
        <v>83.588093322606596</v>
      </c>
      <c r="AC101" s="17">
        <f>'Datos Crudos SE2 Impact'!S76</f>
        <v>34.720449323461835</v>
      </c>
      <c r="AG101" s="218"/>
      <c r="AH101" s="17">
        <f>'Datos Crudos SE2 Impact'!U21</f>
        <v>16.411906677393404</v>
      </c>
      <c r="AI101" s="93">
        <f>'Datos Crudos SE2 Impact'!U76</f>
        <v>65.279550676538165</v>
      </c>
    </row>
    <row r="102" spans="1:35" x14ac:dyDescent="0.25">
      <c r="A102" s="9" t="s">
        <v>447</v>
      </c>
      <c r="B102" s="87" t="s">
        <v>329</v>
      </c>
      <c r="C102" s="22" t="s">
        <v>143</v>
      </c>
      <c r="D102" s="61">
        <v>2</v>
      </c>
      <c r="E102" t="s">
        <v>19</v>
      </c>
      <c r="F102" s="53">
        <v>44466</v>
      </c>
      <c r="G102" s="91">
        <f>'Datos Crudos SE2 Impact'!H22</f>
        <v>1.9973000000000001</v>
      </c>
      <c r="H102" s="9">
        <f>'Datos Crudos SE2 Impact'!H77</f>
        <v>2.1928999999999998</v>
      </c>
      <c r="I102" s="17">
        <f>'Datos Crudos SE2 Impact'!I22</f>
        <v>4.5511440444600195</v>
      </c>
      <c r="J102" s="17">
        <f>'Datos Crudos SE2 Impact'!I77</f>
        <v>4.943225865292538</v>
      </c>
      <c r="K102" s="9">
        <f>'Datos Crudos SE2 Impact'!R22</f>
        <v>1.8017000000000001</v>
      </c>
      <c r="L102" s="9">
        <f>'Datos Crudos SE2 Impact'!R77</f>
        <v>1.9842999999999997</v>
      </c>
      <c r="M102" s="62">
        <v>44524</v>
      </c>
      <c r="N102" s="9">
        <f>'Datos Crudos SE2 Impact'!M22</f>
        <v>0.54610000000000003</v>
      </c>
      <c r="O102" s="9">
        <f>'Datos Crudos SE2 Impact'!P22</f>
        <v>0.1371</v>
      </c>
      <c r="P102" s="9">
        <f>'Datos Crudos SE2 Impact'!Q22</f>
        <v>5.8500000000000003E-2</v>
      </c>
      <c r="Q102" s="9">
        <f>'Datos Crudos SE2 Impact'!M77</f>
        <v>1.4418</v>
      </c>
      <c r="R102" s="9">
        <f>'Datos Crudos SE2 Impact'!P77</f>
        <v>0.14560000000000001</v>
      </c>
      <c r="S102" s="9">
        <f>'Datos Crudos SE2 Impact'!Q77</f>
        <v>6.3E-2</v>
      </c>
      <c r="T102" s="9">
        <f>'Datos Crudos SE2 Impact'!O22</f>
        <v>0.3483</v>
      </c>
      <c r="U102" s="9">
        <f>'Datos Crudos SE2 Impact'!O69</f>
        <v>1.446</v>
      </c>
      <c r="V102" s="198">
        <f t="shared" si="8"/>
        <v>0.80668257756563244</v>
      </c>
      <c r="W102" s="198">
        <f t="shared" si="9"/>
        <v>4.1944682226089713E-2</v>
      </c>
      <c r="X102" s="21">
        <f t="shared" si="10"/>
        <v>0.52884653541119853</v>
      </c>
      <c r="Y102" s="21">
        <f t="shared" si="11"/>
        <v>0.72872045557627385</v>
      </c>
      <c r="Z102" s="22">
        <f t="shared" si="12"/>
        <v>58</v>
      </c>
      <c r="AA102" s="248">
        <f t="shared" si="13"/>
        <v>1.2403766226463374E-2</v>
      </c>
      <c r="AB102" s="17">
        <f>'Datos Crudos SE2 Impact'!S22</f>
        <v>80.66825775656325</v>
      </c>
      <c r="AC102" s="17">
        <f>'Datos Crudos SE2 Impact'!S77</f>
        <v>37.83198105125232</v>
      </c>
      <c r="AG102" s="218"/>
      <c r="AH102" s="17">
        <f>'Datos Crudos SE2 Impact'!U22</f>
        <v>19.331742243436754</v>
      </c>
      <c r="AI102" s="93">
        <f>'Datos Crudos SE2 Impact'!U77</f>
        <v>62.168018948747687</v>
      </c>
    </row>
    <row r="103" spans="1:35" x14ac:dyDescent="0.25">
      <c r="A103" s="9" t="s">
        <v>448</v>
      </c>
      <c r="B103" s="87" t="s">
        <v>329</v>
      </c>
      <c r="C103" s="22" t="s">
        <v>143</v>
      </c>
      <c r="D103" s="61">
        <v>1</v>
      </c>
      <c r="E103" t="s">
        <v>20</v>
      </c>
      <c r="F103" s="53">
        <v>44466</v>
      </c>
      <c r="G103" s="91">
        <f>'Datos Crudos SE2 Impact'!H23</f>
        <v>1.9273</v>
      </c>
      <c r="H103" s="9">
        <f>'Datos Crudos SE2 Impact'!H78</f>
        <v>2.0971000000000002</v>
      </c>
      <c r="I103" s="17">
        <f>'Datos Crudos SE2 Impact'!I23</f>
        <v>5.6555803455611589</v>
      </c>
      <c r="J103" s="17">
        <f>'Datos Crudos SE2 Impact'!I78</f>
        <v>4.6158981450574599</v>
      </c>
      <c r="K103" s="9">
        <f>'Datos Crudos SE2 Impact'!R23</f>
        <v>1.7301</v>
      </c>
      <c r="L103" s="9">
        <f>'Datos Crudos SE2 Impact'!R78</f>
        <v>1.9052000000000002</v>
      </c>
      <c r="M103" s="62">
        <v>44524</v>
      </c>
      <c r="N103" s="9">
        <f>'Datos Crudos SE2 Impact'!M23</f>
        <v>0.49740000000000001</v>
      </c>
      <c r="O103" s="9">
        <f>'Datos Crudos SE2 Impact'!P23</f>
        <v>0.13730000000000001</v>
      </c>
      <c r="P103" s="9">
        <f>'Datos Crudos SE2 Impact'!Q23</f>
        <v>5.9900000000000002E-2</v>
      </c>
      <c r="Q103" s="9">
        <f>'Datos Crudos SE2 Impact'!M78</f>
        <v>1.4533</v>
      </c>
      <c r="R103" s="9">
        <f>'Datos Crudos SE2 Impact'!P78</f>
        <v>0.1371</v>
      </c>
      <c r="S103" s="9">
        <f>'Datos Crudos SE2 Impact'!Q78</f>
        <v>5.4800000000000001E-2</v>
      </c>
      <c r="T103" s="9">
        <f>'Datos Crudos SE2 Impact'!O23</f>
        <v>0.29730000000000001</v>
      </c>
      <c r="U103" s="9">
        <f>'Datos Crudos SE2 Impact'!O70</f>
        <v>1.4141999999999999</v>
      </c>
      <c r="V103" s="198">
        <f t="shared" si="8"/>
        <v>0.82816022195248828</v>
      </c>
      <c r="W103" s="198">
        <f t="shared" si="9"/>
        <v>1.6436791030298936E-2</v>
      </c>
      <c r="X103" s="21">
        <f t="shared" si="10"/>
        <v>0.54292689135127503</v>
      </c>
      <c r="Y103" s="21">
        <f t="shared" si="11"/>
        <v>0.74228427461683799</v>
      </c>
      <c r="Z103" s="22">
        <f t="shared" si="12"/>
        <v>58</v>
      </c>
      <c r="AA103" s="248">
        <f t="shared" si="13"/>
        <v>1.1099048850678269E-2</v>
      </c>
      <c r="AB103" s="17">
        <f>'Datos Crudos SE2 Impact'!S23</f>
        <v>82.81602219524882</v>
      </c>
      <c r="AC103" s="17">
        <f>'Datos Crudos SE2 Impact'!S78</f>
        <v>33.891454965357973</v>
      </c>
      <c r="AG103" s="218"/>
      <c r="AH103" s="17">
        <f>'Datos Crudos SE2 Impact'!U23</f>
        <v>17.183977804751173</v>
      </c>
      <c r="AI103" s="93">
        <f>'Datos Crudos SE2 Impact'!U78</f>
        <v>66.108545034642034</v>
      </c>
    </row>
    <row r="104" spans="1:35" x14ac:dyDescent="0.25">
      <c r="A104" s="213" t="s">
        <v>449</v>
      </c>
      <c r="B104" s="214" t="s">
        <v>329</v>
      </c>
      <c r="C104" s="213" t="s">
        <v>143</v>
      </c>
      <c r="D104" s="61">
        <v>2</v>
      </c>
      <c r="E104" t="s">
        <v>20</v>
      </c>
      <c r="F104" s="215">
        <v>44466</v>
      </c>
      <c r="G104" s="91">
        <f>'Datos Crudos SE2 Impact'!H24</f>
        <v>1.9374</v>
      </c>
      <c r="H104" s="9">
        <f>'Datos Crudos SE2 Impact'!H79</f>
        <v>2.157</v>
      </c>
      <c r="I104" s="17">
        <f>'Datos Crudos SE2 Impact'!I24</f>
        <v>5.9719211314132412</v>
      </c>
      <c r="J104" s="17">
        <f>'Datos Crudos SE2 Impact'!I79</f>
        <v>4.6824292999536379</v>
      </c>
      <c r="K104" s="9">
        <f>'Datos Crudos SE2 Impact'!R24</f>
        <v>1.7437</v>
      </c>
      <c r="L104" s="9">
        <f>'Datos Crudos SE2 Impact'!R79</f>
        <v>1.9599</v>
      </c>
      <c r="M104" s="62">
        <v>44524</v>
      </c>
      <c r="N104" s="9">
        <f>'Datos Crudos SE2 Impact'!M24</f>
        <v>0.49490000000000001</v>
      </c>
      <c r="O104" s="9">
        <f>'Datos Crudos SE2 Impact'!P24</f>
        <v>0.13980000000000001</v>
      </c>
      <c r="P104" s="9">
        <f>'Datos Crudos SE2 Impact'!Q24</f>
        <v>5.3900000000000003E-2</v>
      </c>
      <c r="Q104" s="9">
        <f>'Datos Crudos SE2 Impact'!M79</f>
        <v>1.4257</v>
      </c>
      <c r="R104" s="9">
        <f>'Datos Crudos SE2 Impact'!P79</f>
        <v>0.14000000000000001</v>
      </c>
      <c r="S104" s="9">
        <f>'Datos Crudos SE2 Impact'!Q79</f>
        <v>5.7099999999999998E-2</v>
      </c>
      <c r="T104" s="9">
        <f>'Datos Crudos SE2 Impact'!O24</f>
        <v>0.29609999999999997</v>
      </c>
      <c r="U104" s="9">
        <f>'Datos Crudos SE2 Impact'!O71</f>
        <v>1.3906000000000001</v>
      </c>
      <c r="V104" s="198">
        <f t="shared" si="8"/>
        <v>0.83018867924528306</v>
      </c>
      <c r="W104" s="198">
        <f t="shared" si="9"/>
        <v>1.4027696858333605E-2</v>
      </c>
      <c r="X104" s="21">
        <f t="shared" si="10"/>
        <v>0.54425671133419995</v>
      </c>
      <c r="Y104" s="21">
        <f t="shared" si="11"/>
        <v>0.70952599622429724</v>
      </c>
      <c r="Z104" s="22">
        <f t="shared" si="12"/>
        <v>58</v>
      </c>
      <c r="AA104" s="248">
        <f t="shared" si="13"/>
        <v>1.3154182975021892E-2</v>
      </c>
      <c r="AB104" s="17">
        <f>'Datos Crudos SE2 Impact'!S24</f>
        <v>83.018867924528308</v>
      </c>
      <c r="AC104" s="17">
        <f>'Datos Crudos SE2 Impact'!S79</f>
        <v>37.389662737894788</v>
      </c>
      <c r="AD104" s="216"/>
      <c r="AE104" s="216"/>
      <c r="AF104" s="216"/>
      <c r="AG104" s="219"/>
      <c r="AH104" s="17">
        <f>'Datos Crudos SE2 Impact'!U24</f>
        <v>16.981132075471699</v>
      </c>
      <c r="AI104" s="93">
        <f>'Datos Crudos SE2 Impact'!U79</f>
        <v>62.610337262105212</v>
      </c>
    </row>
    <row r="105" spans="1:35" x14ac:dyDescent="0.25">
      <c r="A105" s="9" t="s">
        <v>450</v>
      </c>
      <c r="B105" s="87" t="s">
        <v>330</v>
      </c>
      <c r="C105" s="22" t="s">
        <v>143</v>
      </c>
      <c r="D105" s="61">
        <v>1</v>
      </c>
      <c r="E105" t="s">
        <v>17</v>
      </c>
      <c r="F105" s="53">
        <v>44473</v>
      </c>
      <c r="G105" s="91">
        <f>'Datos Crudos SE2 Impact'!H25</f>
        <v>1.9941</v>
      </c>
      <c r="H105" s="9">
        <f>'Datos Crudos SE2 Impact'!H80</f>
        <v>2.1172</v>
      </c>
      <c r="I105" s="17">
        <f>'Datos Crudos SE2 Impact'!I25</f>
        <v>6.1180482423148232</v>
      </c>
      <c r="J105" s="17">
        <f>'Datos Crudos SE2 Impact'!I80</f>
        <v>7.3209899867749977</v>
      </c>
      <c r="K105" s="9">
        <f>'Datos Crudos SE2 Impact'!R25</f>
        <v>1.7925</v>
      </c>
      <c r="L105" s="9">
        <f>'Datos Crudos SE2 Impact'!R80</f>
        <v>1.9147000000000001</v>
      </c>
      <c r="M105" s="62">
        <v>44524</v>
      </c>
      <c r="N105" s="9">
        <f>'Datos Crudos SE2 Impact'!M25</f>
        <v>0.53820000000000001</v>
      </c>
      <c r="O105" s="9">
        <f>'Datos Crudos SE2 Impact'!P25</f>
        <v>0.13389999999999999</v>
      </c>
      <c r="P105" s="9">
        <f>'Datos Crudos SE2 Impact'!Q25</f>
        <v>6.7699999999999996E-2</v>
      </c>
      <c r="Q105" s="9">
        <f>'Datos Crudos SE2 Impact'!M80</f>
        <v>1.4380999999999999</v>
      </c>
      <c r="R105" s="9">
        <f>'Datos Crudos SE2 Impact'!P80</f>
        <v>0.13239999999999999</v>
      </c>
      <c r="S105" s="9">
        <f>'Datos Crudos SE2 Impact'!Q80</f>
        <v>7.0099999999999996E-2</v>
      </c>
      <c r="T105" s="9">
        <f>'Datos Crudos SE2 Impact'!O25</f>
        <v>0.3377</v>
      </c>
      <c r="U105" s="9">
        <f>'Datos Crudos SE2 Impact'!O72</f>
        <v>1.1406000000000001</v>
      </c>
      <c r="V105" s="198">
        <f t="shared" si="8"/>
        <v>0.81160390516039049</v>
      </c>
      <c r="W105" s="198">
        <f t="shared" si="9"/>
        <v>3.6099875106424539E-2</v>
      </c>
      <c r="X105" s="21">
        <f t="shared" si="10"/>
        <v>0.53207286894125372</v>
      </c>
      <c r="Y105" s="21">
        <f t="shared" si="11"/>
        <v>0.59570689925314668</v>
      </c>
      <c r="Z105" s="22">
        <f t="shared" si="12"/>
        <v>51</v>
      </c>
      <c r="AA105" s="248">
        <f t="shared" si="13"/>
        <v>2.7970043736914557E-2</v>
      </c>
      <c r="AB105" s="17">
        <f>'Datos Crudos SE2 Impact'!S25</f>
        <v>81.160390516039058</v>
      </c>
      <c r="AC105" s="17">
        <f>'Datos Crudos SE2 Impact'!S80</f>
        <v>36.052645323027107</v>
      </c>
      <c r="AD105" s="65">
        <f>AVERAGE(W105:W112)</f>
        <v>3.2156030151024209E-2</v>
      </c>
      <c r="AE105">
        <f>STDEV(W105:W112)</f>
        <v>1.8911195193280411E-2</v>
      </c>
      <c r="AF105" s="7">
        <f>AVERAGE(AA105:AA112)</f>
        <v>2.1213825455526948E-2</v>
      </c>
      <c r="AG105" s="221">
        <f>STDEV(AA105:AA112)</f>
        <v>3.5086617701159382E-3</v>
      </c>
      <c r="AH105" s="17">
        <f>'Datos Crudos SE2 Impact'!U25</f>
        <v>18.839609483960949</v>
      </c>
      <c r="AI105" s="93">
        <f>'Datos Crudos SE2 Impact'!U80</f>
        <v>63.947354676972893</v>
      </c>
    </row>
    <row r="106" spans="1:35" x14ac:dyDescent="0.25">
      <c r="A106" s="9" t="s">
        <v>451</v>
      </c>
      <c r="B106" s="87" t="s">
        <v>330</v>
      </c>
      <c r="C106" s="22" t="s">
        <v>143</v>
      </c>
      <c r="D106" s="61">
        <v>2</v>
      </c>
      <c r="E106" t="s">
        <v>17</v>
      </c>
      <c r="F106" s="53">
        <v>44473</v>
      </c>
      <c r="G106" s="91">
        <f>'Datos Crudos SE2 Impact'!H26</f>
        <v>2.0085000000000002</v>
      </c>
      <c r="H106" s="9">
        <f>'Datos Crudos SE2 Impact'!H81</f>
        <v>2.1206</v>
      </c>
      <c r="I106" s="17">
        <f>'Datos Crudos SE2 Impact'!I26</f>
        <v>6.3729151107791715</v>
      </c>
      <c r="J106" s="17">
        <f>'Datos Crudos SE2 Impact'!I81</f>
        <v>7.167782703008589</v>
      </c>
      <c r="K106" s="9">
        <f>'Datos Crudos SE2 Impact'!R26</f>
        <v>1.8098000000000001</v>
      </c>
      <c r="L106" s="9">
        <f>'Datos Crudos SE2 Impact'!R81</f>
        <v>1.9196</v>
      </c>
      <c r="M106" s="62">
        <v>44524</v>
      </c>
      <c r="N106" s="9">
        <f>'Datos Crudos SE2 Impact'!M26</f>
        <v>0.51329999999999998</v>
      </c>
      <c r="O106" s="9">
        <f>'Datos Crudos SE2 Impact'!P26</f>
        <v>0.1338</v>
      </c>
      <c r="P106" s="9">
        <f>'Datos Crudos SE2 Impact'!Q26</f>
        <v>6.4899999999999999E-2</v>
      </c>
      <c r="Q106" s="9">
        <f>'Datos Crudos SE2 Impact'!M81</f>
        <v>1.4222999999999999</v>
      </c>
      <c r="R106" s="9">
        <f>'Datos Crudos SE2 Impact'!P81</f>
        <v>0.13439999999999999</v>
      </c>
      <c r="S106" s="9">
        <f>'Datos Crudos SE2 Impact'!Q81</f>
        <v>6.6600000000000006E-2</v>
      </c>
      <c r="T106" s="9">
        <f>'Datos Crudos SE2 Impact'!O26</f>
        <v>0.31230000000000002</v>
      </c>
      <c r="U106" s="9">
        <f>'Datos Crudos SE2 Impact'!O73</f>
        <v>1.1749000000000001</v>
      </c>
      <c r="V106" s="198">
        <f t="shared" si="8"/>
        <v>0.82743949607691458</v>
      </c>
      <c r="W106" s="198">
        <f t="shared" si="9"/>
        <v>1.7292760003664309E-2</v>
      </c>
      <c r="X106" s="21">
        <f t="shared" si="10"/>
        <v>0.54245439647797733</v>
      </c>
      <c r="Y106" s="21">
        <f t="shared" si="11"/>
        <v>0.61205459470723067</v>
      </c>
      <c r="Z106" s="22">
        <f t="shared" si="12"/>
        <v>51</v>
      </c>
      <c r="AA106" s="248">
        <f t="shared" si="13"/>
        <v>2.4624543726891129E-2</v>
      </c>
      <c r="AB106" s="17">
        <f>'Datos Crudos SE2 Impact'!S26</f>
        <v>82.743949607691462</v>
      </c>
      <c r="AC106" s="17">
        <f>'Datos Crudos SE2 Impact'!S81</f>
        <v>36.424255053136072</v>
      </c>
      <c r="AG106" s="201"/>
      <c r="AH106" s="17">
        <f>'Datos Crudos SE2 Impact'!U26</f>
        <v>17.256050392308541</v>
      </c>
      <c r="AI106" s="93">
        <f>'Datos Crudos SE2 Impact'!U81</f>
        <v>63.575744946863935</v>
      </c>
    </row>
    <row r="107" spans="1:35" x14ac:dyDescent="0.25">
      <c r="A107" s="9" t="s">
        <v>452</v>
      </c>
      <c r="B107" s="87" t="s">
        <v>330</v>
      </c>
      <c r="C107" s="22" t="s">
        <v>143</v>
      </c>
      <c r="D107" s="61">
        <v>1</v>
      </c>
      <c r="E107" t="s">
        <v>18</v>
      </c>
      <c r="F107" s="53">
        <v>44473</v>
      </c>
      <c r="G107" s="91">
        <f>'Datos Crudos SE2 Impact'!H27</f>
        <v>2.0680000000000001</v>
      </c>
      <c r="H107" s="9">
        <f>'Datos Crudos SE2 Impact'!H82</f>
        <v>2.1867000000000001</v>
      </c>
      <c r="I107" s="17">
        <f>'Datos Crudos SE2 Impact'!I27</f>
        <v>6.1557059961315259</v>
      </c>
      <c r="J107" s="17">
        <f>'Datos Crudos SE2 Impact'!I82</f>
        <v>7.3489733388210468</v>
      </c>
      <c r="K107" s="9">
        <f>'Datos Crudos SE2 Impact'!R27</f>
        <v>1.8643000000000001</v>
      </c>
      <c r="L107" s="9">
        <f>'Datos Crudos SE2 Impact'!R82</f>
        <v>1.9825000000000002</v>
      </c>
      <c r="M107" s="62">
        <v>44524</v>
      </c>
      <c r="N107" s="9">
        <f>'Datos Crudos SE2 Impact'!M27</f>
        <v>0.50770000000000004</v>
      </c>
      <c r="O107" s="9">
        <f>'Datos Crudos SE2 Impact'!P27</f>
        <v>0.13850000000000001</v>
      </c>
      <c r="P107" s="9">
        <f>'Datos Crudos SE2 Impact'!Q27</f>
        <v>6.5199999999999994E-2</v>
      </c>
      <c r="Q107" s="9">
        <f>'Datos Crudos SE2 Impact'!M82</f>
        <v>1.4941</v>
      </c>
      <c r="R107" s="9">
        <f>'Datos Crudos SE2 Impact'!P82</f>
        <v>0.13689999999999999</v>
      </c>
      <c r="S107" s="9">
        <f>'Datos Crudos SE2 Impact'!Q82</f>
        <v>6.7299999999999999E-2</v>
      </c>
      <c r="T107" s="9">
        <f>'Datos Crudos SE2 Impact'!O27</f>
        <v>0.30309999999999998</v>
      </c>
      <c r="U107" s="9">
        <f>'Datos Crudos SE2 Impact'!O74</f>
        <v>1.3104</v>
      </c>
      <c r="V107" s="198">
        <f t="shared" si="8"/>
        <v>0.83741887035348395</v>
      </c>
      <c r="W107" s="198">
        <f t="shared" si="9"/>
        <v>5.4407715516817667E-3</v>
      </c>
      <c r="X107" s="21">
        <f t="shared" si="10"/>
        <v>0.54899669410347174</v>
      </c>
      <c r="Y107" s="21">
        <f t="shared" si="11"/>
        <v>0.66098360655737698</v>
      </c>
      <c r="Z107" s="22">
        <f t="shared" si="12"/>
        <v>51</v>
      </c>
      <c r="AA107" s="248">
        <f t="shared" si="13"/>
        <v>1.8844680389833047E-2</v>
      </c>
      <c r="AB107" s="17">
        <f>'Datos Crudos SE2 Impact'!S27</f>
        <v>83.741887035348398</v>
      </c>
      <c r="AC107" s="17">
        <f>'Datos Crudos SE2 Impact'!S82</f>
        <v>34.870113493064324</v>
      </c>
      <c r="AG107" s="201"/>
      <c r="AH107" s="17">
        <f>'Datos Crudos SE2 Impact'!U27</f>
        <v>16.258112964651612</v>
      </c>
      <c r="AI107" s="93">
        <f>'Datos Crudos SE2 Impact'!U82</f>
        <v>65.129886506935676</v>
      </c>
    </row>
    <row r="108" spans="1:35" x14ac:dyDescent="0.25">
      <c r="A108" s="9" t="s">
        <v>453</v>
      </c>
      <c r="B108" s="87" t="s">
        <v>330</v>
      </c>
      <c r="C108" s="22" t="s">
        <v>143</v>
      </c>
      <c r="D108" s="61">
        <v>2</v>
      </c>
      <c r="E108" t="s">
        <v>18</v>
      </c>
      <c r="F108" s="53">
        <v>44473</v>
      </c>
      <c r="G108" s="91">
        <f>'Datos Crudos SE2 Impact'!H28</f>
        <v>1.9531000000000001</v>
      </c>
      <c r="H108" s="9">
        <f>'Datos Crudos SE2 Impact'!H83</f>
        <v>2.11</v>
      </c>
      <c r="I108" s="17">
        <f>'Datos Crudos SE2 Impact'!I28</f>
        <v>6.39496185551174</v>
      </c>
      <c r="J108" s="17">
        <f>'Datos Crudos SE2 Impact'!I83</f>
        <v>7.2180094786730011</v>
      </c>
      <c r="K108" s="9">
        <f>'Datos Crudos SE2 Impact'!R28</f>
        <v>1.7526000000000002</v>
      </c>
      <c r="L108" s="9">
        <f>'Datos Crudos SE2 Impact'!R83</f>
        <v>1.9024999999999999</v>
      </c>
      <c r="M108" s="62">
        <v>44524</v>
      </c>
      <c r="N108" s="9">
        <f>'Datos Crudos SE2 Impact'!M28</f>
        <v>0.52929999999999999</v>
      </c>
      <c r="O108" s="9">
        <f>'Datos Crudos SE2 Impact'!P28</f>
        <v>0.13619999999999999</v>
      </c>
      <c r="P108" s="9">
        <f>'Datos Crudos SE2 Impact'!Q28</f>
        <v>6.4299999999999996E-2</v>
      </c>
      <c r="Q108" s="9">
        <f>'Datos Crudos SE2 Impact'!M83</f>
        <v>1.45</v>
      </c>
      <c r="R108" s="9">
        <f>'Datos Crudos SE2 Impact'!P83</f>
        <v>0.1391</v>
      </c>
      <c r="S108" s="9">
        <f>'Datos Crudos SE2 Impact'!Q83</f>
        <v>6.8400000000000002E-2</v>
      </c>
      <c r="T108" s="9">
        <f>'Datos Crudos SE2 Impact'!O28</f>
        <v>0.32840000000000003</v>
      </c>
      <c r="U108" s="9">
        <f>'Datos Crudos SE2 Impact'!O75</f>
        <v>1.2626999999999999</v>
      </c>
      <c r="V108" s="198">
        <f t="shared" si="8"/>
        <v>0.81262124843090267</v>
      </c>
      <c r="W108" s="198">
        <f t="shared" si="9"/>
        <v>3.4891628941920771E-2</v>
      </c>
      <c r="X108" s="21">
        <f t="shared" si="10"/>
        <v>0.5327398208240598</v>
      </c>
      <c r="Y108" s="21">
        <f t="shared" si="11"/>
        <v>0.66370565045992114</v>
      </c>
      <c r="Z108" s="22">
        <f t="shared" si="12"/>
        <v>51</v>
      </c>
      <c r="AA108" s="248">
        <f t="shared" si="13"/>
        <v>1.9561730803355579E-2</v>
      </c>
      <c r="AB108" s="17">
        <f>'Datos Crudos SE2 Impact'!S28</f>
        <v>81.262124843090263</v>
      </c>
      <c r="AC108" s="17">
        <f>'Datos Crudos SE2 Impact'!S83</f>
        <v>34.628120893561096</v>
      </c>
      <c r="AG108" s="201"/>
      <c r="AH108" s="17">
        <f>'Datos Crudos SE2 Impact'!U28</f>
        <v>18.737875156909734</v>
      </c>
      <c r="AI108" s="93">
        <f>'Datos Crudos SE2 Impact'!U83</f>
        <v>65.371879106438897</v>
      </c>
    </row>
    <row r="109" spans="1:35" x14ac:dyDescent="0.25">
      <c r="A109" s="9" t="s">
        <v>454</v>
      </c>
      <c r="B109" s="87" t="s">
        <v>330</v>
      </c>
      <c r="C109" s="22" t="s">
        <v>143</v>
      </c>
      <c r="D109" s="61">
        <v>1</v>
      </c>
      <c r="E109" t="s">
        <v>19</v>
      </c>
      <c r="F109" s="53">
        <v>44473</v>
      </c>
      <c r="G109" s="91">
        <f>'Datos Crudos SE2 Impact'!H29</f>
        <v>1.9184000000000001</v>
      </c>
      <c r="H109" s="9">
        <f>'Datos Crudos SE2 Impact'!H84</f>
        <v>2.0617000000000001</v>
      </c>
      <c r="I109" s="17">
        <f>'Datos Crudos SE2 Impact'!I29</f>
        <v>6.057130942452047</v>
      </c>
      <c r="J109" s="17">
        <f>'Datos Crudos SE2 Impact'!I84</f>
        <v>7.0621331910559224</v>
      </c>
      <c r="K109" s="9">
        <f>'Datos Crudos SE2 Impact'!R29</f>
        <v>1.7144000000000001</v>
      </c>
      <c r="L109" s="9">
        <f>'Datos Crudos SE2 Impact'!R84</f>
        <v>1.8557000000000001</v>
      </c>
      <c r="M109" s="62">
        <v>44524</v>
      </c>
      <c r="N109" s="9">
        <f>'Datos Crudos SE2 Impact'!M29</f>
        <v>0.51490000000000002</v>
      </c>
      <c r="O109" s="9">
        <f>'Datos Crudos SE2 Impact'!P29</f>
        <v>0.1371</v>
      </c>
      <c r="P109" s="9">
        <f>'Datos Crudos SE2 Impact'!Q29</f>
        <v>6.6900000000000001E-2</v>
      </c>
      <c r="Q109" s="9">
        <f>'Datos Crudos SE2 Impact'!M84</f>
        <v>1.4507000000000001</v>
      </c>
      <c r="R109" s="9">
        <f>'Datos Crudos SE2 Impact'!P84</f>
        <v>0.13700000000000001</v>
      </c>
      <c r="S109" s="9">
        <f>'Datos Crudos SE2 Impact'!Q84</f>
        <v>6.9000000000000006E-2</v>
      </c>
      <c r="T109" s="9">
        <f>'Datos Crudos SE2 Impact'!O29</f>
        <v>0.30769999999999997</v>
      </c>
      <c r="U109" s="9">
        <f>'Datos Crudos SE2 Impact'!O76</f>
        <v>1.2785</v>
      </c>
      <c r="V109" s="198">
        <f t="shared" si="8"/>
        <v>0.82052029864675691</v>
      </c>
      <c r="W109" s="198">
        <f t="shared" si="9"/>
        <v>2.5510334148744707E-2</v>
      </c>
      <c r="X109" s="21">
        <f t="shared" si="10"/>
        <v>0.53791829554989301</v>
      </c>
      <c r="Y109" s="21">
        <f t="shared" si="11"/>
        <v>0.68895834456000427</v>
      </c>
      <c r="Z109" s="22">
        <f t="shared" si="12"/>
        <v>51</v>
      </c>
      <c r="AA109" s="248">
        <f t="shared" si="13"/>
        <v>1.6927455833209225E-2</v>
      </c>
      <c r="AB109" s="17">
        <f>'Datos Crudos SE2 Impact'!S29</f>
        <v>82.052029864675703</v>
      </c>
      <c r="AC109" s="17">
        <f>'Datos Crudos SE2 Impact'!S84</f>
        <v>33.135743924125677</v>
      </c>
      <c r="AG109" s="201"/>
      <c r="AH109" s="17">
        <f>'Datos Crudos SE2 Impact'!U29</f>
        <v>17.947970135324308</v>
      </c>
      <c r="AI109" s="93">
        <f>'Datos Crudos SE2 Impact'!U84</f>
        <v>66.864256075874323</v>
      </c>
    </row>
    <row r="110" spans="1:35" x14ac:dyDescent="0.25">
      <c r="A110" s="9" t="s">
        <v>455</v>
      </c>
      <c r="B110" s="87" t="s">
        <v>330</v>
      </c>
      <c r="C110" s="22" t="s">
        <v>143</v>
      </c>
      <c r="D110" s="61">
        <v>2</v>
      </c>
      <c r="E110" t="s">
        <v>19</v>
      </c>
      <c r="F110" s="53">
        <v>44473</v>
      </c>
      <c r="G110" s="91">
        <f>'Datos Crudos SE2 Impact'!H30</f>
        <v>1.9754</v>
      </c>
      <c r="H110" s="9">
        <f>'Datos Crudos SE2 Impact'!H85</f>
        <v>2.1335999999999999</v>
      </c>
      <c r="I110" s="17">
        <f>'Datos Crudos SE2 Impact'!I30</f>
        <v>6.2518983497013236</v>
      </c>
      <c r="J110" s="17">
        <f>'Datos Crudos SE2 Impact'!I85</f>
        <v>7.2553430821147487</v>
      </c>
      <c r="K110" s="9">
        <f>'Datos Crudos SE2 Impact'!R30</f>
        <v>1.7697000000000001</v>
      </c>
      <c r="L110" s="9">
        <f>'Datos Crudos SE2 Impact'!R85</f>
        <v>1.9236</v>
      </c>
      <c r="M110" s="62">
        <v>44524</v>
      </c>
      <c r="N110" s="9">
        <f>'Datos Crudos SE2 Impact'!M30</f>
        <v>0.51770000000000005</v>
      </c>
      <c r="O110" s="9">
        <f>'Datos Crudos SE2 Impact'!P30</f>
        <v>0.13780000000000001</v>
      </c>
      <c r="P110" s="9">
        <f>'Datos Crudos SE2 Impact'!Q30</f>
        <v>6.7900000000000002E-2</v>
      </c>
      <c r="Q110" s="9">
        <f>'Datos Crudos SE2 Impact'!M85</f>
        <v>1.5261</v>
      </c>
      <c r="R110" s="9">
        <f>'Datos Crudos SE2 Impact'!P85</f>
        <v>0.13930000000000001</v>
      </c>
      <c r="S110" s="9">
        <f>'Datos Crudos SE2 Impact'!Q85</f>
        <v>7.0699999999999999E-2</v>
      </c>
      <c r="T110" s="9">
        <f>'Datos Crudos SE2 Impact'!O30</f>
        <v>0.31140000000000001</v>
      </c>
      <c r="U110" s="9">
        <f>'Datos Crudos SE2 Impact'!O77</f>
        <v>1.2336</v>
      </c>
      <c r="V110" s="198">
        <f t="shared" si="8"/>
        <v>0.82403797253771827</v>
      </c>
      <c r="W110" s="198">
        <f t="shared" si="9"/>
        <v>2.1332574183232422E-2</v>
      </c>
      <c r="X110" s="21">
        <f t="shared" si="10"/>
        <v>0.54022441905085572</v>
      </c>
      <c r="Y110" s="21">
        <f t="shared" si="11"/>
        <v>0.64129756706175922</v>
      </c>
      <c r="Z110" s="22">
        <f t="shared" si="12"/>
        <v>51</v>
      </c>
      <c r="AA110" s="248">
        <f t="shared" si="13"/>
        <v>2.1384467884000231E-2</v>
      </c>
      <c r="AB110" s="17">
        <f>'Datos Crudos SE2 Impact'!S30</f>
        <v>82.403797253771813</v>
      </c>
      <c r="AC110" s="17">
        <f>'Datos Crudos SE2 Impact'!S85</f>
        <v>31.617799958411318</v>
      </c>
      <c r="AG110" s="201"/>
      <c r="AH110" s="17">
        <f>'Datos Crudos SE2 Impact'!U30</f>
        <v>17.596202746228172</v>
      </c>
      <c r="AI110" s="93">
        <f>'Datos Crudos SE2 Impact'!U85</f>
        <v>68.382200041588675</v>
      </c>
    </row>
    <row r="111" spans="1:35" x14ac:dyDescent="0.25">
      <c r="A111" s="9" t="s">
        <v>456</v>
      </c>
      <c r="B111" s="87" t="s">
        <v>330</v>
      </c>
      <c r="C111" s="22" t="s">
        <v>143</v>
      </c>
      <c r="D111" s="61">
        <v>1</v>
      </c>
      <c r="E111" t="s">
        <v>20</v>
      </c>
      <c r="F111" s="53">
        <v>44473</v>
      </c>
      <c r="G111" s="91">
        <f>'Datos Crudos SE2 Impact'!H31</f>
        <v>2.0577000000000001</v>
      </c>
      <c r="H111" s="9">
        <f>'Datos Crudos SE2 Impact'!H86</f>
        <v>2.1027999999999998</v>
      </c>
      <c r="I111" s="17">
        <f>'Datos Crudos SE2 Impact'!I31</f>
        <v>6.2837148272342782</v>
      </c>
      <c r="J111" s="17">
        <f>'Datos Crudos SE2 Impact'!I86</f>
        <v>7.3425908312726049</v>
      </c>
      <c r="K111" s="9">
        <f>'Datos Crudos SE2 Impact'!R31</f>
        <v>1.8565</v>
      </c>
      <c r="L111" s="9">
        <f>'Datos Crudos SE2 Impact'!R86</f>
        <v>1.9001999999999999</v>
      </c>
      <c r="M111" s="62">
        <v>44524</v>
      </c>
      <c r="N111" s="9">
        <f>'Datos Crudos SE2 Impact'!M31</f>
        <v>0.58279999999999998</v>
      </c>
      <c r="O111" s="9">
        <f>'Datos Crudos SE2 Impact'!P31</f>
        <v>0.13439999999999999</v>
      </c>
      <c r="P111" s="9">
        <f>'Datos Crudos SE2 Impact'!Q31</f>
        <v>6.6799999999999998E-2</v>
      </c>
      <c r="Q111" s="9">
        <f>'Datos Crudos SE2 Impact'!M86</f>
        <v>1.4684999999999999</v>
      </c>
      <c r="R111" s="9">
        <f>'Datos Crudos SE2 Impact'!P86</f>
        <v>0.13420000000000001</v>
      </c>
      <c r="S111" s="9">
        <f>'Datos Crudos SE2 Impact'!Q86</f>
        <v>6.8400000000000002E-2</v>
      </c>
      <c r="T111" s="9">
        <f>'Datos Crudos SE2 Impact'!O31</f>
        <v>0.3805</v>
      </c>
      <c r="U111" s="9">
        <f>'Datos Crudos SE2 Impact'!O78</f>
        <v>1.2595000000000001</v>
      </c>
      <c r="V111" s="198">
        <f t="shared" si="8"/>
        <v>0.79504443845946671</v>
      </c>
      <c r="W111" s="198">
        <f t="shared" si="9"/>
        <v>5.5766700166904104E-2</v>
      </c>
      <c r="X111" s="21">
        <f t="shared" si="10"/>
        <v>0.52121678150786899</v>
      </c>
      <c r="Y111" s="21">
        <f t="shared" si="11"/>
        <v>0.66282496579307448</v>
      </c>
      <c r="Z111" s="22">
        <f t="shared" si="12"/>
        <v>51</v>
      </c>
      <c r="AA111" s="248">
        <f t="shared" si="13"/>
        <v>2.0411831827081429E-2</v>
      </c>
      <c r="AB111" s="17">
        <f>'Datos Crudos SE2 Impact'!S31</f>
        <v>79.504443845946668</v>
      </c>
      <c r="AC111" s="17">
        <f>'Datos Crudos SE2 Impact'!S86</f>
        <v>33.407009788443318</v>
      </c>
      <c r="AG111" s="201"/>
      <c r="AH111" s="17">
        <f>'Datos Crudos SE2 Impact'!U31</f>
        <v>20.495556154053325</v>
      </c>
      <c r="AI111" s="93">
        <f>'Datos Crudos SE2 Impact'!U86</f>
        <v>66.592990211556696</v>
      </c>
    </row>
    <row r="112" spans="1:35" x14ac:dyDescent="0.25">
      <c r="A112" s="192" t="s">
        <v>457</v>
      </c>
      <c r="B112" s="220" t="s">
        <v>330</v>
      </c>
      <c r="C112" s="192" t="s">
        <v>143</v>
      </c>
      <c r="D112" s="61">
        <v>2</v>
      </c>
      <c r="E112" t="s">
        <v>20</v>
      </c>
      <c r="F112" s="193">
        <v>44473</v>
      </c>
      <c r="G112" s="91">
        <f>'Datos Crudos SE2 Impact'!H32</f>
        <v>1.9891000000000001</v>
      </c>
      <c r="H112" s="9">
        <f>'Datos Crudos SE2 Impact'!H87</f>
        <v>2.0497000000000001</v>
      </c>
      <c r="I112" s="17">
        <f>'Datos Crudos SE2 Impact'!I32</f>
        <v>6.5959479161429666</v>
      </c>
      <c r="J112" s="17">
        <f>'Datos Crudos SE2 Impact'!I87</f>
        <v>7.1376298970581109</v>
      </c>
      <c r="K112" s="9">
        <f>'Datos Crudos SE2 Impact'!R32</f>
        <v>1.7784</v>
      </c>
      <c r="L112" s="9">
        <f>'Datos Crudos SE2 Impact'!R87</f>
        <v>1.8351000000000002</v>
      </c>
      <c r="M112" s="62">
        <v>44524</v>
      </c>
      <c r="N112" s="9">
        <f>'Datos Crudos SE2 Impact'!M32</f>
        <v>0.58450000000000002</v>
      </c>
      <c r="O112" s="9">
        <f>'Datos Crudos SE2 Impact'!P32</f>
        <v>0.1447</v>
      </c>
      <c r="P112" s="9">
        <f>'Datos Crudos SE2 Impact'!Q32</f>
        <v>6.6000000000000003E-2</v>
      </c>
      <c r="Q112" s="9">
        <f>'Datos Crudos SE2 Impact'!M87</f>
        <v>1.4149</v>
      </c>
      <c r="R112" s="9">
        <f>'Datos Crudos SE2 Impact'!P87</f>
        <v>0.14560000000000001</v>
      </c>
      <c r="S112" s="9">
        <f>'Datos Crudos SE2 Impact'!Q87</f>
        <v>6.9000000000000006E-2</v>
      </c>
      <c r="T112" s="9">
        <f>'Datos Crudos SE2 Impact'!O32</f>
        <v>0.37219999999999998</v>
      </c>
      <c r="U112" s="9">
        <f>'Datos Crudos SE2 Impact'!O79</f>
        <v>1.2271000000000001</v>
      </c>
      <c r="V112" s="198">
        <f t="shared" si="8"/>
        <v>0.79071075123706702</v>
      </c>
      <c r="W112" s="198">
        <f t="shared" si="9"/>
        <v>6.0913597105621053E-2</v>
      </c>
      <c r="X112" s="21">
        <f t="shared" si="10"/>
        <v>0.51837569439769726</v>
      </c>
      <c r="Y112" s="21">
        <f t="shared" si="11"/>
        <v>0.66868290556372945</v>
      </c>
      <c r="Z112" s="22">
        <f t="shared" si="12"/>
        <v>51</v>
      </c>
      <c r="AA112" s="248">
        <f t="shared" si="13"/>
        <v>1.9985849442930404E-2</v>
      </c>
      <c r="AB112" s="17">
        <f>'Datos Crudos SE2 Impact'!S32</f>
        <v>79.07107512370672</v>
      </c>
      <c r="AC112" s="17">
        <f>'Datos Crudos SE2 Impact'!S87</f>
        <v>34.755599149910097</v>
      </c>
      <c r="AD112" s="230"/>
      <c r="AE112" s="190"/>
      <c r="AF112" s="190"/>
      <c r="AG112" s="202"/>
      <c r="AH112" s="17">
        <f>'Datos Crudos SE2 Impact'!U32</f>
        <v>20.928924876293294</v>
      </c>
      <c r="AI112" s="93">
        <f>'Datos Crudos SE2 Impact'!U87</f>
        <v>65.244400850089917</v>
      </c>
    </row>
    <row r="113" spans="1:35" x14ac:dyDescent="0.25">
      <c r="A113" s="83" t="s">
        <v>458</v>
      </c>
      <c r="B113" s="47" t="s">
        <v>331</v>
      </c>
      <c r="C113" s="269" t="s">
        <v>143</v>
      </c>
      <c r="D113" s="269">
        <v>1</v>
      </c>
      <c r="E113" s="47" t="s">
        <v>17</v>
      </c>
      <c r="F113" s="270">
        <v>44480</v>
      </c>
      <c r="G113" s="271">
        <f>'Datos Crudos SE2 Impact'!H33</f>
        <v>2.0198</v>
      </c>
      <c r="H113" s="83">
        <f>'Datos Crudos SE2 Impact'!H88</f>
        <v>2.1156000000000001</v>
      </c>
      <c r="I113" s="272">
        <f>'Datos Crudos SE2 Impact'!I33</f>
        <v>6.6937320526784712</v>
      </c>
      <c r="J113" s="272">
        <f>'Datos Crudos SE2 Impact'!I88</f>
        <v>6.5796937039137724</v>
      </c>
      <c r="K113" s="83">
        <f>'Datos Crudos SE2 Impact'!R33</f>
        <v>2.0198</v>
      </c>
      <c r="L113" s="83">
        <f>'Datos Crudos SE2 Impact'!R88</f>
        <v>2.1156000000000001</v>
      </c>
      <c r="M113" s="273"/>
      <c r="N113" s="83">
        <f>'Datos Crudos SE2 Impact'!M33</f>
        <v>0</v>
      </c>
      <c r="O113" s="83">
        <f>'Datos Crudos SE2 Impact'!P33</f>
        <v>0</v>
      </c>
      <c r="P113" s="83">
        <f>'Datos Crudos SE2 Impact'!Q33</f>
        <v>0</v>
      </c>
      <c r="Q113" s="83">
        <f>'Datos Crudos SE2 Impact'!M88</f>
        <v>0</v>
      </c>
      <c r="R113" s="83">
        <f>'Datos Crudos SE2 Impact'!P88</f>
        <v>0</v>
      </c>
      <c r="S113" s="83">
        <f>'Datos Crudos SE2 Impact'!Q88</f>
        <v>0</v>
      </c>
      <c r="T113" s="83">
        <f>'Datos Crudos SE2 Impact'!O33</f>
        <v>0</v>
      </c>
      <c r="U113" s="83">
        <f>'Datos Crudos SE2 Impact'!O88</f>
        <v>0</v>
      </c>
      <c r="V113" s="274">
        <f t="shared" si="8"/>
        <v>1</v>
      </c>
      <c r="W113" s="274">
        <f t="shared" si="9"/>
        <v>-0.18764845605700708</v>
      </c>
      <c r="X113" s="275">
        <f t="shared" si="10"/>
        <v>0.65558194774346801</v>
      </c>
      <c r="Y113" s="275">
        <f t="shared" si="11"/>
        <v>0</v>
      </c>
      <c r="Z113" s="269">
        <f t="shared" si="12"/>
        <v>-44480</v>
      </c>
      <c r="AA113" s="276" t="e">
        <f t="shared" si="13"/>
        <v>#NUM!</v>
      </c>
      <c r="AB113" s="272">
        <f>'Datos Crudos SE2 Impact'!S33</f>
        <v>100</v>
      </c>
      <c r="AC113" s="272">
        <f>'Datos Crudos SE2 Impact'!S88</f>
        <v>100</v>
      </c>
      <c r="AD113" s="47"/>
      <c r="AE113" s="47"/>
      <c r="AF113" s="47"/>
      <c r="AG113" s="277"/>
      <c r="AH113" s="272"/>
      <c r="AI113" s="272"/>
    </row>
    <row r="114" spans="1:35" x14ac:dyDescent="0.25">
      <c r="A114" s="83" t="s">
        <v>459</v>
      </c>
      <c r="B114" s="47" t="s">
        <v>331</v>
      </c>
      <c r="C114" s="269" t="s">
        <v>143</v>
      </c>
      <c r="D114" s="269">
        <v>2</v>
      </c>
      <c r="E114" s="47" t="s">
        <v>17</v>
      </c>
      <c r="F114" s="270">
        <v>44480</v>
      </c>
      <c r="G114" s="271">
        <f>'Datos Crudos SE2 Impact'!H34</f>
        <v>1.9639</v>
      </c>
      <c r="H114" s="83">
        <f>'Datos Crudos SE2 Impact'!H89</f>
        <v>2.0449999999999999</v>
      </c>
      <c r="I114" s="272">
        <f>'Datos Crudos SE2 Impact'!I34</f>
        <v>6.7111360048882283</v>
      </c>
      <c r="J114" s="272">
        <f>'Datos Crudos SE2 Impact'!I89</f>
        <v>6.8704156479217753</v>
      </c>
      <c r="K114" s="83">
        <f>'Datos Crudos SE2 Impact'!R34</f>
        <v>1.9639</v>
      </c>
      <c r="L114" s="83">
        <f>'Datos Crudos SE2 Impact'!R89</f>
        <v>2.0449999999999999</v>
      </c>
      <c r="M114" s="273"/>
      <c r="N114" s="83">
        <f>'Datos Crudos SE2 Impact'!M34</f>
        <v>0</v>
      </c>
      <c r="O114" s="83">
        <f>'Datos Crudos SE2 Impact'!P34</f>
        <v>0</v>
      </c>
      <c r="P114" s="83">
        <f>'Datos Crudos SE2 Impact'!Q34</f>
        <v>0</v>
      </c>
      <c r="Q114" s="83">
        <f>'Datos Crudos SE2 Impact'!M89</f>
        <v>0</v>
      </c>
      <c r="R114" s="83">
        <f>'Datos Crudos SE2 Impact'!P89</f>
        <v>0</v>
      </c>
      <c r="S114" s="83">
        <f>'Datos Crudos SE2 Impact'!Q89</f>
        <v>0</v>
      </c>
      <c r="T114" s="83">
        <f>'Datos Crudos SE2 Impact'!O34</f>
        <v>0</v>
      </c>
      <c r="U114" s="83">
        <f>'Datos Crudos SE2 Impact'!O89</f>
        <v>0</v>
      </c>
      <c r="V114" s="274">
        <f t="shared" si="8"/>
        <v>1</v>
      </c>
      <c r="W114" s="274">
        <f t="shared" si="9"/>
        <v>-0.18764845605700708</v>
      </c>
      <c r="X114" s="275">
        <f t="shared" si="10"/>
        <v>0.65558194774346801</v>
      </c>
      <c r="Y114" s="275">
        <f t="shared" si="11"/>
        <v>0</v>
      </c>
      <c r="Z114" s="269">
        <f t="shared" si="12"/>
        <v>-44480</v>
      </c>
      <c r="AA114" s="276" t="e">
        <f t="shared" si="13"/>
        <v>#NUM!</v>
      </c>
      <c r="AB114" s="272">
        <f>'Datos Crudos SE2 Impact'!S34</f>
        <v>100</v>
      </c>
      <c r="AC114" s="272">
        <f>'Datos Crudos SE2 Impact'!S89</f>
        <v>100</v>
      </c>
      <c r="AD114" s="47"/>
      <c r="AE114" s="47"/>
      <c r="AF114" s="47"/>
      <c r="AG114" s="278"/>
      <c r="AH114" s="272"/>
      <c r="AI114" s="272"/>
    </row>
    <row r="115" spans="1:35" x14ac:dyDescent="0.25">
      <c r="A115" s="83" t="s">
        <v>460</v>
      </c>
      <c r="B115" s="47" t="s">
        <v>331</v>
      </c>
      <c r="C115" s="269" t="s">
        <v>143</v>
      </c>
      <c r="D115" s="269">
        <v>1</v>
      </c>
      <c r="E115" s="47" t="s">
        <v>18</v>
      </c>
      <c r="F115" s="270">
        <v>44480</v>
      </c>
      <c r="G115" s="271">
        <f>'Datos Crudos SE2 Impact'!H35</f>
        <v>2.0644999999999998</v>
      </c>
      <c r="H115" s="83">
        <f>'Datos Crudos SE2 Impact'!H90</f>
        <v>2.1124000000000001</v>
      </c>
      <c r="I115" s="272">
        <f>'Datos Crudos SE2 Impact'!I35</f>
        <v>6.6892710099297714</v>
      </c>
      <c r="J115" s="272">
        <f>'Datos Crudos SE2 Impact'!I90</f>
        <v>6.7080098466199649</v>
      </c>
      <c r="K115" s="83">
        <f>'Datos Crudos SE2 Impact'!R35</f>
        <v>2.0644999999999998</v>
      </c>
      <c r="L115" s="83">
        <f>'Datos Crudos SE2 Impact'!R90</f>
        <v>2.1124000000000001</v>
      </c>
      <c r="M115" s="273"/>
      <c r="N115" s="83">
        <f>'Datos Crudos SE2 Impact'!M35</f>
        <v>0</v>
      </c>
      <c r="O115" s="83">
        <f>'Datos Crudos SE2 Impact'!P35</f>
        <v>0</v>
      </c>
      <c r="P115" s="83">
        <f>'Datos Crudos SE2 Impact'!Q35</f>
        <v>0</v>
      </c>
      <c r="Q115" s="83">
        <f>'Datos Crudos SE2 Impact'!M90</f>
        <v>0</v>
      </c>
      <c r="R115" s="83">
        <f>'Datos Crudos SE2 Impact'!P90</f>
        <v>0</v>
      </c>
      <c r="S115" s="83">
        <f>'Datos Crudos SE2 Impact'!Q90</f>
        <v>0</v>
      </c>
      <c r="T115" s="83">
        <f>'Datos Crudos SE2 Impact'!O35</f>
        <v>0</v>
      </c>
      <c r="U115" s="83">
        <f>'Datos Crudos SE2 Impact'!O90</f>
        <v>0</v>
      </c>
      <c r="V115" s="274">
        <f t="shared" si="8"/>
        <v>1</v>
      </c>
      <c r="W115" s="274">
        <f t="shared" si="9"/>
        <v>-0.18764845605700708</v>
      </c>
      <c r="X115" s="275">
        <f t="shared" si="10"/>
        <v>0.65558194774346801</v>
      </c>
      <c r="Y115" s="275">
        <f t="shared" si="11"/>
        <v>0</v>
      </c>
      <c r="Z115" s="269">
        <f t="shared" si="12"/>
        <v>-44480</v>
      </c>
      <c r="AA115" s="276" t="e">
        <f t="shared" si="13"/>
        <v>#NUM!</v>
      </c>
      <c r="AB115" s="272">
        <f>'Datos Crudos SE2 Impact'!S35</f>
        <v>100</v>
      </c>
      <c r="AC115" s="272">
        <f>'Datos Crudos SE2 Impact'!S90</f>
        <v>100</v>
      </c>
      <c r="AD115" s="47"/>
      <c r="AE115" s="47"/>
      <c r="AF115" s="47"/>
      <c r="AG115" s="278"/>
      <c r="AH115" s="272"/>
      <c r="AI115" s="272"/>
    </row>
    <row r="116" spans="1:35" x14ac:dyDescent="0.25">
      <c r="A116" s="83" t="s">
        <v>461</v>
      </c>
      <c r="B116" s="47" t="s">
        <v>331</v>
      </c>
      <c r="C116" s="269" t="s">
        <v>143</v>
      </c>
      <c r="D116" s="269">
        <v>2</v>
      </c>
      <c r="E116" s="47" t="s">
        <v>18</v>
      </c>
      <c r="F116" s="270">
        <v>44480</v>
      </c>
      <c r="G116" s="271">
        <f>'Datos Crudos SE2 Impact'!H36</f>
        <v>2.012</v>
      </c>
      <c r="H116" s="83">
        <f>'Datos Crudos SE2 Impact'!H91</f>
        <v>2.1211000000000002</v>
      </c>
      <c r="I116" s="272">
        <f>'Datos Crudos SE2 Impact'!I36</f>
        <v>6.6550695825049768</v>
      </c>
      <c r="J116" s="272">
        <f>'Datos Crudos SE2 Impact'!I91</f>
        <v>7.024657017585195</v>
      </c>
      <c r="K116" s="83">
        <f>'Datos Crudos SE2 Impact'!R36</f>
        <v>2.012</v>
      </c>
      <c r="L116" s="83">
        <f>'Datos Crudos SE2 Impact'!R91</f>
        <v>2.1211000000000002</v>
      </c>
      <c r="M116" s="273"/>
      <c r="N116" s="83">
        <f>'Datos Crudos SE2 Impact'!M36</f>
        <v>0</v>
      </c>
      <c r="O116" s="83">
        <f>'Datos Crudos SE2 Impact'!P36</f>
        <v>0</v>
      </c>
      <c r="P116" s="83">
        <f>'Datos Crudos SE2 Impact'!Q36</f>
        <v>0</v>
      </c>
      <c r="Q116" s="83">
        <f>'Datos Crudos SE2 Impact'!M91</f>
        <v>0</v>
      </c>
      <c r="R116" s="83">
        <f>'Datos Crudos SE2 Impact'!P91</f>
        <v>0</v>
      </c>
      <c r="S116" s="83">
        <f>'Datos Crudos SE2 Impact'!Q91</f>
        <v>0</v>
      </c>
      <c r="T116" s="83">
        <f>'Datos Crudos SE2 Impact'!O36</f>
        <v>0</v>
      </c>
      <c r="U116" s="83">
        <f>'Datos Crudos SE2 Impact'!O91</f>
        <v>0</v>
      </c>
      <c r="V116" s="274">
        <f t="shared" si="8"/>
        <v>1</v>
      </c>
      <c r="W116" s="274">
        <f t="shared" si="9"/>
        <v>-0.18764845605700708</v>
      </c>
      <c r="X116" s="275">
        <f t="shared" si="10"/>
        <v>0.65558194774346801</v>
      </c>
      <c r="Y116" s="275">
        <f t="shared" si="11"/>
        <v>0</v>
      </c>
      <c r="Z116" s="269">
        <f t="shared" si="12"/>
        <v>-44480</v>
      </c>
      <c r="AA116" s="276" t="e">
        <f t="shared" si="13"/>
        <v>#NUM!</v>
      </c>
      <c r="AB116" s="272">
        <f>'Datos Crudos SE2 Impact'!S36</f>
        <v>100</v>
      </c>
      <c r="AC116" s="272">
        <f>'Datos Crudos SE2 Impact'!S91</f>
        <v>100</v>
      </c>
      <c r="AD116" s="47"/>
      <c r="AE116" s="47"/>
      <c r="AF116" s="47"/>
      <c r="AG116" s="278"/>
      <c r="AH116" s="272"/>
      <c r="AI116" s="272"/>
    </row>
    <row r="117" spans="1:35" x14ac:dyDescent="0.25">
      <c r="A117" s="83" t="s">
        <v>462</v>
      </c>
      <c r="B117" s="47" t="s">
        <v>331</v>
      </c>
      <c r="C117" s="269" t="s">
        <v>143</v>
      </c>
      <c r="D117" s="269">
        <v>1</v>
      </c>
      <c r="E117" s="47" t="s">
        <v>19</v>
      </c>
      <c r="F117" s="270">
        <v>44480</v>
      </c>
      <c r="G117" s="271">
        <f>'Datos Crudos SE2 Impact'!H37</f>
        <v>1.9411</v>
      </c>
      <c r="H117" s="83">
        <f>'Datos Crudos SE2 Impact'!H92</f>
        <v>2.0331000000000001</v>
      </c>
      <c r="I117" s="272">
        <f>'Datos Crudos SE2 Impact'!I37</f>
        <v>6.6096543197156175</v>
      </c>
      <c r="J117" s="272">
        <f>'Datos Crudos SE2 Impact'!I92</f>
        <v>6.4876297280015693</v>
      </c>
      <c r="K117" s="83">
        <f>'Datos Crudos SE2 Impact'!R37</f>
        <v>1.9411</v>
      </c>
      <c r="L117" s="83">
        <f>'Datos Crudos SE2 Impact'!R92</f>
        <v>2.0331000000000001</v>
      </c>
      <c r="M117" s="273"/>
      <c r="N117" s="83">
        <f>'Datos Crudos SE2 Impact'!M37</f>
        <v>0</v>
      </c>
      <c r="O117" s="83">
        <f>'Datos Crudos SE2 Impact'!P37</f>
        <v>0</v>
      </c>
      <c r="P117" s="83">
        <f>'Datos Crudos SE2 Impact'!Q37</f>
        <v>0</v>
      </c>
      <c r="Q117" s="83">
        <f>'Datos Crudos SE2 Impact'!M92</f>
        <v>0</v>
      </c>
      <c r="R117" s="83">
        <f>'Datos Crudos SE2 Impact'!P92</f>
        <v>0</v>
      </c>
      <c r="S117" s="83">
        <f>'Datos Crudos SE2 Impact'!Q92</f>
        <v>0</v>
      </c>
      <c r="T117" s="83">
        <f>'Datos Crudos SE2 Impact'!O37</f>
        <v>0</v>
      </c>
      <c r="U117" s="83">
        <f>'Datos Crudos SE2 Impact'!O92</f>
        <v>0</v>
      </c>
      <c r="V117" s="274">
        <f t="shared" si="8"/>
        <v>1</v>
      </c>
      <c r="W117" s="274">
        <f t="shared" si="9"/>
        <v>-0.18764845605700708</v>
      </c>
      <c r="X117" s="275">
        <f t="shared" si="10"/>
        <v>0.65558194774346801</v>
      </c>
      <c r="Y117" s="275">
        <f t="shared" si="11"/>
        <v>0</v>
      </c>
      <c r="Z117" s="269">
        <f t="shared" si="12"/>
        <v>-44480</v>
      </c>
      <c r="AA117" s="276" t="e">
        <f t="shared" si="13"/>
        <v>#NUM!</v>
      </c>
      <c r="AB117" s="272">
        <f>'Datos Crudos SE2 Impact'!S37</f>
        <v>100</v>
      </c>
      <c r="AC117" s="272">
        <f>'Datos Crudos SE2 Impact'!S92</f>
        <v>100</v>
      </c>
      <c r="AD117" s="47"/>
      <c r="AE117" s="47"/>
      <c r="AF117" s="47"/>
      <c r="AG117" s="278"/>
      <c r="AH117" s="272"/>
      <c r="AI117" s="272"/>
    </row>
    <row r="118" spans="1:35" x14ac:dyDescent="0.25">
      <c r="A118" s="83" t="s">
        <v>463</v>
      </c>
      <c r="B118" s="47" t="s">
        <v>331</v>
      </c>
      <c r="C118" s="269" t="s">
        <v>143</v>
      </c>
      <c r="D118" s="269">
        <v>2</v>
      </c>
      <c r="E118" s="47" t="s">
        <v>19</v>
      </c>
      <c r="F118" s="270">
        <v>44480</v>
      </c>
      <c r="G118" s="271">
        <f>'Datos Crudos SE2 Impact'!H38</f>
        <v>2.1200999999999999</v>
      </c>
      <c r="H118" s="83">
        <f>'Datos Crudos SE2 Impact'!H93</f>
        <v>2.1166</v>
      </c>
      <c r="I118" s="272">
        <f>'Datos Crudos SE2 Impact'!I38</f>
        <v>6.7260978255742785</v>
      </c>
      <c r="J118" s="272">
        <f>'Datos Crudos SE2 Impact'!I93</f>
        <v>6.7939147689691088</v>
      </c>
      <c r="K118" s="83">
        <f>'Datos Crudos SE2 Impact'!R38</f>
        <v>2.1200999999999999</v>
      </c>
      <c r="L118" s="83">
        <f>'Datos Crudos SE2 Impact'!R93</f>
        <v>2.1166</v>
      </c>
      <c r="M118" s="273"/>
      <c r="N118" s="83">
        <f>'Datos Crudos SE2 Impact'!M38</f>
        <v>0</v>
      </c>
      <c r="O118" s="83">
        <f>'Datos Crudos SE2 Impact'!P38</f>
        <v>0</v>
      </c>
      <c r="P118" s="83">
        <f>'Datos Crudos SE2 Impact'!Q38</f>
        <v>0</v>
      </c>
      <c r="Q118" s="83">
        <f>'Datos Crudos SE2 Impact'!M93</f>
        <v>0</v>
      </c>
      <c r="R118" s="83">
        <f>'Datos Crudos SE2 Impact'!P93</f>
        <v>0</v>
      </c>
      <c r="S118" s="83">
        <f>'Datos Crudos SE2 Impact'!Q93</f>
        <v>0</v>
      </c>
      <c r="T118" s="83">
        <f>'Datos Crudos SE2 Impact'!O38</f>
        <v>0</v>
      </c>
      <c r="U118" s="83">
        <f>'Datos Crudos SE2 Impact'!O93</f>
        <v>0</v>
      </c>
      <c r="V118" s="274">
        <f t="shared" si="8"/>
        <v>1</v>
      </c>
      <c r="W118" s="274">
        <f t="shared" si="9"/>
        <v>-0.18764845605700708</v>
      </c>
      <c r="X118" s="275">
        <f t="shared" si="10"/>
        <v>0.65558194774346801</v>
      </c>
      <c r="Y118" s="275">
        <f t="shared" si="11"/>
        <v>0</v>
      </c>
      <c r="Z118" s="269">
        <f t="shared" si="12"/>
        <v>-44480</v>
      </c>
      <c r="AA118" s="276" t="e">
        <f t="shared" si="13"/>
        <v>#NUM!</v>
      </c>
      <c r="AB118" s="272">
        <f>'Datos Crudos SE2 Impact'!S38</f>
        <v>100</v>
      </c>
      <c r="AC118" s="272">
        <f>'Datos Crudos SE2 Impact'!S93</f>
        <v>100</v>
      </c>
      <c r="AD118" s="47"/>
      <c r="AE118" s="47"/>
      <c r="AF118" s="47"/>
      <c r="AG118" s="278"/>
      <c r="AH118" s="272"/>
      <c r="AI118" s="272"/>
    </row>
    <row r="119" spans="1:35" x14ac:dyDescent="0.25">
      <c r="A119" s="83" t="s">
        <v>464</v>
      </c>
      <c r="B119" s="47" t="s">
        <v>331</v>
      </c>
      <c r="C119" s="269" t="s">
        <v>143</v>
      </c>
      <c r="D119" s="269">
        <v>1</v>
      </c>
      <c r="E119" s="47" t="s">
        <v>20</v>
      </c>
      <c r="F119" s="270">
        <v>44480</v>
      </c>
      <c r="G119" s="271">
        <f>'Datos Crudos SE2 Impact'!H39</f>
        <v>1.847</v>
      </c>
      <c r="H119" s="83">
        <f>'Datos Crudos SE2 Impact'!H94</f>
        <v>2.1408999999999998</v>
      </c>
      <c r="I119" s="272">
        <f>'Datos Crudos SE2 Impact'!I39</f>
        <v>6.507850568489447</v>
      </c>
      <c r="J119" s="272">
        <f>'Datos Crudos SE2 Impact'!I94</f>
        <v>6.7868653370078107</v>
      </c>
      <c r="K119" s="83">
        <f>'Datos Crudos SE2 Impact'!R39</f>
        <v>1.847</v>
      </c>
      <c r="L119" s="83">
        <f>'Datos Crudos SE2 Impact'!R94</f>
        <v>2.1408999999999998</v>
      </c>
      <c r="M119" s="273"/>
      <c r="N119" s="83">
        <f>'Datos Crudos SE2 Impact'!M39</f>
        <v>0</v>
      </c>
      <c r="O119" s="83">
        <f>'Datos Crudos SE2 Impact'!P39</f>
        <v>0</v>
      </c>
      <c r="P119" s="83">
        <f>'Datos Crudos SE2 Impact'!Q39</f>
        <v>0</v>
      </c>
      <c r="Q119" s="83">
        <f>'Datos Crudos SE2 Impact'!M94</f>
        <v>0</v>
      </c>
      <c r="R119" s="83">
        <f>'Datos Crudos SE2 Impact'!P94</f>
        <v>0</v>
      </c>
      <c r="S119" s="83">
        <f>'Datos Crudos SE2 Impact'!Q94</f>
        <v>0</v>
      </c>
      <c r="T119" s="83">
        <f>'Datos Crudos SE2 Impact'!O39</f>
        <v>0</v>
      </c>
      <c r="U119" s="83">
        <f>'Datos Crudos SE2 Impact'!O94</f>
        <v>0</v>
      </c>
      <c r="V119" s="274">
        <f t="shared" si="8"/>
        <v>1</v>
      </c>
      <c r="W119" s="274">
        <f t="shared" si="9"/>
        <v>-0.18764845605700708</v>
      </c>
      <c r="X119" s="275">
        <f t="shared" si="10"/>
        <v>0.65558194774346801</v>
      </c>
      <c r="Y119" s="275">
        <f t="shared" si="11"/>
        <v>0</v>
      </c>
      <c r="Z119" s="269">
        <f t="shared" si="12"/>
        <v>-44480</v>
      </c>
      <c r="AA119" s="276" t="e">
        <f t="shared" si="13"/>
        <v>#NUM!</v>
      </c>
      <c r="AB119" s="272">
        <f>'Datos Crudos SE2 Impact'!S39</f>
        <v>100</v>
      </c>
      <c r="AC119" s="272">
        <f>'Datos Crudos SE2 Impact'!S94</f>
        <v>100</v>
      </c>
      <c r="AD119" s="47"/>
      <c r="AE119" s="47"/>
      <c r="AF119" s="47"/>
      <c r="AG119" s="278"/>
      <c r="AH119" s="272"/>
      <c r="AI119" s="272"/>
    </row>
    <row r="120" spans="1:35" x14ac:dyDescent="0.25">
      <c r="A120" s="279" t="s">
        <v>465</v>
      </c>
      <c r="B120" s="280" t="s">
        <v>331</v>
      </c>
      <c r="C120" s="279" t="s">
        <v>143</v>
      </c>
      <c r="D120" s="269">
        <v>2</v>
      </c>
      <c r="E120" s="47" t="s">
        <v>20</v>
      </c>
      <c r="F120" s="281">
        <v>44480</v>
      </c>
      <c r="G120" s="271">
        <f>'Datos Crudos SE2 Impact'!H40</f>
        <v>1.9830000000000001</v>
      </c>
      <c r="H120" s="83">
        <f>'Datos Crudos SE2 Impact'!H95</f>
        <v>2.0663999999999998</v>
      </c>
      <c r="I120" s="272">
        <f>'Datos Crudos SE2 Impact'!I40</f>
        <v>6.7473524962178466</v>
      </c>
      <c r="J120" s="272">
        <f>'Datos Crudos SE2 Impact'!I95</f>
        <v>6.9444444444444642</v>
      </c>
      <c r="K120" s="83">
        <f>'Datos Crudos SE2 Impact'!R40</f>
        <v>1.9830000000000001</v>
      </c>
      <c r="L120" s="83">
        <f>'Datos Crudos SE2 Impact'!R95</f>
        <v>2.0663999999999998</v>
      </c>
      <c r="M120" s="273"/>
      <c r="N120" s="83">
        <f>'Datos Crudos SE2 Impact'!M40</f>
        <v>0</v>
      </c>
      <c r="O120" s="83">
        <f>'Datos Crudos SE2 Impact'!P40</f>
        <v>0</v>
      </c>
      <c r="P120" s="83">
        <f>'Datos Crudos SE2 Impact'!Q40</f>
        <v>0</v>
      </c>
      <c r="Q120" s="83">
        <f>'Datos Crudos SE2 Impact'!M95</f>
        <v>0</v>
      </c>
      <c r="R120" s="83">
        <f>'Datos Crudos SE2 Impact'!P95</f>
        <v>0</v>
      </c>
      <c r="S120" s="83">
        <f>'Datos Crudos SE2 Impact'!Q95</f>
        <v>0</v>
      </c>
      <c r="T120" s="83">
        <f>'Datos Crudos SE2 Impact'!O40</f>
        <v>0</v>
      </c>
      <c r="U120" s="83">
        <f>'Datos Crudos SE2 Impact'!O95</f>
        <v>0</v>
      </c>
      <c r="V120" s="274">
        <f t="shared" si="8"/>
        <v>1</v>
      </c>
      <c r="W120" s="274">
        <f t="shared" si="9"/>
        <v>-0.18764845605700708</v>
      </c>
      <c r="X120" s="275">
        <f t="shared" si="10"/>
        <v>0.65558194774346801</v>
      </c>
      <c r="Y120" s="275">
        <f t="shared" si="11"/>
        <v>0</v>
      </c>
      <c r="Z120" s="269">
        <f t="shared" si="12"/>
        <v>-44480</v>
      </c>
      <c r="AA120" s="276" t="e">
        <f t="shared" si="13"/>
        <v>#NUM!</v>
      </c>
      <c r="AB120" s="272">
        <f>'Datos Crudos SE2 Impact'!S40</f>
        <v>100</v>
      </c>
      <c r="AC120" s="272">
        <f>'Datos Crudos SE2 Impact'!S95</f>
        <v>100</v>
      </c>
      <c r="AD120" s="280"/>
      <c r="AE120" s="280"/>
      <c r="AF120" s="280"/>
      <c r="AG120" s="282"/>
      <c r="AH120" s="272"/>
      <c r="AI120" s="272"/>
    </row>
    <row r="121" spans="1:35" x14ac:dyDescent="0.25">
      <c r="A121" s="9" t="s">
        <v>466</v>
      </c>
      <c r="B121" s="87" t="s">
        <v>100</v>
      </c>
      <c r="C121" s="22" t="s">
        <v>143</v>
      </c>
      <c r="D121" s="61">
        <v>1</v>
      </c>
      <c r="E121" t="s">
        <v>17</v>
      </c>
      <c r="F121" s="53">
        <v>44496</v>
      </c>
      <c r="G121" s="91">
        <f>'Datos Crudos SE2 Impact'!H41</f>
        <v>1.9802</v>
      </c>
      <c r="H121" s="9">
        <f>'Datos Crudos SE2 Impact'!H96</f>
        <v>2.1453000000000002</v>
      </c>
      <c r="I121" s="17">
        <f>'Datos Crudos SE2 Impact'!I41</f>
        <v>5.933744066255942</v>
      </c>
      <c r="J121" s="17">
        <f>'Datos Crudos SE2 Impact'!I96</f>
        <v>8.0548175080408146</v>
      </c>
      <c r="K121" s="9">
        <f>'Datos Crudos SE2 Impact'!R41</f>
        <v>1.778</v>
      </c>
      <c r="L121" s="9">
        <f>'Datos Crudos SE2 Impact'!R96</f>
        <v>1.9560000000000002</v>
      </c>
      <c r="M121" s="62">
        <v>44545</v>
      </c>
      <c r="N121" s="9">
        <f>'Datos Crudos SE2 Impact'!M41</f>
        <v>0.53959999999999997</v>
      </c>
      <c r="O121" s="9">
        <f>'Datos Crudos SE2 Impact'!P41</f>
        <v>0.1444</v>
      </c>
      <c r="P121" s="9">
        <f>'Datos Crudos SE2 Impact'!Q41</f>
        <v>5.7799999999999997E-2</v>
      </c>
      <c r="Q121" s="9">
        <f>'Datos Crudos SE2 Impact'!M96</f>
        <v>1.4784999999999999</v>
      </c>
      <c r="R121" s="9">
        <f>'Datos Crudos SE2 Impact'!P96</f>
        <v>0.1343</v>
      </c>
      <c r="S121" s="9">
        <f>'Datos Crudos SE2 Impact'!Q96</f>
        <v>5.5E-2</v>
      </c>
      <c r="T121" s="9">
        <f>'Datos Crudos SE2 Impact'!O41</f>
        <v>0.33650000000000002</v>
      </c>
      <c r="U121" s="9">
        <f>'Datos Crudos SE2 Impact'!O96</f>
        <v>1.2869999999999999</v>
      </c>
      <c r="V121" s="198">
        <f t="shared" si="8"/>
        <v>0.81074240719910007</v>
      </c>
      <c r="W121" s="198">
        <f t="shared" si="9"/>
        <v>3.7123031830047393E-2</v>
      </c>
      <c r="X121" s="21">
        <f t="shared" si="10"/>
        <v>0.53150808642981384</v>
      </c>
      <c r="Y121" s="21">
        <f t="shared" si="11"/>
        <v>0.65797546012269925</v>
      </c>
      <c r="Z121" s="22">
        <f t="shared" si="12"/>
        <v>49</v>
      </c>
      <c r="AA121" s="248">
        <f t="shared" si="13"/>
        <v>2.1049310547938703E-2</v>
      </c>
      <c r="AB121" s="17">
        <f>'Datos Crudos SE2 Impact'!S41</f>
        <v>81.074240719910009</v>
      </c>
      <c r="AC121" s="17">
        <f>'Datos Crudos SE2 Impact'!S96</f>
        <v>34.202453987730067</v>
      </c>
      <c r="AD121" s="65">
        <f>AVERAGE(W121:W127)</f>
        <v>2.3876644261224902E-2</v>
      </c>
      <c r="AE121">
        <f>STDEV(W121:W127)</f>
        <v>1.6967310870995341E-2</v>
      </c>
      <c r="AF121" s="7">
        <f>AVERAGE(AA121:AA127)</f>
        <v>1.9415136840012441E-2</v>
      </c>
      <c r="AG121" s="227">
        <f>STDEV(AA121:AA127)</f>
        <v>2.4589684213890831E-3</v>
      </c>
      <c r="AH121" s="17">
        <f>'Datos Crudos SE2 Impact'!U41</f>
        <v>18.925759280089991</v>
      </c>
      <c r="AI121" s="17">
        <f>'Datos Crudos SE2 Impact'!U96</f>
        <v>65.797546012269919</v>
      </c>
    </row>
    <row r="122" spans="1:35" x14ac:dyDescent="0.25">
      <c r="A122" s="9" t="s">
        <v>467</v>
      </c>
      <c r="B122" s="87" t="s">
        <v>100</v>
      </c>
      <c r="C122" s="22" t="s">
        <v>143</v>
      </c>
      <c r="D122" s="61">
        <v>2</v>
      </c>
      <c r="E122" t="s">
        <v>17</v>
      </c>
      <c r="F122" s="53">
        <v>44496</v>
      </c>
      <c r="G122" s="91">
        <f>'Datos Crudos SE2 Impact'!H42</f>
        <v>1.9052</v>
      </c>
      <c r="H122" s="9">
        <f>'Datos Crudos SE2 Impact'!H97</f>
        <v>2.1661999999999999</v>
      </c>
      <c r="I122" s="17">
        <f>'Datos Crudos SE2 Impact'!I42</f>
        <v>5.9993701448666723</v>
      </c>
      <c r="J122" s="17">
        <f>'Datos Crudos SE2 Impact'!I97</f>
        <v>7.8847751823469796</v>
      </c>
      <c r="K122" s="9">
        <f>'Datos Crudos SE2 Impact'!R42</f>
        <v>1.7017</v>
      </c>
      <c r="L122" s="9">
        <f>'Datos Crudos SE2 Impact'!R97</f>
        <v>1.9802</v>
      </c>
      <c r="M122" s="62">
        <v>44545</v>
      </c>
      <c r="N122" s="9">
        <f>'Datos Crudos SE2 Impact'!M42</f>
        <v>0.50819999999999999</v>
      </c>
      <c r="O122" s="9">
        <f>'Datos Crudos SE2 Impact'!P42</f>
        <v>0.14630000000000001</v>
      </c>
      <c r="P122" s="9">
        <f>'Datos Crudos SE2 Impact'!Q42</f>
        <v>5.7200000000000001E-2</v>
      </c>
      <c r="Q122" s="9">
        <f>'Datos Crudos SE2 Impact'!M97</f>
        <v>1.4859</v>
      </c>
      <c r="R122" s="9">
        <f>'Datos Crudos SE2 Impact'!P97</f>
        <v>0.13220000000000001</v>
      </c>
      <c r="S122" s="9">
        <f>'Datos Crudos SE2 Impact'!Q97</f>
        <v>5.3800000000000001E-2</v>
      </c>
      <c r="T122" s="9">
        <f>'Datos Crudos SE2 Impact'!O42</f>
        <v>0.3024</v>
      </c>
      <c r="U122" s="9">
        <f>'Datos Crudos SE2 Impact'!O97</f>
        <v>1.298</v>
      </c>
      <c r="V122" s="198">
        <f t="shared" si="8"/>
        <v>0.82229535170711643</v>
      </c>
      <c r="W122" s="198">
        <f t="shared" si="9"/>
        <v>2.340219512218944E-2</v>
      </c>
      <c r="X122" s="21">
        <f t="shared" si="10"/>
        <v>0.53908198829255149</v>
      </c>
      <c r="Y122" s="21">
        <f t="shared" si="11"/>
        <v>0.65548934451065555</v>
      </c>
      <c r="Z122" s="22">
        <f t="shared" si="12"/>
        <v>49</v>
      </c>
      <c r="AA122" s="248">
        <f t="shared" si="13"/>
        <v>2.0797322974449063E-2</v>
      </c>
      <c r="AB122" s="17">
        <f>'Datos Crudos SE2 Impact'!S42</f>
        <v>82.229535170711642</v>
      </c>
      <c r="AC122" s="17">
        <f>'Datos Crudos SE2 Impact'!S97</f>
        <v>34.451065548934444</v>
      </c>
      <c r="AG122" s="228"/>
      <c r="AH122" s="17">
        <f>'Datos Crudos SE2 Impact'!U42</f>
        <v>17.770464829288361</v>
      </c>
      <c r="AI122" s="17">
        <f>'Datos Crudos SE2 Impact'!U97</f>
        <v>65.548934451065549</v>
      </c>
    </row>
    <row r="123" spans="1:35" x14ac:dyDescent="0.25">
      <c r="A123" s="9" t="s">
        <v>468</v>
      </c>
      <c r="B123" s="87" t="s">
        <v>100</v>
      </c>
      <c r="C123" s="22" t="s">
        <v>143</v>
      </c>
      <c r="D123" s="61">
        <v>1</v>
      </c>
      <c r="E123" t="s">
        <v>18</v>
      </c>
      <c r="F123" s="53">
        <v>44496</v>
      </c>
      <c r="G123" s="91">
        <f>'Datos Crudos SE2 Impact'!H43</f>
        <v>2.0024999999999999</v>
      </c>
      <c r="H123" s="9">
        <f>'Datos Crudos SE2 Impact'!H98</f>
        <v>2.069</v>
      </c>
      <c r="I123" s="17">
        <f>'Datos Crudos SE2 Impact'!I43</f>
        <v>5.9875156054931287</v>
      </c>
      <c r="J123" s="17">
        <f>'Datos Crudos SE2 Impact'!I98</f>
        <v>7.9023682938617679</v>
      </c>
      <c r="K123" s="9">
        <f>'Datos Crudos SE2 Impact'!R43</f>
        <v>1.7904</v>
      </c>
      <c r="L123" s="9">
        <f>'Datos Crudos SE2 Impact'!R98</f>
        <v>1.8775999999999999</v>
      </c>
      <c r="M123" s="62">
        <v>44545</v>
      </c>
      <c r="N123" s="9">
        <f>'Datos Crudos SE2 Impact'!M43</f>
        <v>0.53459999999999996</v>
      </c>
      <c r="O123" s="9">
        <f>'Datos Crudos SE2 Impact'!P43</f>
        <v>0.1537</v>
      </c>
      <c r="P123" s="9">
        <f>'Datos Crudos SE2 Impact'!Q43</f>
        <v>5.8400000000000001E-2</v>
      </c>
      <c r="Q123" s="9">
        <f>'Datos Crudos SE2 Impact'!M98</f>
        <v>1.4381999999999999</v>
      </c>
      <c r="R123" s="9">
        <f>'Datos Crudos SE2 Impact'!P98</f>
        <v>0.13650000000000001</v>
      </c>
      <c r="S123" s="9">
        <f>'Datos Crudos SE2 Impact'!Q98</f>
        <v>5.4899999999999997E-2</v>
      </c>
      <c r="T123" s="9">
        <f>'Datos Crudos SE2 Impact'!O43</f>
        <v>0.31630000000000003</v>
      </c>
      <c r="U123" s="9">
        <f>'Datos Crudos SE2 Impact'!O98</f>
        <v>1.2464</v>
      </c>
      <c r="V123" s="198">
        <f t="shared" si="8"/>
        <v>0.82333556747095615</v>
      </c>
      <c r="W123" s="198">
        <f t="shared" si="9"/>
        <v>2.2166784476299051E-2</v>
      </c>
      <c r="X123" s="21">
        <f t="shared" si="10"/>
        <v>0.53976393496908293</v>
      </c>
      <c r="Y123" s="21">
        <f t="shared" si="11"/>
        <v>0.66382616105666803</v>
      </c>
      <c r="Z123" s="22">
        <f t="shared" si="12"/>
        <v>49</v>
      </c>
      <c r="AA123" s="248">
        <f t="shared" si="13"/>
        <v>1.98984336182365E-2</v>
      </c>
      <c r="AB123" s="17">
        <f>'Datos Crudos SE2 Impact'!S43</f>
        <v>82.333556747095614</v>
      </c>
      <c r="AC123" s="17">
        <f>'Datos Crudos SE2 Impact'!S98</f>
        <v>33.617383894333194</v>
      </c>
      <c r="AG123" s="228"/>
      <c r="AH123" s="17">
        <f>'Datos Crudos SE2 Impact'!U43</f>
        <v>17.666443252904379</v>
      </c>
      <c r="AI123" s="17">
        <f>'Datos Crudos SE2 Impact'!U98</f>
        <v>66.382616105666798</v>
      </c>
    </row>
    <row r="124" spans="1:35" x14ac:dyDescent="0.25">
      <c r="A124" s="9" t="s">
        <v>470</v>
      </c>
      <c r="B124" s="87" t="s">
        <v>100</v>
      </c>
      <c r="C124" s="22" t="s">
        <v>143</v>
      </c>
      <c r="D124" s="61">
        <v>1</v>
      </c>
      <c r="E124" t="s">
        <v>19</v>
      </c>
      <c r="F124" s="53">
        <v>44496</v>
      </c>
      <c r="G124" s="91">
        <f>'Datos Crudos SE2 Impact'!H44</f>
        <v>1.8955</v>
      </c>
      <c r="H124" s="9">
        <f>'Datos Crudos SE2 Impact'!H99</f>
        <v>2.1528999999999998</v>
      </c>
      <c r="I124" s="17">
        <f>'Datos Crudos SE2 Impact'!I44</f>
        <v>7.470324452651024</v>
      </c>
      <c r="J124" s="17">
        <f>'Datos Crudos SE2 Impact'!I99</f>
        <v>7.9892238376143885</v>
      </c>
      <c r="K124" s="9">
        <f>'Datos Crudos SE2 Impact'!R44</f>
        <v>1.7122999999999999</v>
      </c>
      <c r="L124" s="9">
        <f>'Datos Crudos SE2 Impact'!R99</f>
        <v>1.9567999999999999</v>
      </c>
      <c r="M124" s="62">
        <v>44545</v>
      </c>
      <c r="N124" s="9">
        <f>'Datos Crudos SE2 Impact'!M44</f>
        <v>0.51780000000000004</v>
      </c>
      <c r="O124" s="9">
        <f>'Datos Crudos SE2 Impact'!P44</f>
        <v>0.12889999999999999</v>
      </c>
      <c r="P124" s="9">
        <f>'Datos Crudos SE2 Impact'!Q44</f>
        <v>5.4300000000000001E-2</v>
      </c>
      <c r="Q124" s="9">
        <f>'Datos Crudos SE2 Impact'!M99</f>
        <v>1.4723999999999999</v>
      </c>
      <c r="R124" s="9">
        <f>'Datos Crudos SE2 Impact'!P99</f>
        <v>0.14000000000000001</v>
      </c>
      <c r="S124" s="9">
        <f>'Datos Crudos SE2 Impact'!Q99</f>
        <v>5.6099999999999997E-2</v>
      </c>
      <c r="T124" s="9">
        <f>'Datos Crudos SE2 Impact'!O44</f>
        <v>0.33410000000000001</v>
      </c>
      <c r="U124" s="9">
        <f>'Datos Crudos SE2 Impact'!O99</f>
        <v>1.2771999999999999</v>
      </c>
      <c r="V124" s="198">
        <f t="shared" si="8"/>
        <v>0.80488232202300991</v>
      </c>
      <c r="W124" s="198">
        <f t="shared" si="9"/>
        <v>4.4082752941793424E-2</v>
      </c>
      <c r="X124" s="21">
        <f t="shared" si="10"/>
        <v>0.52766632037613004</v>
      </c>
      <c r="Y124" s="21">
        <f t="shared" si="11"/>
        <v>0.65269828291087484</v>
      </c>
      <c r="Z124" s="22">
        <f t="shared" si="12"/>
        <v>49</v>
      </c>
      <c r="AA124" s="248">
        <f t="shared" si="13"/>
        <v>2.1907831407076597E-2</v>
      </c>
      <c r="AB124" s="17">
        <f>'Datos Crudos SE2 Impact'!S44</f>
        <v>80.488232202300992</v>
      </c>
      <c r="AC124" s="17">
        <f>'Datos Crudos SE2 Impact'!S99</f>
        <v>34.730171708912508</v>
      </c>
      <c r="AG124" s="228"/>
      <c r="AH124" s="17">
        <f>'Datos Crudos SE2 Impact'!U44</f>
        <v>19.511767797699004</v>
      </c>
      <c r="AI124" s="17">
        <f>'Datos Crudos SE2 Impact'!U99</f>
        <v>65.269828291087478</v>
      </c>
    </row>
    <row r="125" spans="1:35" x14ac:dyDescent="0.25">
      <c r="A125" s="9" t="s">
        <v>471</v>
      </c>
      <c r="B125" s="87" t="s">
        <v>100</v>
      </c>
      <c r="C125" s="22" t="s">
        <v>143</v>
      </c>
      <c r="D125" s="61">
        <v>2</v>
      </c>
      <c r="E125" t="s">
        <v>19</v>
      </c>
      <c r="F125" s="53">
        <v>44496</v>
      </c>
      <c r="G125" s="91">
        <f>'Datos Crudos SE2 Impact'!H45</f>
        <v>2.0817999999999999</v>
      </c>
      <c r="H125" s="9">
        <f>'Datos Crudos SE2 Impact'!H100</f>
        <v>2.1309</v>
      </c>
      <c r="I125" s="17">
        <f>'Datos Crudos SE2 Impact'!I45</f>
        <v>6.0332404649822244</v>
      </c>
      <c r="J125" s="17">
        <f>'Datos Crudos SE2 Impact'!I100</f>
        <v>7.8417570040827833</v>
      </c>
      <c r="K125" s="9">
        <f>'Datos Crudos SE2 Impact'!R45</f>
        <v>1.8571</v>
      </c>
      <c r="L125" s="9">
        <f>'Datos Crudos SE2 Impact'!R100</f>
        <v>1.9438</v>
      </c>
      <c r="M125" s="62">
        <v>44545</v>
      </c>
      <c r="N125" s="9">
        <f>'Datos Crudos SE2 Impact'!M45</f>
        <v>0.55249999999999999</v>
      </c>
      <c r="O125" s="9">
        <f>'Datos Crudos SE2 Impact'!P45</f>
        <v>0.16650000000000001</v>
      </c>
      <c r="P125" s="9">
        <f>'Datos Crudos SE2 Impact'!Q45</f>
        <v>5.8200000000000002E-2</v>
      </c>
      <c r="Q125" s="9">
        <f>'Datos Crudos SE2 Impact'!M100</f>
        <v>1.4703999999999999</v>
      </c>
      <c r="R125" s="9">
        <f>'Datos Crudos SE2 Impact'!P100</f>
        <v>0.13289999999999999</v>
      </c>
      <c r="S125" s="9">
        <f>'Datos Crudos SE2 Impact'!Q100</f>
        <v>5.4199999999999998E-2</v>
      </c>
      <c r="T125" s="9">
        <f>'Datos Crudos SE2 Impact'!O45</f>
        <v>0.3231</v>
      </c>
      <c r="U125" s="9">
        <f>'Datos Crudos SE2 Impact'!O100</f>
        <v>1.2817000000000001</v>
      </c>
      <c r="V125" s="198">
        <f t="shared" si="8"/>
        <v>0.8260190619783534</v>
      </c>
      <c r="W125" s="198">
        <f t="shared" si="9"/>
        <v>1.8979736367751299E-2</v>
      </c>
      <c r="X125" s="21">
        <f t="shared" si="10"/>
        <v>0.54152318552500134</v>
      </c>
      <c r="Y125" s="21">
        <f t="shared" si="11"/>
        <v>0.65937853688651105</v>
      </c>
      <c r="Z125" s="22">
        <f t="shared" si="12"/>
        <v>49</v>
      </c>
      <c r="AA125" s="248">
        <f t="shared" si="13"/>
        <v>2.0236123213960153E-2</v>
      </c>
      <c r="AB125" s="17">
        <f>'Datos Crudos SE2 Impact'!S45</f>
        <v>82.601906197835334</v>
      </c>
      <c r="AC125" s="17">
        <f>'Datos Crudos SE2 Impact'!S100</f>
        <v>34.062146311348904</v>
      </c>
      <c r="AG125" s="228"/>
      <c r="AH125" s="17">
        <f>'Datos Crudos SE2 Impact'!U45</f>
        <v>17.398093802164666</v>
      </c>
      <c r="AI125" s="17">
        <f>'Datos Crudos SE2 Impact'!U100</f>
        <v>65.937853688651103</v>
      </c>
    </row>
    <row r="126" spans="1:35" x14ac:dyDescent="0.25">
      <c r="A126" s="9" t="s">
        <v>472</v>
      </c>
      <c r="B126" s="87" t="s">
        <v>100</v>
      </c>
      <c r="C126" s="22" t="s">
        <v>143</v>
      </c>
      <c r="D126" s="61">
        <v>1</v>
      </c>
      <c r="E126" t="s">
        <v>20</v>
      </c>
      <c r="F126" s="53">
        <v>44496</v>
      </c>
      <c r="G126" s="91">
        <f>'Datos Crudos SE2 Impact'!H46</f>
        <v>2.0325000000000002</v>
      </c>
      <c r="H126" s="9">
        <f>'Datos Crudos SE2 Impact'!H101</f>
        <v>2.0339</v>
      </c>
      <c r="I126" s="17">
        <f>'Datos Crudos SE2 Impact'!I46</f>
        <v>5.9926199261992563</v>
      </c>
      <c r="J126" s="17">
        <f>'Datos Crudos SE2 Impact'!I101</f>
        <v>7.8174934854220863</v>
      </c>
      <c r="K126" s="9">
        <f>'Datos Crudos SE2 Impact'!R46</f>
        <v>1.8313000000000001</v>
      </c>
      <c r="L126" s="9">
        <f>'Datos Crudos SE2 Impact'!R101</f>
        <v>1.8464</v>
      </c>
      <c r="M126" s="62">
        <v>44545</v>
      </c>
      <c r="N126" s="9">
        <f>'Datos Crudos SE2 Impact'!M46</f>
        <v>0.47870000000000001</v>
      </c>
      <c r="O126" s="9">
        <f>'Datos Crudos SE2 Impact'!P46</f>
        <v>0.14480000000000001</v>
      </c>
      <c r="P126" s="9">
        <f>'Datos Crudos SE2 Impact'!Q46</f>
        <v>5.6399999999999999E-2</v>
      </c>
      <c r="Q126" s="9">
        <f>'Datos Crudos SE2 Impact'!M101</f>
        <v>1.4939</v>
      </c>
      <c r="R126" s="9">
        <f>'Datos Crudos SE2 Impact'!P101</f>
        <v>0.13289999999999999</v>
      </c>
      <c r="S126" s="9">
        <f>'Datos Crudos SE2 Impact'!Q101</f>
        <v>5.4600000000000003E-2</v>
      </c>
      <c r="T126" s="9">
        <f>'Datos Crudos SE2 Impact'!O46</f>
        <v>0.27560000000000001</v>
      </c>
      <c r="U126" s="9">
        <f>'Datos Crudos SE2 Impact'!O101</f>
        <v>1.3068</v>
      </c>
      <c r="V126" s="198">
        <f t="shared" si="8"/>
        <v>0.84950581554087257</v>
      </c>
      <c r="W126" s="241">
        <f t="shared" si="9"/>
        <v>-8.9142702385660577E-3</v>
      </c>
      <c r="X126" s="21">
        <f t="shared" si="10"/>
        <v>0.55692067717168847</v>
      </c>
      <c r="Y126" s="21">
        <f t="shared" si="11"/>
        <v>0.70775563258232232</v>
      </c>
      <c r="Z126" s="22">
        <f t="shared" si="12"/>
        <v>49</v>
      </c>
      <c r="AA126" s="248">
        <f t="shared" si="13"/>
        <v>1.5181943106305171E-2</v>
      </c>
      <c r="AB126" s="17">
        <f>'Datos Crudos SE2 Impact'!S46</f>
        <v>84.95058155408725</v>
      </c>
      <c r="AC126" s="17">
        <f>'Datos Crudos SE2 Impact'!S101</f>
        <v>29.224436741767768</v>
      </c>
      <c r="AD126" s="216"/>
      <c r="AG126" s="228"/>
      <c r="AH126" s="17">
        <f>'Datos Crudos SE2 Impact'!U46</f>
        <v>15.049418445912737</v>
      </c>
      <c r="AI126" s="17">
        <f>'Datos Crudos SE2 Impact'!U101</f>
        <v>70.775563258232239</v>
      </c>
    </row>
    <row r="127" spans="1:35" x14ac:dyDescent="0.25">
      <c r="A127" s="222" t="s">
        <v>473</v>
      </c>
      <c r="B127" s="223" t="s">
        <v>100</v>
      </c>
      <c r="C127" s="222" t="s">
        <v>143</v>
      </c>
      <c r="D127" s="61">
        <v>2</v>
      </c>
      <c r="E127" t="s">
        <v>20</v>
      </c>
      <c r="F127" s="225">
        <v>44496</v>
      </c>
      <c r="G127" s="91">
        <f>'Datos Crudos SE2 Impact'!H47</f>
        <v>2.0154999999999998</v>
      </c>
      <c r="H127" s="9">
        <f>'Datos Crudos SE2 Impact'!H102</f>
        <v>2.1246</v>
      </c>
      <c r="I127" s="17">
        <f>'Datos Crudos SE2 Impact'!I47</f>
        <v>5.9389729595634027</v>
      </c>
      <c r="J127" s="17">
        <f>'Datos Crudos SE2 Impact'!I102</f>
        <v>7.6767391508989942</v>
      </c>
      <c r="K127" s="9">
        <f>'Datos Crudos SE2 Impact'!R47</f>
        <v>1.8167999999999997</v>
      </c>
      <c r="L127" s="9">
        <f>'Datos Crudos SE2 Impact'!R102</f>
        <v>1.913</v>
      </c>
      <c r="M127" s="62">
        <v>44545</v>
      </c>
      <c r="N127" s="9">
        <f>'Datos Crudos SE2 Impact'!M47</f>
        <v>0.53320000000000001</v>
      </c>
      <c r="O127" s="9">
        <f>'Datos Crudos SE2 Impact'!P47</f>
        <v>0.1414</v>
      </c>
      <c r="P127" s="9">
        <f>'Datos Crudos SE2 Impact'!Q47</f>
        <v>5.7299999999999997E-2</v>
      </c>
      <c r="Q127" s="9">
        <f>'Datos Crudos SE2 Impact'!M102</f>
        <v>1.5522</v>
      </c>
      <c r="R127" s="9">
        <f>'Datos Crudos SE2 Impact'!P102</f>
        <v>0.15609999999999999</v>
      </c>
      <c r="S127" s="9">
        <f>'Datos Crudos SE2 Impact'!Q102</f>
        <v>5.5500000000000001E-2</v>
      </c>
      <c r="T127" s="9">
        <f>'Datos Crudos SE2 Impact'!O47</f>
        <v>0.33339999999999997</v>
      </c>
      <c r="U127" s="9">
        <f>'Datos Crudos SE2 Impact'!O102</f>
        <v>1.3378000000000001</v>
      </c>
      <c r="V127" s="198">
        <f t="shared" si="8"/>
        <v>0.81649053280493167</v>
      </c>
      <c r="W127" s="198">
        <f t="shared" si="9"/>
        <v>3.0296279329059761E-2</v>
      </c>
      <c r="X127" s="21">
        <f t="shared" si="10"/>
        <v>0.53527645381035904</v>
      </c>
      <c r="Y127" s="21">
        <f t="shared" si="11"/>
        <v>0.6993204391008887</v>
      </c>
      <c r="Z127" s="22">
        <f t="shared" si="12"/>
        <v>49</v>
      </c>
      <c r="AA127" s="248">
        <f t="shared" si="13"/>
        <v>1.6834993012120908E-2</v>
      </c>
      <c r="AB127" s="17">
        <f>'Datos Crudos SE2 Impact'!S47</f>
        <v>81.649053280493177</v>
      </c>
      <c r="AC127" s="17">
        <f>'Datos Crudos SE2 Impact'!S102</f>
        <v>30.067956089911128</v>
      </c>
      <c r="AD127" s="226"/>
      <c r="AE127" s="226"/>
      <c r="AF127" s="226"/>
      <c r="AG127" s="229"/>
      <c r="AH127" s="17">
        <f>'Datos Crudos SE2 Impact'!U47</f>
        <v>18.350946719506826</v>
      </c>
      <c r="AI127" s="17">
        <f>'Datos Crudos SE2 Impact'!U102</f>
        <v>69.932043910088865</v>
      </c>
    </row>
    <row r="128" spans="1:35" x14ac:dyDescent="0.25">
      <c r="A128" s="9" t="s">
        <v>558</v>
      </c>
      <c r="B128" t="s">
        <v>41</v>
      </c>
      <c r="C128" s="61" t="s">
        <v>621</v>
      </c>
      <c r="D128" s="61">
        <v>1</v>
      </c>
      <c r="E128" t="s">
        <v>17</v>
      </c>
      <c r="F128" s="53">
        <v>44580</v>
      </c>
      <c r="G128" s="9">
        <f>'Datos Crudos SE4-Ref'!H2</f>
        <v>2.0779999999999998</v>
      </c>
      <c r="H128" s="9">
        <f>'Datos Crudos SE4-Ref'!H47</f>
        <v>2.1404000000000001</v>
      </c>
      <c r="I128" s="17">
        <f>'Datos Crudos SE4-Ref'!I2</f>
        <v>8.5563041385948022</v>
      </c>
      <c r="J128" s="17">
        <f>'Datos Crudos SE4-Ref'!I47</f>
        <v>7.8583442347224874</v>
      </c>
      <c r="K128" s="9">
        <f>'Datos Crudos SE4-Ref'!R2</f>
        <v>1.8381999999999998</v>
      </c>
      <c r="L128" s="9">
        <f>'Datos Crudos SE4-Ref'!R47</f>
        <v>1.9336000000000002</v>
      </c>
      <c r="M128" s="62">
        <v>44638</v>
      </c>
      <c r="N128" s="9">
        <f>'Datos Crudos SE4-Ref'!M2</f>
        <v>0.76890000000000003</v>
      </c>
      <c r="O128" s="9">
        <f>'Datos Crudos SE4-Ref'!P2</f>
        <v>0.17150000000000001</v>
      </c>
      <c r="P128" s="9">
        <f>'Datos Crudos SE4-Ref'!Q2</f>
        <v>6.83E-2</v>
      </c>
      <c r="Q128" s="9">
        <f>'Datos Crudos SE4-Ref'!M47</f>
        <v>1.5451999999999999</v>
      </c>
      <c r="R128" s="9">
        <f>'Datos Crudos SE4-Ref'!P47</f>
        <v>0.1396</v>
      </c>
      <c r="S128" s="9">
        <f>'Datos Crudos SE4-Ref'!Q47</f>
        <v>6.7199999999999996E-2</v>
      </c>
      <c r="T128" s="9">
        <f>'Datos Crudos SE4-Ref'!O2</f>
        <v>0.5181</v>
      </c>
      <c r="U128" s="9">
        <f>'Datos Crudos SE4-Ref'!O47</f>
        <v>1.3374999999999999</v>
      </c>
      <c r="V128" s="198">
        <f t="shared" si="8"/>
        <v>0.71814818844521811</v>
      </c>
      <c r="W128" s="198">
        <f t="shared" si="9"/>
        <v>0.14709241277290008</v>
      </c>
      <c r="X128" s="21">
        <f t="shared" si="10"/>
        <v>0.47080498814935917</v>
      </c>
      <c r="Y128" s="21">
        <f t="shared" si="11"/>
        <v>0.69171493587091426</v>
      </c>
      <c r="Z128" s="22">
        <f t="shared" si="12"/>
        <v>58</v>
      </c>
      <c r="AA128" s="248">
        <f t="shared" si="13"/>
        <v>1.8338678737417274E-2</v>
      </c>
      <c r="AB128" s="240">
        <f>'Datos Crudos SE4-Ref'!S2</f>
        <v>71.81481884452181</v>
      </c>
      <c r="AC128" s="240">
        <f>'Datos Crudos SE4-Ref'!S47</f>
        <v>30.828506412908574</v>
      </c>
      <c r="AD128" s="65">
        <f>AVERAGE(W128:W135)</f>
        <v>4.203806080172301E-2</v>
      </c>
      <c r="AE128">
        <f>STDEV(W128:W135)</f>
        <v>6.3820087741060308E-2</v>
      </c>
      <c r="AF128" s="7">
        <f>AVERAGE(AA128:AA135)</f>
        <v>1.7133739994970719E-2</v>
      </c>
      <c r="AG128" s="235">
        <f>STDEV(AA128:AA135)</f>
        <v>1.3548204262492302E-3</v>
      </c>
      <c r="AH128" s="17">
        <f>'Datos Crudos SE4-Ref'!U2</f>
        <v>28.18518115547819</v>
      </c>
      <c r="AI128" s="17">
        <f>'Datos Crudos SE4-Ref'!U47</f>
        <v>69.171493587091419</v>
      </c>
    </row>
    <row r="129" spans="1:35" x14ac:dyDescent="0.25">
      <c r="A129" s="9" t="s">
        <v>559</v>
      </c>
      <c r="B129" t="s">
        <v>41</v>
      </c>
      <c r="C129" s="61" t="s">
        <v>621</v>
      </c>
      <c r="D129" s="61">
        <v>2</v>
      </c>
      <c r="E129" t="s">
        <v>17</v>
      </c>
      <c r="F129" s="53">
        <v>44580</v>
      </c>
      <c r="G129" s="9">
        <f>'Datos Crudos SE4-Ref'!H3</f>
        <v>2.0261999999999998</v>
      </c>
      <c r="H129" s="9">
        <f>'Datos Crudos SE4-Ref'!H48</f>
        <v>2.2029000000000001</v>
      </c>
      <c r="I129" s="17">
        <f>'Datos Crudos SE4-Ref'!I3</f>
        <v>7.1809298193663107</v>
      </c>
      <c r="J129" s="17">
        <f>'Datos Crudos SE4-Ref'!I48</f>
        <v>8.0394026056561714</v>
      </c>
      <c r="K129" s="9">
        <f>'Datos Crudos SE4-Ref'!R3</f>
        <v>1.8095999999999997</v>
      </c>
      <c r="L129" s="9">
        <f>'Datos Crudos SE4-Ref'!R48</f>
        <v>1.9807000000000001</v>
      </c>
      <c r="M129" s="62">
        <v>44638</v>
      </c>
      <c r="N129" s="9">
        <f>'Datos Crudos SE4-Ref'!M3</f>
        <v>0.71460000000000001</v>
      </c>
      <c r="O129" s="9">
        <f>'Datos Crudos SE4-Ref'!P3</f>
        <v>0.14710000000000001</v>
      </c>
      <c r="P129" s="9">
        <f>'Datos Crudos SE4-Ref'!Q3</f>
        <v>6.9500000000000006E-2</v>
      </c>
      <c r="Q129" s="9">
        <f>'Datos Crudos SE4-Ref'!M48</f>
        <v>1.6492</v>
      </c>
      <c r="R129" s="9">
        <f>'Datos Crudos SE4-Ref'!P48</f>
        <v>0.1522</v>
      </c>
      <c r="S129" s="9">
        <f>'Datos Crudos SE4-Ref'!Q48</f>
        <v>7.0000000000000007E-2</v>
      </c>
      <c r="T129" s="9">
        <f>'Datos Crudos SE4-Ref'!O3</f>
        <v>0.49640000000000001</v>
      </c>
      <c r="U129" s="9">
        <f>'Datos Crudos SE4-Ref'!O48</f>
        <v>1.4269000000000001</v>
      </c>
      <c r="V129" s="198">
        <f t="shared" si="8"/>
        <v>0.72568523430592391</v>
      </c>
      <c r="W129" s="198">
        <f t="shared" si="9"/>
        <v>0.13814105189320203</v>
      </c>
      <c r="X129" s="21">
        <f t="shared" si="10"/>
        <v>0.47574613935495252</v>
      </c>
      <c r="Y129" s="21">
        <f t="shared" si="11"/>
        <v>0.72040187812389556</v>
      </c>
      <c r="Z129" s="22">
        <f t="shared" si="12"/>
        <v>58</v>
      </c>
      <c r="AA129" s="248">
        <f t="shared" si="13"/>
        <v>1.5276117687013136E-2</v>
      </c>
      <c r="AB129" s="240">
        <f>'Datos Crudos SE4-Ref'!S3</f>
        <v>72.568523430592393</v>
      </c>
      <c r="AC129" s="240">
        <f>'Datos Crudos SE4-Ref'!S48</f>
        <v>27.959812187610446</v>
      </c>
      <c r="AG129" s="236"/>
      <c r="AH129" s="17">
        <f>'Datos Crudos SE4-Ref'!U3</f>
        <v>27.431476569407607</v>
      </c>
      <c r="AI129" s="17">
        <f>'Datos Crudos SE4-Ref'!U48</f>
        <v>72.040187812389561</v>
      </c>
    </row>
    <row r="130" spans="1:35" x14ac:dyDescent="0.25">
      <c r="A130" s="9" t="s">
        <v>560</v>
      </c>
      <c r="B130" t="s">
        <v>41</v>
      </c>
      <c r="C130" s="61" t="s">
        <v>621</v>
      </c>
      <c r="D130" s="61">
        <v>1</v>
      </c>
      <c r="E130" t="s">
        <v>18</v>
      </c>
      <c r="F130" s="53">
        <v>44580</v>
      </c>
      <c r="G130" s="9">
        <f>'Datos Crudos SE4-Ref'!H4</f>
        <v>2.0005000000000002</v>
      </c>
      <c r="H130" s="9">
        <f>'Datos Crudos SE4-Ref'!H49</f>
        <v>2.1932</v>
      </c>
      <c r="I130" s="17">
        <f>'Datos Crudos SE4-Ref'!I4</f>
        <v>7.1382154461384557</v>
      </c>
      <c r="J130" s="17">
        <f>'Datos Crudos SE4-Ref'!I49</f>
        <v>7.9792084625205097</v>
      </c>
      <c r="K130" s="9">
        <f>'Datos Crudos SE4-Ref'!R4</f>
        <v>1.7971000000000001</v>
      </c>
      <c r="L130" s="9">
        <f>'Datos Crudos SE4-Ref'!R49</f>
        <v>2.0030999999999999</v>
      </c>
      <c r="M130" s="62">
        <v>44638</v>
      </c>
      <c r="N130" s="9">
        <f>'Datos Crudos SE4-Ref'!M4</f>
        <v>0.4834</v>
      </c>
      <c r="O130" s="9">
        <f>'Datos Crudos SE4-Ref'!P4</f>
        <v>0.13869999999999999</v>
      </c>
      <c r="P130" s="9">
        <f>'Datos Crudos SE4-Ref'!Q4</f>
        <v>6.4699999999999994E-2</v>
      </c>
      <c r="Q130" s="9">
        <f>'Datos Crudos SE4-Ref'!M49</f>
        <v>1.4668000000000001</v>
      </c>
      <c r="R130" s="9">
        <f>'Datos Crudos SE4-Ref'!P49</f>
        <v>0.12859999999999999</v>
      </c>
      <c r="S130" s="9">
        <f>'Datos Crudos SE4-Ref'!Q49</f>
        <v>6.1499999999999999E-2</v>
      </c>
      <c r="T130" s="9">
        <f>'Datos Crudos SE4-Ref'!O4</f>
        <v>0.28100000000000003</v>
      </c>
      <c r="U130" s="9">
        <f>'Datos Crudos SE4-Ref'!O49</f>
        <v>1.2766</v>
      </c>
      <c r="V130" s="198">
        <f t="shared" si="8"/>
        <v>0.84363697067497634</v>
      </c>
      <c r="W130" s="241">
        <f t="shared" si="9"/>
        <v>-1.9441456947462132E-3</v>
      </c>
      <c r="X130" s="21">
        <f t="shared" si="10"/>
        <v>0.55307316842349996</v>
      </c>
      <c r="Y130" s="21">
        <f t="shared" si="11"/>
        <v>0.63731216614247921</v>
      </c>
      <c r="Z130" s="22">
        <f t="shared" si="12"/>
        <v>58</v>
      </c>
      <c r="AA130" s="248">
        <f t="shared" si="13"/>
        <v>1.8386900164035717E-2</v>
      </c>
      <c r="AB130" s="240">
        <f>'Datos Crudos SE4-Ref'!S4</f>
        <v>84.36369706749764</v>
      </c>
      <c r="AC130" s="240">
        <f>'Datos Crudos SE4-Ref'!S49</f>
        <v>36.268783385752087</v>
      </c>
      <c r="AG130" s="236"/>
      <c r="AH130" s="17">
        <f>'Datos Crudos SE4-Ref'!U4</f>
        <v>15.636302932502366</v>
      </c>
      <c r="AI130" s="17">
        <f>'Datos Crudos SE4-Ref'!U49</f>
        <v>63.73121661424792</v>
      </c>
    </row>
    <row r="131" spans="1:35" x14ac:dyDescent="0.25">
      <c r="A131" s="9" t="s">
        <v>561</v>
      </c>
      <c r="B131" t="s">
        <v>41</v>
      </c>
      <c r="C131" s="61" t="s">
        <v>621</v>
      </c>
      <c r="D131" s="61">
        <v>2</v>
      </c>
      <c r="E131" t="s">
        <v>18</v>
      </c>
      <c r="F131" s="53">
        <v>44580</v>
      </c>
      <c r="G131" s="9">
        <f>'Datos Crudos SE4-Ref'!H5</f>
        <v>1.9713000000000001</v>
      </c>
      <c r="H131" s="9">
        <f>'Datos Crudos SE4-Ref'!H50</f>
        <v>2.1644999999999999</v>
      </c>
      <c r="I131" s="17">
        <f>'Datos Crudos SE4-Ref'!I5</f>
        <v>7.0866940597575283</v>
      </c>
      <c r="J131" s="17">
        <f>'Datos Crudos SE4-Ref'!I50</f>
        <v>8.0110880110880114</v>
      </c>
      <c r="K131" s="9">
        <f>'Datos Crudos SE4-Ref'!R5</f>
        <v>1.7765</v>
      </c>
      <c r="L131" s="9">
        <f>'Datos Crudos SE4-Ref'!R50</f>
        <v>1.9790999999999999</v>
      </c>
      <c r="M131" s="62">
        <v>44638</v>
      </c>
      <c r="N131" s="9">
        <f>'Datos Crudos SE4-Ref'!M5</f>
        <v>0.52639999999999998</v>
      </c>
      <c r="O131" s="9">
        <f>'Datos Crudos SE4-Ref'!P5</f>
        <v>0.13469999999999999</v>
      </c>
      <c r="P131" s="9">
        <f>'Datos Crudos SE4-Ref'!Q5</f>
        <v>6.0100000000000001E-2</v>
      </c>
      <c r="Q131" s="9">
        <f>'Datos Crudos SE4-Ref'!M50</f>
        <v>1.514</v>
      </c>
      <c r="R131" s="9">
        <f>'Datos Crudos SE4-Ref'!P50</f>
        <v>0.12620000000000001</v>
      </c>
      <c r="S131" s="9">
        <f>'Datos Crudos SE4-Ref'!Q50</f>
        <v>5.9200000000000003E-2</v>
      </c>
      <c r="T131" s="9">
        <f>'Datos Crudos SE4-Ref'!O5</f>
        <v>0.3322</v>
      </c>
      <c r="U131" s="9">
        <f>'Datos Crudos SE4-Ref'!O50</f>
        <v>1.3295999999999999</v>
      </c>
      <c r="V131" s="198">
        <f t="shared" ref="V131:V192" si="14">1-FINAL_WEIGHT_GREEN/INITIAL_WEIGHT_GREEN</f>
        <v>0.81300309597523224</v>
      </c>
      <c r="W131" s="198">
        <f t="shared" ref="W131:W192" si="15">1-(V131/0.842)</f>
        <v>3.4438128295448567E-2</v>
      </c>
      <c r="X131" s="21">
        <f t="shared" ref="X131:X192" si="16">0.552*(1-W131)</f>
        <v>0.53299015318091247</v>
      </c>
      <c r="Y131" s="21">
        <f t="shared" ref="Y131:Y192" si="17">FINAL_WEIGHT_RED/INITIAL_WEIGHT_RED</f>
        <v>0.67182052448082463</v>
      </c>
      <c r="Z131" s="22">
        <f t="shared" ref="Z131:Z192" si="18">M131-F131</f>
        <v>58</v>
      </c>
      <c r="AA131" s="248">
        <f t="shared" ref="AA131:AA192" si="19">LN(X131/(Y131-(1-X131)))/Z131</f>
        <v>1.6489946910973777E-2</v>
      </c>
      <c r="AB131" s="240">
        <f>'Datos Crudos SE4-Ref'!S5</f>
        <v>81.30030959752321</v>
      </c>
      <c r="AC131" s="240">
        <f>'Datos Crudos SE4-Ref'!S50</f>
        <v>32.817947551917534</v>
      </c>
      <c r="AG131" s="236"/>
      <c r="AH131" s="17">
        <f>'Datos Crudos SE4-Ref'!U5</f>
        <v>18.699690402476779</v>
      </c>
      <c r="AI131" s="17">
        <f>'Datos Crudos SE4-Ref'!U50</f>
        <v>67.182052448082459</v>
      </c>
    </row>
    <row r="132" spans="1:35" x14ac:dyDescent="0.25">
      <c r="A132" s="9" t="s">
        <v>562</v>
      </c>
      <c r="B132" t="s">
        <v>41</v>
      </c>
      <c r="C132" s="61" t="s">
        <v>621</v>
      </c>
      <c r="D132" s="61">
        <v>1</v>
      </c>
      <c r="E132" t="s">
        <v>19</v>
      </c>
      <c r="F132" s="53">
        <v>44580</v>
      </c>
      <c r="G132" s="9">
        <f>'Datos Crudos SE4-Ref'!H6</f>
        <v>1.9665999999999999</v>
      </c>
      <c r="H132" s="9">
        <f>'Datos Crudos SE4-Ref'!H51</f>
        <v>2.1183999999999998</v>
      </c>
      <c r="I132" s="17">
        <f>'Datos Crudos SE4-Ref'!I6</f>
        <v>7.296857520593929</v>
      </c>
      <c r="J132" s="17">
        <f>'Datos Crudos SE4-Ref'!I51</f>
        <v>8.0154833836857993</v>
      </c>
      <c r="K132" s="9">
        <f>'Datos Crudos SE4-Ref'!R6</f>
        <v>1.7662</v>
      </c>
      <c r="L132" s="9">
        <f>'Datos Crudos SE4-Ref'!R51</f>
        <v>1.9290999999999998</v>
      </c>
      <c r="M132" s="62">
        <v>44638</v>
      </c>
      <c r="N132" s="9">
        <f>'Datos Crudos SE4-Ref'!M6</f>
        <v>0.46350000000000002</v>
      </c>
      <c r="O132" s="9">
        <f>'Datos Crudos SE4-Ref'!P6</f>
        <v>0.14449999999999999</v>
      </c>
      <c r="P132" s="9">
        <f>'Datos Crudos SE4-Ref'!Q6</f>
        <v>5.5899999999999998E-2</v>
      </c>
      <c r="Q132" s="9">
        <f>'Datos Crudos SE4-Ref'!M51</f>
        <v>1.4308000000000001</v>
      </c>
      <c r="R132" s="9">
        <f>'Datos Crudos SE4-Ref'!P51</f>
        <v>0.13420000000000001</v>
      </c>
      <c r="S132" s="9">
        <f>'Datos Crudos SE4-Ref'!Q51</f>
        <v>5.5100000000000003E-2</v>
      </c>
      <c r="T132" s="9">
        <f>'Datos Crudos SE4-Ref'!O6</f>
        <v>0.26290000000000002</v>
      </c>
      <c r="U132" s="9">
        <f>'Datos Crudos SE4-Ref'!O51</f>
        <v>1.2430000000000001</v>
      </c>
      <c r="V132" s="198">
        <f t="shared" si="14"/>
        <v>0.85114936020835685</v>
      </c>
      <c r="W132" s="241">
        <f t="shared" si="15"/>
        <v>-1.0866223525364482E-2</v>
      </c>
      <c r="X132" s="21">
        <f t="shared" si="16"/>
        <v>0.55799815538600128</v>
      </c>
      <c r="Y132" s="21">
        <f t="shared" si="17"/>
        <v>0.64434192110310518</v>
      </c>
      <c r="Z132" s="22">
        <f t="shared" si="18"/>
        <v>58</v>
      </c>
      <c r="AA132" s="248">
        <f t="shared" si="19"/>
        <v>1.7489755651994007E-2</v>
      </c>
      <c r="AB132" s="240">
        <f>'Datos Crudos SE4-Ref'!S6</f>
        <v>85.114936020835685</v>
      </c>
      <c r="AC132" s="240">
        <f>'Datos Crudos SE4-Ref'!S51</f>
        <v>35.565807889689481</v>
      </c>
      <c r="AG132" s="236"/>
      <c r="AH132" s="17">
        <f>'Datos Crudos SE4-Ref'!U6</f>
        <v>14.885063979164309</v>
      </c>
      <c r="AI132" s="17">
        <f>'Datos Crudos SE4-Ref'!U51</f>
        <v>64.434192110310519</v>
      </c>
    </row>
    <row r="133" spans="1:35" x14ac:dyDescent="0.25">
      <c r="A133" s="9" t="s">
        <v>563</v>
      </c>
      <c r="B133" t="s">
        <v>41</v>
      </c>
      <c r="C133" s="61" t="s">
        <v>621</v>
      </c>
      <c r="D133" s="61">
        <v>2</v>
      </c>
      <c r="E133" t="s">
        <v>19</v>
      </c>
      <c r="F133" s="53">
        <v>44580</v>
      </c>
      <c r="G133" s="9">
        <f>'Datos Crudos SE4-Ref'!H7</f>
        <v>1.9932000000000001</v>
      </c>
      <c r="H133" s="9">
        <f>'Datos Crudos SE4-Ref'!H52</f>
        <v>2.13</v>
      </c>
      <c r="I133" s="17">
        <f>'Datos Crudos SE4-Ref'!I7</f>
        <v>7.2245635159542392</v>
      </c>
      <c r="J133" s="17">
        <f>'Datos Crudos SE4-Ref'!I52</f>
        <v>8.0093896713615162</v>
      </c>
      <c r="K133" s="9">
        <f>'Datos Crudos SE4-Ref'!R7</f>
        <v>1.7921</v>
      </c>
      <c r="L133" s="9">
        <f>'Datos Crudos SE4-Ref'!R52</f>
        <v>1.9382999999999999</v>
      </c>
      <c r="M133" s="62">
        <v>44638</v>
      </c>
      <c r="N133" s="9">
        <f>'Datos Crudos SE4-Ref'!M7</f>
        <v>0.48630000000000001</v>
      </c>
      <c r="O133" s="9">
        <f>'Datos Crudos SE4-Ref'!P7</f>
        <v>0.14399999999999999</v>
      </c>
      <c r="P133" s="9">
        <f>'Datos Crudos SE4-Ref'!Q7</f>
        <v>5.7099999999999998E-2</v>
      </c>
      <c r="Q133" s="9">
        <f>'Datos Crudos SE4-Ref'!M52</f>
        <v>1.4276</v>
      </c>
      <c r="R133" s="9">
        <f>'Datos Crudos SE4-Ref'!P52</f>
        <v>0.1363</v>
      </c>
      <c r="S133" s="9">
        <f>'Datos Crudos SE4-Ref'!Q52</f>
        <v>5.5399999999999998E-2</v>
      </c>
      <c r="T133" s="9">
        <f>'Datos Crudos SE4-Ref'!O7</f>
        <v>0.28560000000000002</v>
      </c>
      <c r="U133" s="9">
        <f>'Datos Crudos SE4-Ref'!O52</f>
        <v>1.2379</v>
      </c>
      <c r="V133" s="198">
        <f t="shared" si="14"/>
        <v>0.84063389319792425</v>
      </c>
      <c r="W133" s="198">
        <f t="shared" si="15"/>
        <v>1.6224546342942237E-3</v>
      </c>
      <c r="X133" s="21">
        <f t="shared" si="16"/>
        <v>0.55110440504186964</v>
      </c>
      <c r="Y133" s="21">
        <f t="shared" si="17"/>
        <v>0.63865242738482175</v>
      </c>
      <c r="Z133" s="22">
        <f t="shared" si="18"/>
        <v>58</v>
      </c>
      <c r="AA133" s="248">
        <f t="shared" si="19"/>
        <v>1.8382428463648952E-2</v>
      </c>
      <c r="AB133" s="240">
        <f>'Datos Crudos SE4-Ref'!S7</f>
        <v>84.063389319792421</v>
      </c>
      <c r="AC133" s="240">
        <f>'Datos Crudos SE4-Ref'!S52</f>
        <v>36.134757261517827</v>
      </c>
      <c r="AG133" s="236"/>
      <c r="AH133" s="17">
        <f>'Datos Crudos SE4-Ref'!U7</f>
        <v>15.936610680207577</v>
      </c>
      <c r="AI133" s="17">
        <f>'Datos Crudos SE4-Ref'!U52</f>
        <v>63.865242738482173</v>
      </c>
    </row>
    <row r="134" spans="1:35" x14ac:dyDescent="0.25">
      <c r="A134" s="9" t="s">
        <v>564</v>
      </c>
      <c r="B134" t="s">
        <v>41</v>
      </c>
      <c r="C134" s="61" t="s">
        <v>621</v>
      </c>
      <c r="D134" s="61">
        <v>1</v>
      </c>
      <c r="E134" t="s">
        <v>20</v>
      </c>
      <c r="F134" s="53">
        <v>44580</v>
      </c>
      <c r="G134" s="9">
        <f>'Datos Crudos SE4-Ref'!H8</f>
        <v>1.9460999999999999</v>
      </c>
      <c r="H134" s="9">
        <f>'Datos Crudos SE4-Ref'!H53</f>
        <v>2.2162000000000002</v>
      </c>
      <c r="I134" s="17">
        <f>'Datos Crudos SE4-Ref'!I8</f>
        <v>7.1322131442372054</v>
      </c>
      <c r="J134" s="17">
        <f>'Datos Crudos SE4-Ref'!I53</f>
        <v>8.1355473332731663</v>
      </c>
      <c r="K134" s="9">
        <f>'Datos Crudos SE4-Ref'!R8</f>
        <v>1.7513000000000001</v>
      </c>
      <c r="L134" s="9">
        <f>'Datos Crudos SE4-Ref'!R53</f>
        <v>2.0260000000000002</v>
      </c>
      <c r="M134" s="62">
        <v>44638</v>
      </c>
      <c r="N134" s="9">
        <f>'Datos Crudos SE4-Ref'!M8</f>
        <v>0.50690000000000002</v>
      </c>
      <c r="O134" s="9">
        <f>'Datos Crudos SE4-Ref'!P8</f>
        <v>0.13869999999999999</v>
      </c>
      <c r="P134" s="9">
        <f>'Datos Crudos SE4-Ref'!Q8</f>
        <v>5.6099999999999997E-2</v>
      </c>
      <c r="Q134" s="9">
        <f>'Datos Crudos SE4-Ref'!M53</f>
        <v>1.5168999999999999</v>
      </c>
      <c r="R134" s="9">
        <f>'Datos Crudos SE4-Ref'!P53</f>
        <v>0.13469999999999999</v>
      </c>
      <c r="S134" s="9">
        <f>'Datos Crudos SE4-Ref'!Q53</f>
        <v>5.5500000000000001E-2</v>
      </c>
      <c r="T134" s="9">
        <f>'Datos Crudos SE4-Ref'!O8</f>
        <v>0.31309999999999999</v>
      </c>
      <c r="U134" s="9">
        <f>'Datos Crudos SE4-Ref'!O53</f>
        <v>1.3285</v>
      </c>
      <c r="V134" s="198">
        <f t="shared" si="14"/>
        <v>0.82121852338263013</v>
      </c>
      <c r="W134" s="198">
        <f t="shared" si="15"/>
        <v>2.4681088619204039E-2</v>
      </c>
      <c r="X134" s="21">
        <f t="shared" si="16"/>
        <v>0.53837603908219944</v>
      </c>
      <c r="Y134" s="21">
        <f t="shared" si="17"/>
        <v>0.65572556762092782</v>
      </c>
      <c r="Z134" s="22">
        <f t="shared" si="18"/>
        <v>58</v>
      </c>
      <c r="AA134" s="248">
        <f t="shared" si="19"/>
        <v>1.7589232854447471E-2</v>
      </c>
      <c r="AB134" s="240">
        <f>'Datos Crudos SE4-Ref'!S8</f>
        <v>82.121852338263011</v>
      </c>
      <c r="AC134" s="240">
        <f>'Datos Crudos SE4-Ref'!S53</f>
        <v>34.427443237907212</v>
      </c>
      <c r="AG134" s="236"/>
      <c r="AH134" s="17">
        <f>'Datos Crudos SE4-Ref'!U8</f>
        <v>17.878147661736993</v>
      </c>
      <c r="AI134" s="17">
        <f>'Datos Crudos SE4-Ref'!U53</f>
        <v>65.572556762092788</v>
      </c>
    </row>
    <row r="135" spans="1:35" x14ac:dyDescent="0.25">
      <c r="A135" s="233" t="s">
        <v>565</v>
      </c>
      <c r="B135" s="234" t="s">
        <v>41</v>
      </c>
      <c r="C135" s="61" t="s">
        <v>621</v>
      </c>
      <c r="D135" s="61">
        <v>2</v>
      </c>
      <c r="E135" t="s">
        <v>20</v>
      </c>
      <c r="F135" s="53">
        <v>44580</v>
      </c>
      <c r="G135" s="9">
        <f>'Datos Crudos SE4-Ref'!H9</f>
        <v>2.0632000000000001</v>
      </c>
      <c r="H135" s="9">
        <f>'Datos Crudos SE4-Ref'!H54</f>
        <v>2.1808999999999998</v>
      </c>
      <c r="I135" s="17">
        <f>'Datos Crudos SE4-Ref'!I9</f>
        <v>7.183016673129103</v>
      </c>
      <c r="J135" s="17">
        <f>'Datos Crudos SE4-Ref'!I54</f>
        <v>8.1571828144344156</v>
      </c>
      <c r="K135" s="9">
        <f>'Datos Crudos SE4-Ref'!R9</f>
        <v>1.8706</v>
      </c>
      <c r="L135" s="9">
        <f>'Datos Crudos SE4-Ref'!R54</f>
        <v>1.9953999999999998</v>
      </c>
      <c r="M135" s="62">
        <v>44638</v>
      </c>
      <c r="N135" s="9">
        <f>'Datos Crudos SE4-Ref'!M9</f>
        <v>0.49249999999999999</v>
      </c>
      <c r="O135" s="9">
        <f>'Datos Crudos SE4-Ref'!P9</f>
        <v>0.13650000000000001</v>
      </c>
      <c r="P135" s="9">
        <f>'Datos Crudos SE4-Ref'!Q9</f>
        <v>5.6099999999999997E-2</v>
      </c>
      <c r="Q135" s="9">
        <f>'Datos Crudos SE4-Ref'!M54</f>
        <v>1.5370999999999999</v>
      </c>
      <c r="R135" s="9">
        <f>'Datos Crudos SE4-Ref'!P54</f>
        <v>0.13189999999999999</v>
      </c>
      <c r="S135" s="9">
        <f>'Datos Crudos SE4-Ref'!Q54</f>
        <v>5.3600000000000002E-2</v>
      </c>
      <c r="T135" s="9">
        <f>'Datos Crudos SE4-Ref'!O9</f>
        <v>0.30049999999999999</v>
      </c>
      <c r="U135" s="9">
        <f>'Datos Crudos SE4-Ref'!O54</f>
        <v>1.3543000000000001</v>
      </c>
      <c r="V135" s="198">
        <f t="shared" si="14"/>
        <v>0.8393563562493318</v>
      </c>
      <c r="W135" s="198">
        <f t="shared" si="15"/>
        <v>3.1397194188458322E-3</v>
      </c>
      <c r="X135" s="21">
        <f t="shared" si="16"/>
        <v>0.55026687488079717</v>
      </c>
      <c r="Y135" s="21">
        <f t="shared" si="17"/>
        <v>0.67871103538137723</v>
      </c>
      <c r="Z135" s="22">
        <f t="shared" si="18"/>
        <v>58</v>
      </c>
      <c r="AA135" s="248">
        <f t="shared" si="19"/>
        <v>1.5116859490235411E-2</v>
      </c>
      <c r="AB135" s="240">
        <f>'Datos Crudos SE4-Ref'!S9</f>
        <v>83.935635624933184</v>
      </c>
      <c r="AC135" s="240">
        <f>'Datos Crudos SE4-Ref'!S54</f>
        <v>32.128896461862276</v>
      </c>
      <c r="AD135" s="234"/>
      <c r="AE135" s="234"/>
      <c r="AF135" s="234"/>
      <c r="AG135" s="237"/>
      <c r="AH135" s="17">
        <f>'Datos Crudos SE4-Ref'!U9</f>
        <v>16.064364375066823</v>
      </c>
      <c r="AI135" s="17">
        <f>'Datos Crudos SE4-Ref'!U54</f>
        <v>67.871103538137717</v>
      </c>
    </row>
    <row r="136" spans="1:35" x14ac:dyDescent="0.25">
      <c r="A136" s="9" t="s">
        <v>566</v>
      </c>
      <c r="B136" t="s">
        <v>60</v>
      </c>
      <c r="C136" s="61" t="s">
        <v>621</v>
      </c>
      <c r="D136" s="61">
        <v>1</v>
      </c>
      <c r="E136" t="s">
        <v>17</v>
      </c>
      <c r="F136" s="53">
        <v>44585</v>
      </c>
      <c r="G136" s="9">
        <f>'Datos Crudos SE4-Ref'!H10</f>
        <v>1.8891</v>
      </c>
      <c r="H136" s="9">
        <f>'Datos Crudos SE4-Ref'!H55</f>
        <v>2.0794000000000001</v>
      </c>
      <c r="I136" s="17">
        <f>'Datos Crudos SE4-Ref'!I10</f>
        <v>6.394579429357897</v>
      </c>
      <c r="J136" s="17">
        <f>'Datos Crudos SE4-Ref'!I55</f>
        <v>8.1177262671924613</v>
      </c>
      <c r="K136" s="9">
        <f>'Datos Crudos SE4-Ref'!R10</f>
        <v>1.6865000000000001</v>
      </c>
      <c r="L136" s="9">
        <f>'Datos Crudos SE4-Ref'!R55</f>
        <v>1.8791000000000002</v>
      </c>
      <c r="M136" s="62">
        <v>44638</v>
      </c>
      <c r="N136" s="9">
        <f>'Datos Crudos SE4-Ref'!M10</f>
        <v>0.53600000000000003</v>
      </c>
      <c r="O136" s="9">
        <f>'Datos Crudos SE4-Ref'!P10</f>
        <v>0.1371</v>
      </c>
      <c r="P136" s="9">
        <f>'Datos Crudos SE4-Ref'!Q10</f>
        <v>6.5500000000000003E-2</v>
      </c>
      <c r="Q136" s="9">
        <f>'Datos Crudos SE4-Ref'!M55</f>
        <v>1.4995000000000001</v>
      </c>
      <c r="R136" s="9">
        <f>'Datos Crudos SE4-Ref'!P55</f>
        <v>0.13320000000000001</v>
      </c>
      <c r="S136" s="9">
        <f>'Datos Crudos SE4-Ref'!Q55</f>
        <v>6.7100000000000007E-2</v>
      </c>
      <c r="T136" s="9">
        <f>'Datos Crudos SE4-Ref'!O10</f>
        <v>0.33500000000000002</v>
      </c>
      <c r="U136" s="9">
        <f>'Datos Crudos SE4-Ref'!O55</f>
        <v>1.3023</v>
      </c>
      <c r="V136" s="198">
        <f t="shared" si="14"/>
        <v>0.80136377112362878</v>
      </c>
      <c r="W136" s="198">
        <f t="shared" si="15"/>
        <v>4.8261554485001468E-2</v>
      </c>
      <c r="X136" s="21">
        <f t="shared" si="16"/>
        <v>0.52535962192427921</v>
      </c>
      <c r="Y136" s="21">
        <f t="shared" si="17"/>
        <v>0.69304454260018089</v>
      </c>
      <c r="Z136" s="22">
        <f t="shared" si="18"/>
        <v>53</v>
      </c>
      <c r="AA136" s="248">
        <f t="shared" si="19"/>
        <v>1.656105113598701E-2</v>
      </c>
      <c r="AB136" s="240">
        <f>'Datos Crudos SE4-Ref'!S10</f>
        <v>80.136377112362894</v>
      </c>
      <c r="AC136" s="240">
        <f>'Datos Crudos SE4-Ref'!S55</f>
        <v>30.69554573998191</v>
      </c>
      <c r="AD136" s="65">
        <f>AVERAGE(W136:W142)</f>
        <v>3.7549232077017804E-2</v>
      </c>
      <c r="AE136">
        <f>STDEV(W136:W142)</f>
        <v>1.1261666373188161E-2</v>
      </c>
      <c r="AF136" s="7">
        <f>AVERAGE(AA136:AA142)</f>
        <v>1.7066016619143483E-2</v>
      </c>
      <c r="AG136" s="239">
        <f>STDEV(AA136:AA142)</f>
        <v>7.7978386765448942E-4</v>
      </c>
      <c r="AH136" s="17">
        <f>'Datos Crudos SE4-Ref'!U10</f>
        <v>19.863622887637117</v>
      </c>
      <c r="AI136" s="17">
        <f>'Datos Crudos SE4-Ref'!U55</f>
        <v>69.30445426001809</v>
      </c>
    </row>
    <row r="137" spans="1:35" x14ac:dyDescent="0.25">
      <c r="A137" s="9" t="s">
        <v>567</v>
      </c>
      <c r="B137" t="s">
        <v>60</v>
      </c>
      <c r="C137" s="61" t="s">
        <v>621</v>
      </c>
      <c r="D137" s="61">
        <v>2</v>
      </c>
      <c r="E137" t="s">
        <v>17</v>
      </c>
      <c r="F137" s="53">
        <v>44585</v>
      </c>
      <c r="G137" s="9">
        <f>'Datos Crudos SE4-Ref'!H11</f>
        <v>1.9488000000000001</v>
      </c>
      <c r="H137" s="9">
        <f>'Datos Crudos SE4-Ref'!H56</f>
        <v>2.0531000000000001</v>
      </c>
      <c r="I137" s="17">
        <f>'Datos Crudos SE4-Ref'!I11</f>
        <v>6.4860426929392476</v>
      </c>
      <c r="J137" s="17">
        <f>'Datos Crudos SE4-Ref'!I56</f>
        <v>8.0317568554868153</v>
      </c>
      <c r="K137" s="9">
        <f>'Datos Crudos SE4-Ref'!R11</f>
        <v>1.7483</v>
      </c>
      <c r="L137" s="9">
        <f>'Datos Crudos SE4-Ref'!R56</f>
        <v>1.8543000000000001</v>
      </c>
      <c r="M137" s="62">
        <v>44638</v>
      </c>
      <c r="N137" s="9">
        <f>'Datos Crudos SE4-Ref'!M11</f>
        <v>0.52429999999999999</v>
      </c>
      <c r="O137" s="9">
        <f>'Datos Crudos SE4-Ref'!P11</f>
        <v>0.13450000000000001</v>
      </c>
      <c r="P137" s="9">
        <f>'Datos Crudos SE4-Ref'!Q11</f>
        <v>6.6000000000000003E-2</v>
      </c>
      <c r="Q137" s="9">
        <f>'Datos Crudos SE4-Ref'!M56</f>
        <v>1.4759</v>
      </c>
      <c r="R137" s="9">
        <f>'Datos Crudos SE4-Ref'!P56</f>
        <v>0.12790000000000001</v>
      </c>
      <c r="S137" s="9">
        <f>'Datos Crudos SE4-Ref'!Q56</f>
        <v>7.0900000000000005E-2</v>
      </c>
      <c r="T137" s="9">
        <f>'Datos Crudos SE4-Ref'!O11</f>
        <v>0.32540000000000002</v>
      </c>
      <c r="U137" s="9">
        <f>'Datos Crudos SE4-Ref'!O56</f>
        <v>1.2801</v>
      </c>
      <c r="V137" s="198">
        <f t="shared" si="14"/>
        <v>0.81387633701309836</v>
      </c>
      <c r="W137" s="198">
        <f t="shared" si="15"/>
        <v>3.3401024925061251E-2</v>
      </c>
      <c r="X137" s="21">
        <f t="shared" si="16"/>
        <v>0.53356263424136618</v>
      </c>
      <c r="Y137" s="21">
        <f t="shared" si="17"/>
        <v>0.69034136871056462</v>
      </c>
      <c r="Z137" s="22">
        <f t="shared" si="18"/>
        <v>53</v>
      </c>
      <c r="AA137" s="248">
        <f t="shared" si="19"/>
        <v>1.6384133294670738E-2</v>
      </c>
      <c r="AB137" s="240">
        <f>'Datos Crudos SE4-Ref'!S11</f>
        <v>81.387633701309838</v>
      </c>
      <c r="AC137" s="240">
        <f>'Datos Crudos SE4-Ref'!S56</f>
        <v>30.965863128943539</v>
      </c>
      <c r="AG137" s="228"/>
      <c r="AH137" s="17">
        <f>'Datos Crudos SE4-Ref'!U11</f>
        <v>18.612366298690159</v>
      </c>
      <c r="AI137" s="17">
        <f>'Datos Crudos SE4-Ref'!U56</f>
        <v>69.034136871056461</v>
      </c>
    </row>
    <row r="138" spans="1:35" x14ac:dyDescent="0.25">
      <c r="A138" s="9" t="s">
        <v>568</v>
      </c>
      <c r="B138" t="s">
        <v>60</v>
      </c>
      <c r="C138" s="61" t="s">
        <v>621</v>
      </c>
      <c r="D138" s="61">
        <v>1</v>
      </c>
      <c r="E138" t="s">
        <v>18</v>
      </c>
      <c r="F138" s="53">
        <v>44585</v>
      </c>
      <c r="G138" s="9">
        <f>'Datos Crudos SE4-Ref'!H12</f>
        <v>1.9490000000000001</v>
      </c>
      <c r="H138" s="9">
        <f>'Datos Crudos SE4-Ref'!H57</f>
        <v>2.169</v>
      </c>
      <c r="I138" s="17">
        <f>'Datos Crudos SE4-Ref'!I12</f>
        <v>6.4494612621857321</v>
      </c>
      <c r="J138" s="17">
        <f>'Datos Crudos SE4-Ref'!I57</f>
        <v>8.3679114799446648</v>
      </c>
      <c r="K138" s="9">
        <f>'Datos Crudos SE4-Ref'!R12</f>
        <v>1.7505999999999999</v>
      </c>
      <c r="L138" s="9">
        <f>'Datos Crudos SE4-Ref'!R57</f>
        <v>1.9782999999999999</v>
      </c>
      <c r="M138" s="62">
        <v>44638</v>
      </c>
      <c r="N138" s="9">
        <f>'Datos Crudos SE4-Ref'!M12</f>
        <v>0.51819999999999999</v>
      </c>
      <c r="O138" s="9">
        <f>'Datos Crudos SE4-Ref'!P12</f>
        <v>0.1363</v>
      </c>
      <c r="P138" s="9">
        <f>'Datos Crudos SE4-Ref'!Q12</f>
        <v>6.2100000000000002E-2</v>
      </c>
      <c r="Q138" s="9">
        <f>'Datos Crudos SE4-Ref'!M57</f>
        <v>1.5418000000000001</v>
      </c>
      <c r="R138" s="9">
        <f>'Datos Crudos SE4-Ref'!P57</f>
        <v>0.12479999999999999</v>
      </c>
      <c r="S138" s="9">
        <f>'Datos Crudos SE4-Ref'!Q57</f>
        <v>6.59E-2</v>
      </c>
      <c r="T138" s="9">
        <f>'Datos Crudos SE4-Ref'!O12</f>
        <v>0.32190000000000002</v>
      </c>
      <c r="U138" s="9">
        <f>'Datos Crudos SE4-Ref'!O57</f>
        <v>1.3552</v>
      </c>
      <c r="V138" s="198">
        <f t="shared" si="14"/>
        <v>0.81612018736433223</v>
      </c>
      <c r="W138" s="198">
        <f t="shared" si="15"/>
        <v>3.073611951979538E-2</v>
      </c>
      <c r="X138" s="21">
        <f t="shared" si="16"/>
        <v>0.53503366202507296</v>
      </c>
      <c r="Y138" s="21">
        <f t="shared" si="17"/>
        <v>0.68503260375069508</v>
      </c>
      <c r="Z138" s="22">
        <f t="shared" si="18"/>
        <v>53</v>
      </c>
      <c r="AA138" s="248">
        <f t="shared" si="19"/>
        <v>1.6762282179616794E-2</v>
      </c>
      <c r="AB138" s="240">
        <f>'Datos Crudos SE4-Ref'!S12</f>
        <v>81.612018736433228</v>
      </c>
      <c r="AC138" s="240">
        <f>'Datos Crudos SE4-Ref'!S57</f>
        <v>31.496739624930498</v>
      </c>
      <c r="AG138" s="228"/>
      <c r="AH138" s="17">
        <f>'Datos Crudos SE4-Ref'!U12</f>
        <v>18.387981263566779</v>
      </c>
      <c r="AI138" s="17">
        <f>'Datos Crudos SE4-Ref'!U57</f>
        <v>68.503260375069502</v>
      </c>
    </row>
    <row r="139" spans="1:35" x14ac:dyDescent="0.25">
      <c r="A139" s="9" t="s">
        <v>569</v>
      </c>
      <c r="B139" t="s">
        <v>60</v>
      </c>
      <c r="C139" s="61" t="s">
        <v>621</v>
      </c>
      <c r="D139" s="61">
        <v>2</v>
      </c>
      <c r="E139" t="s">
        <v>18</v>
      </c>
      <c r="F139" s="53">
        <v>44585</v>
      </c>
      <c r="G139" s="9">
        <f>'Datos Crudos SE4-Ref'!H13</f>
        <v>1.992</v>
      </c>
      <c r="H139" s="9">
        <f>'Datos Crudos SE4-Ref'!H58</f>
        <v>2.0283000000000002</v>
      </c>
      <c r="I139" s="17">
        <f>'Datos Crudos SE4-Ref'!I13</f>
        <v>6.6164658634538229</v>
      </c>
      <c r="J139" s="17">
        <f>'Datos Crudos SE4-Ref'!I58</f>
        <v>8.0757284425380718</v>
      </c>
      <c r="K139" s="9">
        <f>'Datos Crudos SE4-Ref'!R13</f>
        <v>1.7892000000000001</v>
      </c>
      <c r="L139" s="9">
        <f>'Datos Crudos SE4-Ref'!R58</f>
        <v>1.8299000000000003</v>
      </c>
      <c r="M139" s="62">
        <v>44638</v>
      </c>
      <c r="N139" s="9">
        <f>'Datos Crudos SE4-Ref'!M13</f>
        <v>0.51339999999999997</v>
      </c>
      <c r="O139" s="9">
        <f>'Datos Crudos SE4-Ref'!P13</f>
        <v>0.1361</v>
      </c>
      <c r="P139" s="9">
        <f>'Datos Crudos SE4-Ref'!Q13</f>
        <v>6.6699999999999995E-2</v>
      </c>
      <c r="Q139" s="9">
        <f>'Datos Crudos SE4-Ref'!M58</f>
        <v>1.4516</v>
      </c>
      <c r="R139" s="9">
        <f>'Datos Crudos SE4-Ref'!P58</f>
        <v>0.1318</v>
      </c>
      <c r="S139" s="9">
        <f>'Datos Crudos SE4-Ref'!Q58</f>
        <v>6.6600000000000006E-2</v>
      </c>
      <c r="T139" s="9">
        <f>'Datos Crudos SE4-Ref'!O13</f>
        <v>0.31169999999999998</v>
      </c>
      <c r="U139" s="9">
        <f>'Datos Crudos SE4-Ref'!O58</f>
        <v>1.2557</v>
      </c>
      <c r="V139" s="198">
        <f t="shared" si="14"/>
        <v>0.82578806170355468</v>
      </c>
      <c r="W139" s="198">
        <f t="shared" si="15"/>
        <v>1.9254083487464713E-2</v>
      </c>
      <c r="X139" s="21">
        <f t="shared" si="16"/>
        <v>0.54137174591491954</v>
      </c>
      <c r="Y139" s="21">
        <f t="shared" si="17"/>
        <v>0.68621236133122021</v>
      </c>
      <c r="Z139" s="22">
        <f t="shared" si="18"/>
        <v>53</v>
      </c>
      <c r="AA139" s="248">
        <f t="shared" si="19"/>
        <v>1.6350685216785645E-2</v>
      </c>
      <c r="AB139" s="240">
        <f>'Datos Crudos SE4-Ref'!S13</f>
        <v>82.578806170355463</v>
      </c>
      <c r="AC139" s="240">
        <f>'Datos Crudos SE4-Ref'!S58</f>
        <v>31.378763866877978</v>
      </c>
      <c r="AG139" s="228"/>
      <c r="AH139" s="17">
        <f>'Datos Crudos SE4-Ref'!U13</f>
        <v>17.421193829644533</v>
      </c>
      <c r="AI139" s="17">
        <f>'Datos Crudos SE4-Ref'!U58</f>
        <v>68.621236133122025</v>
      </c>
    </row>
    <row r="140" spans="1:35" x14ac:dyDescent="0.25">
      <c r="A140" s="9" t="s">
        <v>570</v>
      </c>
      <c r="B140" t="s">
        <v>60</v>
      </c>
      <c r="C140" s="61" t="s">
        <v>621</v>
      </c>
      <c r="D140" s="61">
        <v>1</v>
      </c>
      <c r="E140" t="s">
        <v>19</v>
      </c>
      <c r="F140" s="53">
        <v>44585</v>
      </c>
      <c r="G140" s="9">
        <f>'Datos Crudos SE4-Ref'!H14</f>
        <v>2.0811999999999999</v>
      </c>
      <c r="H140" s="9">
        <f>'Datos Crudos SE4-Ref'!H59</f>
        <v>2.0488</v>
      </c>
      <c r="I140" s="17">
        <f>'Datos Crudos SE4-Ref'!I14</f>
        <v>6.7605227753219417</v>
      </c>
      <c r="J140" s="17">
        <f>'Datos Crudos SE4-Ref'!I59</f>
        <v>8.0339711050371001</v>
      </c>
      <c r="K140" s="9">
        <f>'Datos Crudos SE4-Ref'!R14</f>
        <v>1.8755999999999999</v>
      </c>
      <c r="L140" s="9">
        <f>'Datos Crudos SE4-Ref'!R59</f>
        <v>1.8472999999999999</v>
      </c>
      <c r="M140" s="62">
        <v>44638</v>
      </c>
      <c r="N140" s="9">
        <f>'Datos Crudos SE4-Ref'!M14</f>
        <v>0.57869999999999999</v>
      </c>
      <c r="O140" s="9">
        <f>'Datos Crudos SE4-Ref'!P14</f>
        <v>0.14249999999999999</v>
      </c>
      <c r="P140" s="9">
        <f>'Datos Crudos SE4-Ref'!Q14</f>
        <v>6.3100000000000003E-2</v>
      </c>
      <c r="Q140" s="9">
        <f>'Datos Crudos SE4-Ref'!M59</f>
        <v>1.4472</v>
      </c>
      <c r="R140" s="9">
        <f>'Datos Crudos SE4-Ref'!P59</f>
        <v>0.13589999999999999</v>
      </c>
      <c r="S140" s="9">
        <f>'Datos Crudos SE4-Ref'!Q59</f>
        <v>6.5600000000000006E-2</v>
      </c>
      <c r="T140" s="9">
        <f>'Datos Crudos SE4-Ref'!O14</f>
        <v>0.37709999999999999</v>
      </c>
      <c r="U140" s="9">
        <f>'Datos Crudos SE4-Ref'!O59</f>
        <v>1.2482</v>
      </c>
      <c r="V140" s="198">
        <f t="shared" si="14"/>
        <v>0.79894433781190022</v>
      </c>
      <c r="W140" s="198">
        <f t="shared" si="15"/>
        <v>5.1134990722208729E-2</v>
      </c>
      <c r="X140" s="21">
        <f t="shared" si="16"/>
        <v>0.52377348512134081</v>
      </c>
      <c r="Y140" s="21">
        <f t="shared" si="17"/>
        <v>0.67568884317652789</v>
      </c>
      <c r="Z140" s="22">
        <f t="shared" si="18"/>
        <v>53</v>
      </c>
      <c r="AA140" s="248">
        <f t="shared" si="19"/>
        <v>1.8215734389549786E-2</v>
      </c>
      <c r="AB140" s="240">
        <f>'Datos Crudos SE4-Ref'!S14</f>
        <v>79.894433781190017</v>
      </c>
      <c r="AC140" s="240">
        <f>'Datos Crudos SE4-Ref'!S59</f>
        <v>32.431115682347212</v>
      </c>
      <c r="AG140" s="228"/>
      <c r="AH140" s="17">
        <f>'Datos Crudos SE4-Ref'!U14</f>
        <v>20.10556621880998</v>
      </c>
      <c r="AI140" s="17">
        <f>'Datos Crudos SE4-Ref'!U59</f>
        <v>67.568884317652788</v>
      </c>
    </row>
    <row r="141" spans="1:35" x14ac:dyDescent="0.25">
      <c r="A141" s="9" t="s">
        <v>572</v>
      </c>
      <c r="B141" t="s">
        <v>60</v>
      </c>
      <c r="C141" s="61" t="s">
        <v>621</v>
      </c>
      <c r="D141" s="61">
        <v>2</v>
      </c>
      <c r="E141" t="s">
        <v>20</v>
      </c>
      <c r="F141" s="53">
        <v>44585</v>
      </c>
      <c r="G141" s="9">
        <f>'Datos Crudos SE4-Ref'!H15</f>
        <v>2.0333999999999999</v>
      </c>
      <c r="H141" s="9">
        <f>'Datos Crudos SE4-Ref'!H61</f>
        <v>2.0632999999999999</v>
      </c>
      <c r="I141" s="17">
        <f>'Datos Crudos SE4-Ref'!I15</f>
        <v>6.5161797973837077</v>
      </c>
      <c r="J141" s="17">
        <f>'Datos Crudos SE4-Ref'!I61</f>
        <v>8.166529346192986</v>
      </c>
      <c r="K141" s="9">
        <f>'Datos Crudos SE4-Ref'!R15</f>
        <v>1.8346</v>
      </c>
      <c r="L141" s="9">
        <f>'Datos Crudos SE4-Ref'!R61</f>
        <v>1.8615999999999999</v>
      </c>
      <c r="M141" s="62">
        <v>44638</v>
      </c>
      <c r="N141" s="9">
        <f>'Datos Crudos SE4-Ref'!M15</f>
        <v>0.5454</v>
      </c>
      <c r="O141" s="9">
        <f>'Datos Crudos SE4-Ref'!P15</f>
        <v>0.13689999999999999</v>
      </c>
      <c r="P141" s="9">
        <f>'Datos Crudos SE4-Ref'!Q15</f>
        <v>6.1899999999999997E-2</v>
      </c>
      <c r="Q141" s="9">
        <f>'Datos Crudos SE4-Ref'!M61</f>
        <v>1.4742999999999999</v>
      </c>
      <c r="R141" s="9">
        <f>'Datos Crudos SE4-Ref'!P61</f>
        <v>0.1351</v>
      </c>
      <c r="S141" s="9">
        <f>'Datos Crudos SE4-Ref'!Q61</f>
        <v>6.6600000000000006E-2</v>
      </c>
      <c r="T141" s="9">
        <f>'Datos Crudos SE4-Ref'!O15</f>
        <v>0.35949999999999999</v>
      </c>
      <c r="U141" s="9">
        <f>'Datos Crudos SE4-Ref'!O61</f>
        <v>1.2763</v>
      </c>
      <c r="V141" s="198">
        <f t="shared" si="14"/>
        <v>0.80404447836040549</v>
      </c>
      <c r="W141" s="198">
        <f t="shared" si="15"/>
        <v>4.5077816674102711E-2</v>
      </c>
      <c r="X141" s="21">
        <f t="shared" si="16"/>
        <v>0.52711704519589531</v>
      </c>
      <c r="Y141" s="21">
        <f t="shared" si="17"/>
        <v>0.68559303824666951</v>
      </c>
      <c r="Z141" s="22">
        <f t="shared" si="18"/>
        <v>53</v>
      </c>
      <c r="AA141" s="248">
        <f t="shared" si="19"/>
        <v>1.7122499869219748E-2</v>
      </c>
      <c r="AB141" s="240">
        <f>'Datos Crudos SE4-Ref'!S15</f>
        <v>80.404447836040561</v>
      </c>
      <c r="AC141" s="240">
        <f>'Datos Crudos SE4-Ref'!S61</f>
        <v>31.440696175333045</v>
      </c>
      <c r="AG141" s="228"/>
      <c r="AH141" s="17">
        <f>'Datos Crudos SE4-Ref'!U15</f>
        <v>19.595552163959447</v>
      </c>
      <c r="AI141" s="17">
        <f>'Datos Crudos SE4-Ref'!U61</f>
        <v>68.559303824666955</v>
      </c>
    </row>
    <row r="142" spans="1:35" x14ac:dyDescent="0.25">
      <c r="A142" s="222" t="s">
        <v>573</v>
      </c>
      <c r="B142" s="226" t="s">
        <v>60</v>
      </c>
      <c r="C142" s="224" t="s">
        <v>621</v>
      </c>
      <c r="D142" s="61">
        <v>1</v>
      </c>
      <c r="E142" t="s">
        <v>20</v>
      </c>
      <c r="F142" s="53">
        <v>44585</v>
      </c>
      <c r="G142" s="9">
        <f>'Datos Crudos SE4-Ref'!H16</f>
        <v>2.0407999999999999</v>
      </c>
      <c r="H142" s="9">
        <f>'Datos Crudos SE4-Ref'!H62</f>
        <v>2.1271</v>
      </c>
      <c r="I142" s="17">
        <f>'Datos Crudos SE4-Ref'!I16</f>
        <v>6.536652293218344</v>
      </c>
      <c r="J142" s="17">
        <f>'Datos Crudos SE4-Ref'!I62</f>
        <v>8.2929810540172113</v>
      </c>
      <c r="K142" s="9">
        <f>'Datos Crudos SE4-Ref'!R16</f>
        <v>1.8361999999999998</v>
      </c>
      <c r="L142" s="9">
        <f>'Datos Crudos SE4-Ref'!R62</f>
        <v>1.9338</v>
      </c>
      <c r="M142" s="62">
        <v>44638</v>
      </c>
      <c r="N142" s="9">
        <f>'Datos Crudos SE4-Ref'!M16</f>
        <v>0.54820000000000002</v>
      </c>
      <c r="O142" s="9">
        <f>'Datos Crudos SE4-Ref'!P16</f>
        <v>0.1404</v>
      </c>
      <c r="P142" s="9">
        <f>'Datos Crudos SE4-Ref'!Q16</f>
        <v>6.4199999999999993E-2</v>
      </c>
      <c r="Q142" s="9">
        <f>'Datos Crudos SE4-Ref'!M62</f>
        <v>1.4922</v>
      </c>
      <c r="R142" s="9">
        <f>'Datos Crudos SE4-Ref'!P62</f>
        <v>0.126</v>
      </c>
      <c r="S142" s="9">
        <f>'Datos Crudos SE4-Ref'!Q62</f>
        <v>6.7299999999999999E-2</v>
      </c>
      <c r="T142" s="9">
        <f>'Datos Crudos SE4-Ref'!O16</f>
        <v>0.34420000000000001</v>
      </c>
      <c r="U142" s="9">
        <f>'Datos Crudos SE4-Ref'!O62</f>
        <v>1.2990999999999999</v>
      </c>
      <c r="V142" s="198">
        <f t="shared" si="14"/>
        <v>0.81254765276113705</v>
      </c>
      <c r="W142" s="198">
        <f t="shared" si="15"/>
        <v>3.4979034725490354E-2</v>
      </c>
      <c r="X142" s="21">
        <f t="shared" si="16"/>
        <v>0.53269157283152935</v>
      </c>
      <c r="Y142" s="21">
        <f t="shared" si="17"/>
        <v>0.67178612059158127</v>
      </c>
      <c r="Z142" s="22">
        <f t="shared" si="18"/>
        <v>53</v>
      </c>
      <c r="AA142" s="248">
        <f t="shared" si="19"/>
        <v>1.8065730248174653E-2</v>
      </c>
      <c r="AB142" s="240">
        <f>'Datos Crudos SE4-Ref'!S16</f>
        <v>81.254765276113702</v>
      </c>
      <c r="AC142" s="240">
        <f>'Datos Crudos SE4-Ref'!S62</f>
        <v>32.821387940841866</v>
      </c>
      <c r="AD142" s="226"/>
      <c r="AE142" s="226"/>
      <c r="AF142" s="226"/>
      <c r="AG142" s="229"/>
      <c r="AH142" s="17">
        <f>'Datos Crudos SE4-Ref'!U16</f>
        <v>18.745234723886288</v>
      </c>
      <c r="AI142" s="17">
        <f>'Datos Crudos SE4-Ref'!U62</f>
        <v>67.178612059158127</v>
      </c>
    </row>
    <row r="143" spans="1:35" x14ac:dyDescent="0.25">
      <c r="A143" s="9" t="s">
        <v>574</v>
      </c>
      <c r="B143" t="s">
        <v>63</v>
      </c>
      <c r="C143" s="61" t="s">
        <v>621</v>
      </c>
      <c r="D143" s="61">
        <v>1</v>
      </c>
      <c r="E143" t="s">
        <v>17</v>
      </c>
      <c r="F143" s="53">
        <v>44592</v>
      </c>
      <c r="G143" s="9">
        <f>'Datos Crudos SE4-Ref'!H17</f>
        <v>1.9723999999999999</v>
      </c>
      <c r="H143" s="9">
        <f>'Datos Crudos SE4-Ref'!H63</f>
        <v>1.97</v>
      </c>
      <c r="I143" s="17">
        <f>'Datos Crudos SE4-Ref'!I17</f>
        <v>6.3577367673899792</v>
      </c>
      <c r="J143" s="17">
        <f>'Datos Crudos SE4-Ref'!I63</f>
        <v>7.5431472081218196</v>
      </c>
      <c r="K143" s="9">
        <f>'Datos Crudos SE4-Ref'!R17</f>
        <v>1.7719</v>
      </c>
      <c r="L143" s="9">
        <f>'Datos Crudos SE4-Ref'!R63</f>
        <v>1.7710999999999999</v>
      </c>
      <c r="M143" s="62">
        <v>44651</v>
      </c>
      <c r="N143" s="9">
        <f>'Datos Crudos SE4-Ref'!M17</f>
        <v>0.56510000000000005</v>
      </c>
      <c r="O143" s="9">
        <f>'Datos Crudos SE4-Ref'!P17</f>
        <v>0.1429</v>
      </c>
      <c r="P143" s="9">
        <f>'Datos Crudos SE4-Ref'!Q17</f>
        <v>5.7599999999999998E-2</v>
      </c>
      <c r="Q143" s="9">
        <f>'Datos Crudos SE4-Ref'!M63</f>
        <v>1.3779999999999999</v>
      </c>
      <c r="R143" s="9">
        <f>'Datos Crudos SE4-Ref'!P63</f>
        <v>0.13750000000000001</v>
      </c>
      <c r="S143" s="9">
        <f>'Datos Crudos SE4-Ref'!Q63</f>
        <v>6.1400000000000003E-2</v>
      </c>
      <c r="T143" s="9">
        <f>'Datos Crudos SE4-Ref'!O17</f>
        <v>0.36630000000000001</v>
      </c>
      <c r="U143" s="9">
        <f>'Datos Crudos SE4-Ref'!O63</f>
        <v>1.1801999999999999</v>
      </c>
      <c r="V143" s="198">
        <f t="shared" si="14"/>
        <v>0.79327275805632369</v>
      </c>
      <c r="W143" s="198">
        <f t="shared" si="15"/>
        <v>5.7870833662323373E-2</v>
      </c>
      <c r="X143" s="21">
        <f t="shared" si="16"/>
        <v>0.52005529981839749</v>
      </c>
      <c r="Y143" s="21">
        <f t="shared" si="17"/>
        <v>0.66636553554288291</v>
      </c>
      <c r="Z143" s="22">
        <f t="shared" si="18"/>
        <v>59</v>
      </c>
      <c r="AA143" s="248">
        <f t="shared" si="19"/>
        <v>1.7388618271723159E-2</v>
      </c>
      <c r="AB143" s="240">
        <f>'Datos Crudos SE4-Ref'!S17</f>
        <v>79.327275805632368</v>
      </c>
      <c r="AC143" s="240">
        <f>'Datos Crudos SE4-Ref'!S63</f>
        <v>33.363446445711702</v>
      </c>
      <c r="AD143" s="65">
        <f>AVERAGE(W143:W150)</f>
        <v>5.7162785964061907E-2</v>
      </c>
      <c r="AE143">
        <f>STDEV(W143:W150)</f>
        <v>1.5651098316254639E-2</v>
      </c>
      <c r="AF143" s="7">
        <f>AVERAGE(AA143:AA150)</f>
        <v>1.5937934256587599E-2</v>
      </c>
      <c r="AG143" s="228">
        <f>STDEV(AA143:AA150)</f>
        <v>1.4113439214777793E-3</v>
      </c>
      <c r="AH143" s="17">
        <f>'Datos Crudos SE4-Ref'!U17</f>
        <v>20.672724194367628</v>
      </c>
      <c r="AI143" s="17">
        <f>'Datos Crudos SE4-Ref'!U63</f>
        <v>66.636553554288298</v>
      </c>
    </row>
    <row r="144" spans="1:35" x14ac:dyDescent="0.25">
      <c r="A144" s="9" t="s">
        <v>575</v>
      </c>
      <c r="B144" t="s">
        <v>63</v>
      </c>
      <c r="C144" s="61" t="s">
        <v>621</v>
      </c>
      <c r="D144" s="61">
        <v>2</v>
      </c>
      <c r="E144" t="s">
        <v>17</v>
      </c>
      <c r="F144" s="53">
        <v>44592</v>
      </c>
      <c r="G144" s="9">
        <f>'Datos Crudos SE4-Ref'!H18</f>
        <v>2.0152999999999999</v>
      </c>
      <c r="H144" s="9">
        <f>'Datos Crudos SE4-Ref'!H64</f>
        <v>2.1190000000000002</v>
      </c>
      <c r="I144" s="17">
        <f>'Datos Crudos SE4-Ref'!I18</f>
        <v>6.4754627102664646</v>
      </c>
      <c r="J144" s="17">
        <f>'Datos Crudos SE4-Ref'!I64</f>
        <v>7.6168003775365731</v>
      </c>
      <c r="K144" s="9">
        <f>'Datos Crudos SE4-Ref'!R18</f>
        <v>1.8250999999999999</v>
      </c>
      <c r="L144" s="9">
        <f>'Datos Crudos SE4-Ref'!R64</f>
        <v>1.9067000000000003</v>
      </c>
      <c r="M144" s="62">
        <v>44651</v>
      </c>
      <c r="N144" s="9">
        <f>'Datos Crudos SE4-Ref'!M18</f>
        <v>0.59760000000000002</v>
      </c>
      <c r="O144" s="9">
        <f>'Datos Crudos SE4-Ref'!P18</f>
        <v>0.13420000000000001</v>
      </c>
      <c r="P144" s="9">
        <f>'Datos Crudos SE4-Ref'!Q18</f>
        <v>5.6000000000000001E-2</v>
      </c>
      <c r="Q144" s="9">
        <f>'Datos Crudos SE4-Ref'!M64</f>
        <v>1.5283</v>
      </c>
      <c r="R144" s="9">
        <f>'Datos Crudos SE4-Ref'!P64</f>
        <v>0.15140000000000001</v>
      </c>
      <c r="S144" s="9">
        <f>'Datos Crudos SE4-Ref'!Q64</f>
        <v>6.0900000000000003E-2</v>
      </c>
      <c r="T144" s="9">
        <f>'Datos Crudos SE4-Ref'!O18</f>
        <v>0.40799999999999997</v>
      </c>
      <c r="U144" s="9">
        <f>'Datos Crudos SE4-Ref'!O64</f>
        <v>1.3192999999999999</v>
      </c>
      <c r="V144" s="198">
        <f t="shared" si="14"/>
        <v>0.77645060544627698</v>
      </c>
      <c r="W144" s="198">
        <f t="shared" si="15"/>
        <v>7.7849637237200731E-2</v>
      </c>
      <c r="X144" s="21">
        <f t="shared" si="16"/>
        <v>0.5090270002450652</v>
      </c>
      <c r="Y144" s="21">
        <f t="shared" si="17"/>
        <v>0.69192846278911191</v>
      </c>
      <c r="Z144" s="22">
        <f t="shared" si="18"/>
        <v>59</v>
      </c>
      <c r="AA144" s="248">
        <f t="shared" si="19"/>
        <v>1.5752843292353731E-2</v>
      </c>
      <c r="AB144" s="240">
        <f>'Datos Crudos SE4-Ref'!S18</f>
        <v>77.645060544627697</v>
      </c>
      <c r="AC144" s="240">
        <f>'Datos Crudos SE4-Ref'!S64</f>
        <v>30.80715372108881</v>
      </c>
      <c r="AG144" s="142"/>
      <c r="AH144" s="17">
        <f>'Datos Crudos SE4-Ref'!U18</f>
        <v>22.354939455372307</v>
      </c>
      <c r="AI144" s="17">
        <f>'Datos Crudos SE4-Ref'!U64</f>
        <v>69.19284627891119</v>
      </c>
    </row>
    <row r="145" spans="1:35" x14ac:dyDescent="0.25">
      <c r="A145" s="9" t="s">
        <v>576</v>
      </c>
      <c r="B145" t="s">
        <v>63</v>
      </c>
      <c r="C145" s="61" t="s">
        <v>621</v>
      </c>
      <c r="D145" s="61">
        <v>1</v>
      </c>
      <c r="E145" t="s">
        <v>18</v>
      </c>
      <c r="F145" s="53">
        <v>44592</v>
      </c>
      <c r="G145" s="9">
        <f>'Datos Crudos SE4-Ref'!H19</f>
        <v>1.8495999999999999</v>
      </c>
      <c r="H145" s="9">
        <f>'Datos Crudos SE4-Ref'!H65</f>
        <v>2.0543999999999998</v>
      </c>
      <c r="I145" s="17">
        <f>'Datos Crudos SE4-Ref'!I19</f>
        <v>6.4067906574394495</v>
      </c>
      <c r="J145" s="17">
        <f>'Datos Crudos SE4-Ref'!I65</f>
        <v>7.4522975077881748</v>
      </c>
      <c r="K145" s="9">
        <f>'Datos Crudos SE4-Ref'!R19</f>
        <v>1.6461999999999999</v>
      </c>
      <c r="L145" s="9">
        <f>'Datos Crudos SE4-Ref'!R65</f>
        <v>1.8486999999999998</v>
      </c>
      <c r="M145" s="62">
        <v>44651</v>
      </c>
      <c r="N145" s="9">
        <f>'Datos Crudos SE4-Ref'!M19</f>
        <v>0.54630000000000001</v>
      </c>
      <c r="O145" s="9">
        <f>'Datos Crudos SE4-Ref'!P19</f>
        <v>0.14199999999999999</v>
      </c>
      <c r="P145" s="9">
        <f>'Datos Crudos SE4-Ref'!Q19</f>
        <v>6.1400000000000003E-2</v>
      </c>
      <c r="Q145" s="9">
        <f>'Datos Crudos SE4-Ref'!M65</f>
        <v>1.4545999999999999</v>
      </c>
      <c r="R145" s="9">
        <f>'Datos Crudos SE4-Ref'!P65</f>
        <v>0.14499999999999999</v>
      </c>
      <c r="S145" s="9">
        <f>'Datos Crudos SE4-Ref'!Q65</f>
        <v>6.0699999999999997E-2</v>
      </c>
      <c r="T145" s="9">
        <f>'Datos Crudos SE4-Ref'!O19</f>
        <v>0.34279999999999999</v>
      </c>
      <c r="U145" s="9">
        <f>'Datos Crudos SE4-Ref'!O65</f>
        <v>1.2508999999999999</v>
      </c>
      <c r="V145" s="198">
        <f t="shared" si="14"/>
        <v>0.79176284777062322</v>
      </c>
      <c r="W145" s="198">
        <f t="shared" si="15"/>
        <v>5.9664076281920164E-2</v>
      </c>
      <c r="X145" s="21">
        <f t="shared" si="16"/>
        <v>0.51906542989238014</v>
      </c>
      <c r="Y145" s="21">
        <f t="shared" si="17"/>
        <v>0.67663763725861414</v>
      </c>
      <c r="Z145" s="22">
        <f t="shared" si="18"/>
        <v>59</v>
      </c>
      <c r="AA145" s="248">
        <f t="shared" si="19"/>
        <v>1.6532735548796779E-2</v>
      </c>
      <c r="AB145" s="240">
        <f>'Datos Crudos SE4-Ref'!S19</f>
        <v>79.176284777062321</v>
      </c>
      <c r="AC145" s="240">
        <f>'Datos Crudos SE4-Ref'!S65</f>
        <v>32.336236274138578</v>
      </c>
      <c r="AG145" s="142"/>
      <c r="AH145" s="17">
        <f>'Datos Crudos SE4-Ref'!U19</f>
        <v>20.823715222937675</v>
      </c>
      <c r="AI145" s="17">
        <f>'Datos Crudos SE4-Ref'!U65</f>
        <v>67.663763725861415</v>
      </c>
    </row>
    <row r="146" spans="1:35" x14ac:dyDescent="0.25">
      <c r="A146" s="9" t="s">
        <v>577</v>
      </c>
      <c r="B146" t="s">
        <v>63</v>
      </c>
      <c r="C146" s="61" t="s">
        <v>621</v>
      </c>
      <c r="D146" s="61">
        <v>2</v>
      </c>
      <c r="E146" t="s">
        <v>18</v>
      </c>
      <c r="F146" s="53">
        <v>44592</v>
      </c>
      <c r="G146" s="9">
        <f>'Datos Crudos SE4-Ref'!H20</f>
        <v>1.8843000000000001</v>
      </c>
      <c r="H146" s="9">
        <f>'Datos Crudos SE4-Ref'!H66</f>
        <v>2.0853000000000002</v>
      </c>
      <c r="I146" s="17">
        <f>'Datos Crudos SE4-Ref'!I20</f>
        <v>6.448017831555469</v>
      </c>
      <c r="J146" s="17">
        <f>'Datos Crudos SE4-Ref'!I66</f>
        <v>7.6823478636167302</v>
      </c>
      <c r="K146" s="9">
        <f>'Datos Crudos SE4-Ref'!R20</f>
        <v>1.6911</v>
      </c>
      <c r="L146" s="9">
        <f>'Datos Crudos SE4-Ref'!R66</f>
        <v>1.8833000000000002</v>
      </c>
      <c r="M146" s="62">
        <v>44651</v>
      </c>
      <c r="N146" s="9">
        <f>'Datos Crudos SE4-Ref'!M20</f>
        <v>0.54079999999999995</v>
      </c>
      <c r="O146" s="9">
        <f>'Datos Crudos SE4-Ref'!P20</f>
        <v>0.1381</v>
      </c>
      <c r="P146" s="9">
        <f>'Datos Crudos SE4-Ref'!Q20</f>
        <v>5.5100000000000003E-2</v>
      </c>
      <c r="Q146" s="9">
        <f>'Datos Crudos SE4-Ref'!M66</f>
        <v>1.5497000000000001</v>
      </c>
      <c r="R146" s="9">
        <f>'Datos Crudos SE4-Ref'!P66</f>
        <v>0.1416</v>
      </c>
      <c r="S146" s="9">
        <f>'Datos Crudos SE4-Ref'!Q66</f>
        <v>6.0400000000000002E-2</v>
      </c>
      <c r="T146" s="9">
        <f>'Datos Crudos SE4-Ref'!O20</f>
        <v>0.3508</v>
      </c>
      <c r="U146" s="9">
        <f>'Datos Crudos SE4-Ref'!O66</f>
        <v>1.3501000000000001</v>
      </c>
      <c r="V146" s="198">
        <f t="shared" si="14"/>
        <v>0.79256105493465789</v>
      </c>
      <c r="W146" s="198">
        <f t="shared" si="15"/>
        <v>5.8716086775940757E-2</v>
      </c>
      <c r="X146" s="21">
        <f t="shared" si="16"/>
        <v>0.51958872009968071</v>
      </c>
      <c r="Y146" s="21">
        <f t="shared" si="17"/>
        <v>0.71687994477778361</v>
      </c>
      <c r="Z146" s="22">
        <f t="shared" si="18"/>
        <v>59</v>
      </c>
      <c r="AA146" s="248">
        <f t="shared" si="19"/>
        <v>1.3342743590249281E-2</v>
      </c>
      <c r="AB146" s="240">
        <f>'Datos Crudos SE4-Ref'!S20</f>
        <v>79.256105493465796</v>
      </c>
      <c r="AC146" s="240">
        <f>'Datos Crudos SE4-Ref'!S66</f>
        <v>28.312005522221632</v>
      </c>
      <c r="AG146" s="142"/>
      <c r="AH146" s="17">
        <f>'Datos Crudos SE4-Ref'!U20</f>
        <v>20.743894506534208</v>
      </c>
      <c r="AI146" s="17">
        <f>'Datos Crudos SE4-Ref'!U66</f>
        <v>71.687994477778361</v>
      </c>
    </row>
    <row r="147" spans="1:35" x14ac:dyDescent="0.25">
      <c r="A147" s="9" t="s">
        <v>578</v>
      </c>
      <c r="B147" t="s">
        <v>63</v>
      </c>
      <c r="C147" s="61" t="s">
        <v>621</v>
      </c>
      <c r="D147" s="61">
        <v>1</v>
      </c>
      <c r="E147" t="s">
        <v>19</v>
      </c>
      <c r="F147" s="53">
        <v>44592</v>
      </c>
      <c r="G147" s="9">
        <f>'Datos Crudos SE4-Ref'!H21</f>
        <v>2.0373000000000001</v>
      </c>
      <c r="H147" s="9">
        <f>'Datos Crudos SE4-Ref'!H67</f>
        <v>2.0211999999999999</v>
      </c>
      <c r="I147" s="17">
        <f>'Datos Crudos SE4-Ref'!I21</f>
        <v>6.5233397143277765</v>
      </c>
      <c r="J147" s="17">
        <f>'Datos Crudos SE4-Ref'!I67</f>
        <v>7.7330298832376982</v>
      </c>
      <c r="K147" s="9">
        <f>'Datos Crudos SE4-Ref'!R21</f>
        <v>1.8337000000000001</v>
      </c>
      <c r="L147" s="9">
        <f>'Datos Crudos SE4-Ref'!R67</f>
        <v>1.8219999999999998</v>
      </c>
      <c r="M147" s="62">
        <v>44651</v>
      </c>
      <c r="N147" s="9">
        <f>'Datos Crudos SE4-Ref'!M21</f>
        <v>0.57389999999999997</v>
      </c>
      <c r="O147" s="9">
        <f>'Datos Crudos SE4-Ref'!P21</f>
        <v>0.14460000000000001</v>
      </c>
      <c r="P147" s="9">
        <f>'Datos Crudos SE4-Ref'!Q21</f>
        <v>5.8999999999999997E-2</v>
      </c>
      <c r="Q147" s="9">
        <f>'Datos Crudos SE4-Ref'!M67</f>
        <v>1.4712000000000001</v>
      </c>
      <c r="R147" s="9">
        <f>'Datos Crudos SE4-Ref'!P67</f>
        <v>0.13900000000000001</v>
      </c>
      <c r="S147" s="9">
        <f>'Datos Crudos SE4-Ref'!Q67</f>
        <v>6.0199999999999997E-2</v>
      </c>
      <c r="T147" s="9">
        <f>'Datos Crudos SE4-Ref'!O21</f>
        <v>0.37440000000000001</v>
      </c>
      <c r="U147" s="9">
        <f>'Datos Crudos SE4-Ref'!O67</f>
        <v>1.2776000000000001</v>
      </c>
      <c r="V147" s="198">
        <f t="shared" si="14"/>
        <v>0.79582265365108795</v>
      </c>
      <c r="W147" s="198">
        <f t="shared" si="15"/>
        <v>5.4842454096095006E-2</v>
      </c>
      <c r="X147" s="21">
        <f t="shared" si="16"/>
        <v>0.52172696533895557</v>
      </c>
      <c r="Y147" s="21">
        <f t="shared" si="17"/>
        <v>0.70120746432491776</v>
      </c>
      <c r="Z147" s="22">
        <f t="shared" si="18"/>
        <v>59</v>
      </c>
      <c r="AA147" s="248">
        <f t="shared" si="19"/>
        <v>1.4411300089738455E-2</v>
      </c>
      <c r="AB147" s="240">
        <f>'Datos Crudos SE4-Ref'!S21</f>
        <v>79.582265365108796</v>
      </c>
      <c r="AC147" s="240">
        <f>'Datos Crudos SE4-Ref'!S67</f>
        <v>29.879253567508222</v>
      </c>
      <c r="AG147" s="142"/>
      <c r="AH147" s="17">
        <f>'Datos Crudos SE4-Ref'!U21</f>
        <v>20.4177346348912</v>
      </c>
      <c r="AI147" s="17">
        <f>'Datos Crudos SE4-Ref'!U67</f>
        <v>70.120746432491771</v>
      </c>
    </row>
    <row r="148" spans="1:35" x14ac:dyDescent="0.25">
      <c r="A148" s="9" t="s">
        <v>579</v>
      </c>
      <c r="B148" t="s">
        <v>63</v>
      </c>
      <c r="C148" s="61" t="s">
        <v>621</v>
      </c>
      <c r="D148" s="61">
        <v>2</v>
      </c>
      <c r="E148" t="s">
        <v>19</v>
      </c>
      <c r="F148" s="53">
        <v>44592</v>
      </c>
      <c r="G148" s="9">
        <f>'Datos Crudos SE4-Ref'!H22</f>
        <v>1.9912000000000001</v>
      </c>
      <c r="H148" s="9">
        <f>'Datos Crudos SE4-Ref'!H68</f>
        <v>2.0998999999999999</v>
      </c>
      <c r="I148" s="17">
        <f>'Datos Crudos SE4-Ref'!I22</f>
        <v>6.5940136601044586</v>
      </c>
      <c r="J148" s="17">
        <f>'Datos Crudos SE4-Ref'!I68</f>
        <v>7.6098861850564399</v>
      </c>
      <c r="K148" s="9">
        <f>'Datos Crudos SE4-Ref'!R22</f>
        <v>1.7947000000000002</v>
      </c>
      <c r="L148" s="9">
        <f>'Datos Crudos SE4-Ref'!R68</f>
        <v>1.8969999999999998</v>
      </c>
      <c r="M148" s="62">
        <v>44651</v>
      </c>
      <c r="N148" s="9">
        <f>'Datos Crudos SE4-Ref'!M22</f>
        <v>0.57179999999999997</v>
      </c>
      <c r="O148" s="9">
        <f>'Datos Crudos SE4-Ref'!P22</f>
        <v>0.1394</v>
      </c>
      <c r="P148" s="9">
        <f>'Datos Crudos SE4-Ref'!Q22</f>
        <v>5.7099999999999998E-2</v>
      </c>
      <c r="Q148" s="9">
        <f>'Datos Crudos SE4-Ref'!M68</f>
        <v>1.4739</v>
      </c>
      <c r="R148" s="9">
        <f>'Datos Crudos SE4-Ref'!P68</f>
        <v>0.1449</v>
      </c>
      <c r="S148" s="9">
        <f>'Datos Crudos SE4-Ref'!Q68</f>
        <v>5.8000000000000003E-2</v>
      </c>
      <c r="T148" s="9">
        <f>'Datos Crudos SE4-Ref'!O22</f>
        <v>0.37769999999999998</v>
      </c>
      <c r="U148" s="9">
        <f>'Datos Crudos SE4-Ref'!O68</f>
        <v>1.2699</v>
      </c>
      <c r="V148" s="198">
        <f t="shared" si="14"/>
        <v>0.78954699949852347</v>
      </c>
      <c r="W148" s="198">
        <f t="shared" si="15"/>
        <v>6.2295725061136009E-2</v>
      </c>
      <c r="X148" s="21">
        <f t="shared" si="16"/>
        <v>0.51761275976625298</v>
      </c>
      <c r="Y148" s="21">
        <f t="shared" si="17"/>
        <v>0.66942540853979982</v>
      </c>
      <c r="Z148" s="22">
        <f t="shared" si="18"/>
        <v>59</v>
      </c>
      <c r="AA148" s="248">
        <f t="shared" si="19"/>
        <v>1.7252791356891103E-2</v>
      </c>
      <c r="AB148" s="240">
        <f>'Datos Crudos SE4-Ref'!S22</f>
        <v>78.954699949852341</v>
      </c>
      <c r="AC148" s="240">
        <f>'Datos Crudos SE4-Ref'!S68</f>
        <v>33.057459146020022</v>
      </c>
      <c r="AG148" s="142"/>
      <c r="AH148" s="17">
        <f>'Datos Crudos SE4-Ref'!U22</f>
        <v>21.045300050147652</v>
      </c>
      <c r="AI148" s="17">
        <f>'Datos Crudos SE4-Ref'!U68</f>
        <v>66.942540853979978</v>
      </c>
    </row>
    <row r="149" spans="1:35" x14ac:dyDescent="0.25">
      <c r="A149" s="9" t="s">
        <v>580</v>
      </c>
      <c r="B149" t="s">
        <v>63</v>
      </c>
      <c r="C149" s="61" t="s">
        <v>621</v>
      </c>
      <c r="D149" s="61">
        <v>1</v>
      </c>
      <c r="E149" t="s">
        <v>20</v>
      </c>
      <c r="F149" s="53">
        <v>44592</v>
      </c>
      <c r="G149" s="9">
        <f>'Datos Crudos SE4-Ref'!H23</f>
        <v>1.8560000000000001</v>
      </c>
      <c r="H149" s="9">
        <f>'Datos Crudos SE4-Ref'!H69</f>
        <v>2.1084000000000001</v>
      </c>
      <c r="I149" s="17">
        <f>'Datos Crudos SE4-Ref'!I23</f>
        <v>6.5624999999999947</v>
      </c>
      <c r="J149" s="17">
        <f>'Datos Crudos SE4-Ref'!I69</f>
        <v>7.6456080440144198</v>
      </c>
      <c r="K149" s="9">
        <f>'Datos Crudos SE4-Ref'!R23</f>
        <v>1.6449</v>
      </c>
      <c r="L149" s="9">
        <f>'Datos Crudos SE4-Ref'!R69</f>
        <v>1.8999000000000001</v>
      </c>
      <c r="M149" s="62">
        <v>44651</v>
      </c>
      <c r="N149" s="9">
        <f>'Datos Crudos SE4-Ref'!M23</f>
        <v>0.49840000000000001</v>
      </c>
      <c r="O149" s="9">
        <f>'Datos Crudos SE4-Ref'!P23</f>
        <v>0.14990000000000001</v>
      </c>
      <c r="P149" s="9">
        <f>'Datos Crudos SE4-Ref'!Q23</f>
        <v>6.1199999999999997E-2</v>
      </c>
      <c r="Q149" s="9">
        <f>'Datos Crudos SE4-Ref'!M69</f>
        <v>1.4748000000000001</v>
      </c>
      <c r="R149" s="9">
        <f>'Datos Crudos SE4-Ref'!P69</f>
        <v>0.15049999999999999</v>
      </c>
      <c r="S149" s="9">
        <f>'Datos Crudos SE4-Ref'!Q69</f>
        <v>5.8000000000000003E-2</v>
      </c>
      <c r="T149" s="9">
        <f>'Datos Crudos SE4-Ref'!O23</f>
        <v>0.29099999999999998</v>
      </c>
      <c r="U149" s="9">
        <f>'Datos Crudos SE4-Ref'!O69</f>
        <v>1.2715000000000001</v>
      </c>
      <c r="V149" s="198">
        <f t="shared" si="14"/>
        <v>0.82308954951668789</v>
      </c>
      <c r="W149" s="198">
        <f t="shared" si="15"/>
        <v>2.2458967319848089E-2</v>
      </c>
      <c r="X149" s="21">
        <f t="shared" si="16"/>
        <v>0.53960265003944385</v>
      </c>
      <c r="Y149" s="21">
        <f t="shared" si="17"/>
        <v>0.66924574977630402</v>
      </c>
      <c r="Z149" s="22">
        <f t="shared" si="18"/>
        <v>59</v>
      </c>
      <c r="AA149" s="248">
        <f t="shared" si="19"/>
        <v>1.6088549261168931E-2</v>
      </c>
      <c r="AB149" s="240">
        <f>'Datos Crudos SE4-Ref'!S23</f>
        <v>82.308954951668795</v>
      </c>
      <c r="AC149" s="240">
        <f>'Datos Crudos SE4-Ref'!S69</f>
        <v>33.0754250223696</v>
      </c>
      <c r="AG149" s="142"/>
      <c r="AH149" s="17">
        <f>'Datos Crudos SE4-Ref'!U23</f>
        <v>17.691045048331205</v>
      </c>
      <c r="AI149" s="17">
        <f>'Datos Crudos SE4-Ref'!U69</f>
        <v>66.9245749776304</v>
      </c>
    </row>
    <row r="150" spans="1:35" x14ac:dyDescent="0.25">
      <c r="A150" s="133" t="s">
        <v>581</v>
      </c>
      <c r="B150" s="134" t="s">
        <v>63</v>
      </c>
      <c r="C150" s="179" t="s">
        <v>621</v>
      </c>
      <c r="D150" s="61">
        <v>2</v>
      </c>
      <c r="E150" t="s">
        <v>20</v>
      </c>
      <c r="F150" s="53">
        <v>44592</v>
      </c>
      <c r="G150" s="9">
        <f>'Datos Crudos SE4-Ref'!H24</f>
        <v>1.95</v>
      </c>
      <c r="H150" s="9">
        <f>'Datos Crudos SE4-Ref'!H70</f>
        <v>2.0249999999999999</v>
      </c>
      <c r="I150" s="17">
        <f>'Datos Crudos SE4-Ref'!I24</f>
        <v>6.4871794871794783</v>
      </c>
      <c r="J150" s="17">
        <f>'Datos Crudos SE4-Ref'!I70</f>
        <v>7.5604938271605056</v>
      </c>
      <c r="K150" s="9">
        <f>'Datos Crudos SE4-Ref'!R24</f>
        <v>1.7446999999999999</v>
      </c>
      <c r="L150" s="9">
        <f>'Datos Crudos SE4-Ref'!R70</f>
        <v>1.8278999999999999</v>
      </c>
      <c r="M150" s="62">
        <v>44651</v>
      </c>
      <c r="N150" s="9">
        <f>'Datos Crudos SE4-Ref'!M24</f>
        <v>0.57650000000000001</v>
      </c>
      <c r="O150" s="9">
        <f>'Datos Crudos SE4-Ref'!P24</f>
        <v>0.14230000000000001</v>
      </c>
      <c r="P150" s="9">
        <f>'Datos Crudos SE4-Ref'!Q24</f>
        <v>6.3E-2</v>
      </c>
      <c r="Q150" s="9">
        <f>'Datos Crudos SE4-Ref'!M70</f>
        <v>1.4316</v>
      </c>
      <c r="R150" s="9">
        <f>'Datos Crudos SE4-Ref'!P70</f>
        <v>0.13750000000000001</v>
      </c>
      <c r="S150" s="9">
        <f>'Datos Crudos SE4-Ref'!Q70</f>
        <v>5.96E-2</v>
      </c>
      <c r="T150" s="9">
        <f>'Datos Crudos SE4-Ref'!O24</f>
        <v>0.36909999999999998</v>
      </c>
      <c r="U150" s="9">
        <f>'Datos Crudos SE4-Ref'!O70</f>
        <v>1.2351000000000001</v>
      </c>
      <c r="V150" s="198">
        <f t="shared" si="14"/>
        <v>0.78844500487189773</v>
      </c>
      <c r="W150" s="198">
        <f t="shared" si="15"/>
        <v>6.360450727803113E-2</v>
      </c>
      <c r="X150" s="21">
        <f t="shared" si="16"/>
        <v>0.51689031198252688</v>
      </c>
      <c r="Y150" s="21">
        <f t="shared" si="17"/>
        <v>0.67569341867717059</v>
      </c>
      <c r="Z150" s="22">
        <f t="shared" si="18"/>
        <v>59</v>
      </c>
      <c r="AA150" s="248">
        <f t="shared" si="19"/>
        <v>1.6733892641779366E-2</v>
      </c>
      <c r="AB150" s="240">
        <f>'Datos Crudos SE4-Ref'!S24</f>
        <v>78.844500487189777</v>
      </c>
      <c r="AC150" s="240">
        <f>'Datos Crudos SE4-Ref'!S70</f>
        <v>32.430658132282936</v>
      </c>
      <c r="AD150" s="134"/>
      <c r="AE150" s="134"/>
      <c r="AF150" s="134"/>
      <c r="AG150" s="143"/>
      <c r="AH150" s="17">
        <f>'Datos Crudos SE4-Ref'!U24</f>
        <v>21.155499512810223</v>
      </c>
      <c r="AI150" s="17">
        <f>'Datos Crudos SE4-Ref'!U70</f>
        <v>67.569341867717057</v>
      </c>
    </row>
    <row r="151" spans="1:35" x14ac:dyDescent="0.25">
      <c r="A151" s="9" t="s">
        <v>582</v>
      </c>
      <c r="B151" t="s">
        <v>937</v>
      </c>
      <c r="C151" s="61" t="s">
        <v>621</v>
      </c>
      <c r="D151" s="61">
        <v>1</v>
      </c>
      <c r="E151" t="s">
        <v>17</v>
      </c>
      <c r="F151" s="53">
        <v>44599</v>
      </c>
      <c r="G151" s="9">
        <f>'Datos Crudos SE4-Ref'!H25</f>
        <v>1.9649000000000001</v>
      </c>
      <c r="H151" s="9">
        <f>'Datos Crudos SE4-Ref'!H71</f>
        <v>2.1594000000000002</v>
      </c>
      <c r="I151" s="17">
        <f>'Datos Crudos SE4-Ref'!I25</f>
        <v>5.1605679678355099</v>
      </c>
      <c r="J151" s="17">
        <f>'Datos Crudos SE4-Ref'!I71</f>
        <v>6.4740205612670048</v>
      </c>
      <c r="K151" s="9">
        <f>'Datos Crudos SE4-Ref'!R25</f>
        <v>1.7635000000000001</v>
      </c>
      <c r="L151" s="9">
        <f>'Datos Crudos SE4-Ref'!R71</f>
        <v>1.9457000000000002</v>
      </c>
      <c r="M151" s="62">
        <v>44655</v>
      </c>
      <c r="N151" s="9">
        <f>'Datos Crudos SE4-Ref'!M25</f>
        <v>0.61</v>
      </c>
      <c r="O151" s="9">
        <f>'Datos Crudos SE4-Ref'!P25</f>
        <v>0.14199999999999999</v>
      </c>
      <c r="P151" s="9">
        <f>'Datos Crudos SE4-Ref'!Q25</f>
        <v>5.9400000000000001E-2</v>
      </c>
      <c r="Q151" s="9">
        <f>'Datos Crudos SE4-Ref'!M71</f>
        <v>1.6335</v>
      </c>
      <c r="R151" s="9">
        <f>'Datos Crudos SE4-Ref'!P71</f>
        <v>0.1525</v>
      </c>
      <c r="S151" s="9" t="e">
        <f>'Datos Crudos SE4-Ref'!#REF!</f>
        <v>#REF!</v>
      </c>
      <c r="T151" s="9">
        <f>'Datos Crudos SE4-Ref'!O25</f>
        <v>0.40670000000000001</v>
      </c>
      <c r="U151" s="9">
        <f>'Datos Crudos SE4-Ref'!O71</f>
        <v>1.4188000000000001</v>
      </c>
      <c r="V151" s="198">
        <f t="shared" si="14"/>
        <v>0.76937907570172959</v>
      </c>
      <c r="W151" s="198">
        <f t="shared" si="15"/>
        <v>8.6248128620273645E-2</v>
      </c>
      <c r="X151" s="21">
        <f t="shared" si="16"/>
        <v>0.50439103300160903</v>
      </c>
      <c r="Y151" s="21">
        <f t="shared" si="17"/>
        <v>0.72919771804491951</v>
      </c>
      <c r="Z151" s="22">
        <f t="shared" si="18"/>
        <v>56</v>
      </c>
      <c r="AA151" s="248">
        <f t="shared" si="19"/>
        <v>1.3746245202686014E-2</v>
      </c>
      <c r="AB151" s="240">
        <f>'Datos Crudos SE4-Ref'!S25</f>
        <v>76.937907570172953</v>
      </c>
      <c r="AC151" s="240">
        <f>'Datos Crudos SE4-Ref'!S71</f>
        <v>27.080228195508049</v>
      </c>
      <c r="AD151" s="65">
        <f>AVERAGE(W151:W157)</f>
        <v>3.9189946975281553E-2</v>
      </c>
      <c r="AE151">
        <f>STDEV(W151:W157)</f>
        <v>4.8455869404076882E-2</v>
      </c>
      <c r="AF151" s="7">
        <f>AVERAGE(AA151:AA157)</f>
        <v>1.7636256634354135E-2</v>
      </c>
      <c r="AG151" s="238">
        <f>STDEV(AA151:AA157)</f>
        <v>2.2959290529495323E-3</v>
      </c>
      <c r="AH151" s="17">
        <f>'Datos Crudos SE4-Ref'!U25</f>
        <v>23.062092429827047</v>
      </c>
      <c r="AI151" s="17">
        <f>'Datos Crudos SE4-Ref'!U71</f>
        <v>72.919771804491944</v>
      </c>
    </row>
    <row r="152" spans="1:35" x14ac:dyDescent="0.25">
      <c r="A152" s="9" t="s">
        <v>583</v>
      </c>
      <c r="B152" t="s">
        <v>937</v>
      </c>
      <c r="C152" s="61" t="s">
        <v>621</v>
      </c>
      <c r="D152" s="61">
        <v>2</v>
      </c>
      <c r="E152" t="s">
        <v>17</v>
      </c>
      <c r="F152" s="53">
        <v>44599</v>
      </c>
      <c r="G152" s="9">
        <f>'Datos Crudos SE4-Ref'!H26</f>
        <v>1.964</v>
      </c>
      <c r="H152" s="9">
        <f>'Datos Crudos SE4-Ref'!H72</f>
        <v>2.2330000000000001</v>
      </c>
      <c r="I152" s="17">
        <f>'Datos Crudos SE4-Ref'!I26</f>
        <v>5.2189409368635458</v>
      </c>
      <c r="J152" s="17">
        <f>'Datos Crudos SE4-Ref'!I72</f>
        <v>7.0756829377518997</v>
      </c>
      <c r="K152" s="9">
        <f>'Datos Crudos SE4-Ref'!R26</f>
        <v>1.7670999999999999</v>
      </c>
      <c r="L152" s="9">
        <f>'Datos Crudos SE4-Ref'!R72</f>
        <v>2.0310999999999999</v>
      </c>
      <c r="M152" s="62">
        <v>44655</v>
      </c>
      <c r="N152" s="9">
        <f>'Datos Crudos SE4-Ref'!M26</f>
        <v>0.56640000000000001</v>
      </c>
      <c r="O152" s="9">
        <f>'Datos Crudos SE4-Ref'!P26</f>
        <v>0.13819999999999999</v>
      </c>
      <c r="P152" s="9">
        <f>'Datos Crudos SE4-Ref'!Q26</f>
        <v>5.8700000000000002E-2</v>
      </c>
      <c r="Q152" s="9">
        <f>'Datos Crudos SE4-Ref'!M72</f>
        <v>1.6141000000000001</v>
      </c>
      <c r="R152" s="9">
        <f>'Datos Crudos SE4-Ref'!P72</f>
        <v>0.14330000000000001</v>
      </c>
      <c r="S152" s="9" t="e">
        <f>'Datos Crudos SE4-Ref'!#REF!</f>
        <v>#REF!</v>
      </c>
      <c r="T152" s="9">
        <f>'Datos Crudos SE4-Ref'!O26</f>
        <v>0.3695</v>
      </c>
      <c r="U152" s="9">
        <f>'Datos Crudos SE4-Ref'!O72</f>
        <v>1.4126000000000001</v>
      </c>
      <c r="V152" s="198">
        <f t="shared" si="14"/>
        <v>0.79090034519834762</v>
      </c>
      <c r="W152" s="198">
        <f t="shared" si="15"/>
        <v>6.0688426130228401E-2</v>
      </c>
      <c r="X152" s="21">
        <f t="shared" si="16"/>
        <v>0.51849998877611392</v>
      </c>
      <c r="Y152" s="21">
        <f t="shared" si="17"/>
        <v>0.69548520506129685</v>
      </c>
      <c r="Z152" s="22">
        <f t="shared" si="18"/>
        <v>56</v>
      </c>
      <c r="AA152" s="248">
        <f t="shared" si="19"/>
        <v>1.5804163947680701E-2</v>
      </c>
      <c r="AB152" s="240">
        <f>'Datos Crudos SE4-Ref'!S26</f>
        <v>79.090034519834759</v>
      </c>
      <c r="AC152" s="240">
        <f>'Datos Crudos SE4-Ref'!S72</f>
        <v>30.451479493870309</v>
      </c>
      <c r="AG152" s="201"/>
      <c r="AH152" s="17">
        <f>'Datos Crudos SE4-Ref'!U26</f>
        <v>20.909965480165244</v>
      </c>
      <c r="AI152" s="17">
        <f>'Datos Crudos SE4-Ref'!U72</f>
        <v>69.548520506129691</v>
      </c>
    </row>
    <row r="153" spans="1:35" x14ac:dyDescent="0.25">
      <c r="A153" s="9" t="s">
        <v>584</v>
      </c>
      <c r="B153" t="s">
        <v>937</v>
      </c>
      <c r="C153" s="61" t="s">
        <v>621</v>
      </c>
      <c r="D153" s="61">
        <v>1</v>
      </c>
      <c r="E153" t="s">
        <v>18</v>
      </c>
      <c r="F153" s="53">
        <v>44599</v>
      </c>
      <c r="G153" s="9">
        <f>'Datos Crudos SE4-Ref'!H27</f>
        <v>1.9424999999999999</v>
      </c>
      <c r="H153" s="9">
        <f>'Datos Crudos SE4-Ref'!H73</f>
        <v>2.0783999999999998</v>
      </c>
      <c r="I153" s="17">
        <f>'Datos Crudos SE4-Ref'!I27</f>
        <v>4.9266409266409221</v>
      </c>
      <c r="J153" s="17">
        <f>'Datos Crudos SE4-Ref'!I73</f>
        <v>5.4801770592763726</v>
      </c>
      <c r="K153" s="9">
        <f>'Datos Crudos SE4-Ref'!R27</f>
        <v>1.7369999999999999</v>
      </c>
      <c r="L153" s="9">
        <f>'Datos Crudos SE4-Ref'!R73</f>
        <v>1.8750999999999998</v>
      </c>
      <c r="M153" s="62">
        <v>44655</v>
      </c>
      <c r="N153" s="9">
        <f>'Datos Crudos SE4-Ref'!M27</f>
        <v>0.58250000000000002</v>
      </c>
      <c r="O153" s="9">
        <f>'Datos Crudos SE4-Ref'!P27</f>
        <v>0.1444</v>
      </c>
      <c r="P153" s="9">
        <f>'Datos Crudos SE4-Ref'!Q27</f>
        <v>6.1100000000000002E-2</v>
      </c>
      <c r="Q153" s="9">
        <f>'Datos Crudos SE4-Ref'!M73</f>
        <v>1.4693000000000001</v>
      </c>
      <c r="R153" s="9">
        <f>'Datos Crudos SE4-Ref'!P73</f>
        <v>0.1421</v>
      </c>
      <c r="S153" s="9">
        <f>'Datos Crudos SE4-Ref'!Q71</f>
        <v>6.1199999999999997E-2</v>
      </c>
      <c r="T153" s="9">
        <f>'Datos Crudos SE4-Ref'!O27</f>
        <v>0.37459999999999999</v>
      </c>
      <c r="U153" s="9">
        <f>'Datos Crudos SE4-Ref'!O73</f>
        <v>1.2709999999999999</v>
      </c>
      <c r="V153" s="198">
        <f t="shared" si="14"/>
        <v>0.78434081750143925</v>
      </c>
      <c r="W153" s="198">
        <f t="shared" si="15"/>
        <v>6.8478839071924869E-2</v>
      </c>
      <c r="X153" s="21">
        <f t="shared" si="16"/>
        <v>0.5141996808322975</v>
      </c>
      <c r="Y153" s="21">
        <f t="shared" si="17"/>
        <v>0.67783051570582908</v>
      </c>
      <c r="Z153" s="22">
        <f t="shared" si="18"/>
        <v>56</v>
      </c>
      <c r="AA153" s="248">
        <f t="shared" si="19"/>
        <v>1.7588554300475422E-2</v>
      </c>
      <c r="AB153" s="240">
        <f>'Datos Crudos SE4-Ref'!S27</f>
        <v>78.434081750143918</v>
      </c>
      <c r="AC153" s="240">
        <f>'Datos Crudos SE4-Ref'!S73</f>
        <v>32.216948429417094</v>
      </c>
      <c r="AG153" s="201"/>
      <c r="AH153" s="17">
        <f>'Datos Crudos SE4-Ref'!U27</f>
        <v>21.565918249856075</v>
      </c>
      <c r="AI153" s="17">
        <f>'Datos Crudos SE4-Ref'!U73</f>
        <v>67.783051570582913</v>
      </c>
    </row>
    <row r="154" spans="1:35" x14ac:dyDescent="0.25">
      <c r="A154" s="9" t="s">
        <v>585</v>
      </c>
      <c r="B154" t="s">
        <v>937</v>
      </c>
      <c r="C154" s="61" t="s">
        <v>621</v>
      </c>
      <c r="D154" s="61">
        <v>2</v>
      </c>
      <c r="E154" t="s">
        <v>18</v>
      </c>
      <c r="F154" s="53">
        <v>44599</v>
      </c>
      <c r="G154" s="9">
        <f>'Datos Crudos SE4-Ref'!H28</f>
        <v>1.9724999999999999</v>
      </c>
      <c r="H154" s="9">
        <f>'Datos Crudos SE4-Ref'!H74</f>
        <v>2.0670999999999999</v>
      </c>
      <c r="I154" s="17">
        <f>'Datos Crudos SE4-Ref'!I28</f>
        <v>5.1406844106463963</v>
      </c>
      <c r="J154" s="17">
        <f>'Datos Crudos SE4-Ref'!I74</f>
        <v>6.3905955202941263</v>
      </c>
      <c r="K154" s="9">
        <f>'Datos Crudos SE4-Ref'!R28</f>
        <v>1.7774999999999999</v>
      </c>
      <c r="L154" s="9">
        <f>'Datos Crudos SE4-Ref'!R74</f>
        <v>1.8728</v>
      </c>
      <c r="M154" s="62">
        <v>44655</v>
      </c>
      <c r="N154" s="9">
        <f>'Datos Crudos SE4-Ref'!M28</f>
        <v>0.45900000000000002</v>
      </c>
      <c r="O154" s="9">
        <f>'Datos Crudos SE4-Ref'!P28</f>
        <v>0.1381</v>
      </c>
      <c r="P154" s="9">
        <f>'Datos Crudos SE4-Ref'!Q28</f>
        <v>5.6899999999999999E-2</v>
      </c>
      <c r="Q154" s="9">
        <f>'Datos Crudos SE4-Ref'!M74</f>
        <v>1.3587</v>
      </c>
      <c r="R154" s="9">
        <f>'Datos Crudos SE4-Ref'!P74</f>
        <v>0.13569999999999999</v>
      </c>
      <c r="S154" s="9">
        <f>'Datos Crudos SE4-Ref'!Q72</f>
        <v>5.8599999999999999E-2</v>
      </c>
      <c r="T154" s="9">
        <f>'Datos Crudos SE4-Ref'!O28</f>
        <v>0.26479999999999998</v>
      </c>
      <c r="U154" s="9">
        <f>'Datos Crudos SE4-Ref'!O74</f>
        <v>1.1658999999999999</v>
      </c>
      <c r="V154" s="198">
        <f t="shared" si="14"/>
        <v>0.85102672292545711</v>
      </c>
      <c r="W154" s="241">
        <f t="shared" si="15"/>
        <v>-1.0720573545673462E-2</v>
      </c>
      <c r="X154" s="21">
        <f t="shared" si="16"/>
        <v>0.55791775659721177</v>
      </c>
      <c r="Y154" s="21">
        <f t="shared" si="17"/>
        <v>0.62254378470738991</v>
      </c>
      <c r="Z154" s="22">
        <f t="shared" si="18"/>
        <v>56</v>
      </c>
      <c r="AA154" s="248">
        <f t="shared" si="19"/>
        <v>2.0155247757167493E-2</v>
      </c>
      <c r="AB154" s="240">
        <f>'Datos Crudos SE4-Ref'!S28</f>
        <v>85.102672292545705</v>
      </c>
      <c r="AC154" s="240">
        <f>'Datos Crudos SE4-Ref'!S74</f>
        <v>37.745621529261001</v>
      </c>
      <c r="AG154" s="201"/>
      <c r="AH154" s="17">
        <f>'Datos Crudos SE4-Ref'!U28</f>
        <v>14.897327707454288</v>
      </c>
      <c r="AI154" s="17">
        <f>'Datos Crudos SE4-Ref'!U74</f>
        <v>62.254378470738992</v>
      </c>
    </row>
    <row r="155" spans="1:35" x14ac:dyDescent="0.25">
      <c r="A155" s="9" t="s">
        <v>586</v>
      </c>
      <c r="B155" t="s">
        <v>937</v>
      </c>
      <c r="C155" s="61" t="s">
        <v>621</v>
      </c>
      <c r="D155" s="61">
        <v>1</v>
      </c>
      <c r="E155" t="s">
        <v>19</v>
      </c>
      <c r="F155" s="53">
        <v>44599</v>
      </c>
      <c r="G155" s="9">
        <f>'Datos Crudos SE4-Ref'!H29</f>
        <v>1.9582999999999999</v>
      </c>
      <c r="H155" s="9">
        <f>'Datos Crudos SE4-Ref'!H75</f>
        <v>2.1126</v>
      </c>
      <c r="I155" s="17">
        <f>'Datos Crudos SE4-Ref'!I29</f>
        <v>5.1422151866414874</v>
      </c>
      <c r="J155" s="17">
        <f>'Datos Crudos SE4-Ref'!I75</f>
        <v>6.4186310707185532</v>
      </c>
      <c r="K155" s="9">
        <f>'Datos Crudos SE4-Ref'!R29</f>
        <v>1.7610999999999999</v>
      </c>
      <c r="L155" s="9">
        <f>'Datos Crudos SE4-Ref'!R75</f>
        <v>1.9188000000000001</v>
      </c>
      <c r="M155" s="62">
        <v>44655</v>
      </c>
      <c r="N155" s="9">
        <f>'Datos Crudos SE4-Ref'!M29</f>
        <v>0.43309999999999998</v>
      </c>
      <c r="O155" s="9">
        <f>'Datos Crudos SE4-Ref'!P29</f>
        <v>0.14030000000000001</v>
      </c>
      <c r="P155" s="9">
        <f>'Datos Crudos SE4-Ref'!Q29</f>
        <v>5.6899999999999999E-2</v>
      </c>
      <c r="Q155" s="9">
        <f>'Datos Crudos SE4-Ref'!M75</f>
        <v>1.381</v>
      </c>
      <c r="R155" s="9">
        <f>'Datos Crudos SE4-Ref'!P75</f>
        <v>0.13719999999999999</v>
      </c>
      <c r="S155" s="9">
        <f>'Datos Crudos SE4-Ref'!Q73</f>
        <v>5.6599999999999998E-2</v>
      </c>
      <c r="T155" s="9">
        <f>'Datos Crudos SE4-Ref'!O29</f>
        <v>0.2349</v>
      </c>
      <c r="U155" s="9">
        <f>'Datos Crudos SE4-Ref'!O75</f>
        <v>1.1826000000000001</v>
      </c>
      <c r="V155" s="198">
        <f t="shared" si="14"/>
        <v>0.8666174549997161</v>
      </c>
      <c r="W155" s="241">
        <f t="shared" si="15"/>
        <v>-2.9236882422465804E-2</v>
      </c>
      <c r="X155" s="21">
        <f t="shared" si="16"/>
        <v>0.56813875909720113</v>
      </c>
      <c r="Y155" s="21">
        <f t="shared" si="17"/>
        <v>0.61632270168855541</v>
      </c>
      <c r="Z155" s="22">
        <f t="shared" si="18"/>
        <v>56</v>
      </c>
      <c r="AA155" s="248">
        <f t="shared" si="19"/>
        <v>2.0087948679291E-2</v>
      </c>
      <c r="AB155" s="240">
        <f>'Datos Crudos SE4-Ref'!S29</f>
        <v>86.661745499971602</v>
      </c>
      <c r="AC155" s="240">
        <f>'Datos Crudos SE4-Ref'!S75</f>
        <v>38.367729831144466</v>
      </c>
      <c r="AG155" s="201"/>
      <c r="AH155" s="17">
        <f>'Datos Crudos SE4-Ref'!U29</f>
        <v>13.338254500028393</v>
      </c>
      <c r="AI155" s="17">
        <f>'Datos Crudos SE4-Ref'!U75</f>
        <v>61.632270168855541</v>
      </c>
    </row>
    <row r="156" spans="1:35" x14ac:dyDescent="0.25">
      <c r="A156" s="9" t="s">
        <v>588</v>
      </c>
      <c r="B156" t="s">
        <v>937</v>
      </c>
      <c r="C156" s="61" t="s">
        <v>621</v>
      </c>
      <c r="D156" s="61">
        <v>1</v>
      </c>
      <c r="E156" t="s">
        <v>20</v>
      </c>
      <c r="F156" s="53">
        <v>44599</v>
      </c>
      <c r="G156" s="9">
        <f>'Datos Crudos SE4-Ref'!H30</f>
        <v>1.9770000000000001</v>
      </c>
      <c r="H156" s="9">
        <f>'Datos Crudos SE4-Ref'!H77</f>
        <v>2.0078999999999998</v>
      </c>
      <c r="I156" s="17">
        <f>'Datos Crudos SE4-Ref'!I30</f>
        <v>5.2503793626707074</v>
      </c>
      <c r="J156" s="17">
        <f>'Datos Crudos SE4-Ref'!I77</f>
        <v>5.1048358982021043</v>
      </c>
      <c r="K156" s="9">
        <f>'Datos Crudos SE4-Ref'!R30</f>
        <v>1.7727000000000002</v>
      </c>
      <c r="L156" s="9">
        <f>'Datos Crudos SE4-Ref'!R77</f>
        <v>1.8115999999999999</v>
      </c>
      <c r="M156" s="62">
        <v>44655</v>
      </c>
      <c r="N156" s="9">
        <f>'Datos Crudos SE4-Ref'!M30</f>
        <v>0.62009999999999998</v>
      </c>
      <c r="O156" s="9">
        <f>'Datos Crudos SE4-Ref'!P30</f>
        <v>0.14599999999999999</v>
      </c>
      <c r="P156" s="9">
        <f>'Datos Crudos SE4-Ref'!Q30</f>
        <v>5.8299999999999998E-2</v>
      </c>
      <c r="Q156" s="9">
        <f>'Datos Crudos SE4-Ref'!M77</f>
        <v>1.4343999999999999</v>
      </c>
      <c r="R156" s="9">
        <f>'Datos Crudos SE4-Ref'!P77</f>
        <v>0.13639999999999999</v>
      </c>
      <c r="S156" s="9">
        <f>'Datos Crudos SE4-Ref'!Q75</f>
        <v>5.9900000000000002E-2</v>
      </c>
      <c r="T156" s="9">
        <f>'Datos Crudos SE4-Ref'!O30</f>
        <v>0.4133</v>
      </c>
      <c r="U156" s="9">
        <f>'Datos Crudos SE4-Ref'!O77</f>
        <v>1.2416</v>
      </c>
      <c r="V156" s="198">
        <f t="shared" si="14"/>
        <v>0.76685282337676997</v>
      </c>
      <c r="W156" s="198">
        <f t="shared" si="15"/>
        <v>8.9248428293622339E-2</v>
      </c>
      <c r="X156" s="21">
        <f t="shared" si="16"/>
        <v>0.50273486758192054</v>
      </c>
      <c r="Y156" s="21">
        <f t="shared" si="17"/>
        <v>0.68536100684477819</v>
      </c>
      <c r="Z156" s="22">
        <f t="shared" si="18"/>
        <v>56</v>
      </c>
      <c r="AA156" s="248">
        <f t="shared" si="19"/>
        <v>1.755555581635115E-2</v>
      </c>
      <c r="AB156" s="240">
        <f>'Datos Crudos SE4-Ref'!S30</f>
        <v>76.685282337676995</v>
      </c>
      <c r="AC156" s="240">
        <f>'Datos Crudos SE4-Ref'!S77</f>
        <v>31.46389931552218</v>
      </c>
      <c r="AG156" s="201"/>
      <c r="AH156" s="17">
        <f>'Datos Crudos SE4-Ref'!U30</f>
        <v>23.314717662323009</v>
      </c>
      <c r="AI156" s="17">
        <f>'Datos Crudos SE4-Ref'!U76</f>
        <v>69.067729919731391</v>
      </c>
    </row>
    <row r="157" spans="1:35" x14ac:dyDescent="0.25">
      <c r="A157" s="192" t="s">
        <v>589</v>
      </c>
      <c r="B157" t="s">
        <v>937</v>
      </c>
      <c r="C157" s="191" t="s">
        <v>621</v>
      </c>
      <c r="D157" s="61">
        <v>2</v>
      </c>
      <c r="E157" t="s">
        <v>20</v>
      </c>
      <c r="F157" s="53">
        <v>44599</v>
      </c>
      <c r="G157" s="9">
        <f>'Datos Crudos SE4-Ref'!H31</f>
        <v>2.0621</v>
      </c>
      <c r="H157" s="9">
        <f>'Datos Crudos SE4-Ref'!H78</f>
        <v>2.1295999999999999</v>
      </c>
      <c r="I157" s="17">
        <f>'Datos Crudos SE4-Ref'!I31</f>
        <v>5.2131322438291026</v>
      </c>
      <c r="J157" s="17">
        <f>'Datos Crudos SE4-Ref'!I78</f>
        <v>6.6068745304282626</v>
      </c>
      <c r="K157" s="9">
        <f>'Datos Crudos SE4-Ref'!R31</f>
        <v>1.8621000000000001</v>
      </c>
      <c r="L157" s="9">
        <f>'Datos Crudos SE4-Ref'!R78</f>
        <v>1.9257</v>
      </c>
      <c r="M157" s="62">
        <v>44655</v>
      </c>
      <c r="N157" s="9">
        <f>'Datos Crudos SE4-Ref'!M31</f>
        <v>0.50949999999999995</v>
      </c>
      <c r="O157" s="9">
        <f>'Datos Crudos SE4-Ref'!P31</f>
        <v>0.14510000000000001</v>
      </c>
      <c r="P157" s="9">
        <f>'Datos Crudos SE4-Ref'!Q31</f>
        <v>5.4899999999999997E-2</v>
      </c>
      <c r="Q157" s="9">
        <f>'Datos Crudos SE4-Ref'!M78</f>
        <v>1.4552</v>
      </c>
      <c r="R157" s="9">
        <f>'Datos Crudos SE4-Ref'!P78</f>
        <v>0.1452</v>
      </c>
      <c r="S157" s="9">
        <f>'Datos Crudos SE4-Ref'!Q78</f>
        <v>5.8700000000000002E-2</v>
      </c>
      <c r="T157" s="9">
        <f>'Datos Crudos SE4-Ref'!O31</f>
        <v>0.30930000000000002</v>
      </c>
      <c r="U157" s="9">
        <f>'Datos Crudos SE4-Ref'!O78</f>
        <v>1.2462</v>
      </c>
      <c r="V157" s="198">
        <f t="shared" si="14"/>
        <v>0.83389721282423068</v>
      </c>
      <c r="W157" s="198">
        <f t="shared" si="15"/>
        <v>9.6232626790608844E-3</v>
      </c>
      <c r="X157" s="21">
        <f t="shared" si="16"/>
        <v>0.54668795900115841</v>
      </c>
      <c r="Y157" s="21">
        <f t="shared" si="17"/>
        <v>0.64714129926779873</v>
      </c>
      <c r="Z157" s="22">
        <f t="shared" si="18"/>
        <v>56</v>
      </c>
      <c r="AA157" s="248">
        <f t="shared" si="19"/>
        <v>1.8516080736827152E-2</v>
      </c>
      <c r="AB157" s="240">
        <f>'Datos Crudos SE4-Ref'!S31</f>
        <v>83.389721282423068</v>
      </c>
      <c r="AC157" s="240">
        <f>'Datos Crudos SE4-Ref'!S78</f>
        <v>35.285870073220124</v>
      </c>
      <c r="AD157" s="190"/>
      <c r="AE157" s="190"/>
      <c r="AF157" s="190"/>
      <c r="AG157" s="202"/>
      <c r="AH157" s="17">
        <f>'Datos Crudos SE4-Ref'!U31</f>
        <v>16.610278717576929</v>
      </c>
      <c r="AI157" s="17">
        <f>'Datos Crudos SE4-Ref'!U78</f>
        <v>64.714129926779876</v>
      </c>
    </row>
    <row r="158" spans="1:35" x14ac:dyDescent="0.25">
      <c r="A158" s="9" t="s">
        <v>590</v>
      </c>
      <c r="B158" t="s">
        <v>80</v>
      </c>
      <c r="C158" s="61" t="s">
        <v>621</v>
      </c>
      <c r="D158" s="61">
        <v>1</v>
      </c>
      <c r="E158" t="s">
        <v>17</v>
      </c>
      <c r="F158" s="53">
        <v>44620</v>
      </c>
      <c r="G158" s="9">
        <f>'Datos Crudos SE4-Ref'!H32</f>
        <v>1.8977999999999999</v>
      </c>
      <c r="H158" s="9">
        <f>'Datos Crudos SE4-Ref'!H79</f>
        <v>2.1536</v>
      </c>
      <c r="I158" s="17">
        <f>'Datos Crudos SE4-Ref'!I32</f>
        <v>4.795025819369795</v>
      </c>
      <c r="J158" s="17">
        <f>'Datos Crudos SE4-Ref'!I79</f>
        <v>6.6957652303120412</v>
      </c>
      <c r="K158" s="9">
        <f>'Datos Crudos SE4-Ref'!R32</f>
        <v>1.706</v>
      </c>
      <c r="L158" s="9">
        <f>'Datos Crudos SE4-Ref'!R79</f>
        <v>1.9639</v>
      </c>
      <c r="M158" s="62">
        <v>44680</v>
      </c>
      <c r="N158" s="9">
        <f>'Datos Crudos SE4-Ref'!M32</f>
        <v>0.44662000000000002</v>
      </c>
      <c r="O158" s="9">
        <f>'Datos Crudos SE4-Ref'!P32</f>
        <v>0.13420000000000001</v>
      </c>
      <c r="P158" s="9">
        <f>'Datos Crudos SE4-Ref'!Q32</f>
        <v>5.7599999999999998E-2</v>
      </c>
      <c r="Q158" s="9">
        <f>'Datos Crudos SE4-Ref'!M79</f>
        <v>1.4488000000000001</v>
      </c>
      <c r="R158" s="9">
        <f>'Datos Crudos SE4-Ref'!P79</f>
        <v>0.13289999999999999</v>
      </c>
      <c r="S158" s="9">
        <f>'Datos Crudos SE4-Ref'!Q79</f>
        <v>5.6800000000000003E-2</v>
      </c>
      <c r="T158" s="9">
        <f>'Datos Crudos SE4-Ref'!O32</f>
        <v>0.27360000000000001</v>
      </c>
      <c r="U158" s="9">
        <f>'Datos Crudos SE4-Ref'!O79</f>
        <v>1.2625</v>
      </c>
      <c r="V158" s="198">
        <f t="shared" si="14"/>
        <v>0.83962485345838211</v>
      </c>
      <c r="W158" s="198">
        <f t="shared" si="15"/>
        <v>2.8208391230616359E-3</v>
      </c>
      <c r="X158" s="21">
        <f t="shared" si="16"/>
        <v>0.55044289680406999</v>
      </c>
      <c r="Y158" s="21">
        <f t="shared" si="17"/>
        <v>0.64285350577931666</v>
      </c>
      <c r="Z158" s="22">
        <f t="shared" si="18"/>
        <v>60</v>
      </c>
      <c r="AA158" s="248">
        <f t="shared" si="19"/>
        <v>1.7441640759741254E-2</v>
      </c>
      <c r="AB158" s="240">
        <f>'Datos Crudos SE4-Ref'!S32</f>
        <v>83.962485345838218</v>
      </c>
      <c r="AC158" s="240">
        <f>'Datos Crudos SE4-Ref'!S79</f>
        <v>35.714649422068334</v>
      </c>
      <c r="AD158" s="65">
        <f>AVERAGE(W158:W165)</f>
        <v>-1.3006252614219463E-2</v>
      </c>
      <c r="AE158">
        <f>STDEV(W158:W165)</f>
        <v>1.749663389627729E-2</v>
      </c>
      <c r="AF158" s="7">
        <f>AVERAGE(AA158:AA165)</f>
        <v>1.7659743646236629E-2</v>
      </c>
      <c r="AG158" s="201">
        <f>STDEV(AA158:AA165)</f>
        <v>1.4056231126548513E-3</v>
      </c>
      <c r="AH158" s="17">
        <f>'Datos Crudos SE4-Ref'!U32</f>
        <v>16.037514654161782</v>
      </c>
      <c r="AI158" s="17">
        <f>'Datos Crudos SE4-Ref'!U79</f>
        <v>64.285350577931666</v>
      </c>
    </row>
    <row r="159" spans="1:35" x14ac:dyDescent="0.25">
      <c r="A159" s="9" t="s">
        <v>591</v>
      </c>
      <c r="B159" t="s">
        <v>80</v>
      </c>
      <c r="C159" s="61" t="s">
        <v>621</v>
      </c>
      <c r="D159" s="61">
        <v>2</v>
      </c>
      <c r="E159" t="s">
        <v>17</v>
      </c>
      <c r="F159" s="53">
        <v>44620</v>
      </c>
      <c r="G159" s="9">
        <f>'Datos Crudos SE4-Ref'!H33</f>
        <v>1.9641999999999999</v>
      </c>
      <c r="H159" s="9">
        <f>'Datos Crudos SE4-Ref'!H80</f>
        <v>2.1848000000000001</v>
      </c>
      <c r="I159" s="17">
        <f>'Datos Crudos SE4-Ref'!I33</f>
        <v>4.6125649119234415</v>
      </c>
      <c r="J159" s="17">
        <f>'Datos Crudos SE4-Ref'!I80</f>
        <v>6.870194068106926</v>
      </c>
      <c r="K159" s="9">
        <f>'Datos Crudos SE4-Ref'!R33</f>
        <v>1.7747999999999999</v>
      </c>
      <c r="L159" s="9">
        <f>'Datos Crudos SE4-Ref'!R80</f>
        <v>1.9934000000000001</v>
      </c>
      <c r="M159" s="62">
        <v>44680</v>
      </c>
      <c r="N159" s="9">
        <f>'Datos Crudos SE4-Ref'!M33</f>
        <v>0.45119999999999999</v>
      </c>
      <c r="O159" s="9">
        <f>'Datos Crudos SE4-Ref'!P33</f>
        <v>0.13239999999999999</v>
      </c>
      <c r="P159" s="9">
        <f>'Datos Crudos SE4-Ref'!Q33</f>
        <v>5.7000000000000002E-2</v>
      </c>
      <c r="Q159" s="9">
        <f>'Datos Crudos SE4-Ref'!M80</f>
        <v>1.4435</v>
      </c>
      <c r="R159" s="9">
        <f>'Datos Crudos SE4-Ref'!P80</f>
        <v>0.13400000000000001</v>
      </c>
      <c r="S159" s="9">
        <f>'Datos Crudos SE4-Ref'!Q80</f>
        <v>5.74E-2</v>
      </c>
      <c r="T159" s="9">
        <f>'Datos Crudos SE4-Ref'!O33</f>
        <v>0.26019999999999999</v>
      </c>
      <c r="U159" s="9">
        <f>'Datos Crudos SE4-Ref'!O80</f>
        <v>1.2519</v>
      </c>
      <c r="V159" s="198">
        <f t="shared" si="14"/>
        <v>0.85339193148523784</v>
      </c>
      <c r="W159" s="241">
        <f t="shared" si="15"/>
        <v>-1.3529609839949996E-2</v>
      </c>
      <c r="X159" s="21">
        <f t="shared" si="16"/>
        <v>0.5594683446316524</v>
      </c>
      <c r="Y159" s="21">
        <f t="shared" si="17"/>
        <v>0.62802247416474366</v>
      </c>
      <c r="Z159" s="22">
        <f t="shared" si="18"/>
        <v>60</v>
      </c>
      <c r="AA159" s="248">
        <f t="shared" si="19"/>
        <v>1.8220951173325391E-2</v>
      </c>
      <c r="AB159" s="240">
        <f>'Datos Crudos SE4-Ref'!S33</f>
        <v>85.339193148523776</v>
      </c>
      <c r="AC159" s="240">
        <f>'Datos Crudos SE4-Ref'!S80</f>
        <v>37.197752583525634</v>
      </c>
      <c r="AG159" s="256"/>
      <c r="AH159" s="17">
        <f>'Datos Crudos SE4-Ref'!U33</f>
        <v>14.660806851476222</v>
      </c>
      <c r="AI159" s="17">
        <f>'Datos Crudos SE4-Ref'!U80</f>
        <v>62.802247416474366</v>
      </c>
    </row>
    <row r="160" spans="1:35" x14ac:dyDescent="0.25">
      <c r="A160" s="9" t="s">
        <v>592</v>
      </c>
      <c r="B160" t="s">
        <v>80</v>
      </c>
      <c r="C160" s="61" t="s">
        <v>621</v>
      </c>
      <c r="D160" s="61">
        <v>1</v>
      </c>
      <c r="E160" t="s">
        <v>18</v>
      </c>
      <c r="F160" s="53">
        <v>44620</v>
      </c>
      <c r="G160" s="9">
        <f>'Datos Crudos SE4-Ref'!H34</f>
        <v>1.9342999999999999</v>
      </c>
      <c r="H160" s="9">
        <f>'Datos Crudos SE4-Ref'!H81</f>
        <v>2.1920999999999999</v>
      </c>
      <c r="I160" s="17">
        <f>'Datos Crudos SE4-Ref'!I34</f>
        <v>4.6321666752830435</v>
      </c>
      <c r="J160" s="17">
        <f>'Datos Crudos SE4-Ref'!I81</f>
        <v>6.2177820354910756</v>
      </c>
      <c r="K160" s="9">
        <f>'Datos Crudos SE4-Ref'!R34</f>
        <v>1.7437999999999998</v>
      </c>
      <c r="L160" s="9">
        <f>'Datos Crudos SE4-Ref'!R81</f>
        <v>2.0032000000000001</v>
      </c>
      <c r="M160" s="62">
        <v>44680</v>
      </c>
      <c r="N160" s="9">
        <f>'Datos Crudos SE4-Ref'!M34</f>
        <v>0.40429999999999999</v>
      </c>
      <c r="O160" s="9">
        <f>'Datos Crudos SE4-Ref'!P34</f>
        <v>0.13339999999999999</v>
      </c>
      <c r="P160" s="9">
        <f>'Datos Crudos SE4-Ref'!Q34</f>
        <v>5.7099999999999998E-2</v>
      </c>
      <c r="Q160" s="9">
        <f>'Datos Crudos SE4-Ref'!M81</f>
        <v>1.4466000000000001</v>
      </c>
      <c r="R160" s="9">
        <f>'Datos Crudos SE4-Ref'!P81</f>
        <v>0.13020000000000001</v>
      </c>
      <c r="S160" s="9">
        <f>'Datos Crudos SE4-Ref'!Q81</f>
        <v>5.8700000000000002E-2</v>
      </c>
      <c r="T160" s="9">
        <f>'Datos Crudos SE4-Ref'!O34</f>
        <v>0.21299999999999999</v>
      </c>
      <c r="U160" s="9">
        <f>'Datos Crudos SE4-Ref'!O81</f>
        <v>1.2567999999999999</v>
      </c>
      <c r="V160" s="198">
        <f t="shared" si="14"/>
        <v>0.87785296478954011</v>
      </c>
      <c r="W160" s="241">
        <f t="shared" si="15"/>
        <v>-4.2580718277363649E-2</v>
      </c>
      <c r="X160" s="21">
        <f t="shared" si="16"/>
        <v>0.57550455648910481</v>
      </c>
      <c r="Y160" s="21">
        <f t="shared" si="17"/>
        <v>0.62739616613418525</v>
      </c>
      <c r="Z160" s="22">
        <f t="shared" si="18"/>
        <v>60</v>
      </c>
      <c r="AA160" s="248">
        <f t="shared" si="19"/>
        <v>1.7375505621237488E-2</v>
      </c>
      <c r="AB160" s="240">
        <f>'Datos Crudos SE4-Ref'!S34</f>
        <v>87.785296478953995</v>
      </c>
      <c r="AC160" s="240">
        <f>'Datos Crudos SE4-Ref'!S81</f>
        <v>37.260383386581474</v>
      </c>
      <c r="AG160" s="256"/>
      <c r="AH160" s="17">
        <f>'Datos Crudos SE4-Ref'!U34</f>
        <v>12.214703521045992</v>
      </c>
      <c r="AI160" s="17">
        <f>'Datos Crudos SE4-Ref'!U81</f>
        <v>62.739616613418526</v>
      </c>
    </row>
    <row r="161" spans="1:35" x14ac:dyDescent="0.25">
      <c r="A161" s="9" t="s">
        <v>593</v>
      </c>
      <c r="B161" t="s">
        <v>80</v>
      </c>
      <c r="C161" s="61" t="s">
        <v>621</v>
      </c>
      <c r="D161" s="61">
        <v>2</v>
      </c>
      <c r="E161" t="s">
        <v>18</v>
      </c>
      <c r="F161" s="53">
        <v>44620</v>
      </c>
      <c r="G161" s="9">
        <f>'Datos Crudos SE4-Ref'!H35</f>
        <v>2.0169000000000001</v>
      </c>
      <c r="H161" s="9">
        <f>'Datos Crudos SE4-Ref'!H82</f>
        <v>2.1924000000000001</v>
      </c>
      <c r="I161" s="17">
        <f>'Datos Crudos SE4-Ref'!I35</f>
        <v>4.4722098269621613</v>
      </c>
      <c r="J161" s="17">
        <f>'Datos Crudos SE4-Ref'!I82</f>
        <v>6.3035942346287124</v>
      </c>
      <c r="K161" s="9">
        <f>'Datos Crudos SE4-Ref'!R35</f>
        <v>1.8191000000000002</v>
      </c>
      <c r="L161" s="9">
        <f>'Datos Crudos SE4-Ref'!R82</f>
        <v>2.0041000000000002</v>
      </c>
      <c r="M161" s="62">
        <v>44680</v>
      </c>
      <c r="N161" s="9">
        <f>'Datos Crudos SE4-Ref'!M35</f>
        <v>0.4491</v>
      </c>
      <c r="O161" s="9">
        <f>'Datos Crudos SE4-Ref'!P35</f>
        <v>0.14080000000000001</v>
      </c>
      <c r="P161" s="9">
        <f>'Datos Crudos SE4-Ref'!Q35</f>
        <v>5.7000000000000002E-2</v>
      </c>
      <c r="Q161" s="9">
        <f>'Datos Crudos SE4-Ref'!M82</f>
        <v>1.4772000000000001</v>
      </c>
      <c r="R161" s="9">
        <f>'Datos Crudos SE4-Ref'!P82</f>
        <v>0.1313</v>
      </c>
      <c r="S161" s="9">
        <f>'Datos Crudos SE4-Ref'!Q82</f>
        <v>5.7000000000000002E-2</v>
      </c>
      <c r="T161" s="9">
        <f>'Datos Crudos SE4-Ref'!O35</f>
        <v>0.24879999999999999</v>
      </c>
      <c r="U161" s="9">
        <f>'Datos Crudos SE4-Ref'!O82</f>
        <v>1.2875000000000001</v>
      </c>
      <c r="V161" s="198">
        <f t="shared" si="14"/>
        <v>0.86322906931999344</v>
      </c>
      <c r="W161" s="241">
        <f t="shared" si="15"/>
        <v>-2.5212671401417364E-2</v>
      </c>
      <c r="X161" s="21">
        <f t="shared" si="16"/>
        <v>0.56591739461358248</v>
      </c>
      <c r="Y161" s="21">
        <f t="shared" si="17"/>
        <v>0.64243301232473426</v>
      </c>
      <c r="Z161" s="22">
        <f t="shared" si="18"/>
        <v>60</v>
      </c>
      <c r="AA161" s="248">
        <f t="shared" si="19"/>
        <v>1.6653780177090332E-2</v>
      </c>
      <c r="AB161" s="240">
        <f>'Datos Crudos SE4-Ref'!S35</f>
        <v>86.322906931999341</v>
      </c>
      <c r="AC161" s="240">
        <f>'Datos Crudos SE4-Ref'!S82</f>
        <v>35.756698767526572</v>
      </c>
      <c r="AG161" s="256"/>
      <c r="AH161" s="17">
        <f>'Datos Crudos SE4-Ref'!U35</f>
        <v>13.677093068000659</v>
      </c>
      <c r="AI161" s="17">
        <f>'Datos Crudos SE4-Ref'!U82</f>
        <v>64.243301232473428</v>
      </c>
    </row>
    <row r="162" spans="1:35" x14ac:dyDescent="0.25">
      <c r="A162" s="9" t="s">
        <v>594</v>
      </c>
      <c r="B162" t="s">
        <v>80</v>
      </c>
      <c r="C162" s="61" t="s">
        <v>621</v>
      </c>
      <c r="D162" s="61">
        <v>1</v>
      </c>
      <c r="E162" t="s">
        <v>19</v>
      </c>
      <c r="F162" s="53">
        <v>44620</v>
      </c>
      <c r="G162" s="9">
        <f>'Datos Crudos SE4-Ref'!H36</f>
        <v>1.9207000000000001</v>
      </c>
      <c r="H162" s="9">
        <f>'Datos Crudos SE4-Ref'!H83</f>
        <v>2.1408999999999998</v>
      </c>
      <c r="I162" s="17">
        <f>'Datos Crudos SE4-Ref'!I36</f>
        <v>4.7586817306190525</v>
      </c>
      <c r="J162" s="17">
        <f>'Datos Crudos SE4-Ref'!I83</f>
        <v>6.18898594049233</v>
      </c>
      <c r="K162" s="9">
        <f>'Datos Crudos SE4-Ref'!R36</f>
        <v>1.7286000000000001</v>
      </c>
      <c r="L162" s="9">
        <f>'Datos Crudos SE4-Ref'!R83</f>
        <v>1.9498999999999997</v>
      </c>
      <c r="M162" s="62">
        <v>44680</v>
      </c>
      <c r="N162" s="9">
        <f>'Datos Crudos SE4-Ref'!M36</f>
        <v>0.48459999999999998</v>
      </c>
      <c r="O162" s="9">
        <f>'Datos Crudos SE4-Ref'!P36</f>
        <v>0.1361</v>
      </c>
      <c r="P162" s="9">
        <f>'Datos Crudos SE4-Ref'!Q36</f>
        <v>5.6000000000000001E-2</v>
      </c>
      <c r="Q162" s="9">
        <f>'Datos Crudos SE4-Ref'!M83</f>
        <v>1.3891</v>
      </c>
      <c r="R162" s="9">
        <f>'Datos Crudos SE4-Ref'!P83</f>
        <v>0.1308</v>
      </c>
      <c r="S162" s="9">
        <f>'Datos Crudos SE4-Ref'!Q83</f>
        <v>6.0199999999999997E-2</v>
      </c>
      <c r="T162" s="9">
        <f>'Datos Crudos SE4-Ref'!O36</f>
        <v>0.29339999999999999</v>
      </c>
      <c r="U162" s="9">
        <f>'Datos Crudos SE4-Ref'!O83</f>
        <v>1.2002999999999999</v>
      </c>
      <c r="V162" s="198">
        <f t="shared" si="14"/>
        <v>0.83026726830961473</v>
      </c>
      <c r="W162" s="198">
        <f t="shared" si="15"/>
        <v>1.3934360677417157E-2</v>
      </c>
      <c r="X162" s="21">
        <f t="shared" si="16"/>
        <v>0.54430823290606578</v>
      </c>
      <c r="Y162" s="21">
        <f t="shared" si="17"/>
        <v>0.61557002923226833</v>
      </c>
      <c r="Z162" s="22">
        <f t="shared" si="18"/>
        <v>60</v>
      </c>
      <c r="AA162" s="248">
        <f t="shared" si="19"/>
        <v>2.0418383783443437E-2</v>
      </c>
      <c r="AB162" s="240">
        <f>'Datos Crudos SE4-Ref'!S36</f>
        <v>83.026726830961465</v>
      </c>
      <c r="AC162" s="240">
        <f>'Datos Crudos SE4-Ref'!S83</f>
        <v>38.44299707677316</v>
      </c>
      <c r="AG162" s="256"/>
      <c r="AH162" s="17">
        <f>'Datos Crudos SE4-Ref'!U36</f>
        <v>16.973273169038528</v>
      </c>
      <c r="AI162" s="17">
        <f>'Datos Crudos SE4-Ref'!U83</f>
        <v>61.557002923226833</v>
      </c>
    </row>
    <row r="163" spans="1:35" x14ac:dyDescent="0.25">
      <c r="A163" s="9" t="s">
        <v>595</v>
      </c>
      <c r="B163" t="s">
        <v>80</v>
      </c>
      <c r="C163" s="61" t="s">
        <v>621</v>
      </c>
      <c r="D163" s="61">
        <v>2</v>
      </c>
      <c r="E163" t="s">
        <v>19</v>
      </c>
      <c r="F163" s="53">
        <v>44620</v>
      </c>
      <c r="G163" s="9">
        <f>'Datos Crudos SE4-Ref'!H37</f>
        <v>2.0230999999999999</v>
      </c>
      <c r="H163" s="9">
        <f>'Datos Crudos SE4-Ref'!H84</f>
        <v>2.0045000000000002</v>
      </c>
      <c r="I163" s="17">
        <f>'Datos Crudos SE4-Ref'!I37</f>
        <v>4.5672482823389871</v>
      </c>
      <c r="J163" s="17">
        <f>'Datos Crudos SE4-Ref'!I84</f>
        <v>6.5951608880019776</v>
      </c>
      <c r="K163" s="9">
        <f>'Datos Crudos SE4-Ref'!R37</f>
        <v>1.833</v>
      </c>
      <c r="L163" s="9">
        <f>'Datos Crudos SE4-Ref'!R84</f>
        <v>1.8180000000000001</v>
      </c>
      <c r="M163" s="62">
        <v>44680</v>
      </c>
      <c r="N163" s="9">
        <f>'Datos Crudos SE4-Ref'!M37</f>
        <v>0.46089999999999998</v>
      </c>
      <c r="O163" s="9">
        <f>'Datos Crudos SE4-Ref'!P37</f>
        <v>0.13300000000000001</v>
      </c>
      <c r="P163" s="9">
        <f>'Datos Crudos SE4-Ref'!Q37</f>
        <v>5.7099999999999998E-2</v>
      </c>
      <c r="Q163" s="9">
        <f>'Datos Crudos SE4-Ref'!M84</f>
        <v>1.3785000000000001</v>
      </c>
      <c r="R163" s="9">
        <f>'Datos Crudos SE4-Ref'!P84</f>
        <v>0.12889999999999999</v>
      </c>
      <c r="S163" s="9">
        <f>'Datos Crudos SE4-Ref'!Q84</f>
        <v>5.7599999999999998E-2</v>
      </c>
      <c r="T163" s="9">
        <f>'Datos Crudos SE4-Ref'!O37</f>
        <v>0.26869999999999999</v>
      </c>
      <c r="U163" s="9">
        <f>'Datos Crudos SE4-Ref'!O84</f>
        <v>1.1912</v>
      </c>
      <c r="V163" s="198">
        <f t="shared" si="14"/>
        <v>0.8534097108565194</v>
      </c>
      <c r="W163" s="241">
        <f t="shared" si="15"/>
        <v>-1.3550725482802228E-2</v>
      </c>
      <c r="X163" s="21">
        <f t="shared" si="16"/>
        <v>0.55948000046650692</v>
      </c>
      <c r="Y163" s="21">
        <f t="shared" si="17"/>
        <v>0.65522552255225519</v>
      </c>
      <c r="Z163" s="22">
        <f t="shared" si="18"/>
        <v>60</v>
      </c>
      <c r="AA163" s="248">
        <f t="shared" si="19"/>
        <v>1.5962339213954166E-2</v>
      </c>
      <c r="AB163" s="240">
        <f>'Datos Crudos SE4-Ref'!S37</f>
        <v>85.340971085651944</v>
      </c>
      <c r="AC163" s="240">
        <f>'Datos Crudos SE4-Ref'!S84</f>
        <v>34.477447744774473</v>
      </c>
      <c r="AG163" s="256"/>
      <c r="AH163" s="17">
        <f>'Datos Crudos SE4-Ref'!U37</f>
        <v>14.659028914348063</v>
      </c>
      <c r="AI163" s="17">
        <f>'Datos Crudos SE4-Ref'!U84</f>
        <v>65.52255225522552</v>
      </c>
    </row>
    <row r="164" spans="1:35" x14ac:dyDescent="0.25">
      <c r="A164" s="9" t="s">
        <v>596</v>
      </c>
      <c r="B164" t="s">
        <v>80</v>
      </c>
      <c r="C164" s="61" t="s">
        <v>621</v>
      </c>
      <c r="D164" s="61">
        <v>1</v>
      </c>
      <c r="E164" t="s">
        <v>20</v>
      </c>
      <c r="F164" s="53">
        <v>44620</v>
      </c>
      <c r="G164" s="9">
        <f>'Datos Crudos SE4-Ref'!H38</f>
        <v>1.9890000000000001</v>
      </c>
      <c r="H164" s="9">
        <f>'Datos Crudos SE4-Ref'!H85</f>
        <v>2.1355</v>
      </c>
      <c r="I164" s="17">
        <f>'Datos Crudos SE4-Ref'!I38</f>
        <v>4.5198592257415715</v>
      </c>
      <c r="J164" s="17">
        <f>'Datos Crudos SE4-Ref'!I85</f>
        <v>6.0547881058300259</v>
      </c>
      <c r="K164" s="9">
        <f>'Datos Crudos SE4-Ref'!R38</f>
        <v>1.8004000000000002</v>
      </c>
      <c r="L164" s="9">
        <f>'Datos Crudos SE4-Ref'!R85</f>
        <v>1.9474</v>
      </c>
      <c r="M164" s="62">
        <v>44680</v>
      </c>
      <c r="N164" s="9">
        <f>'Datos Crudos SE4-Ref'!M38</f>
        <v>0.46479999999999999</v>
      </c>
      <c r="O164" s="9">
        <f>'Datos Crudos SE4-Ref'!P38</f>
        <v>0.13489999999999999</v>
      </c>
      <c r="P164" s="9">
        <f>'Datos Crudos SE4-Ref'!Q38</f>
        <v>5.3699999999999998E-2</v>
      </c>
      <c r="Q164" s="9">
        <f>'Datos Crudos SE4-Ref'!M85</f>
        <v>1.4501999999999999</v>
      </c>
      <c r="R164" s="9">
        <f>'Datos Crudos SE4-Ref'!P85</f>
        <v>0.1305</v>
      </c>
      <c r="S164" s="9">
        <f>'Datos Crudos SE4-Ref'!Q85</f>
        <v>5.7599999999999998E-2</v>
      </c>
      <c r="T164" s="9">
        <f>'Datos Crudos SE4-Ref'!O38</f>
        <v>0.27760000000000001</v>
      </c>
      <c r="U164" s="9">
        <f>'Datos Crudos SE4-Ref'!O85</f>
        <v>1.2656000000000001</v>
      </c>
      <c r="V164" s="198">
        <f t="shared" si="14"/>
        <v>0.84581204176849589</v>
      </c>
      <c r="W164" s="241">
        <f t="shared" si="15"/>
        <v>-4.5273655207789254E-3</v>
      </c>
      <c r="X164" s="21">
        <f t="shared" si="16"/>
        <v>0.55449910576746997</v>
      </c>
      <c r="Y164" s="21">
        <f t="shared" si="17"/>
        <v>0.64989216391085547</v>
      </c>
      <c r="Z164" s="22">
        <f t="shared" si="18"/>
        <v>60</v>
      </c>
      <c r="AA164" s="248">
        <f t="shared" si="19"/>
        <v>1.6633817477244538E-2</v>
      </c>
      <c r="AB164" s="240">
        <f>'Datos Crudos SE4-Ref'!S38</f>
        <v>84.581204176849596</v>
      </c>
      <c r="AC164" s="240">
        <f>'Datos Crudos SE4-Ref'!S85</f>
        <v>35.010783608914444</v>
      </c>
      <c r="AG164" s="256"/>
      <c r="AH164" s="17">
        <f>'Datos Crudos SE4-Ref'!U38</f>
        <v>15.418795823150411</v>
      </c>
      <c r="AI164" s="17">
        <f>'Datos Crudos SE4-Ref'!U85</f>
        <v>64.989216391085549</v>
      </c>
    </row>
    <row r="165" spans="1:35" x14ac:dyDescent="0.25">
      <c r="A165" s="9" t="s">
        <v>597</v>
      </c>
      <c r="B165" t="s">
        <v>80</v>
      </c>
      <c r="C165" s="191" t="s">
        <v>621</v>
      </c>
      <c r="D165" s="61">
        <v>2</v>
      </c>
      <c r="E165" t="s">
        <v>20</v>
      </c>
      <c r="F165" s="53">
        <v>44620</v>
      </c>
      <c r="G165" s="9">
        <f>'Datos Crudos SE4-Ref'!H39</f>
        <v>2.0777000000000001</v>
      </c>
      <c r="H165" s="9">
        <f>'Datos Crudos SE4-Ref'!H86</f>
        <v>2.2204999999999999</v>
      </c>
      <c r="I165" s="17">
        <f>'Datos Crudos SE4-Ref'!I39</f>
        <v>4.6878760167492866</v>
      </c>
      <c r="J165" s="17">
        <f>'Datos Crudos SE4-Ref'!I86</f>
        <v>6.7867597387975707</v>
      </c>
      <c r="K165" s="9">
        <f>'Datos Crudos SE4-Ref'!R39</f>
        <v>1.8853</v>
      </c>
      <c r="L165" s="9">
        <f>'Datos Crudos SE4-Ref'!R86</f>
        <v>2.0358999999999998</v>
      </c>
      <c r="M165" s="62">
        <v>44680</v>
      </c>
      <c r="N165" s="9">
        <f>'Datos Crudos SE4-Ref'!M39</f>
        <v>0.45729999999999998</v>
      </c>
      <c r="O165" s="9">
        <f>'Datos Crudos SE4-Ref'!P39</f>
        <v>0.1381</v>
      </c>
      <c r="P165" s="9">
        <f>'Datos Crudos SE4-Ref'!Q39</f>
        <v>5.4300000000000001E-2</v>
      </c>
      <c r="Q165" s="9">
        <f>'Datos Crudos SE4-Ref'!M86</f>
        <v>1.4490000000000001</v>
      </c>
      <c r="R165" s="9">
        <f>'Datos Crudos SE4-Ref'!P86</f>
        <v>0.1263</v>
      </c>
      <c r="S165" s="9">
        <f>'Datos Crudos SE4-Ref'!Q86</f>
        <v>5.8299999999999998E-2</v>
      </c>
      <c r="T165" s="9">
        <f>'Datos Crudos SE4-Ref'!O39</f>
        <v>0.26390000000000002</v>
      </c>
      <c r="U165" s="9">
        <f>'Datos Crudos SE4-Ref'!O86</f>
        <v>1.2646999999999999</v>
      </c>
      <c r="V165" s="198">
        <f t="shared" si="14"/>
        <v>0.86002227762159866</v>
      </c>
      <c r="W165" s="241">
        <f t="shared" si="15"/>
        <v>-2.1404130191922333E-2</v>
      </c>
      <c r="X165" s="21">
        <f t="shared" si="16"/>
        <v>0.56381507986594115</v>
      </c>
      <c r="Y165" s="21">
        <f t="shared" si="17"/>
        <v>0.62119946952207872</v>
      </c>
      <c r="Z165" s="22">
        <f t="shared" si="18"/>
        <v>60</v>
      </c>
      <c r="AA165" s="248">
        <f t="shared" si="19"/>
        <v>1.8571530963856418E-2</v>
      </c>
      <c r="AB165" s="240">
        <f>'Datos Crudos SE4-Ref'!S39</f>
        <v>86.002227762159862</v>
      </c>
      <c r="AC165" s="240">
        <f>'Datos Crudos SE4-Ref'!S86</f>
        <v>37.880053047792131</v>
      </c>
      <c r="AG165" s="256"/>
      <c r="AH165" s="17">
        <f>'Datos Crudos SE4-Ref'!U39</f>
        <v>13.997772237840135</v>
      </c>
      <c r="AI165" s="17">
        <f>'Datos Crudos SE4-Ref'!U86</f>
        <v>62.119946952207869</v>
      </c>
    </row>
    <row r="166" spans="1:35" x14ac:dyDescent="0.25">
      <c r="A166" s="9" t="s">
        <v>672</v>
      </c>
      <c r="B166" t="s">
        <v>680</v>
      </c>
      <c r="C166" s="61" t="s">
        <v>621</v>
      </c>
      <c r="D166" s="61">
        <v>1</v>
      </c>
      <c r="E166" t="s">
        <v>890</v>
      </c>
      <c r="F166" s="249">
        <v>44620</v>
      </c>
      <c r="G166" s="9">
        <f>'Muestreo Exploratorio'!H2</f>
        <v>2.0152999999999999</v>
      </c>
      <c r="H166" s="9">
        <f>'Muestreo Exploratorio'!H12</f>
        <v>2.1476999999999999</v>
      </c>
      <c r="I166" s="17">
        <f>'Muestreo Exploratorio'!I2</f>
        <v>4.892571825534672</v>
      </c>
      <c r="J166" s="17">
        <f>'Muestreo Exploratorio'!I12</f>
        <v>6.8445313591283803</v>
      </c>
      <c r="K166" s="9">
        <f>'Muestreo Exploratorio'!R2</f>
        <v>1.7875999999999999</v>
      </c>
      <c r="L166" s="9">
        <f>'Muestreo Exploratorio'!R12</f>
        <v>1.9218</v>
      </c>
      <c r="M166" s="62">
        <v>44629</v>
      </c>
      <c r="N166" s="9">
        <f>'Muestreo Exploratorio'!M2</f>
        <v>0.85489999999999999</v>
      </c>
      <c r="O166" s="9">
        <f>'Muestreo Exploratorio'!P2</f>
        <v>0.1394</v>
      </c>
      <c r="P166" s="9">
        <f>'Muestreo Exploratorio'!Q2</f>
        <v>8.8300000000000003E-2</v>
      </c>
      <c r="Q166" s="9">
        <f>'Muestreo Exploratorio'!M12</f>
        <v>1.6788000000000001</v>
      </c>
      <c r="R166" s="9">
        <f>'Muestreo Exploratorio'!P12</f>
        <v>0.125</v>
      </c>
      <c r="S166" s="9">
        <f>'Muestreo Exploratorio'!Q12</f>
        <v>0.1009</v>
      </c>
      <c r="T166" s="9">
        <f>'Muestreo Exploratorio'!O2</f>
        <v>0.63190000000000002</v>
      </c>
      <c r="U166" s="9">
        <f>'Muestreo Exploratorio'!O12</f>
        <v>1.4597</v>
      </c>
      <c r="V166" s="198">
        <f t="shared" si="14"/>
        <v>0.64650928619377934</v>
      </c>
      <c r="W166" s="198">
        <f t="shared" si="15"/>
        <v>0.23217424442544021</v>
      </c>
      <c r="X166" s="21">
        <f t="shared" si="16"/>
        <v>0.42383981707715701</v>
      </c>
      <c r="Y166" s="21">
        <f t="shared" si="17"/>
        <v>0.75954834009782501</v>
      </c>
      <c r="Z166" s="22">
        <f t="shared" si="18"/>
        <v>9</v>
      </c>
      <c r="AA166" s="248">
        <f t="shared" si="19"/>
        <v>9.3083401105291438E-2</v>
      </c>
      <c r="AB166">
        <f>'Muestreo Exploratorio'!S2</f>
        <v>64.650928619377936</v>
      </c>
      <c r="AC166">
        <f>'Muestreo Exploratorio'!S12</f>
        <v>24.045165990217502</v>
      </c>
      <c r="AG166" s="256"/>
      <c r="AH166" s="17"/>
      <c r="AI166" s="17"/>
    </row>
    <row r="167" spans="1:35" x14ac:dyDescent="0.25">
      <c r="A167" s="9" t="s">
        <v>673</v>
      </c>
      <c r="B167" t="s">
        <v>681</v>
      </c>
      <c r="C167" s="61" t="s">
        <v>621</v>
      </c>
      <c r="D167" s="61">
        <v>1</v>
      </c>
      <c r="E167" t="s">
        <v>890</v>
      </c>
      <c r="F167" s="249">
        <v>44620</v>
      </c>
      <c r="G167" s="9">
        <f>'Muestreo Exploratorio'!H3</f>
        <v>2.0579000000000001</v>
      </c>
      <c r="H167" s="9">
        <f>'Muestreo Exploratorio'!H13</f>
        <v>2.1798000000000002</v>
      </c>
      <c r="I167" s="17">
        <f>'Muestreo Exploratorio'!I3</f>
        <v>4.9565090626366617</v>
      </c>
      <c r="J167" s="17">
        <f>'Muestreo Exploratorio'!I13</f>
        <v>6.5510597302504729</v>
      </c>
      <c r="K167" s="9">
        <f>'Muestreo Exploratorio'!R3</f>
        <v>1.853</v>
      </c>
      <c r="L167" s="9">
        <f>'Muestreo Exploratorio'!R13</f>
        <v>1.9558000000000002</v>
      </c>
      <c r="M167" s="62">
        <v>44634</v>
      </c>
      <c r="N167" s="9">
        <f>'Muestreo Exploratorio'!M3</f>
        <v>0.74380000000000002</v>
      </c>
      <c r="O167" s="9">
        <f>'Muestreo Exploratorio'!P3</f>
        <v>0.14050000000000001</v>
      </c>
      <c r="P167" s="9">
        <f>'Muestreo Exploratorio'!Q3</f>
        <v>6.4399999999999999E-2</v>
      </c>
      <c r="Q167" s="9">
        <f>'Muestreo Exploratorio'!M13</f>
        <v>1.6496</v>
      </c>
      <c r="R167" s="9">
        <f>'Muestreo Exploratorio'!P13</f>
        <v>0.13170000000000001</v>
      </c>
      <c r="S167" s="9">
        <f>'Muestreo Exploratorio'!Q13</f>
        <v>9.2299999999999993E-2</v>
      </c>
      <c r="T167" s="9">
        <f>'Muestreo Exploratorio'!O3</f>
        <v>0.5423</v>
      </c>
      <c r="U167" s="9">
        <f>'Muestreo Exploratorio'!O13</f>
        <v>1.4283999999999999</v>
      </c>
      <c r="V167" s="198">
        <f t="shared" si="14"/>
        <v>0.70733944954128436</v>
      </c>
      <c r="W167" s="198">
        <f t="shared" si="15"/>
        <v>0.15992939484408031</v>
      </c>
      <c r="X167" s="21">
        <f t="shared" si="16"/>
        <v>0.46371897404606771</v>
      </c>
      <c r="Y167" s="21">
        <f t="shared" si="17"/>
        <v>0.73034052561611607</v>
      </c>
      <c r="Z167" s="22">
        <f t="shared" si="18"/>
        <v>14</v>
      </c>
      <c r="AA167" s="248">
        <f t="shared" si="19"/>
        <v>6.2222421287623127E-2</v>
      </c>
      <c r="AB167">
        <f>'Muestreo Exploratorio'!S3</f>
        <v>70.733944954128432</v>
      </c>
      <c r="AC167">
        <f>'Muestreo Exploratorio'!S13</f>
        <v>26.965947438388397</v>
      </c>
      <c r="AG167" s="256"/>
      <c r="AH167" s="17"/>
      <c r="AI167" s="17"/>
    </row>
    <row r="168" spans="1:35" x14ac:dyDescent="0.25">
      <c r="A168" s="9" t="s">
        <v>674</v>
      </c>
      <c r="B168" t="s">
        <v>682</v>
      </c>
      <c r="C168" s="61" t="s">
        <v>621</v>
      </c>
      <c r="D168" s="61">
        <v>1</v>
      </c>
      <c r="E168" t="s">
        <v>890</v>
      </c>
      <c r="F168" s="249">
        <v>44620</v>
      </c>
      <c r="G168" s="9">
        <f>'Muestreo Exploratorio'!H4</f>
        <v>2.0442999999999998</v>
      </c>
      <c r="H168" s="9">
        <f>'Muestreo Exploratorio'!H14</f>
        <v>2.2282000000000002</v>
      </c>
      <c r="I168" s="17">
        <f>'Muestreo Exploratorio'!I4</f>
        <v>4.9699163527858126</v>
      </c>
      <c r="J168" s="17">
        <f>'Muestreo Exploratorio'!I14</f>
        <v>6.8216497621398293</v>
      </c>
      <c r="K168" s="9">
        <f>'Muestreo Exploratorio'!R4</f>
        <v>1.8515999999999999</v>
      </c>
      <c r="L168" s="9">
        <f>'Muestreo Exploratorio'!R14</f>
        <v>2.0323000000000002</v>
      </c>
      <c r="M168" s="62">
        <v>44655</v>
      </c>
      <c r="N168" s="9">
        <f>'Muestreo Exploratorio'!M4</f>
        <v>0.63649999999999995</v>
      </c>
      <c r="O168" s="9">
        <f>'Muestreo Exploratorio'!P4</f>
        <v>0.13569999999999999</v>
      </c>
      <c r="P168" s="9">
        <f>'Muestreo Exploratorio'!Q4</f>
        <v>5.7000000000000002E-2</v>
      </c>
      <c r="Q168" s="9">
        <f>'Muestreo Exploratorio'!M14</f>
        <v>1.6205000000000001</v>
      </c>
      <c r="R168" s="9">
        <f>'Muestreo Exploratorio'!P14</f>
        <v>0.1389</v>
      </c>
      <c r="S168" s="9">
        <f>'Muestreo Exploratorio'!Q14</f>
        <v>5.7000000000000002E-2</v>
      </c>
      <c r="T168" s="9">
        <f>'Muestreo Exploratorio'!O4</f>
        <v>0.44469999999999998</v>
      </c>
      <c r="U168" s="9">
        <f>'Muestreo Exploratorio'!O14</f>
        <v>1.4245000000000001</v>
      </c>
      <c r="V168" s="198">
        <f t="shared" si="14"/>
        <v>0.75982933678980347</v>
      </c>
      <c r="W168" s="198">
        <f t="shared" si="15"/>
        <v>9.7589861294770208E-2</v>
      </c>
      <c r="X168" s="21">
        <f t="shared" si="16"/>
        <v>0.4981303965652869</v>
      </c>
      <c r="Y168" s="21">
        <f t="shared" si="17"/>
        <v>0.70092998080991975</v>
      </c>
      <c r="Z168" s="22">
        <f t="shared" si="18"/>
        <v>35</v>
      </c>
      <c r="AA168" s="248">
        <f t="shared" si="19"/>
        <v>2.6207248589731686E-2</v>
      </c>
      <c r="AB168">
        <f>'Muestreo Exploratorio'!S4</f>
        <v>75.982933678980331</v>
      </c>
      <c r="AC168">
        <f>'Muestreo Exploratorio'!S14</f>
        <v>29.907001919008025</v>
      </c>
      <c r="AG168" s="256"/>
      <c r="AH168" s="17"/>
      <c r="AI168" s="17"/>
    </row>
    <row r="169" spans="1:35" x14ac:dyDescent="0.25">
      <c r="A169" s="9" t="s">
        <v>675</v>
      </c>
      <c r="B169" t="s">
        <v>683</v>
      </c>
      <c r="C169" s="61" t="s">
        <v>621</v>
      </c>
      <c r="D169" s="61">
        <v>1</v>
      </c>
      <c r="E169" t="s">
        <v>890</v>
      </c>
      <c r="F169" s="249">
        <v>44620</v>
      </c>
      <c r="G169" s="9">
        <f>'Muestreo Exploratorio'!H5</f>
        <v>2.0064000000000002</v>
      </c>
      <c r="H169" s="9">
        <f>'Muestreo Exploratorio'!H15</f>
        <v>2.2262</v>
      </c>
      <c r="I169" s="17">
        <f>'Muestreo Exploratorio'!I5</f>
        <v>4.6999601275916865</v>
      </c>
      <c r="J169" s="17">
        <f>'Muestreo Exploratorio'!I15</f>
        <v>4.406612164226039</v>
      </c>
      <c r="K169" s="9">
        <f>'Muestreo Exploratorio'!R5</f>
        <v>1.8163000000000002</v>
      </c>
      <c r="L169" s="9">
        <f>'Muestreo Exploratorio'!R15</f>
        <v>2.0365000000000002</v>
      </c>
      <c r="M169" s="62">
        <v>44664</v>
      </c>
      <c r="N169" s="9">
        <f>'Muestreo Exploratorio'!M5</f>
        <v>0.5212</v>
      </c>
      <c r="O169" s="9">
        <f>'Muestreo Exploratorio'!P5</f>
        <v>0.1361</v>
      </c>
      <c r="P169" s="9">
        <f>'Muestreo Exploratorio'!Q5</f>
        <v>5.3999999999999999E-2</v>
      </c>
      <c r="Q169" s="9">
        <f>'Muestreo Exploratorio'!M15</f>
        <v>1.4979</v>
      </c>
      <c r="R169" s="9">
        <f>'Muestreo Exploratorio'!P15</f>
        <v>0.13189999999999999</v>
      </c>
      <c r="S169" s="9">
        <f>'Muestreo Exploratorio'!Q15</f>
        <v>5.7799999999999997E-2</v>
      </c>
      <c r="T169" s="9">
        <f>'Muestreo Exploratorio'!O5</f>
        <v>0.33069999999999999</v>
      </c>
      <c r="U169" s="9">
        <f>'Muestreo Exploratorio'!O15</f>
        <v>1.3117000000000001</v>
      </c>
      <c r="V169" s="198">
        <f t="shared" si="14"/>
        <v>0.81792655398337288</v>
      </c>
      <c r="W169" s="198">
        <f t="shared" si="15"/>
        <v>2.8590790993618831E-2</v>
      </c>
      <c r="X169" s="21">
        <f t="shared" si="16"/>
        <v>0.53621788337152243</v>
      </c>
      <c r="Y169" s="21">
        <f t="shared" si="17"/>
        <v>0.64409526147802598</v>
      </c>
      <c r="Z169" s="22">
        <f t="shared" si="18"/>
        <v>44</v>
      </c>
      <c r="AA169" s="248">
        <f t="shared" si="19"/>
        <v>2.4769216916257355E-2</v>
      </c>
      <c r="AB169">
        <f>'Muestreo Exploratorio'!S5</f>
        <v>81.792655398337274</v>
      </c>
      <c r="AC169">
        <f>'Muestreo Exploratorio'!S15</f>
        <v>35.590473852197405</v>
      </c>
      <c r="AG169" s="256"/>
      <c r="AH169" s="17"/>
      <c r="AI169" s="17"/>
    </row>
    <row r="170" spans="1:35" x14ac:dyDescent="0.25">
      <c r="A170" s="9" t="s">
        <v>676</v>
      </c>
      <c r="B170" t="s">
        <v>684</v>
      </c>
      <c r="C170" s="61" t="s">
        <v>621</v>
      </c>
      <c r="D170" s="61">
        <v>1</v>
      </c>
      <c r="E170" t="s">
        <v>890</v>
      </c>
      <c r="F170" s="249">
        <v>44620</v>
      </c>
      <c r="G170" s="9">
        <f>'Muestreo Exploratorio'!H6</f>
        <v>1.9641999999999999</v>
      </c>
      <c r="H170" s="9">
        <f>'Muestreo Exploratorio'!H16</f>
        <v>2.2004000000000001</v>
      </c>
      <c r="I170" s="17">
        <f>'Muestreo Exploratorio'!I6</f>
        <v>4.8823948681396949</v>
      </c>
      <c r="J170" s="17">
        <f>'Muestreo Exploratorio'!I16</f>
        <v>6.671514270132695</v>
      </c>
      <c r="K170" s="9">
        <f>'Muestreo Exploratorio'!R6</f>
        <v>1.7162999999999999</v>
      </c>
      <c r="L170" s="9">
        <f>'Muestreo Exploratorio'!R16</f>
        <v>1.9524000000000001</v>
      </c>
      <c r="M170" s="62">
        <v>44629</v>
      </c>
      <c r="N170" s="9">
        <f>'Muestreo Exploratorio'!M6</f>
        <v>0.91769999999999996</v>
      </c>
      <c r="O170" s="9">
        <f>'Muestreo Exploratorio'!P6</f>
        <v>0.1368</v>
      </c>
      <c r="P170" s="9">
        <f>'Muestreo Exploratorio'!Q6</f>
        <v>0.1111</v>
      </c>
      <c r="Q170" s="9">
        <f>'Muestreo Exploratorio'!M16</f>
        <v>1.7617</v>
      </c>
      <c r="R170" s="9">
        <f>'Muestreo Exploratorio'!P16</f>
        <v>0.13370000000000001</v>
      </c>
      <c r="S170" s="9">
        <f>'Muestreo Exploratorio'!Q16</f>
        <v>0.1143</v>
      </c>
      <c r="T170" s="9">
        <f>'Muestreo Exploratorio'!O6</f>
        <v>0.67369999999999997</v>
      </c>
      <c r="U170" s="9">
        <f>'Muestreo Exploratorio'!O16</f>
        <v>1.5199</v>
      </c>
      <c r="V170" s="198">
        <f t="shared" si="14"/>
        <v>0.60746955660432334</v>
      </c>
      <c r="W170" s="198">
        <f t="shared" si="15"/>
        <v>0.27853971899724062</v>
      </c>
      <c r="X170" s="21">
        <f t="shared" si="16"/>
        <v>0.39824607511352322</v>
      </c>
      <c r="Y170" s="21">
        <f t="shared" si="17"/>
        <v>0.77847777094857606</v>
      </c>
      <c r="Z170" s="22">
        <f t="shared" si="18"/>
        <v>9</v>
      </c>
      <c r="AA170" s="248">
        <f t="shared" si="19"/>
        <v>9.0275752326732822E-2</v>
      </c>
      <c r="AB170">
        <f>'Muestreo Exploratorio'!S6</f>
        <v>60.74695566043232</v>
      </c>
      <c r="AC170">
        <f>'Muestreo Exploratorio'!S16</f>
        <v>22.152222905142395</v>
      </c>
      <c r="AG170" s="256"/>
      <c r="AH170" s="17"/>
      <c r="AI170" s="17"/>
    </row>
    <row r="171" spans="1:35" x14ac:dyDescent="0.25">
      <c r="A171" s="9" t="s">
        <v>677</v>
      </c>
      <c r="B171" t="s">
        <v>685</v>
      </c>
      <c r="C171" s="61" t="s">
        <v>621</v>
      </c>
      <c r="D171" s="61">
        <v>1</v>
      </c>
      <c r="E171" t="s">
        <v>890</v>
      </c>
      <c r="F171" s="249">
        <v>44620</v>
      </c>
      <c r="G171" s="9">
        <f>'Muestreo Exploratorio'!H7</f>
        <v>2.0333000000000001</v>
      </c>
      <c r="H171" s="9">
        <f>'Muestreo Exploratorio'!H17</f>
        <v>2.1991999999999998</v>
      </c>
      <c r="I171" s="17">
        <f>'Muestreo Exploratorio'!I7</f>
        <v>4.7804062361678037</v>
      </c>
      <c r="J171" s="17">
        <f>'Muestreo Exploratorio'!I17</f>
        <v>6.7342670061840835</v>
      </c>
      <c r="K171" s="9">
        <f>'Muestreo Exploratorio'!R7</f>
        <v>1.7834000000000001</v>
      </c>
      <c r="L171" s="9">
        <f>'Muestreo Exploratorio'!R17</f>
        <v>1.9797999999999998</v>
      </c>
      <c r="M171" s="62">
        <v>44634</v>
      </c>
      <c r="N171" s="9">
        <f>'Muestreo Exploratorio'!M7</f>
        <v>0.93300000000000005</v>
      </c>
      <c r="O171" s="9">
        <f>'Muestreo Exploratorio'!P7</f>
        <v>0.13769999999999999</v>
      </c>
      <c r="P171" s="9">
        <f>'Muestreo Exploratorio'!Q7</f>
        <v>0.11219999999999999</v>
      </c>
      <c r="Q171" s="9">
        <f>'Muestreo Exploratorio'!M17</f>
        <v>1.7703</v>
      </c>
      <c r="R171" s="9">
        <f>'Muestreo Exploratorio'!P17</f>
        <v>0.12909999999999999</v>
      </c>
      <c r="S171" s="9">
        <f>'Muestreo Exploratorio'!Q17</f>
        <v>9.0300000000000005E-2</v>
      </c>
      <c r="T171" s="9">
        <f>'Muestreo Exploratorio'!O7</f>
        <v>0.68799999999999994</v>
      </c>
      <c r="U171" s="9">
        <f>'Muestreo Exploratorio'!O17</f>
        <v>1.5570999999999999</v>
      </c>
      <c r="V171" s="198">
        <f t="shared" si="14"/>
        <v>0.61422002915778862</v>
      </c>
      <c r="W171" s="198">
        <f t="shared" si="15"/>
        <v>0.27052253069146237</v>
      </c>
      <c r="X171" s="21">
        <f t="shared" si="16"/>
        <v>0.40267156305831281</v>
      </c>
      <c r="Y171" s="21">
        <f t="shared" si="17"/>
        <v>0.7864935852106274</v>
      </c>
      <c r="Z171" s="22">
        <f t="shared" si="18"/>
        <v>14</v>
      </c>
      <c r="AA171" s="248">
        <f t="shared" si="19"/>
        <v>5.3964343984474035E-2</v>
      </c>
      <c r="AB171">
        <f>'Muestreo Exploratorio'!S7</f>
        <v>61.422002915778847</v>
      </c>
      <c r="AC171">
        <f>'Muestreo Exploratorio'!S17</f>
        <v>21.350641478937259</v>
      </c>
      <c r="AG171" s="256"/>
      <c r="AH171" s="17"/>
      <c r="AI171" s="17"/>
    </row>
    <row r="172" spans="1:35" x14ac:dyDescent="0.25">
      <c r="A172" s="9" t="s">
        <v>678</v>
      </c>
      <c r="B172" t="s">
        <v>686</v>
      </c>
      <c r="C172" s="61" t="s">
        <v>621</v>
      </c>
      <c r="D172" s="61">
        <v>1</v>
      </c>
      <c r="E172" t="s">
        <v>890</v>
      </c>
      <c r="F172" s="249">
        <v>44620</v>
      </c>
      <c r="G172" s="9">
        <f>'Muestreo Exploratorio'!H8</f>
        <v>1.9686999999999999</v>
      </c>
      <c r="H172" s="9">
        <f>'Muestreo Exploratorio'!H18</f>
        <v>2.1686999999999999</v>
      </c>
      <c r="I172" s="17">
        <f>'Muestreo Exploratorio'!I8</f>
        <v>4.9118707776705444</v>
      </c>
      <c r="J172" s="17">
        <f>'Muestreo Exploratorio'!I18</f>
        <v>6.9765297182643984</v>
      </c>
      <c r="K172" s="9">
        <f>'Muestreo Exploratorio'!R8</f>
        <v>1.7611999999999999</v>
      </c>
      <c r="L172" s="9">
        <f>'Muestreo Exploratorio'!R18</f>
        <v>1.9594999999999998</v>
      </c>
      <c r="M172" s="62">
        <v>44655</v>
      </c>
      <c r="N172" s="9">
        <f>'Muestreo Exploratorio'!M8</f>
        <v>0.71120000000000005</v>
      </c>
      <c r="O172" s="9">
        <f>'Muestreo Exploratorio'!P8</f>
        <v>0.13639999999999999</v>
      </c>
      <c r="P172" s="9">
        <f>'Muestreo Exploratorio'!Q8</f>
        <v>7.1099999999999997E-2</v>
      </c>
      <c r="Q172" s="9">
        <f>'Muestreo Exploratorio'!M18</f>
        <v>1.6529</v>
      </c>
      <c r="R172" s="9">
        <f>'Muestreo Exploratorio'!P18</f>
        <v>0.13869999999999999</v>
      </c>
      <c r="S172" s="9">
        <f>'Muestreo Exploratorio'!Q18</f>
        <v>7.0499999999999993E-2</v>
      </c>
      <c r="T172" s="9">
        <f>'Muestreo Exploratorio'!O8</f>
        <v>0.50519999999999998</v>
      </c>
      <c r="U172" s="9">
        <f>'Muestreo Exploratorio'!O18</f>
        <v>1.4459</v>
      </c>
      <c r="V172" s="198">
        <f t="shared" si="14"/>
        <v>0.71315012491483076</v>
      </c>
      <c r="W172" s="198">
        <f t="shared" si="15"/>
        <v>0.15302835520803948</v>
      </c>
      <c r="X172" s="21">
        <f t="shared" si="16"/>
        <v>0.46752834792516224</v>
      </c>
      <c r="Y172" s="21">
        <f t="shared" si="17"/>
        <v>0.73789231946925238</v>
      </c>
      <c r="Z172" s="22">
        <f t="shared" si="18"/>
        <v>35</v>
      </c>
      <c r="AA172" s="248">
        <f t="shared" si="19"/>
        <v>2.3497144900139908E-2</v>
      </c>
      <c r="AB172">
        <f>'Muestreo Exploratorio'!S8</f>
        <v>71.315012491483074</v>
      </c>
      <c r="AC172">
        <f>'Muestreo Exploratorio'!S18</f>
        <v>26.210768053074755</v>
      </c>
      <c r="AG172" s="256"/>
      <c r="AH172" s="17"/>
      <c r="AI172" s="17"/>
    </row>
    <row r="173" spans="1:35" x14ac:dyDescent="0.25">
      <c r="A173" s="250" t="s">
        <v>679</v>
      </c>
      <c r="B173" s="251" t="s">
        <v>687</v>
      </c>
      <c r="C173" s="252" t="s">
        <v>621</v>
      </c>
      <c r="D173" s="61">
        <v>1</v>
      </c>
      <c r="E173" t="s">
        <v>890</v>
      </c>
      <c r="F173" s="253">
        <v>44620</v>
      </c>
      <c r="G173" s="9">
        <f>'Muestreo Exploratorio'!H9</f>
        <v>2.0760000000000001</v>
      </c>
      <c r="H173" s="9">
        <f>'Muestreo Exploratorio'!H19</f>
        <v>2.1800000000000002</v>
      </c>
      <c r="I173" s="254">
        <f>'Muestreo Exploratorio'!I9</f>
        <v>4.802504816955679</v>
      </c>
      <c r="J173" s="254">
        <f>'Muestreo Exploratorio'!I19</f>
        <v>6.7844036697247656</v>
      </c>
      <c r="K173" s="250">
        <f>'Muestreo Exploratorio'!R9</f>
        <v>1.8838000000000001</v>
      </c>
      <c r="L173" s="250">
        <f>'Muestreo Exploratorio'!R19</f>
        <v>1.9879000000000002</v>
      </c>
      <c r="M173" s="255">
        <v>44664</v>
      </c>
      <c r="N173" s="250">
        <f>'Muestreo Exploratorio'!M9</f>
        <v>0.54179999999999995</v>
      </c>
      <c r="O173" s="250">
        <f>'Muestreo Exploratorio'!P9</f>
        <v>0.13569999999999999</v>
      </c>
      <c r="P173" s="250">
        <f>'Muestreo Exploratorio'!Q9</f>
        <v>5.6500000000000002E-2</v>
      </c>
      <c r="Q173" s="250">
        <f>'Muestreo Exploratorio'!M19</f>
        <v>1.5502</v>
      </c>
      <c r="R173" s="250">
        <f>'Muestreo Exploratorio'!P19</f>
        <v>0.1331</v>
      </c>
      <c r="S173" s="250">
        <f>'Muestreo Exploratorio'!Q19</f>
        <v>5.8999999999999997E-2</v>
      </c>
      <c r="T173" s="250">
        <f>'Muestreo Exploratorio'!O9</f>
        <v>0.35020000000000001</v>
      </c>
      <c r="U173" s="250">
        <f>'Muestreo Exploratorio'!O19</f>
        <v>1.3593999999999999</v>
      </c>
      <c r="V173" s="198">
        <f t="shared" si="14"/>
        <v>0.81409916126977389</v>
      </c>
      <c r="W173" s="198">
        <f t="shared" si="15"/>
        <v>3.3136388040648557E-2</v>
      </c>
      <c r="X173" s="21">
        <f t="shared" si="16"/>
        <v>0.53370871380156204</v>
      </c>
      <c r="Y173" s="21">
        <f t="shared" si="17"/>
        <v>0.68383721515166751</v>
      </c>
      <c r="Z173" s="22">
        <f t="shared" si="18"/>
        <v>44</v>
      </c>
      <c r="AA173" s="248">
        <f t="shared" si="19"/>
        <v>2.0396368511876574E-2</v>
      </c>
      <c r="AB173" s="251">
        <f>'Muestreo Exploratorio'!S9</f>
        <v>81.409916126977393</v>
      </c>
      <c r="AC173" s="251">
        <f>'Muestreo Exploratorio'!S19</f>
        <v>31.616278484833249</v>
      </c>
      <c r="AD173" s="251"/>
      <c r="AE173" s="251"/>
      <c r="AF173" s="251"/>
      <c r="AG173" s="257"/>
      <c r="AH173" s="17"/>
      <c r="AI173" s="17"/>
    </row>
    <row r="174" spans="1:35" x14ac:dyDescent="0.25">
      <c r="A174" s="22" t="s">
        <v>688</v>
      </c>
      <c r="B174" s="87" t="s">
        <v>622</v>
      </c>
      <c r="C174" s="61" t="s">
        <v>317</v>
      </c>
      <c r="D174" s="61">
        <v>1</v>
      </c>
      <c r="E174" t="s">
        <v>17</v>
      </c>
      <c r="F174" s="54">
        <v>44641</v>
      </c>
      <c r="G174" s="9">
        <f>'Datos Crudos SE3 Impac'!H2</f>
        <v>1.8931</v>
      </c>
      <c r="H174" s="9">
        <f>'Datos Crudos SE3 Impac'!H57</f>
        <v>2.1573000000000002</v>
      </c>
      <c r="I174" s="17">
        <f>'Datos Crudos SE3 Impac'!I2</f>
        <v>6.1380803972320575</v>
      </c>
      <c r="J174" s="17">
        <f>'Datos Crudos SE3 Impac'!I57</f>
        <v>7.6206369072451512</v>
      </c>
      <c r="K174" s="9">
        <f>'Datos Crudos SE3 Impac'!R2</f>
        <v>1.6980999999999999</v>
      </c>
      <c r="L174" s="9">
        <f>'Datos Crudos SE3 Impac'!R57</f>
        <v>1.9624000000000001</v>
      </c>
      <c r="M174" s="62">
        <v>44701</v>
      </c>
      <c r="N174" s="9">
        <f>'Datos Crudos SE3 Impac'!M2</f>
        <v>0.39579999999999999</v>
      </c>
      <c r="O174" s="9">
        <f>'Datos Crudos SE3 Impac'!P2</f>
        <v>0.13930000000000001</v>
      </c>
      <c r="P174" s="9">
        <f>'Datos Crudos SE3 Impac'!Q2</f>
        <v>5.57E-2</v>
      </c>
      <c r="Q174" s="9">
        <f>'Datos Crudos SE3 Impac'!M57</f>
        <v>1.3793</v>
      </c>
      <c r="R174" s="9">
        <f>'Datos Crudos SE3 Impac'!P57</f>
        <v>0.13700000000000001</v>
      </c>
      <c r="S174" s="9">
        <f>'Datos Crudos SE3 Impac'!Q57</f>
        <v>5.79E-2</v>
      </c>
      <c r="T174" s="9">
        <f>'Datos Crudos SE3 Impac'!O2</f>
        <v>0.20080000000000001</v>
      </c>
      <c r="U174" s="9">
        <f>'Datos Crudos SE3 Impac'!O57</f>
        <v>1.1882999999999999</v>
      </c>
      <c r="V174" s="198">
        <f t="shared" si="14"/>
        <v>0.88175019139037747</v>
      </c>
      <c r="W174" s="241">
        <f t="shared" si="15"/>
        <v>-4.7209253432752396E-2</v>
      </c>
      <c r="X174" s="21">
        <f t="shared" si="16"/>
        <v>0.57805950789487937</v>
      </c>
      <c r="Y174" s="21">
        <f t="shared" si="17"/>
        <v>0.60553403995108024</v>
      </c>
      <c r="Z174" s="22">
        <f t="shared" si="18"/>
        <v>60</v>
      </c>
      <c r="AA174" s="248">
        <f t="shared" si="19"/>
        <v>1.9115874718177404E-2</v>
      </c>
      <c r="AB174" s="9">
        <f>'Datos Crudos SE3 Impac'!S2</f>
        <v>88.175019139037744</v>
      </c>
      <c r="AC174" s="9">
        <f>'Datos Crudos SE3 Impac'!S57</f>
        <v>39.446596004891973</v>
      </c>
      <c r="AD174" s="65">
        <f>AVERAGE(W174:W181)</f>
        <v>-2.6306028049642383E-2</v>
      </c>
      <c r="AE174">
        <f>STDEV(W174:W181)</f>
        <v>3.6830933833760973E-2</v>
      </c>
      <c r="AF174" s="7">
        <f>AVERAGE(AA174:AA181)</f>
        <v>1.8142057765666721E-2</v>
      </c>
      <c r="AG174">
        <f>STDEV(AA174:AA181)</f>
        <v>1.2644491269652065E-3</v>
      </c>
      <c r="AH174" s="17">
        <f>'Datos Crudos SE3 Impac'!U2</f>
        <v>11.824980860962253</v>
      </c>
      <c r="AI174" s="17">
        <f>'Datos Crudos SE3 Impac'!U57</f>
        <v>60.553403995108027</v>
      </c>
    </row>
    <row r="175" spans="1:35" x14ac:dyDescent="0.25">
      <c r="A175" s="22" t="s">
        <v>689</v>
      </c>
      <c r="B175" s="87" t="s">
        <v>622</v>
      </c>
      <c r="C175" s="61" t="s">
        <v>317</v>
      </c>
      <c r="D175" s="61">
        <v>2</v>
      </c>
      <c r="E175" t="s">
        <v>17</v>
      </c>
      <c r="F175" s="54">
        <v>44641</v>
      </c>
      <c r="G175" s="9">
        <f>'Datos Crudos SE3 Impac'!H3</f>
        <v>2.0196000000000001</v>
      </c>
      <c r="H175" s="9">
        <f>'Datos Crudos SE3 Impac'!H58</f>
        <v>2.1581999999999999</v>
      </c>
      <c r="I175" s="17">
        <f>'Datos Crudos SE3 Impac'!I3</f>
        <v>5.194097841156653</v>
      </c>
      <c r="J175" s="17">
        <f>'Datos Crudos SE3 Impac'!I58</f>
        <v>7.5433231396534284</v>
      </c>
      <c r="K175" s="9">
        <f>'Datos Crudos SE3 Impac'!R3</f>
        <v>1.8250000000000002</v>
      </c>
      <c r="L175" s="9">
        <f>'Datos Crudos SE3 Impac'!R58</f>
        <v>1.9575999999999998</v>
      </c>
      <c r="M175" s="62">
        <v>44701</v>
      </c>
      <c r="N175" s="9">
        <f>'Datos Crudos SE3 Impac'!M3</f>
        <v>0.4365</v>
      </c>
      <c r="O175" s="9">
        <f>'Datos Crudos SE3 Impac'!P3</f>
        <v>0.13650000000000001</v>
      </c>
      <c r="P175" s="9">
        <f>'Datos Crudos SE3 Impac'!Q3</f>
        <v>5.8099999999999999E-2</v>
      </c>
      <c r="Q175" s="9">
        <f>'Datos Crudos SE3 Impac'!M58</f>
        <v>1.4421999999999999</v>
      </c>
      <c r="R175" s="9">
        <f>'Datos Crudos SE3 Impac'!P58</f>
        <v>0.1431</v>
      </c>
      <c r="S175" s="9">
        <f>'Datos Crudos SE3 Impac'!Q58</f>
        <v>5.7500000000000002E-2</v>
      </c>
      <c r="T175" s="9">
        <f>'Datos Crudos SE3 Impac'!O3</f>
        <v>0.24310000000000001</v>
      </c>
      <c r="U175" s="9">
        <f>'Datos Crudos SE3 Impac'!O58</f>
        <v>1.2438</v>
      </c>
      <c r="V175" s="198">
        <f t="shared" si="14"/>
        <v>0.86679452054794526</v>
      </c>
      <c r="W175" s="241">
        <f t="shared" si="15"/>
        <v>-2.9447174047440905E-2</v>
      </c>
      <c r="X175" s="21">
        <f t="shared" si="16"/>
        <v>0.56825484007418747</v>
      </c>
      <c r="Y175" s="21">
        <f t="shared" si="17"/>
        <v>0.63536984062116886</v>
      </c>
      <c r="Z175" s="22">
        <f t="shared" si="18"/>
        <v>60</v>
      </c>
      <c r="AA175" s="248">
        <f t="shared" si="19"/>
        <v>1.710485802308748E-2</v>
      </c>
      <c r="AB175" s="9">
        <f>'Datos Crudos SE3 Impac'!S3</f>
        <v>86.67945205479451</v>
      </c>
      <c r="AC175" s="9">
        <f>'Datos Crudos SE3 Impac'!S58</f>
        <v>36.463015937883114</v>
      </c>
      <c r="AH175" s="17">
        <f>'Datos Crudos SE3 Impac'!U3</f>
        <v>13.32054794520548</v>
      </c>
      <c r="AI175" s="17">
        <f>'Datos Crudos SE3 Impac'!U58</f>
        <v>63.536984062116886</v>
      </c>
    </row>
    <row r="176" spans="1:35" x14ac:dyDescent="0.25">
      <c r="A176" s="22" t="s">
        <v>690</v>
      </c>
      <c r="B176" s="87" t="s">
        <v>622</v>
      </c>
      <c r="C176" s="61" t="s">
        <v>317</v>
      </c>
      <c r="D176" s="61">
        <v>1</v>
      </c>
      <c r="E176" t="s">
        <v>18</v>
      </c>
      <c r="F176" s="54">
        <v>44641</v>
      </c>
      <c r="G176" s="9">
        <f>'Datos Crudos SE3 Impac'!H4</f>
        <v>2.0453999999999999</v>
      </c>
      <c r="H176" s="9">
        <f>'Datos Crudos SE3 Impac'!H59</f>
        <v>2.1240999999999999</v>
      </c>
      <c r="I176" s="17">
        <f>'Datos Crudos SE3 Impac'!I4</f>
        <v>5.2019164955510062</v>
      </c>
      <c r="J176" s="17">
        <f>'Datos Crudos SE3 Impac'!I59</f>
        <v>6.9817805188079811</v>
      </c>
      <c r="K176" s="9">
        <f>'Datos Crudos SE3 Impac'!R4</f>
        <v>1.851</v>
      </c>
      <c r="L176" s="9">
        <f>'Datos Crudos SE3 Impac'!R59</f>
        <v>1.9364999999999999</v>
      </c>
      <c r="M176" s="62">
        <v>44701</v>
      </c>
      <c r="N176" s="9">
        <f>'Datos Crudos SE3 Impac'!M4</f>
        <v>0.45150000000000001</v>
      </c>
      <c r="O176" s="9">
        <f>'Datos Crudos SE3 Impac'!P4</f>
        <v>0.13880000000000001</v>
      </c>
      <c r="P176" s="9">
        <f>'Datos Crudos SE3 Impac'!Q4</f>
        <v>5.5599999999999997E-2</v>
      </c>
      <c r="Q176" s="9">
        <f>'Datos Crudos SE3 Impac'!M59</f>
        <v>1.377</v>
      </c>
      <c r="R176" s="9">
        <f>'Datos Crudos SE3 Impac'!P59</f>
        <v>0.13220000000000001</v>
      </c>
      <c r="S176" s="9">
        <f>'Datos Crudos SE3 Impac'!Q59</f>
        <v>5.5399999999999998E-2</v>
      </c>
      <c r="T176" s="9">
        <f>'Datos Crudos SE3 Impac'!O4</f>
        <v>0.25679999999999997</v>
      </c>
      <c r="U176" s="9">
        <f>'Datos Crudos SE3 Impac'!O59</f>
        <v>1.1919</v>
      </c>
      <c r="V176" s="198">
        <f t="shared" si="14"/>
        <v>0.86126418152350082</v>
      </c>
      <c r="W176" s="241">
        <f t="shared" si="15"/>
        <v>-2.2879075443587693E-2</v>
      </c>
      <c r="X176" s="21">
        <f t="shared" si="16"/>
        <v>0.5646292496448605</v>
      </c>
      <c r="Y176" s="21">
        <f t="shared" si="17"/>
        <v>0.61549186676994583</v>
      </c>
      <c r="Z176" s="22">
        <f t="shared" si="18"/>
        <v>60</v>
      </c>
      <c r="AA176" s="248">
        <f t="shared" si="19"/>
        <v>1.9042330447511736E-2</v>
      </c>
      <c r="AB176" s="9">
        <f>'Datos Crudos SE3 Impac'!S4</f>
        <v>86.126418152350084</v>
      </c>
      <c r="AC176" s="9">
        <f>'Datos Crudos SE3 Impac'!S59</f>
        <v>38.45081332300542</v>
      </c>
      <c r="AH176" s="17">
        <f>'Datos Crudos SE3 Impac'!U4</f>
        <v>13.873581847649918</v>
      </c>
      <c r="AI176" s="17">
        <f>'Datos Crudos SE3 Impac'!U59</f>
        <v>61.54918667699458</v>
      </c>
    </row>
    <row r="177" spans="1:35" x14ac:dyDescent="0.25">
      <c r="A177" s="22" t="s">
        <v>691</v>
      </c>
      <c r="B177" s="87" t="s">
        <v>622</v>
      </c>
      <c r="C177" s="61" t="s">
        <v>317</v>
      </c>
      <c r="D177" s="61">
        <v>2</v>
      </c>
      <c r="E177" t="s">
        <v>18</v>
      </c>
      <c r="F177" s="54">
        <v>44641</v>
      </c>
      <c r="G177" s="9">
        <f>'Datos Crudos SE3 Impac'!H5</f>
        <v>1.9512</v>
      </c>
      <c r="H177" s="9">
        <f>'Datos Crudos SE3 Impac'!H60</f>
        <v>2.1358999999999999</v>
      </c>
      <c r="I177" s="17">
        <f>'Datos Crudos SE3 Impac'!I5</f>
        <v>6.1654366543665358</v>
      </c>
      <c r="J177" s="17">
        <f>'Datos Crudos SE3 Impac'!I60</f>
        <v>7.5331242099349343</v>
      </c>
      <c r="K177" s="9">
        <f>'Datos Crudos SE3 Impac'!R5</f>
        <v>1.7516</v>
      </c>
      <c r="L177" s="9">
        <f>'Datos Crudos SE3 Impac'!R60</f>
        <v>1.9366999999999999</v>
      </c>
      <c r="M177" s="62">
        <v>44701</v>
      </c>
      <c r="N177" s="9">
        <f>'Datos Crudos SE3 Impac'!M5</f>
        <v>0.52380000000000004</v>
      </c>
      <c r="O177" s="9">
        <f>'Datos Crudos SE3 Impac'!P5</f>
        <v>0.1399</v>
      </c>
      <c r="P177" s="9">
        <f>'Datos Crudos SE3 Impac'!Q5</f>
        <v>5.9700000000000003E-2</v>
      </c>
      <c r="Q177" s="9">
        <f>'Datos Crudos SE3 Impac'!M60</f>
        <v>1.4795</v>
      </c>
      <c r="R177" s="9">
        <f>'Datos Crudos SE3 Impac'!P60</f>
        <v>0.1421</v>
      </c>
      <c r="S177" s="9">
        <f>'Datos Crudos SE3 Impac'!Q60</f>
        <v>5.7099999999999998E-2</v>
      </c>
      <c r="T177" s="9">
        <f>'Datos Crudos SE3 Impac'!O5</f>
        <v>0.32690000000000002</v>
      </c>
      <c r="U177" s="9">
        <f>'Datos Crudos SE3 Impac'!O60</f>
        <v>1.2838000000000001</v>
      </c>
      <c r="V177" s="198">
        <f t="shared" si="14"/>
        <v>0.81337063256451247</v>
      </c>
      <c r="W177" s="198">
        <f t="shared" si="15"/>
        <v>3.4001624032645505E-2</v>
      </c>
      <c r="X177" s="21">
        <f t="shared" si="16"/>
        <v>0.53323110353397973</v>
      </c>
      <c r="Y177" s="21">
        <f t="shared" si="17"/>
        <v>0.66288015696803848</v>
      </c>
      <c r="Z177" s="22">
        <f t="shared" si="18"/>
        <v>60</v>
      </c>
      <c r="AA177" s="248">
        <f t="shared" si="19"/>
        <v>1.6671212775254924E-2</v>
      </c>
      <c r="AB177" s="9">
        <f>'Datos Crudos SE3 Impac'!S5</f>
        <v>81.337063256451245</v>
      </c>
      <c r="AC177" s="9">
        <f>'Datos Crudos SE3 Impac'!S60</f>
        <v>33.711984303196154</v>
      </c>
      <c r="AH177" s="17">
        <f>'Datos Crudos SE3 Impac'!U5</f>
        <v>18.662936743548755</v>
      </c>
      <c r="AI177" s="17">
        <f>'Datos Crudos SE3 Impac'!U60</f>
        <v>66.288015696803853</v>
      </c>
    </row>
    <row r="178" spans="1:35" x14ac:dyDescent="0.25">
      <c r="A178" s="22" t="s">
        <v>692</v>
      </c>
      <c r="B178" s="87" t="s">
        <v>622</v>
      </c>
      <c r="C178" s="61" t="s">
        <v>317</v>
      </c>
      <c r="D178" s="61">
        <v>1</v>
      </c>
      <c r="E178" t="s">
        <v>19</v>
      </c>
      <c r="F178" s="54">
        <v>44641</v>
      </c>
      <c r="G178" s="9">
        <f>'Datos Crudos SE3 Impac'!H6</f>
        <v>1.948</v>
      </c>
      <c r="H178" s="9">
        <f>'Datos Crudos SE3 Impac'!H61</f>
        <v>2.1286</v>
      </c>
      <c r="I178" s="17">
        <f>'Datos Crudos SE3 Impac'!I6</f>
        <v>6.1755646817248389</v>
      </c>
      <c r="J178" s="17">
        <f>'Datos Crudos SE3 Impac'!I61</f>
        <v>6.9059475711735319</v>
      </c>
      <c r="K178" s="9">
        <f>'Datos Crudos SE3 Impac'!R6</f>
        <v>1.7547999999999999</v>
      </c>
      <c r="L178" s="9">
        <f>'Datos Crudos SE3 Impac'!R61</f>
        <v>1.929</v>
      </c>
      <c r="M178" s="62">
        <v>44701</v>
      </c>
      <c r="N178" s="9">
        <f>'Datos Crudos SE3 Impac'!M6</f>
        <v>0.50180000000000002</v>
      </c>
      <c r="O178" s="9">
        <f>'Datos Crudos SE3 Impac'!P6</f>
        <v>0.13650000000000001</v>
      </c>
      <c r="P178" s="9">
        <f>'Datos Crudos SE3 Impac'!Q6</f>
        <v>5.67E-2</v>
      </c>
      <c r="Q178" s="9">
        <f>'Datos Crudos SE3 Impac'!M61</f>
        <v>1.4349000000000001</v>
      </c>
      <c r="R178" s="9">
        <f>'Datos Crudos SE3 Impac'!P61</f>
        <v>0.14219999999999999</v>
      </c>
      <c r="S178" s="9">
        <f>'Datos Crudos SE3 Impac'!Q61</f>
        <v>5.74E-2</v>
      </c>
      <c r="T178" s="9">
        <f>'Datos Crudos SE3 Impac'!O6</f>
        <v>0.3075</v>
      </c>
      <c r="U178" s="9">
        <f>'Datos Crudos SE3 Impac'!O61</f>
        <v>1.2370000000000001</v>
      </c>
      <c r="V178" s="198">
        <f t="shared" si="14"/>
        <v>0.82476635514018692</v>
      </c>
      <c r="W178" s="198">
        <f t="shared" si="15"/>
        <v>2.0467511709991726E-2</v>
      </c>
      <c r="X178" s="21">
        <f t="shared" si="16"/>
        <v>0.54070193353608464</v>
      </c>
      <c r="Y178" s="21">
        <f t="shared" si="17"/>
        <v>0.64126490409538628</v>
      </c>
      <c r="Z178" s="22">
        <f t="shared" si="18"/>
        <v>60</v>
      </c>
      <c r="AA178" s="248">
        <f t="shared" si="19"/>
        <v>1.815072854516853E-2</v>
      </c>
      <c r="AB178" s="9">
        <f>'Datos Crudos SE3 Impac'!S6</f>
        <v>82.476635514018682</v>
      </c>
      <c r="AC178" s="9">
        <f>'Datos Crudos SE3 Impac'!S61</f>
        <v>35.873509590461374</v>
      </c>
      <c r="AH178" s="17">
        <f>'Datos Crudos SE3 Impac'!U6</f>
        <v>17.523364485981311</v>
      </c>
      <c r="AI178" s="17">
        <f>'Datos Crudos SE3 Impac'!U61</f>
        <v>64.126490409538633</v>
      </c>
    </row>
    <row r="179" spans="1:35" x14ac:dyDescent="0.25">
      <c r="A179" s="22" t="s">
        <v>693</v>
      </c>
      <c r="B179" s="87" t="s">
        <v>622</v>
      </c>
      <c r="C179" s="61" t="s">
        <v>317</v>
      </c>
      <c r="D179" s="61">
        <v>2</v>
      </c>
      <c r="E179" t="s">
        <v>19</v>
      </c>
      <c r="F179" s="54">
        <v>44641</v>
      </c>
      <c r="G179" s="9">
        <f>'Datos Crudos SE3 Impac'!H7</f>
        <v>1.9294</v>
      </c>
      <c r="H179" s="9">
        <f>'Datos Crudos SE3 Impac'!H62</f>
        <v>2.1017000000000001</v>
      </c>
      <c r="I179" s="17">
        <f>'Datos Crudos SE3 Impac'!I7</f>
        <v>6.3646729553228987</v>
      </c>
      <c r="J179" s="17">
        <f>'Datos Crudos SE3 Impac'!I62</f>
        <v>7.7032878146262407</v>
      </c>
      <c r="K179" s="9">
        <f>'Datos Crudos SE3 Impac'!R7</f>
        <v>1.7384999999999999</v>
      </c>
      <c r="L179" s="9">
        <f>'Datos Crudos SE3 Impac'!R62</f>
        <v>1.9078000000000002</v>
      </c>
      <c r="M179" s="62">
        <v>44701</v>
      </c>
      <c r="N179" s="9">
        <f>'Datos Crudos SE3 Impac'!M7</f>
        <v>0.41449999999999998</v>
      </c>
      <c r="O179" s="9">
        <f>'Datos Crudos SE3 Impac'!P7</f>
        <v>0.1338</v>
      </c>
      <c r="P179" s="9">
        <f>'Datos Crudos SE3 Impac'!Q7</f>
        <v>5.7099999999999998E-2</v>
      </c>
      <c r="Q179" s="9">
        <f>'Datos Crudos SE3 Impac'!M62</f>
        <v>1.3596999999999999</v>
      </c>
      <c r="R179" s="9">
        <f>'Datos Crudos SE3 Impac'!P62</f>
        <v>0.13550000000000001</v>
      </c>
      <c r="S179" s="9">
        <f>'Datos Crudos SE3 Impac'!Q62</f>
        <v>5.8400000000000001E-2</v>
      </c>
      <c r="T179" s="9">
        <f>'Datos Crudos SE3 Impac'!O7</f>
        <v>0.22520000000000001</v>
      </c>
      <c r="U179" s="9">
        <f>'Datos Crudos SE3 Impac'!O62</f>
        <v>1.1684000000000001</v>
      </c>
      <c r="V179" s="198">
        <f t="shared" si="14"/>
        <v>0.87046304285303422</v>
      </c>
      <c r="W179" s="241">
        <f t="shared" si="15"/>
        <v>-3.3804088899090479E-2</v>
      </c>
      <c r="X179" s="21">
        <f t="shared" si="16"/>
        <v>0.57065985707229794</v>
      </c>
      <c r="Y179" s="21">
        <f t="shared" si="17"/>
        <v>0.612433169095293</v>
      </c>
      <c r="Z179" s="22">
        <f t="shared" si="18"/>
        <v>60</v>
      </c>
      <c r="AA179" s="248">
        <f t="shared" si="19"/>
        <v>1.8946649531129997E-2</v>
      </c>
      <c r="AB179" s="9">
        <f>'Datos Crudos SE3 Impac'!S7</f>
        <v>87.046304285303421</v>
      </c>
      <c r="AC179" s="9">
        <f>'Datos Crudos SE3 Impac'!S62</f>
        <v>38.756683090470702</v>
      </c>
      <c r="AH179" s="17">
        <f>'Datos Crudos SE3 Impac'!U7</f>
        <v>12.953695714696579</v>
      </c>
      <c r="AI179" s="17">
        <f>'Datos Crudos SE3 Impac'!U62</f>
        <v>61.243316909529298</v>
      </c>
    </row>
    <row r="180" spans="1:35" x14ac:dyDescent="0.25">
      <c r="A180" s="22" t="s">
        <v>694</v>
      </c>
      <c r="B180" s="87" t="s">
        <v>100</v>
      </c>
      <c r="C180" s="61" t="s">
        <v>317</v>
      </c>
      <c r="D180" s="61">
        <v>1</v>
      </c>
      <c r="E180" t="s">
        <v>20</v>
      </c>
      <c r="F180" s="54">
        <v>44641</v>
      </c>
      <c r="G180" s="9">
        <f>'Datos Crudos SE3 Impac'!H8</f>
        <v>2.0276000000000001</v>
      </c>
      <c r="H180" s="9">
        <f>'Datos Crudos SE3 Impac'!H63</f>
        <v>2.1049000000000002</v>
      </c>
      <c r="I180" s="17">
        <f>'Datos Crudos SE3 Impac'!I8</f>
        <v>5.2722430459656726</v>
      </c>
      <c r="J180" s="17">
        <f>'Datos Crudos SE3 Impac'!I63</f>
        <v>7.5633046700555733</v>
      </c>
      <c r="K180" s="9">
        <f>'Datos Crudos SE3 Impac'!R8</f>
        <v>1.8412000000000002</v>
      </c>
      <c r="L180" s="9">
        <f>'Datos Crudos SE3 Impac'!R63</f>
        <v>1.8975000000000002</v>
      </c>
      <c r="M180" s="62">
        <v>44701</v>
      </c>
      <c r="N180" s="9">
        <f>'Datos Crudos SE3 Impac'!M8</f>
        <v>0.38240000000000002</v>
      </c>
      <c r="O180" s="9">
        <f>'Datos Crudos SE3 Impac'!P8</f>
        <v>0.13120000000000001</v>
      </c>
      <c r="P180" s="9">
        <f>'Datos Crudos SE3 Impac'!Q8</f>
        <v>5.5199999999999999E-2</v>
      </c>
      <c r="Q180" s="9">
        <f>'Datos Crudos SE3 Impac'!M63</f>
        <v>1.4060999999999999</v>
      </c>
      <c r="R180" s="9">
        <f>'Datos Crudos SE3 Impac'!P63</f>
        <v>0.14610000000000001</v>
      </c>
      <c r="S180" s="9">
        <f>'Datos Crudos SE3 Impac'!Q63</f>
        <v>6.13E-2</v>
      </c>
      <c r="T180" s="9">
        <f>'Datos Crudos SE3 Impac'!O8</f>
        <v>0.19570000000000001</v>
      </c>
      <c r="U180" s="9">
        <f>'Datos Crudos SE3 Impac'!O63</f>
        <v>1.2016</v>
      </c>
      <c r="V180" s="198">
        <f t="shared" si="14"/>
        <v>0.89371062350640884</v>
      </c>
      <c r="W180" s="241">
        <f t="shared" si="15"/>
        <v>-6.14140421691316E-2</v>
      </c>
      <c r="X180" s="21">
        <f t="shared" si="16"/>
        <v>0.58590055127736074</v>
      </c>
      <c r="Y180" s="21">
        <f t="shared" si="17"/>
        <v>0.63325428194993405</v>
      </c>
      <c r="Z180" s="22">
        <f t="shared" si="18"/>
        <v>60</v>
      </c>
      <c r="AA180" s="248">
        <f t="shared" si="19"/>
        <v>1.6389526440172258E-2</v>
      </c>
      <c r="AB180" s="9">
        <f>'Datos Crudos SE3 Impac'!S8</f>
        <v>89.371062350640884</v>
      </c>
      <c r="AC180" s="9">
        <f>'Datos Crudos SE3 Impac'!S63</f>
        <v>36.674571805006593</v>
      </c>
      <c r="AH180" s="17">
        <f>'Datos Crudos SE3 Impac'!U8</f>
        <v>10.628937649359113</v>
      </c>
      <c r="AI180" s="17">
        <f>'Datos Crudos SE3 Impac'!U63</f>
        <v>63.325428194993407</v>
      </c>
    </row>
    <row r="181" spans="1:35" x14ac:dyDescent="0.25">
      <c r="A181" s="22" t="s">
        <v>695</v>
      </c>
      <c r="B181" s="87" t="s">
        <v>622</v>
      </c>
      <c r="C181" s="61" t="s">
        <v>317</v>
      </c>
      <c r="D181" s="61">
        <v>2</v>
      </c>
      <c r="E181" t="s">
        <v>20</v>
      </c>
      <c r="F181" s="54">
        <v>44641</v>
      </c>
      <c r="G181" s="9">
        <f>'Datos Crudos SE3 Impac'!H9</f>
        <v>2.0173999999999999</v>
      </c>
      <c r="H181" s="9">
        <f>'Datos Crudos SE3 Impac'!H64</f>
        <v>2.1248999999999998</v>
      </c>
      <c r="I181" s="17">
        <f>'Datos Crudos SE3 Impac'!I9</f>
        <v>5.1452364429463726</v>
      </c>
      <c r="J181" s="17">
        <f>'Datos Crudos SE3 Impac'!I64</f>
        <v>7.0544496211586498</v>
      </c>
      <c r="K181" s="9">
        <f>'Datos Crudos SE3 Impac'!R9</f>
        <v>1.8276999999999999</v>
      </c>
      <c r="L181" s="9">
        <f>'Datos Crudos SE3 Impac'!R64</f>
        <v>1.9321999999999997</v>
      </c>
      <c r="M181" s="62">
        <v>44701</v>
      </c>
      <c r="N181" s="9">
        <f>'Datos Crudos SE3 Impac'!M9</f>
        <v>0.37030000000000002</v>
      </c>
      <c r="O181" s="9">
        <f>'Datos Crudos SE3 Impac'!P9</f>
        <v>0.13320000000000001</v>
      </c>
      <c r="P181" s="9">
        <f>'Datos Crudos SE3 Impac'!Q9</f>
        <v>5.6500000000000002E-2</v>
      </c>
      <c r="Q181" s="9">
        <f>'Datos Crudos SE3 Impac'!M64</f>
        <v>1.3311999999999999</v>
      </c>
      <c r="R181" s="9">
        <f>'Datos Crudos SE3 Impac'!P64</f>
        <v>0.1353</v>
      </c>
      <c r="S181" s="9">
        <f>'Datos Crudos SE3 Impac'!Q64</f>
        <v>5.74E-2</v>
      </c>
      <c r="T181" s="9">
        <f>'Datos Crudos SE3 Impac'!O9</f>
        <v>0.18079999999999999</v>
      </c>
      <c r="U181" s="9">
        <f>'Datos Crudos SE3 Impac'!O64</f>
        <v>1.1405000000000001</v>
      </c>
      <c r="V181" s="198">
        <f t="shared" si="14"/>
        <v>0.90107785741642499</v>
      </c>
      <c r="W181" s="241">
        <f t="shared" si="15"/>
        <v>-7.016372614777322E-2</v>
      </c>
      <c r="X181" s="21">
        <f t="shared" si="16"/>
        <v>0.59073037683357088</v>
      </c>
      <c r="Y181" s="21">
        <f t="shared" si="17"/>
        <v>0.59025980747334661</v>
      </c>
      <c r="Z181" s="22">
        <f t="shared" si="18"/>
        <v>60</v>
      </c>
      <c r="AA181" s="248">
        <f t="shared" si="19"/>
        <v>1.971528164483145E-2</v>
      </c>
      <c r="AB181" s="9">
        <f>'Datos Crudos SE3 Impac'!S9</f>
        <v>90.107785741642502</v>
      </c>
      <c r="AC181" s="9">
        <f>'Datos Crudos SE3 Impac'!S64</f>
        <v>40.974019252665343</v>
      </c>
      <c r="AH181" s="17">
        <f>'Datos Crudos SE3 Impac'!U9</f>
        <v>9.8922142583574981</v>
      </c>
      <c r="AI181" s="17">
        <f>'Datos Crudos SE3 Impac'!U64</f>
        <v>59.025980747334664</v>
      </c>
    </row>
    <row r="182" spans="1:35" x14ac:dyDescent="0.25">
      <c r="A182" s="22" t="s">
        <v>696</v>
      </c>
      <c r="B182" s="87" t="s">
        <v>327</v>
      </c>
      <c r="C182" s="61" t="s">
        <v>317</v>
      </c>
      <c r="D182" s="61">
        <v>1</v>
      </c>
      <c r="E182" t="s">
        <v>17</v>
      </c>
      <c r="F182" s="53">
        <v>44648</v>
      </c>
      <c r="G182" s="9">
        <f>'Datos Crudos SE3 Impac'!H10</f>
        <v>1.9857</v>
      </c>
      <c r="H182" s="9">
        <f>'Datos Crudos SE3 Impac'!H65</f>
        <v>2.1996000000000002</v>
      </c>
      <c r="I182" s="17">
        <f>'Datos Crudos SE3 Impac'!I10</f>
        <v>4.5726947675882448</v>
      </c>
      <c r="J182" s="17">
        <f>'Datos Crudos SE3 Impac'!I65</f>
        <v>6.2284051645753564</v>
      </c>
      <c r="K182" s="9">
        <f>'Datos Crudos SE3 Impac'!R10</f>
        <v>1.7808999999999999</v>
      </c>
      <c r="L182" s="9">
        <f>'Datos Crudos SE3 Impac'!R65</f>
        <v>1.9913000000000003</v>
      </c>
      <c r="M182" s="62">
        <v>44708</v>
      </c>
      <c r="N182" s="9">
        <f>'Datos Crudos SE3 Impac'!M10</f>
        <v>0.50549999999999995</v>
      </c>
      <c r="O182" s="9">
        <f>'Datos Crudos SE3 Impac'!P10</f>
        <v>0.14399999999999999</v>
      </c>
      <c r="P182" s="9">
        <f>'Datos Crudos SE3 Impac'!Q10</f>
        <v>6.08E-2</v>
      </c>
      <c r="Q182" s="9">
        <f>'Datos Crudos SE3 Impac'!M65</f>
        <v>1.4777</v>
      </c>
      <c r="R182" s="9">
        <f>'Datos Crudos SE3 Impac'!P65</f>
        <v>0.14419999999999999</v>
      </c>
      <c r="S182" s="9">
        <f>'Datos Crudos SE3 Impac'!Q65</f>
        <v>6.4100000000000004E-2</v>
      </c>
      <c r="T182" s="9">
        <f>'Datos Crudos SE3 Impac'!O10</f>
        <v>0.30299999999999999</v>
      </c>
      <c r="U182" s="9">
        <f>'Datos Crudos SE3 Impac'!O65</f>
        <v>1.2722</v>
      </c>
      <c r="V182" s="198">
        <f t="shared" si="14"/>
        <v>0.8298613060811949</v>
      </c>
      <c r="W182" s="198">
        <f t="shared" si="15"/>
        <v>1.4416501091217393E-2</v>
      </c>
      <c r="X182" s="21">
        <f t="shared" si="16"/>
        <v>0.54404209139764803</v>
      </c>
      <c r="Y182" s="21">
        <f t="shared" si="17"/>
        <v>0.63887912419022741</v>
      </c>
      <c r="Z182" s="22">
        <f t="shared" si="18"/>
        <v>60</v>
      </c>
      <c r="AA182" s="248">
        <f t="shared" si="19"/>
        <v>1.8166184558764717E-2</v>
      </c>
      <c r="AB182" s="9">
        <f>'Datos Crudos SE3 Impac'!S10</f>
        <v>82.986130608119495</v>
      </c>
      <c r="AC182" s="9">
        <f>'Datos Crudos SE3 Impac'!S65</f>
        <v>36.11208758097726</v>
      </c>
      <c r="AD182" s="65">
        <f>AVERAGE(W182:W188)</f>
        <v>4.6148094324241114E-2</v>
      </c>
      <c r="AE182">
        <f>STDEV(W182:W188)</f>
        <v>2.6635861485448314E-2</v>
      </c>
      <c r="AF182" s="7">
        <f>AVERAGE(AA182:AA188)</f>
        <v>1.7620089915419211E-2</v>
      </c>
      <c r="AG182">
        <f>STDEV(AA182:AA188)</f>
        <v>1.3462781990045227E-3</v>
      </c>
      <c r="AH182" s="17">
        <f>'Datos Crudos SE3 Impac'!U10</f>
        <v>17.013869391880508</v>
      </c>
      <c r="AI182" s="17">
        <f>'Datos Crudos SE3 Impac'!U65</f>
        <v>63.88791241902274</v>
      </c>
    </row>
    <row r="183" spans="1:35" x14ac:dyDescent="0.25">
      <c r="A183" s="22" t="s">
        <v>697</v>
      </c>
      <c r="B183" s="87" t="s">
        <v>327</v>
      </c>
      <c r="C183" s="61" t="s">
        <v>317</v>
      </c>
      <c r="D183" s="61">
        <v>2</v>
      </c>
      <c r="E183" t="s">
        <v>17</v>
      </c>
      <c r="F183" s="53">
        <v>44648</v>
      </c>
      <c r="G183" s="9">
        <f>'Datos Crudos SE3 Impac'!H11</f>
        <v>1.9756</v>
      </c>
      <c r="H183" s="9">
        <f>'Datos Crudos SE3 Impac'!H66</f>
        <v>2.1448</v>
      </c>
      <c r="I183" s="17">
        <f>'Datos Crudos SE3 Impac'!I11</f>
        <v>4.591010325976919</v>
      </c>
      <c r="J183" s="17">
        <f>'Datos Crudos SE3 Impac'!I66</f>
        <v>6.247668780305851</v>
      </c>
      <c r="K183" s="9">
        <f>'Datos Crudos SE3 Impac'!R11</f>
        <v>1.7767999999999999</v>
      </c>
      <c r="L183" s="9">
        <f>'Datos Crudos SE3 Impac'!R66</f>
        <v>1.9491000000000001</v>
      </c>
      <c r="M183" s="62">
        <v>44708</v>
      </c>
      <c r="N183" s="9">
        <f>'Datos Crudos SE3 Impac'!M11</f>
        <v>0.49580000000000002</v>
      </c>
      <c r="O183" s="9">
        <f>'Datos Crudos SE3 Impac'!P11</f>
        <v>0.1399</v>
      </c>
      <c r="P183" s="9">
        <f>'Datos Crudos SE3 Impac'!Q11</f>
        <v>5.8900000000000001E-2</v>
      </c>
      <c r="Q183" s="9">
        <f>'Datos Crudos SE3 Impac'!M66</f>
        <v>1.4012</v>
      </c>
      <c r="R183" s="9">
        <f>'Datos Crudos SE3 Impac'!P66</f>
        <v>0.1341</v>
      </c>
      <c r="S183" s="9">
        <f>'Datos Crudos SE3 Impac'!Q66</f>
        <v>6.1600000000000002E-2</v>
      </c>
      <c r="T183" s="9">
        <f>'Datos Crudos SE3 Impac'!O11</f>
        <v>0.2959</v>
      </c>
      <c r="U183" s="9">
        <f>'Datos Crudos SE3 Impac'!O66</f>
        <v>1.2064999999999999</v>
      </c>
      <c r="V183" s="198">
        <f t="shared" si="14"/>
        <v>0.83346465556055827</v>
      </c>
      <c r="W183" s="198">
        <f t="shared" si="15"/>
        <v>1.0136988645417677E-2</v>
      </c>
      <c r="X183" s="21">
        <f t="shared" si="16"/>
        <v>0.54640438226772947</v>
      </c>
      <c r="Y183" s="21">
        <f t="shared" si="17"/>
        <v>0.61900364270689034</v>
      </c>
      <c r="Z183" s="22">
        <f t="shared" si="18"/>
        <v>60</v>
      </c>
      <c r="AA183" s="248">
        <f t="shared" si="19"/>
        <v>1.9915733807975802E-2</v>
      </c>
      <c r="AB183" s="9">
        <f>'Datos Crudos SE3 Impac'!S11</f>
        <v>83.346465556055833</v>
      </c>
      <c r="AC183" s="9">
        <f>'Datos Crudos SE3 Impac'!S66</f>
        <v>38.099635729310968</v>
      </c>
      <c r="AH183" s="17">
        <f>'Datos Crudos SE3 Impac'!U11</f>
        <v>16.653534443944171</v>
      </c>
      <c r="AI183" s="17">
        <f>'Datos Crudos SE3 Impac'!U66</f>
        <v>61.900364270689032</v>
      </c>
    </row>
    <row r="184" spans="1:35" x14ac:dyDescent="0.25">
      <c r="A184" s="22" t="s">
        <v>698</v>
      </c>
      <c r="B184" s="87" t="s">
        <v>327</v>
      </c>
      <c r="C184" s="61" t="s">
        <v>317</v>
      </c>
      <c r="D184" s="61">
        <v>1</v>
      </c>
      <c r="E184" t="s">
        <v>18</v>
      </c>
      <c r="F184" s="53">
        <v>44648</v>
      </c>
      <c r="G184" s="9">
        <f>'Datos Crudos SE3 Impac'!H12</f>
        <v>1.9017999999999999</v>
      </c>
      <c r="H184" s="9">
        <f>'Datos Crudos SE3 Impac'!H67</f>
        <v>2.1063000000000001</v>
      </c>
      <c r="I184" s="17">
        <f>'Datos Crudos SE3 Impac'!I12</f>
        <v>4.7481333473551404</v>
      </c>
      <c r="J184" s="17">
        <f>'Datos Crudos SE3 Impac'!I67</f>
        <v>5.9250818971656471</v>
      </c>
      <c r="K184" s="9">
        <f>'Datos Crudos SE3 Impac'!R12</f>
        <v>1.7004999999999999</v>
      </c>
      <c r="L184" s="9">
        <f>'Datos Crudos SE3 Impac'!R67</f>
        <v>1.9018000000000002</v>
      </c>
      <c r="M184" s="62">
        <v>44708</v>
      </c>
      <c r="N184" s="9">
        <f>'Datos Crudos SE3 Impac'!M12</f>
        <v>0.50080000000000002</v>
      </c>
      <c r="O184" s="9">
        <f>'Datos Crudos SE3 Impac'!P12</f>
        <v>0.13600000000000001</v>
      </c>
      <c r="P184" s="9">
        <f>'Datos Crudos SE3 Impac'!Q12</f>
        <v>6.5299999999999997E-2</v>
      </c>
      <c r="Q184" s="9">
        <f>'Datos Crudos SE3 Impac'!M67</f>
        <v>1.4825999999999999</v>
      </c>
      <c r="R184" s="9">
        <f>'Datos Crudos SE3 Impac'!P67</f>
        <v>0.13930000000000001</v>
      </c>
      <c r="S184" s="9">
        <f>'Datos Crudos SE3 Impac'!Q67</f>
        <v>6.5199999999999994E-2</v>
      </c>
      <c r="T184" s="9">
        <f>'Datos Crudos SE3 Impac'!O12</f>
        <v>0.36259999999999998</v>
      </c>
      <c r="U184" s="9">
        <f>'Datos Crudos SE3 Impac'!O67</f>
        <v>1.2789999999999999</v>
      </c>
      <c r="V184" s="198">
        <f t="shared" si="14"/>
        <v>0.78676859747133199</v>
      </c>
      <c r="W184" s="198">
        <f t="shared" si="15"/>
        <v>6.5595489939035634E-2</v>
      </c>
      <c r="X184" s="21">
        <f t="shared" si="16"/>
        <v>0.51579128955365239</v>
      </c>
      <c r="Y184" s="21">
        <f t="shared" si="17"/>
        <v>0.67252076979703423</v>
      </c>
      <c r="Z184" s="22">
        <f t="shared" si="18"/>
        <v>60</v>
      </c>
      <c r="AA184" s="248">
        <f t="shared" si="19"/>
        <v>1.6793362152519382E-2</v>
      </c>
      <c r="AB184" s="9">
        <f>'Datos Crudos SE3 Impac'!S12</f>
        <v>78.676859747133193</v>
      </c>
      <c r="AC184" s="9">
        <f>'Datos Crudos SE3 Impac'!S67</f>
        <v>32.747923020296568</v>
      </c>
      <c r="AH184" s="17">
        <f>'Datos Crudos SE3 Impac'!U12</f>
        <v>21.323140252866803</v>
      </c>
      <c r="AI184" s="17">
        <f>'Datos Crudos SE3 Impac'!U67</f>
        <v>67.252076979703418</v>
      </c>
    </row>
    <row r="185" spans="1:35" x14ac:dyDescent="0.25">
      <c r="A185" s="22" t="s">
        <v>699</v>
      </c>
      <c r="B185" s="87" t="s">
        <v>327</v>
      </c>
      <c r="C185" s="61" t="s">
        <v>317</v>
      </c>
      <c r="D185" s="61">
        <v>2</v>
      </c>
      <c r="E185" t="s">
        <v>18</v>
      </c>
      <c r="F185" s="53">
        <v>44648</v>
      </c>
      <c r="G185" s="9">
        <f>'Datos Crudos SE3 Impac'!H13</f>
        <v>1.9890000000000001</v>
      </c>
      <c r="H185" s="9">
        <f>'Datos Crudos SE3 Impac'!H68</f>
        <v>2.0979999999999999</v>
      </c>
      <c r="I185" s="17">
        <f>'Datos Crudos SE3 Impac'!I13</f>
        <v>4.7461035696329832</v>
      </c>
      <c r="J185" s="17">
        <f>'Datos Crudos SE3 Impac'!I68</f>
        <v>6.0295519542421383</v>
      </c>
      <c r="K185" s="9">
        <f>'Datos Crudos SE3 Impac'!R13</f>
        <v>1.7871000000000001</v>
      </c>
      <c r="L185" s="9">
        <f>'Datos Crudos SE3 Impac'!R68</f>
        <v>1.8746999999999998</v>
      </c>
      <c r="M185" s="62">
        <v>44708</v>
      </c>
      <c r="N185" s="9">
        <f>'Datos Crudos SE3 Impac'!M13</f>
        <v>0.53979999999999995</v>
      </c>
      <c r="O185" s="9">
        <f>'Datos Crudos SE3 Impac'!P13</f>
        <v>0.1406</v>
      </c>
      <c r="P185" s="9">
        <f>'Datos Crudos SE3 Impac'!Q13</f>
        <v>6.13E-2</v>
      </c>
      <c r="Q185" s="9">
        <f>'Datos Crudos SE3 Impac'!M68</f>
        <v>1.4612000000000001</v>
      </c>
      <c r="R185" s="9">
        <f>'Datos Crudos SE3 Impac'!P68</f>
        <v>0.15870000000000001</v>
      </c>
      <c r="S185" s="9">
        <f>'Datos Crudos SE3 Impac'!Q68</f>
        <v>6.4600000000000005E-2</v>
      </c>
      <c r="T185" s="9">
        <f>'Datos Crudos SE3 Impac'!O13</f>
        <v>0.33539999999999998</v>
      </c>
      <c r="U185" s="9">
        <f>'Datos Crudos SE3 Impac'!O68</f>
        <v>1.2402</v>
      </c>
      <c r="V185" s="198">
        <f t="shared" si="14"/>
        <v>0.81232163840859495</v>
      </c>
      <c r="W185" s="198">
        <f t="shared" si="15"/>
        <v>3.5247460322333724E-2</v>
      </c>
      <c r="X185" s="21">
        <f t="shared" si="16"/>
        <v>0.53254340190207183</v>
      </c>
      <c r="Y185" s="21">
        <f t="shared" si="17"/>
        <v>0.66154584733557376</v>
      </c>
      <c r="Z185" s="22">
        <f t="shared" si="18"/>
        <v>60</v>
      </c>
      <c r="AA185" s="248">
        <f t="shared" si="19"/>
        <v>1.6822438321515656E-2</v>
      </c>
      <c r="AB185" s="9">
        <f>'Datos Crudos SE3 Impac'!S13</f>
        <v>81.232163840859499</v>
      </c>
      <c r="AC185" s="9">
        <f>'Datos Crudos SE3 Impac'!S68</f>
        <v>33.845415266442622</v>
      </c>
      <c r="AH185" s="17">
        <f>'Datos Crudos SE3 Impac'!U13</f>
        <v>18.767836159140504</v>
      </c>
      <c r="AI185" s="17">
        <f>'Datos Crudos SE3 Impac'!U68</f>
        <v>66.154584733557371</v>
      </c>
    </row>
    <row r="186" spans="1:35" x14ac:dyDescent="0.25">
      <c r="A186" s="22" t="s">
        <v>700</v>
      </c>
      <c r="B186" s="87" t="s">
        <v>327</v>
      </c>
      <c r="C186" s="61" t="s">
        <v>317</v>
      </c>
      <c r="D186" s="61">
        <v>1</v>
      </c>
      <c r="E186" t="s">
        <v>19</v>
      </c>
      <c r="F186" s="53">
        <v>44648</v>
      </c>
      <c r="G186" s="9">
        <f>'Datos Crudos SE3 Impac'!H14</f>
        <v>1.9263999999999999</v>
      </c>
      <c r="H186" s="9">
        <f>'Datos Crudos SE3 Impac'!H69</f>
        <v>2.1372</v>
      </c>
      <c r="I186" s="17">
        <f>'Datos Crudos SE3 Impac'!I14</f>
        <v>4.7601744186046577</v>
      </c>
      <c r="J186" s="17">
        <f>'Datos Crudos SE3 Impac'!I69</f>
        <v>5.8440950776717306</v>
      </c>
      <c r="K186" s="9">
        <f>'Datos Crudos SE3 Impac'!R14</f>
        <v>1.7227999999999999</v>
      </c>
      <c r="L186" s="9">
        <f>'Datos Crudos SE3 Impac'!R69</f>
        <v>1.929</v>
      </c>
      <c r="M186" s="62">
        <v>44708</v>
      </c>
      <c r="N186" s="9">
        <f>'Datos Crudos SE3 Impac'!M14</f>
        <v>0.57250000000000001</v>
      </c>
      <c r="O186" s="9">
        <f>'Datos Crudos SE3 Impac'!P14</f>
        <v>0.14280000000000001</v>
      </c>
      <c r="P186" s="9">
        <f>'Datos Crudos SE3 Impac'!Q14</f>
        <v>6.08E-2</v>
      </c>
      <c r="Q186" s="9">
        <f>'Datos Crudos SE3 Impac'!M69</f>
        <v>1.4767999999999999</v>
      </c>
      <c r="R186" s="9">
        <f>'Datos Crudos SE3 Impac'!P69</f>
        <v>0.15090000000000001</v>
      </c>
      <c r="S186" s="9">
        <f>'Datos Crudos SE3 Impac'!Q69</f>
        <v>5.7299999999999997E-2</v>
      </c>
      <c r="T186" s="9">
        <f>'Datos Crudos SE3 Impac'!O14</f>
        <v>0.3705</v>
      </c>
      <c r="U186" s="9">
        <f>'Datos Crudos SE3 Impac'!O69</f>
        <v>1.2695000000000001</v>
      </c>
      <c r="V186" s="198">
        <f t="shared" si="14"/>
        <v>0.78494311585790566</v>
      </c>
      <c r="W186" s="198">
        <f t="shared" si="15"/>
        <v>6.7763520358781859E-2</v>
      </c>
      <c r="X186" s="21">
        <f t="shared" si="16"/>
        <v>0.51459453676195244</v>
      </c>
      <c r="Y186" s="21">
        <f t="shared" si="17"/>
        <v>0.65811301192327631</v>
      </c>
      <c r="Z186" s="22">
        <f t="shared" si="18"/>
        <v>60</v>
      </c>
      <c r="AA186" s="248">
        <f t="shared" si="19"/>
        <v>1.8196326488380758E-2</v>
      </c>
      <c r="AB186" s="9">
        <f>'Datos Crudos SE3 Impac'!S14</f>
        <v>78.49431158579057</v>
      </c>
      <c r="AC186" s="9">
        <f>'Datos Crudos SE3 Impac'!S69</f>
        <v>34.188698807672367</v>
      </c>
      <c r="AH186" s="17">
        <f>'Datos Crudos SE3 Impac'!U14</f>
        <v>21.505688414209427</v>
      </c>
      <c r="AI186" s="17">
        <f>'Datos Crudos SE3 Impac'!U69</f>
        <v>65.811301192327633</v>
      </c>
    </row>
    <row r="187" spans="1:35" x14ac:dyDescent="0.25">
      <c r="A187" s="22" t="s">
        <v>702</v>
      </c>
      <c r="B187" s="87" t="s">
        <v>327</v>
      </c>
      <c r="C187" s="61" t="s">
        <v>317</v>
      </c>
      <c r="D187" s="61">
        <v>1</v>
      </c>
      <c r="E187" t="s">
        <v>20</v>
      </c>
      <c r="F187" s="53">
        <v>44648</v>
      </c>
      <c r="G187" s="9">
        <f>'Datos Crudos SE3 Impac'!H16</f>
        <v>2.0243000000000002</v>
      </c>
      <c r="H187" s="9">
        <f>'Datos Crudos SE3 Impac'!H70</f>
        <v>2.1509</v>
      </c>
      <c r="I187" s="17">
        <f>'Datos Crudos SE3 Impac'!I16</f>
        <v>4.5645408289284974</v>
      </c>
      <c r="J187" s="17">
        <f>'Datos Crudos SE3 Impac'!I70</f>
        <v>5.8533637082151717</v>
      </c>
      <c r="K187" s="9">
        <f>'Datos Crudos SE3 Impac'!R16</f>
        <v>1.8222000000000003</v>
      </c>
      <c r="L187" s="9">
        <f>'Datos Crudos SE3 Impac'!R70</f>
        <v>1.9459</v>
      </c>
      <c r="M187" s="62">
        <v>44708</v>
      </c>
      <c r="N187" s="9">
        <f>'Datos Crudos SE3 Impac'!M16</f>
        <v>0.5696</v>
      </c>
      <c r="O187" s="9">
        <f>'Datos Crudos SE3 Impac'!P16</f>
        <v>0.1424</v>
      </c>
      <c r="P187" s="9">
        <f>'Datos Crudos SE3 Impac'!Q16</f>
        <v>5.9700000000000003E-2</v>
      </c>
      <c r="Q187" s="9">
        <f>'Datos Crudos SE3 Impac'!M70</f>
        <v>1.5287999999999999</v>
      </c>
      <c r="R187" s="9">
        <f>'Datos Crudos SE3 Impac'!P70</f>
        <v>0.14799999999999999</v>
      </c>
      <c r="S187" s="9">
        <f>'Datos Crudos SE3 Impac'!Q70</f>
        <v>5.7000000000000002E-2</v>
      </c>
      <c r="T187" s="9">
        <f>'Datos Crudos SE3 Impac'!O16</f>
        <v>0.36930000000000002</v>
      </c>
      <c r="U187" s="9">
        <f>'Datos Crudos SE3 Impac'!O70</f>
        <v>1.325</v>
      </c>
      <c r="V187" s="198">
        <f t="shared" si="14"/>
        <v>0.79733289430358911</v>
      </c>
      <c r="W187" s="198">
        <f t="shared" si="15"/>
        <v>5.3048819116877532E-2</v>
      </c>
      <c r="X187" s="21">
        <f t="shared" si="16"/>
        <v>0.52271705184748363</v>
      </c>
      <c r="Y187" s="21">
        <f t="shared" si="17"/>
        <v>0.68091885502852145</v>
      </c>
      <c r="Z187" s="22">
        <f t="shared" si="18"/>
        <v>60</v>
      </c>
      <c r="AA187" s="248">
        <f t="shared" si="19"/>
        <v>1.5711777979764321E-2</v>
      </c>
      <c r="AB187" s="9">
        <f>'Datos Crudos SE3 Impac'!S16</f>
        <v>79.733289430358909</v>
      </c>
      <c r="AC187" s="9">
        <f>'Datos Crudos SE3 Impac'!S70</f>
        <v>31.908114497147849</v>
      </c>
      <c r="AH187" s="17">
        <f>'Datos Crudos SE3 Impac'!U15</f>
        <v>18.394314911610969</v>
      </c>
      <c r="AI187" s="17">
        <f>'Datos Crudos SE3 Impac'!U70</f>
        <v>68.091885502852151</v>
      </c>
    </row>
    <row r="188" spans="1:35" x14ac:dyDescent="0.25">
      <c r="A188" s="22" t="s">
        <v>703</v>
      </c>
      <c r="B188" s="87" t="s">
        <v>327</v>
      </c>
      <c r="C188" s="61" t="s">
        <v>317</v>
      </c>
      <c r="D188" s="61">
        <v>2</v>
      </c>
      <c r="E188" t="s">
        <v>20</v>
      </c>
      <c r="F188" s="53">
        <v>44648</v>
      </c>
      <c r="G188" s="9">
        <f>'Datos Crudos SE3 Impac'!H17</f>
        <v>1.9323999999999999</v>
      </c>
      <c r="H188" s="9">
        <f>'Datos Crudos SE3 Impac'!H71</f>
        <v>2.1610999999999998</v>
      </c>
      <c r="I188" s="17">
        <f>'Datos Crudos SE3 Impac'!I17</f>
        <v>4.6315462637135241</v>
      </c>
      <c r="J188" s="17">
        <f>'Datos Crudos SE3 Impac'!I71</f>
        <v>6.1126278284207274</v>
      </c>
      <c r="K188" s="9">
        <f>'Datos Crudos SE3 Impac'!R17</f>
        <v>1.7373999999999998</v>
      </c>
      <c r="L188" s="9">
        <f>'Datos Crudos SE3 Impac'!R71</f>
        <v>1.9504999999999999</v>
      </c>
      <c r="M188" s="62">
        <v>44708</v>
      </c>
      <c r="N188" s="9">
        <f>'Datos Crudos SE3 Impac'!M17</f>
        <v>0.58240000000000003</v>
      </c>
      <c r="O188" s="9">
        <f>'Datos Crudos SE3 Impac'!P17</f>
        <v>0.13739999999999999</v>
      </c>
      <c r="P188" s="9">
        <f>'Datos Crudos SE3 Impac'!Q17</f>
        <v>5.7599999999999998E-2</v>
      </c>
      <c r="Q188" s="9">
        <f>'Datos Crudos SE3 Impac'!M71</f>
        <v>1.5084</v>
      </c>
      <c r="R188" s="9">
        <f>'Datos Crudos SE3 Impac'!P71</f>
        <v>0.152</v>
      </c>
      <c r="S188" s="9">
        <f>'Datos Crudos SE3 Impac'!Q71</f>
        <v>5.8599999999999999E-2</v>
      </c>
      <c r="T188" s="9">
        <f>'Datos Crudos SE3 Impac'!O17</f>
        <v>0.38690000000000002</v>
      </c>
      <c r="U188" s="9">
        <f>'Datos Crudos SE3 Impac'!O71</f>
        <v>1.2995000000000001</v>
      </c>
      <c r="V188" s="198">
        <f t="shared" si="14"/>
        <v>0.7773109243697478</v>
      </c>
      <c r="W188" s="198">
        <f t="shared" si="15"/>
        <v>7.6827880796023984E-2</v>
      </c>
      <c r="X188" s="21">
        <f t="shared" si="16"/>
        <v>0.5095910098005948</v>
      </c>
      <c r="Y188" s="21">
        <f t="shared" si="17"/>
        <v>0.66623942578825945</v>
      </c>
      <c r="Z188" s="22">
        <f t="shared" si="18"/>
        <v>60</v>
      </c>
      <c r="AA188" s="248">
        <f t="shared" si="19"/>
        <v>1.7734806099013831E-2</v>
      </c>
      <c r="AB188" s="9">
        <f>'Datos Crudos SE3 Impac'!S17</f>
        <v>77.731092436974791</v>
      </c>
      <c r="AC188" s="9">
        <f>'Datos Crudos SE3 Impac'!S71</f>
        <v>33.376057421174046</v>
      </c>
      <c r="AH188" s="17">
        <f>'Datos Crudos SE3 Impac'!U16</f>
        <v>20.266710569641091</v>
      </c>
      <c r="AI188" s="17">
        <f>'Datos Crudos SE3 Impac'!U71</f>
        <v>66.623942578825947</v>
      </c>
    </row>
    <row r="189" spans="1:35" x14ac:dyDescent="0.25">
      <c r="A189" s="22" t="s">
        <v>704</v>
      </c>
      <c r="B189" s="87" t="s">
        <v>623</v>
      </c>
      <c r="C189" s="61" t="s">
        <v>317</v>
      </c>
      <c r="D189" s="61">
        <v>1</v>
      </c>
      <c r="E189" t="s">
        <v>17</v>
      </c>
      <c r="F189" s="53">
        <v>44669</v>
      </c>
      <c r="G189" s="9">
        <f>'Datos Crudos SE3 Impac'!H18</f>
        <v>1.9719</v>
      </c>
      <c r="H189" s="9">
        <f>'Datos Crudos SE3 Impac'!H72</f>
        <v>2.1793999999999998</v>
      </c>
      <c r="I189" s="17">
        <f>'Datos Crudos SE3 Impac'!I18</f>
        <v>3.8947208276281864</v>
      </c>
      <c r="J189" s="17">
        <f>'Datos Crudos SE3 Impac'!I72</f>
        <v>4.5058272919152191</v>
      </c>
      <c r="K189" s="9">
        <f>'Datos Crudos SE3 Impac'!R18</f>
        <v>1.7484</v>
      </c>
      <c r="L189" s="9">
        <f>'Datos Crudos SE3 Impac'!R72</f>
        <v>1.9754999999999998</v>
      </c>
      <c r="M189" s="62">
        <v>44729</v>
      </c>
      <c r="N189" s="9">
        <f>'Datos Crudos SE3 Impac'!M18</f>
        <v>0.56999999999999995</v>
      </c>
      <c r="O189" s="9">
        <f>'Datos Crudos SE3 Impac'!P18</f>
        <v>0.13850000000000001</v>
      </c>
      <c r="P189" s="9">
        <f>'Datos Crudos SE3 Impac'!Q18</f>
        <v>8.5000000000000006E-2</v>
      </c>
      <c r="Q189" s="9">
        <f>'Datos Crudos SE3 Impac'!M72</f>
        <v>1.5478000000000001</v>
      </c>
      <c r="R189" s="9">
        <f>'Datos Crudos SE3 Impac'!P72</f>
        <v>0.13730000000000001</v>
      </c>
      <c r="S189" s="9">
        <f>'Datos Crudos SE3 Impac'!Q72</f>
        <v>6.6600000000000006E-2</v>
      </c>
      <c r="T189" s="9">
        <f>'Datos Crudos SE3 Impac'!O18</f>
        <v>0.34939999999999999</v>
      </c>
      <c r="U189" s="9">
        <f>'Datos Crudos SE3 Impac'!O72</f>
        <v>1.3435999999999999</v>
      </c>
      <c r="V189" s="198">
        <f t="shared" si="14"/>
        <v>0.80016014641958366</v>
      </c>
      <c r="W189" s="198">
        <f t="shared" si="15"/>
        <v>4.9691037506432667E-2</v>
      </c>
      <c r="X189" s="21">
        <f t="shared" si="16"/>
        <v>0.52457054729644925</v>
      </c>
      <c r="Y189" s="21">
        <f t="shared" si="17"/>
        <v>0.68013161225006324</v>
      </c>
      <c r="Z189" s="22">
        <f t="shared" si="18"/>
        <v>60</v>
      </c>
      <c r="AA189" s="248">
        <f t="shared" si="19"/>
        <v>1.5683731337827529E-2</v>
      </c>
      <c r="AB189" s="9">
        <f>'Datos Crudos SE3 Impac'!S18</f>
        <v>80.016014641958364</v>
      </c>
      <c r="AC189" s="9">
        <f>'Datos Crudos SE3 Impac'!S72</f>
        <v>31.986838774993672</v>
      </c>
      <c r="AD189" s="65">
        <f>AVERAGE(W189:W196)</f>
        <v>6.1577400157874482E-2</v>
      </c>
      <c r="AE189">
        <f>STDEV(W189:W196)</f>
        <v>2.8833134442748029E-2</v>
      </c>
      <c r="AF189" s="7">
        <f>AVERAGE(AA189:AA196)</f>
        <v>1.6057501051608667E-2</v>
      </c>
      <c r="AG189">
        <f>STDEV(AA189:AA196)</f>
        <v>1.9391340747564973E-3</v>
      </c>
      <c r="AH189" s="17">
        <f>'Datos Crudos SE3 Impac'!U17</f>
        <v>22.268907563025213</v>
      </c>
      <c r="AI189" s="17">
        <f>'Datos Crudos SE3 Impac'!U72</f>
        <v>68.013161225006328</v>
      </c>
    </row>
    <row r="190" spans="1:35" x14ac:dyDescent="0.25">
      <c r="A190" s="22" t="s">
        <v>705</v>
      </c>
      <c r="B190" s="87" t="s">
        <v>623</v>
      </c>
      <c r="C190" s="61" t="s">
        <v>317</v>
      </c>
      <c r="D190" s="61">
        <v>2</v>
      </c>
      <c r="E190" t="s">
        <v>17</v>
      </c>
      <c r="F190" s="53">
        <v>44669</v>
      </c>
      <c r="G190" s="9">
        <f>'Datos Crudos SE3 Impac'!H19</f>
        <v>1.9615</v>
      </c>
      <c r="H190" s="9">
        <f>'Datos Crudos SE3 Impac'!H73</f>
        <v>2.1334</v>
      </c>
      <c r="I190" s="17">
        <f>'Datos Crudos SE3 Impac'!I19</f>
        <v>4.6240122355340301</v>
      </c>
      <c r="J190" s="17">
        <f>'Datos Crudos SE3 Impac'!I73</f>
        <v>4.8701603074903854</v>
      </c>
      <c r="K190" s="9">
        <f>'Datos Crudos SE3 Impac'!R19</f>
        <v>1.7194</v>
      </c>
      <c r="L190" s="9">
        <f>'Datos Crudos SE3 Impac'!R73</f>
        <v>1.9156</v>
      </c>
      <c r="M190" s="62">
        <v>44729</v>
      </c>
      <c r="N190" s="9">
        <f>'Datos Crudos SE3 Impac'!M19</f>
        <v>0.52470000000000006</v>
      </c>
      <c r="O190" s="9">
        <f>'Datos Crudos SE3 Impac'!P19</f>
        <v>0.183</v>
      </c>
      <c r="P190" s="9">
        <f>'Datos Crudos SE3 Impac'!Q19</f>
        <v>5.91E-2</v>
      </c>
      <c r="Q190" s="9">
        <f>'Datos Crudos SE3 Impac'!M73</f>
        <v>1.4593</v>
      </c>
      <c r="R190" s="9">
        <f>'Datos Crudos SE3 Impac'!P73</f>
        <v>0.156</v>
      </c>
      <c r="S190" s="9">
        <f>'Datos Crudos SE3 Impac'!Q73</f>
        <v>6.1800000000000001E-2</v>
      </c>
      <c r="T190" s="9">
        <f>'Datos Crudos SE3 Impac'!O19</f>
        <v>0.27350000000000002</v>
      </c>
      <c r="U190" s="9">
        <f>'Datos Crudos SE3 Impac'!O73</f>
        <v>1.2412000000000001</v>
      </c>
      <c r="V190" s="198">
        <f t="shared" si="14"/>
        <v>0.84093288356403395</v>
      </c>
      <c r="W190" s="198">
        <f t="shared" si="15"/>
        <v>1.2673591876081192E-3</v>
      </c>
      <c r="X190" s="21">
        <f t="shared" si="16"/>
        <v>0.55130041772844041</v>
      </c>
      <c r="Y190" s="21">
        <f t="shared" si="17"/>
        <v>0.64794320317394039</v>
      </c>
      <c r="Z190" s="22">
        <f t="shared" si="18"/>
        <v>60</v>
      </c>
      <c r="AA190" s="248">
        <f t="shared" si="19"/>
        <v>1.6962526361653695E-2</v>
      </c>
      <c r="AB190" s="9">
        <f>'Datos Crudos SE3 Impac'!S19</f>
        <v>84.093288356403392</v>
      </c>
      <c r="AC190" s="9">
        <f>'Datos Crudos SE3 Impac'!S73</f>
        <v>35.205679682605968</v>
      </c>
      <c r="AH190" s="17">
        <f>'Datos Crudos SE3 Impac'!U18</f>
        <v>19.983985358041636</v>
      </c>
      <c r="AI190" s="17">
        <f>'Datos Crudos SE3 Impac'!U73</f>
        <v>64.794320317394039</v>
      </c>
    </row>
    <row r="191" spans="1:35" x14ac:dyDescent="0.25">
      <c r="A191" s="22" t="s">
        <v>706</v>
      </c>
      <c r="B191" s="87" t="s">
        <v>623</v>
      </c>
      <c r="C191" s="61" t="s">
        <v>317</v>
      </c>
      <c r="D191" s="61">
        <v>1</v>
      </c>
      <c r="E191" t="s">
        <v>18</v>
      </c>
      <c r="F191" s="53">
        <v>44669</v>
      </c>
      <c r="G191" s="9">
        <f>'Datos Crudos SE3 Impac'!H20</f>
        <v>1.9156</v>
      </c>
      <c r="H191" s="9">
        <f>'Datos Crudos SE3 Impac'!H74</f>
        <v>2.1836000000000002</v>
      </c>
      <c r="I191" s="17">
        <f>'Datos Crudos SE3 Impac'!I20</f>
        <v>4.0091877218626015</v>
      </c>
      <c r="J191" s="17">
        <f>'Datos Crudos SE3 Impac'!I74</f>
        <v>4.5429565854551992</v>
      </c>
      <c r="K191" s="9">
        <f>'Datos Crudos SE3 Impac'!R20</f>
        <v>1.7073</v>
      </c>
      <c r="L191" s="9">
        <f>'Datos Crudos SE3 Impac'!R74</f>
        <v>1.9546000000000001</v>
      </c>
      <c r="M191" s="62">
        <v>44729</v>
      </c>
      <c r="N191" s="9">
        <f>'Datos Crudos SE3 Impac'!M20</f>
        <v>0.61770000000000003</v>
      </c>
      <c r="O191" s="9">
        <f>'Datos Crudos SE3 Impac'!P20</f>
        <v>0.13769999999999999</v>
      </c>
      <c r="P191" s="9">
        <f>'Datos Crudos SE3 Impac'!Q20</f>
        <v>7.0599999999999996E-2</v>
      </c>
      <c r="Q191" s="9">
        <f>'Datos Crudos SE3 Impac'!M74</f>
        <v>1.5714999999999999</v>
      </c>
      <c r="R191" s="9">
        <f>'Datos Crudos SE3 Impac'!P74</f>
        <v>0.15160000000000001</v>
      </c>
      <c r="S191" s="9">
        <f>'Datos Crudos SE3 Impac'!Q74</f>
        <v>7.7399999999999997E-2</v>
      </c>
      <c r="T191" s="9">
        <f>'Datos Crudos SE3 Impac'!O20</f>
        <v>0.40889999999999999</v>
      </c>
      <c r="U191" s="9">
        <f>'Datos Crudos SE3 Impac'!O74</f>
        <v>1.3393999999999999</v>
      </c>
      <c r="V191" s="198">
        <f t="shared" si="14"/>
        <v>0.76049903356176418</v>
      </c>
      <c r="W191" s="198">
        <f t="shared" si="15"/>
        <v>9.6794496957524734E-2</v>
      </c>
      <c r="X191" s="21">
        <f t="shared" si="16"/>
        <v>0.49856943767944639</v>
      </c>
      <c r="Y191" s="21">
        <f t="shared" si="17"/>
        <v>0.6852552952010641</v>
      </c>
      <c r="Z191" s="22">
        <f t="shared" si="18"/>
        <v>60</v>
      </c>
      <c r="AA191" s="248">
        <f t="shared" si="19"/>
        <v>1.6629335132954452E-2</v>
      </c>
      <c r="AB191" s="9">
        <f>'Datos Crudos SE3 Impac'!S20</f>
        <v>76.049903356176415</v>
      </c>
      <c r="AC191" s="9">
        <f>'Datos Crudos SE3 Impac'!S74</f>
        <v>31.47447047989359</v>
      </c>
      <c r="AH191" s="17">
        <f>'Datos Crudos SE3 Impac'!U19</f>
        <v>15.906711643596605</v>
      </c>
      <c r="AI191" s="17">
        <f>'Datos Crudos SE3 Impac'!U74</f>
        <v>68.525529520106403</v>
      </c>
    </row>
    <row r="192" spans="1:35" x14ac:dyDescent="0.25">
      <c r="A192" s="22" t="s">
        <v>707</v>
      </c>
      <c r="B192" s="87" t="s">
        <v>623</v>
      </c>
      <c r="C192" s="61" t="s">
        <v>317</v>
      </c>
      <c r="D192" s="61">
        <v>2</v>
      </c>
      <c r="E192" t="s">
        <v>18</v>
      </c>
      <c r="F192" s="53">
        <v>44669</v>
      </c>
      <c r="G192" s="9">
        <f>'Datos Crudos SE3 Impac'!H21</f>
        <v>1.9497</v>
      </c>
      <c r="H192" s="9">
        <f>'Datos Crudos SE3 Impac'!H75</f>
        <v>2.1280999999999999</v>
      </c>
      <c r="I192" s="17">
        <f>'Datos Crudos SE3 Impac'!I21</f>
        <v>4.0724213981638275</v>
      </c>
      <c r="J192" s="17">
        <f>'Datos Crudos SE3 Impac'!I75</f>
        <v>4.8212020111836971</v>
      </c>
      <c r="K192" s="9">
        <f>'Datos Crudos SE3 Impac'!R21</f>
        <v>1.7445999999999999</v>
      </c>
      <c r="L192" s="9">
        <f>'Datos Crudos SE3 Impac'!R75</f>
        <v>1.9042999999999999</v>
      </c>
      <c r="M192" s="62">
        <v>44729</v>
      </c>
      <c r="N192" s="9">
        <f>'Datos Crudos SE3 Impac'!M21</f>
        <v>0.59940000000000004</v>
      </c>
      <c r="O192" s="9">
        <f>'Datos Crudos SE3 Impac'!P21</f>
        <v>0.13639999999999999</v>
      </c>
      <c r="P192" s="9">
        <f>'Datos Crudos SE3 Impac'!Q21</f>
        <v>6.8699999999999997E-2</v>
      </c>
      <c r="Q192" s="9">
        <f>'Datos Crudos SE3 Impac'!M75</f>
        <v>1.4728000000000001</v>
      </c>
      <c r="R192" s="9">
        <f>'Datos Crudos SE3 Impac'!P75</f>
        <v>0.1469</v>
      </c>
      <c r="S192" s="9">
        <f>'Datos Crudos SE3 Impac'!Q75</f>
        <v>7.6899999999999996E-2</v>
      </c>
      <c r="T192" s="9">
        <f>'Datos Crudos SE3 Impac'!O21</f>
        <v>0.39319999999999999</v>
      </c>
      <c r="U192" s="9">
        <f>'Datos Crudos SE3 Impac'!O75</f>
        <v>1.2463</v>
      </c>
      <c r="V192" s="198">
        <f t="shared" si="14"/>
        <v>0.7746188237991517</v>
      </c>
      <c r="W192" s="198">
        <f t="shared" si="15"/>
        <v>8.002514988224263E-2</v>
      </c>
      <c r="X192" s="21">
        <f t="shared" si="16"/>
        <v>0.50782611726500215</v>
      </c>
      <c r="Y192" s="21">
        <f t="shared" si="17"/>
        <v>0.65446620805545352</v>
      </c>
      <c r="Z192" s="22">
        <f t="shared" si="18"/>
        <v>60</v>
      </c>
      <c r="AA192" s="248">
        <f t="shared" si="19"/>
        <v>1.9012331895499297E-2</v>
      </c>
      <c r="AB192" s="9">
        <f>'Datos Crudos SE3 Impac'!S21</f>
        <v>77.461882379915167</v>
      </c>
      <c r="AC192" s="9">
        <f>'Datos Crudos SE3 Impac'!S75</f>
        <v>34.553379194454656</v>
      </c>
      <c r="AH192" s="17">
        <f>'Datos Crudos SE3 Impac'!U20</f>
        <v>23.950096643823578</v>
      </c>
      <c r="AI192" s="17">
        <f>'Datos Crudos SE3 Impac'!U75</f>
        <v>65.446620805545351</v>
      </c>
    </row>
    <row r="193" spans="1:35" x14ac:dyDescent="0.25">
      <c r="A193" s="22" t="s">
        <v>708</v>
      </c>
      <c r="B193" s="87" t="s">
        <v>623</v>
      </c>
      <c r="C193" s="61" t="s">
        <v>317</v>
      </c>
      <c r="D193" s="61">
        <v>1</v>
      </c>
      <c r="E193" t="s">
        <v>19</v>
      </c>
      <c r="F193" s="53">
        <v>44669</v>
      </c>
      <c r="G193" s="9">
        <f>'Datos Crudos SE3 Impac'!H22</f>
        <v>1.9548000000000001</v>
      </c>
      <c r="H193" s="9">
        <f>'Datos Crudos SE3 Impac'!H76</f>
        <v>2.1859000000000002</v>
      </c>
      <c r="I193" s="17">
        <f>'Datos Crudos SE3 Impac'!I22</f>
        <v>4.0362185389809682</v>
      </c>
      <c r="J193" s="17">
        <f>'Datos Crudos SE3 Impac'!I76</f>
        <v>4.3734846058831458</v>
      </c>
      <c r="K193" s="9">
        <f>'Datos Crudos SE3 Impac'!R22</f>
        <v>1.7352000000000001</v>
      </c>
      <c r="L193" s="9">
        <f>'Datos Crudos SE3 Impac'!R76</f>
        <v>1.9700000000000002</v>
      </c>
      <c r="M193" s="62">
        <v>44729</v>
      </c>
      <c r="N193" s="9">
        <f>'Datos Crudos SE3 Impac'!M22</f>
        <v>0.60040000000000004</v>
      </c>
      <c r="O193" s="9">
        <f>'Datos Crudos SE3 Impac'!P22</f>
        <v>0.14699999999999999</v>
      </c>
      <c r="P193" s="9">
        <f>'Datos Crudos SE3 Impac'!Q22</f>
        <v>7.2599999999999998E-2</v>
      </c>
      <c r="Q193" s="9">
        <f>'Datos Crudos SE3 Impac'!M76</f>
        <v>1.5246999999999999</v>
      </c>
      <c r="R193" s="9">
        <f>'Datos Crudos SE3 Impac'!P76</f>
        <v>0.1469</v>
      </c>
      <c r="S193" s="9">
        <f>'Datos Crudos SE3 Impac'!Q76</f>
        <v>6.9000000000000006E-2</v>
      </c>
      <c r="T193" s="9">
        <f>'Datos Crudos SE3 Impac'!O22</f>
        <v>0.38059999999999999</v>
      </c>
      <c r="U193" s="9">
        <f>'Datos Crudos SE3 Impac'!O76</f>
        <v>1.3061</v>
      </c>
      <c r="V193" s="198">
        <f t="shared" ref="V193:V259" si="20">1-FINAL_WEIGHT_GREEN/INITIAL_WEIGHT_GREEN</f>
        <v>0.78065928999538958</v>
      </c>
      <c r="W193" s="198">
        <f t="shared" ref="W193:W259" si="21">1-(V193/0.842)</f>
        <v>7.2851199530416189E-2</v>
      </c>
      <c r="X193" s="21">
        <f t="shared" ref="X193:X256" si="22">0.552*(1-W193)</f>
        <v>0.51178613785921034</v>
      </c>
      <c r="Y193" s="21">
        <f t="shared" ref="Y193:Y256" si="23">FINAL_WEIGHT_RED/INITIAL_WEIGHT_RED</f>
        <v>0.66299492385786796</v>
      </c>
      <c r="Z193" s="22">
        <f t="shared" ref="Z193:Z256" si="24">M193-F193</f>
        <v>60</v>
      </c>
      <c r="AA193" s="248">
        <f t="shared" ref="AA193:AA256" si="25">LN(X193/(Y193-(1-X193)))/Z193</f>
        <v>1.7906212058545572E-2</v>
      </c>
      <c r="AB193" s="9">
        <f>'Datos Crudos SE3 Impac'!S22</f>
        <v>78.065928999538954</v>
      </c>
      <c r="AC193" s="9">
        <f>'Datos Crudos SE3 Impac'!S76</f>
        <v>33.700507614213201</v>
      </c>
      <c r="AH193" s="17">
        <f>'Datos Crudos SE3 Impac'!U21</f>
        <v>22.538117620084833</v>
      </c>
      <c r="AI193" s="17">
        <f>'Datos Crudos SE3 Impac'!U76</f>
        <v>66.299492385786792</v>
      </c>
    </row>
    <row r="194" spans="1:35" x14ac:dyDescent="0.25">
      <c r="A194" s="22" t="s">
        <v>709</v>
      </c>
      <c r="B194" s="87" t="s">
        <v>623</v>
      </c>
      <c r="C194" s="61" t="s">
        <v>317</v>
      </c>
      <c r="D194" s="61">
        <v>2</v>
      </c>
      <c r="E194" t="s">
        <v>19</v>
      </c>
      <c r="F194" s="53">
        <v>44669</v>
      </c>
      <c r="G194" s="9">
        <f>'Datos Crudos SE3 Impac'!H23</f>
        <v>2.0514000000000001</v>
      </c>
      <c r="H194" s="9">
        <f>'Datos Crudos SE3 Impac'!H77</f>
        <v>2.1503000000000001</v>
      </c>
      <c r="I194" s="17">
        <f>'Datos Crudos SE3 Impac'!I23</f>
        <v>4.0655162328165986</v>
      </c>
      <c r="J194" s="17">
        <f>'Datos Crudos SE3 Impac'!I77</f>
        <v>4.836534437055299</v>
      </c>
      <c r="K194" s="9">
        <f>'Datos Crudos SE3 Impac'!R23</f>
        <v>1.8381000000000001</v>
      </c>
      <c r="L194" s="9">
        <f>'Datos Crudos SE3 Impac'!R77</f>
        <v>1.9140000000000001</v>
      </c>
      <c r="M194" s="62">
        <v>44729</v>
      </c>
      <c r="N194" s="9">
        <f>'Datos Crudos SE3 Impac'!M23</f>
        <v>0.5857</v>
      </c>
      <c r="O194" s="9">
        <f>'Datos Crudos SE3 Impac'!P23</f>
        <v>0.14299999999999999</v>
      </c>
      <c r="P194" s="9">
        <f>'Datos Crudos SE3 Impac'!Q23</f>
        <v>7.0300000000000001E-2</v>
      </c>
      <c r="Q194" s="9">
        <f>'Datos Crudos SE3 Impac'!M77</f>
        <v>1.5719000000000001</v>
      </c>
      <c r="R194" s="9">
        <f>'Datos Crudos SE3 Impac'!P77</f>
        <v>0.15</v>
      </c>
      <c r="S194" s="9">
        <f>'Datos Crudos SE3 Impac'!Q77</f>
        <v>8.6300000000000002E-2</v>
      </c>
      <c r="T194" s="9">
        <f>'Datos Crudos SE3 Impac'!O23</f>
        <v>0.36980000000000002</v>
      </c>
      <c r="U194" s="9">
        <f>'Datos Crudos SE3 Impac'!O77</f>
        <v>1.3341000000000001</v>
      </c>
      <c r="V194" s="198">
        <f t="shared" si="20"/>
        <v>0.79881399270986342</v>
      </c>
      <c r="W194" s="198">
        <f t="shared" si="21"/>
        <v>5.1289794881397288E-2</v>
      </c>
      <c r="X194" s="21">
        <f t="shared" si="22"/>
        <v>0.52368803322546875</v>
      </c>
      <c r="Y194" s="21">
        <f t="shared" si="23"/>
        <v>0.69702194357366765</v>
      </c>
      <c r="Z194" s="22">
        <f t="shared" si="24"/>
        <v>60</v>
      </c>
      <c r="AA194" s="248">
        <f t="shared" si="25"/>
        <v>1.4400777218217071E-2</v>
      </c>
      <c r="AB194" s="9">
        <f>'Datos Crudos SE3 Impac'!S23</f>
        <v>79.88139927098635</v>
      </c>
      <c r="AC194" s="9">
        <f>'Datos Crudos SE3 Impac'!S77</f>
        <v>30.297805642633229</v>
      </c>
      <c r="AH194" s="17">
        <f>'Datos Crudos SE3 Impac'!U22</f>
        <v>21.934071000461042</v>
      </c>
      <c r="AI194" s="17">
        <f>'Datos Crudos SE3 Impac'!U77</f>
        <v>69.702194357366764</v>
      </c>
    </row>
    <row r="195" spans="1:35" x14ac:dyDescent="0.25">
      <c r="A195" s="22" t="s">
        <v>710</v>
      </c>
      <c r="B195" s="87" t="s">
        <v>623</v>
      </c>
      <c r="C195" s="61" t="s">
        <v>317</v>
      </c>
      <c r="D195" s="61">
        <v>1</v>
      </c>
      <c r="E195" t="s">
        <v>20</v>
      </c>
      <c r="F195" s="53">
        <v>44669</v>
      </c>
      <c r="G195" s="9">
        <f>'Datos Crudos SE3 Impac'!H24</f>
        <v>1.8444</v>
      </c>
      <c r="H195" s="9">
        <f>'Datos Crudos SE3 Impac'!H78</f>
        <v>2.1827000000000001</v>
      </c>
      <c r="I195" s="17">
        <f>'Datos Crudos SE3 Impac'!I24</f>
        <v>4.0500975927130769</v>
      </c>
      <c r="J195" s="17">
        <f>'Datos Crudos SE3 Impac'!I78</f>
        <v>4.6227149860264705</v>
      </c>
      <c r="K195" s="9">
        <f>'Datos Crudos SE3 Impac'!R24</f>
        <v>1.6320000000000001</v>
      </c>
      <c r="L195" s="9">
        <f>'Datos Crudos SE3 Impac'!R78</f>
        <v>1.9463000000000001</v>
      </c>
      <c r="M195" s="62">
        <v>44729</v>
      </c>
      <c r="N195" s="9">
        <f>'Datos Crudos SE3 Impac'!M24</f>
        <v>0.56379999999999997</v>
      </c>
      <c r="O195" s="9">
        <f>'Datos Crudos SE3 Impac'!P24</f>
        <v>0.14069999999999999</v>
      </c>
      <c r="P195" s="9">
        <f>'Datos Crudos SE3 Impac'!Q24</f>
        <v>7.17E-2</v>
      </c>
      <c r="Q195" s="9">
        <f>'Datos Crudos SE3 Impac'!M78</f>
        <v>1.6331</v>
      </c>
      <c r="R195" s="9">
        <f>'Datos Crudos SE3 Impac'!P78</f>
        <v>0.14360000000000001</v>
      </c>
      <c r="S195" s="9">
        <f>'Datos Crudos SE3 Impac'!Q78</f>
        <v>9.2799999999999994E-2</v>
      </c>
      <c r="T195" s="9">
        <f>'Datos Crudos SE3 Impac'!O24</f>
        <v>0.34620000000000001</v>
      </c>
      <c r="U195" s="9">
        <f>'Datos Crudos SE3 Impac'!O78</f>
        <v>1.3967000000000001</v>
      </c>
      <c r="V195" s="198">
        <f t="shared" si="20"/>
        <v>0.78786764705882351</v>
      </c>
      <c r="W195" s="198">
        <f t="shared" si="21"/>
        <v>6.4290205393321198E-2</v>
      </c>
      <c r="X195" s="21">
        <f t="shared" si="22"/>
        <v>0.51651180662288676</v>
      </c>
      <c r="Y195" s="21">
        <f t="shared" si="23"/>
        <v>0.71761804449468214</v>
      </c>
      <c r="Z195" s="22">
        <f t="shared" si="24"/>
        <v>60</v>
      </c>
      <c r="AA195" s="248">
        <f t="shared" si="25"/>
        <v>1.3187037774127837E-2</v>
      </c>
      <c r="AB195" s="9">
        <f>'Datos Crudos SE3 Impac'!S24</f>
        <v>78.786764705882348</v>
      </c>
      <c r="AC195" s="9">
        <f>'Datos Crudos SE3 Impac'!S78</f>
        <v>28.238195550531781</v>
      </c>
      <c r="AH195" s="17">
        <f>'Datos Crudos SE3 Impac'!U23</f>
        <v>20.118600729013654</v>
      </c>
      <c r="AI195" s="17">
        <f>'Datos Crudos SE3 Impac'!U78</f>
        <v>71.761804449468215</v>
      </c>
    </row>
    <row r="196" spans="1:35" x14ac:dyDescent="0.25">
      <c r="A196" s="22" t="s">
        <v>711</v>
      </c>
      <c r="B196" s="87" t="s">
        <v>623</v>
      </c>
      <c r="C196" s="61" t="s">
        <v>317</v>
      </c>
      <c r="D196" s="61">
        <v>2</v>
      </c>
      <c r="E196" t="s">
        <v>20</v>
      </c>
      <c r="F196" s="53">
        <v>44669</v>
      </c>
      <c r="G196" s="9">
        <f>'Datos Crudos SE3 Impac'!H25</f>
        <v>1.9569000000000001</v>
      </c>
      <c r="H196" s="9">
        <f>'Datos Crudos SE3 Impac'!H79</f>
        <v>2.2431999999999999</v>
      </c>
      <c r="I196" s="17">
        <f>'Datos Crudos SE3 Impac'!I25</f>
        <v>3.9705656906331495</v>
      </c>
      <c r="J196" s="17">
        <f>'Datos Crudos SE3 Impac'!I79</f>
        <v>4.569365192582028</v>
      </c>
      <c r="K196" s="9">
        <f>'Datos Crudos SE3 Impac'!R25</f>
        <v>1.7397</v>
      </c>
      <c r="L196" s="9">
        <f>'Datos Crudos SE3 Impac'!R79</f>
        <v>2.0278</v>
      </c>
      <c r="M196" s="62">
        <v>44729</v>
      </c>
      <c r="N196" s="9">
        <f>'Datos Crudos SE3 Impac'!M25</f>
        <v>0.60660000000000003</v>
      </c>
      <c r="O196" s="9">
        <f>'Datos Crudos SE3 Impac'!P25</f>
        <v>0.1477</v>
      </c>
      <c r="P196" s="9">
        <f>'Datos Crudos SE3 Impac'!Q25</f>
        <v>6.9500000000000006E-2</v>
      </c>
      <c r="Q196" s="9">
        <f>'Datos Crudos SE3 Impac'!M79</f>
        <v>1.6393</v>
      </c>
      <c r="R196" s="9">
        <f>'Datos Crudos SE3 Impac'!P79</f>
        <v>0.13880000000000001</v>
      </c>
      <c r="S196" s="9">
        <f>'Datos Crudos SE3 Impac'!Q79</f>
        <v>7.6600000000000001E-2</v>
      </c>
      <c r="T196" s="9">
        <f>'Datos Crudos SE3 Impac'!O25</f>
        <v>0.38679999999999998</v>
      </c>
      <c r="U196" s="9">
        <f>'Datos Crudos SE3 Impac'!O79</f>
        <v>1.4225000000000001</v>
      </c>
      <c r="V196" s="198">
        <f t="shared" si="20"/>
        <v>0.77766281542794735</v>
      </c>
      <c r="W196" s="198">
        <f t="shared" si="21"/>
        <v>7.6409957924053029E-2</v>
      </c>
      <c r="X196" s="21">
        <f t="shared" si="22"/>
        <v>0.5098217032259228</v>
      </c>
      <c r="Y196" s="21">
        <f t="shared" si="23"/>
        <v>0.70149916165302306</v>
      </c>
      <c r="Z196" s="22">
        <f t="shared" si="24"/>
        <v>60</v>
      </c>
      <c r="AA196" s="248">
        <f t="shared" si="25"/>
        <v>1.4678056634043887E-2</v>
      </c>
      <c r="AB196" s="9">
        <f>'Datos Crudos SE3 Impac'!S25</f>
        <v>77.766281542794729</v>
      </c>
      <c r="AC196" s="9">
        <f>'Datos Crudos SE3 Impac'!S79</f>
        <v>29.850083834697699</v>
      </c>
      <c r="AH196" s="17">
        <f>'Datos Crudos SE3 Impac'!U24</f>
        <v>21.213235294117645</v>
      </c>
      <c r="AI196" s="17">
        <f>'Datos Crudos SE3 Impac'!U79</f>
        <v>70.149916165302301</v>
      </c>
    </row>
    <row r="197" spans="1:35" x14ac:dyDescent="0.25">
      <c r="A197" s="22" t="s">
        <v>712</v>
      </c>
      <c r="B197" s="87" t="s">
        <v>330</v>
      </c>
      <c r="C197" s="61" t="s">
        <v>317</v>
      </c>
      <c r="D197" s="61">
        <v>1</v>
      </c>
      <c r="E197" t="s">
        <v>17</v>
      </c>
      <c r="F197" s="53">
        <v>44685</v>
      </c>
      <c r="G197" s="9">
        <f>'Datos Crudos SE3 Impac'!H26</f>
        <v>1.9482999999999999</v>
      </c>
      <c r="H197" s="9">
        <f>'Datos Crudos SE3 Impac'!H80</f>
        <v>2.1371000000000002</v>
      </c>
      <c r="I197" s="17">
        <f>'Datos Crudos SE3 Impac'!I26</f>
        <v>5.1583431709695651</v>
      </c>
      <c r="J197" s="17">
        <f>'Datos Crudos SE3 Impac'!I80</f>
        <v>7.0984043797669703</v>
      </c>
      <c r="K197" s="9">
        <f>'Datos Crudos SE3 Impac'!R26</f>
        <v>1.7212999999999998</v>
      </c>
      <c r="L197" s="9">
        <f>'Datos Crudos SE3 Impac'!R80</f>
        <v>1.9229000000000003</v>
      </c>
      <c r="M197" s="62">
        <v>44743</v>
      </c>
      <c r="N197" s="9">
        <f>'Datos Crudos SE3 Impac'!M26</f>
        <v>0.66359999999999997</v>
      </c>
      <c r="O197" s="9">
        <f>'Datos Crudos SE3 Impac'!P26</f>
        <v>0.16239999999999999</v>
      </c>
      <c r="P197" s="9">
        <f>'Datos Crudos SE3 Impac'!Q26</f>
        <v>6.4600000000000005E-2</v>
      </c>
      <c r="Q197" s="9">
        <f>'Datos Crudos SE3 Impac'!M80</f>
        <v>1.3153999999999999</v>
      </c>
      <c r="R197" s="9">
        <f>'Datos Crudos SE3 Impac'!P80</f>
        <v>0.14660000000000001</v>
      </c>
      <c r="S197" s="9">
        <f>'Datos Crudos SE3 Impac'!Q80</f>
        <v>6.7599999999999993E-2</v>
      </c>
      <c r="T197" s="9">
        <f>'Datos Crudos SE3 Impac'!O26</f>
        <v>0.43330000000000002</v>
      </c>
      <c r="U197" s="9">
        <f>'Datos Crudos SE3 Impac'!O80</f>
        <v>1.1046</v>
      </c>
      <c r="V197" s="198">
        <f t="shared" si="20"/>
        <v>0.74827165514436755</v>
      </c>
      <c r="W197" s="198">
        <f t="shared" si="21"/>
        <v>0.11131632405657055</v>
      </c>
      <c r="X197" s="21">
        <f t="shared" si="22"/>
        <v>0.49055338912077312</v>
      </c>
      <c r="Y197" s="21">
        <f t="shared" si="23"/>
        <v>0.57444484892610115</v>
      </c>
      <c r="Z197" s="22">
        <f t="shared" si="24"/>
        <v>58</v>
      </c>
      <c r="AA197" s="248">
        <f t="shared" si="25"/>
        <v>3.4847826842184002E-2</v>
      </c>
      <c r="AB197" s="9">
        <f>'Datos Crudos SE3 Impac'!S26</f>
        <v>74.827165514436757</v>
      </c>
      <c r="AC197" s="9">
        <f>'Datos Crudos SE3 Impac'!S80</f>
        <v>42.555515107389887</v>
      </c>
      <c r="AD197" s="65">
        <f>AVERAGE(W197:W204)</f>
        <v>7.586375480935327E-2</v>
      </c>
      <c r="AE197">
        <f>STDEV(W197:W204)</f>
        <v>2.958845859391113E-2</v>
      </c>
      <c r="AF197" s="7">
        <f>AVERAGE(AA197:AA203)</f>
        <v>2.2457330035307605E-2</v>
      </c>
      <c r="AG197">
        <f>STDEV(AA197:AA203)</f>
        <v>6.7244738401986632E-3</v>
      </c>
      <c r="AH197" s="17">
        <f>'Datos Crudos SE3 Impac'!U26</f>
        <v>25.172834485563239</v>
      </c>
      <c r="AI197" s="17">
        <f>'Datos Crudos SE3 Impac'!U80</f>
        <v>57.444484892610113</v>
      </c>
    </row>
    <row r="198" spans="1:35" x14ac:dyDescent="0.25">
      <c r="A198" s="22" t="s">
        <v>713</v>
      </c>
      <c r="B198" s="87" t="s">
        <v>330</v>
      </c>
      <c r="C198" s="61" t="s">
        <v>317</v>
      </c>
      <c r="D198" s="61">
        <v>2</v>
      </c>
      <c r="E198" t="s">
        <v>17</v>
      </c>
      <c r="F198" s="53">
        <v>44685</v>
      </c>
      <c r="G198" s="9">
        <f>'Datos Crudos SE3 Impac'!H27</f>
        <v>1.8926000000000001</v>
      </c>
      <c r="H198" s="9">
        <f>'Datos Crudos SE3 Impac'!H81</f>
        <v>2.2071000000000001</v>
      </c>
      <c r="I198" s="17">
        <f>'Datos Crudos SE3 Impac'!I27</f>
        <v>5.0354010356123817</v>
      </c>
      <c r="J198" s="17">
        <f>'Datos Crudos SE3 Impac'!I81</f>
        <v>6.8279642970413699</v>
      </c>
      <c r="K198" s="9">
        <f>'Datos Crudos SE3 Impac'!R27</f>
        <v>1.6765000000000001</v>
      </c>
      <c r="L198" s="9">
        <f>'Datos Crudos SE3 Impac'!R81</f>
        <v>1.9734</v>
      </c>
      <c r="M198" s="62">
        <v>44743</v>
      </c>
      <c r="N198" s="9">
        <f>'Datos Crudos SE3 Impac'!M27</f>
        <v>0.52929999999999999</v>
      </c>
      <c r="O198" s="9">
        <f>'Datos Crudos SE3 Impac'!P27</f>
        <v>0.1515</v>
      </c>
      <c r="P198" s="9">
        <f>'Datos Crudos SE3 Impac'!Q27</f>
        <v>6.4600000000000005E-2</v>
      </c>
      <c r="Q198" s="9">
        <f>'Datos Crudos SE3 Impac'!M81</f>
        <v>1.4481999999999999</v>
      </c>
      <c r="R198" s="9">
        <f>'Datos Crudos SE3 Impac'!P81</f>
        <v>0.1658</v>
      </c>
      <c r="S198" s="9">
        <f>'Datos Crudos SE3 Impac'!Q81</f>
        <v>6.7900000000000002E-2</v>
      </c>
      <c r="T198" s="9">
        <f>'Datos Crudos SE3 Impac'!O27</f>
        <v>0.30930000000000002</v>
      </c>
      <c r="U198" s="9">
        <f>'Datos Crudos SE3 Impac'!O81</f>
        <v>1.214</v>
      </c>
      <c r="V198" s="198">
        <f t="shared" si="20"/>
        <v>0.81550849985087981</v>
      </c>
      <c r="W198" s="198">
        <f t="shared" si="21"/>
        <v>3.1462589250736528E-2</v>
      </c>
      <c r="X198" s="21">
        <f t="shared" si="22"/>
        <v>0.53463265073359345</v>
      </c>
      <c r="Y198" s="21">
        <f t="shared" si="23"/>
        <v>0.61518191952974555</v>
      </c>
      <c r="Z198" s="22">
        <f t="shared" si="24"/>
        <v>58</v>
      </c>
      <c r="AA198" s="248">
        <f t="shared" si="25"/>
        <v>2.1934164582474179E-2</v>
      </c>
      <c r="AB198" s="9">
        <f>'Datos Crudos SE3 Impac'!S27</f>
        <v>81.550849985087964</v>
      </c>
      <c r="AC198" s="9">
        <f>'Datos Crudos SE3 Impac'!S81</f>
        <v>38.481808047025439</v>
      </c>
      <c r="AH198" s="17">
        <f>'Datos Crudos SE3 Impac'!U27</f>
        <v>18.449150014912018</v>
      </c>
      <c r="AI198" s="17">
        <f>'Datos Crudos SE3 Impac'!U81</f>
        <v>61.518191952974554</v>
      </c>
    </row>
    <row r="199" spans="1:35" x14ac:dyDescent="0.25">
      <c r="A199" s="22" t="s">
        <v>714</v>
      </c>
      <c r="B199" s="87" t="s">
        <v>330</v>
      </c>
      <c r="C199" s="61" t="s">
        <v>317</v>
      </c>
      <c r="D199" s="61">
        <v>1</v>
      </c>
      <c r="E199" t="s">
        <v>18</v>
      </c>
      <c r="F199" s="53">
        <v>44685</v>
      </c>
      <c r="G199" s="9">
        <f>'Datos Crudos SE3 Impac'!H28</f>
        <v>1.9297</v>
      </c>
      <c r="H199" s="9">
        <f>'Datos Crudos SE3 Impac'!H82</f>
        <v>2.1471</v>
      </c>
      <c r="I199" s="17">
        <f>'Datos Crudos SE3 Impac'!I28</f>
        <v>5.0940560708918516</v>
      </c>
      <c r="J199" s="17">
        <f>'Datos Crudos SE3 Impac'!I82</f>
        <v>6.9302780494620668</v>
      </c>
      <c r="K199" s="9">
        <f>'Datos Crudos SE3 Impac'!R28</f>
        <v>1.6896</v>
      </c>
      <c r="L199" s="9">
        <f>'Datos Crudos SE3 Impac'!R82</f>
        <v>1.9013</v>
      </c>
      <c r="M199" s="62">
        <v>44743</v>
      </c>
      <c r="N199" s="9">
        <f>'Datos Crudos SE3 Impac'!M28</f>
        <v>0.61529999999999996</v>
      </c>
      <c r="O199" s="9">
        <f>'Datos Crudos SE3 Impac'!P28</f>
        <v>0.16789999999999999</v>
      </c>
      <c r="P199" s="9">
        <f>'Datos Crudos SE3 Impac'!Q28</f>
        <v>7.22E-2</v>
      </c>
      <c r="Q199" s="9">
        <f>'Datos Crudos SE3 Impac'!M82</f>
        <v>1.4114</v>
      </c>
      <c r="R199" s="9">
        <f>'Datos Crudos SE3 Impac'!P82</f>
        <v>0.16689999999999999</v>
      </c>
      <c r="S199" s="9">
        <f>'Datos Crudos SE3 Impac'!Q82</f>
        <v>7.8899999999999998E-2</v>
      </c>
      <c r="T199" s="9">
        <f>'Datos Crudos SE3 Impac'!O28</f>
        <v>0.37309999999999999</v>
      </c>
      <c r="U199" s="9">
        <f>'Datos Crudos SE3 Impac'!O82</f>
        <v>1.1697</v>
      </c>
      <c r="V199" s="198">
        <f t="shared" si="20"/>
        <v>0.77917850378787878</v>
      </c>
      <c r="W199" s="198">
        <f t="shared" si="21"/>
        <v>7.4609852983516856E-2</v>
      </c>
      <c r="X199" s="21">
        <f t="shared" si="22"/>
        <v>0.51081536115309878</v>
      </c>
      <c r="Y199" s="21">
        <f t="shared" si="23"/>
        <v>0.6152106453479198</v>
      </c>
      <c r="Z199" s="22">
        <f t="shared" si="24"/>
        <v>58</v>
      </c>
      <c r="AA199" s="248">
        <f t="shared" si="25"/>
        <v>2.4129653620445342E-2</v>
      </c>
      <c r="AB199" s="9">
        <f>'Datos Crudos SE3 Impac'!S28</f>
        <v>77.917850378787875</v>
      </c>
      <c r="AC199" s="9">
        <f>'Datos Crudos SE3 Impac'!S82</f>
        <v>38.478935465208018</v>
      </c>
      <c r="AH199" s="17">
        <f>'Datos Crudos SE3 Impac'!U28</f>
        <v>22.082149621212121</v>
      </c>
      <c r="AI199" s="17">
        <f>'Datos Crudos SE3 Impac'!U82</f>
        <v>61.521064534791982</v>
      </c>
    </row>
    <row r="200" spans="1:35" x14ac:dyDescent="0.25">
      <c r="A200" s="22" t="s">
        <v>715</v>
      </c>
      <c r="B200" s="87" t="s">
        <v>330</v>
      </c>
      <c r="C200" s="61" t="s">
        <v>317</v>
      </c>
      <c r="D200" s="61">
        <v>2</v>
      </c>
      <c r="E200" t="s">
        <v>18</v>
      </c>
      <c r="F200" s="53">
        <v>44685</v>
      </c>
      <c r="G200" s="9">
        <f>'Datos Crudos SE3 Impac'!H29</f>
        <v>2.0116000000000001</v>
      </c>
      <c r="H200" s="9">
        <f>'Datos Crudos SE3 Impac'!H83</f>
        <v>2.0851000000000002</v>
      </c>
      <c r="I200" s="17">
        <f>'Datos Crudos SE3 Impac'!I29</f>
        <v>5.1600715848081187</v>
      </c>
      <c r="J200" s="17">
        <f>'Datos Crudos SE3 Impac'!I83</f>
        <v>6.8965517241379155</v>
      </c>
      <c r="K200" s="9">
        <f>'Datos Crudos SE3 Impac'!R29</f>
        <v>1.7771000000000001</v>
      </c>
      <c r="L200" s="9">
        <f>'Datos Crudos SE3 Impac'!R83</f>
        <v>1.8683000000000001</v>
      </c>
      <c r="M200" s="62">
        <v>44743</v>
      </c>
      <c r="N200" s="9">
        <f>'Datos Crudos SE3 Impac'!M29</f>
        <v>0.68940000000000001</v>
      </c>
      <c r="O200" s="9">
        <f>'Datos Crudos SE3 Impac'!P29</f>
        <v>0.15709999999999999</v>
      </c>
      <c r="P200" s="9">
        <f>'Datos Crudos SE3 Impac'!Q29</f>
        <v>7.7399999999999997E-2</v>
      </c>
      <c r="Q200" s="9">
        <f>'Datos Crudos SE3 Impac'!M83</f>
        <v>1.3905000000000001</v>
      </c>
      <c r="R200" s="9">
        <f>'Datos Crudos SE3 Impac'!P83</f>
        <v>0.1482</v>
      </c>
      <c r="S200" s="9">
        <f>'Datos Crudos SE3 Impac'!Q83</f>
        <v>6.8599999999999994E-2</v>
      </c>
      <c r="T200" s="9">
        <f>'Datos Crudos SE3 Impac'!O29</f>
        <v>0.45319999999999999</v>
      </c>
      <c r="U200" s="9">
        <f>'Datos Crudos SE3 Impac'!O83</f>
        <v>1.1798</v>
      </c>
      <c r="V200" s="198">
        <f t="shared" si="20"/>
        <v>0.74497777277587085</v>
      </c>
      <c r="W200" s="198">
        <f t="shared" si="21"/>
        <v>0.11522829836594906</v>
      </c>
      <c r="X200" s="21">
        <f t="shared" si="22"/>
        <v>0.48839397930199618</v>
      </c>
      <c r="Y200" s="21">
        <f t="shared" si="23"/>
        <v>0.63148316651501357</v>
      </c>
      <c r="Z200" s="22">
        <f t="shared" si="24"/>
        <v>58</v>
      </c>
      <c r="AA200" s="248">
        <f t="shared" si="25"/>
        <v>2.421818933225799E-2</v>
      </c>
      <c r="AB200" s="9">
        <f>'Datos Crudos SE3 Impac'!S29</f>
        <v>74.497777277587076</v>
      </c>
      <c r="AC200" s="9">
        <f>'Datos Crudos SE3 Impac'!S83</f>
        <v>36.851683348498639</v>
      </c>
      <c r="AH200" s="17">
        <f>'Datos Crudos SE3 Impac'!U29</f>
        <v>25.502222722412917</v>
      </c>
      <c r="AI200" s="17">
        <f>'Datos Crudos SE3 Impac'!U83</f>
        <v>63.148316651501361</v>
      </c>
    </row>
    <row r="201" spans="1:35" x14ac:dyDescent="0.25">
      <c r="A201" s="22" t="s">
        <v>716</v>
      </c>
      <c r="B201" s="87" t="s">
        <v>330</v>
      </c>
      <c r="C201" s="61" t="s">
        <v>317</v>
      </c>
      <c r="D201" s="61">
        <v>1</v>
      </c>
      <c r="E201" t="s">
        <v>19</v>
      </c>
      <c r="F201" s="53">
        <v>44685</v>
      </c>
      <c r="G201" s="9">
        <f>'Datos Crudos SE3 Impac'!H30</f>
        <v>1.8648</v>
      </c>
      <c r="H201" s="9">
        <f>'Datos Crudos SE3 Impac'!H84</f>
        <v>2.1678000000000002</v>
      </c>
      <c r="I201" s="17">
        <f>'Datos Crudos SE3 Impac'!I30</f>
        <v>4.9281424281424329</v>
      </c>
      <c r="J201" s="17">
        <f>'Datos Crudos SE3 Impac'!I84</f>
        <v>7.0947504382323059</v>
      </c>
      <c r="K201" s="9">
        <f>'Datos Crudos SE3 Impac'!R30</f>
        <v>1.6520000000000001</v>
      </c>
      <c r="L201" s="9">
        <f>'Datos Crudos SE3 Impac'!R84</f>
        <v>1.9125000000000001</v>
      </c>
      <c r="M201" s="62">
        <v>44743</v>
      </c>
      <c r="N201" s="9">
        <f>'Datos Crudos SE3 Impac'!M30</f>
        <v>0.53869999999999996</v>
      </c>
      <c r="O201" s="9">
        <f>'Datos Crudos SE3 Impac'!P30</f>
        <v>0.14990000000000001</v>
      </c>
      <c r="P201" s="9">
        <f>'Datos Crudos SE3 Impac'!Q30</f>
        <v>6.2899999999999998E-2</v>
      </c>
      <c r="Q201" s="9">
        <f>'Datos Crudos SE3 Impac'!M84</f>
        <v>1.5952999999999999</v>
      </c>
      <c r="R201" s="9">
        <f>'Datos Crudos SE3 Impac'!P84</f>
        <v>0.18609999999999999</v>
      </c>
      <c r="S201" s="9">
        <f>'Datos Crudos SE3 Impac'!Q84</f>
        <v>6.9199999999999998E-2</v>
      </c>
      <c r="T201" s="9">
        <f>'Datos Crudos SE3 Impac'!O30</f>
        <v>0.32519999999999999</v>
      </c>
      <c r="U201" s="9">
        <f>'Datos Crudos SE3 Impac'!O84</f>
        <v>1.339</v>
      </c>
      <c r="V201" s="198">
        <f t="shared" si="20"/>
        <v>0.80314769975786926</v>
      </c>
      <c r="W201" s="198">
        <f t="shared" si="21"/>
        <v>4.6142874396829847E-2</v>
      </c>
      <c r="X201" s="21">
        <f t="shared" si="22"/>
        <v>0.52652913333294993</v>
      </c>
      <c r="Y201" s="21">
        <f t="shared" si="23"/>
        <v>0.70013071895424828</v>
      </c>
      <c r="Z201" s="22">
        <f t="shared" si="24"/>
        <v>58</v>
      </c>
      <c r="AA201" s="248">
        <f t="shared" si="25"/>
        <v>1.4532003765475565E-2</v>
      </c>
      <c r="AB201" s="9">
        <f>'Datos Crudos SE3 Impac'!S30</f>
        <v>80.31476997578693</v>
      </c>
      <c r="AC201" s="9">
        <f>'Datos Crudos SE3 Impac'!S84</f>
        <v>29.986928104575167</v>
      </c>
      <c r="AH201" s="17">
        <f>'Datos Crudos SE3 Impac'!U30</f>
        <v>19.685230024213073</v>
      </c>
      <c r="AI201" s="17">
        <f>'Datos Crudos SE3 Impac'!U84</f>
        <v>70.013071895424829</v>
      </c>
    </row>
    <row r="202" spans="1:35" x14ac:dyDescent="0.25">
      <c r="A202" s="22" t="s">
        <v>717</v>
      </c>
      <c r="B202" s="87" t="s">
        <v>330</v>
      </c>
      <c r="C202" s="61" t="s">
        <v>317</v>
      </c>
      <c r="D202" s="61">
        <v>2</v>
      </c>
      <c r="E202" t="s">
        <v>19</v>
      </c>
      <c r="F202" s="53">
        <v>44685</v>
      </c>
      <c r="G202" s="9">
        <f>'Datos Crudos SE3 Impac'!H31</f>
        <v>1.9095</v>
      </c>
      <c r="H202" s="9">
        <f>'Datos Crudos SE3 Impac'!H85</f>
        <v>2.1917</v>
      </c>
      <c r="I202" s="17">
        <f>'Datos Crudos SE3 Impac'!I31</f>
        <v>5.0955747577900068</v>
      </c>
      <c r="J202" s="17">
        <f>'Datos Crudos SE3 Impac'!I85</f>
        <v>6.912442396313363</v>
      </c>
      <c r="K202" s="9">
        <f>'Datos Crudos SE3 Impac'!R31</f>
        <v>1.6957</v>
      </c>
      <c r="L202" s="9">
        <f>'Datos Crudos SE3 Impac'!R85</f>
        <v>1.9752000000000001</v>
      </c>
      <c r="M202" s="62">
        <v>44743</v>
      </c>
      <c r="N202" s="9">
        <f>'Datos Crudos SE3 Impac'!M31</f>
        <v>0.56859999999999999</v>
      </c>
      <c r="O202" s="9">
        <f>'Datos Crudos SE3 Impac'!P31</f>
        <v>0.15090000000000001</v>
      </c>
      <c r="P202" s="9">
        <f>'Datos Crudos SE3 Impac'!Q31</f>
        <v>6.2899999999999998E-2</v>
      </c>
      <c r="Q202" s="9">
        <f>'Datos Crudos SE3 Impac'!M85</f>
        <v>1.5852999999999999</v>
      </c>
      <c r="R202" s="9">
        <f>'Datos Crudos SE3 Impac'!P85</f>
        <v>0.15279999999999999</v>
      </c>
      <c r="S202" s="9">
        <f>'Datos Crudos SE3 Impac'!Q85</f>
        <v>6.3700000000000007E-2</v>
      </c>
      <c r="T202" s="9">
        <f>'Datos Crudos SE3 Impac'!O31</f>
        <v>0.35439999999999999</v>
      </c>
      <c r="U202" s="9">
        <f>'Datos Crudos SE3 Impac'!O85</f>
        <v>1.3682000000000001</v>
      </c>
      <c r="V202" s="198">
        <f t="shared" si="20"/>
        <v>0.79100076664504337</v>
      </c>
      <c r="W202" s="198">
        <f t="shared" si="21"/>
        <v>6.0569160754105233E-2</v>
      </c>
      <c r="X202" s="21">
        <f t="shared" si="22"/>
        <v>0.5185658232637339</v>
      </c>
      <c r="Y202" s="21">
        <f t="shared" si="23"/>
        <v>0.69268934791413528</v>
      </c>
      <c r="Z202" s="22">
        <f t="shared" si="24"/>
        <v>58</v>
      </c>
      <c r="AA202" s="248">
        <f t="shared" si="25"/>
        <v>1.5482762484925805E-2</v>
      </c>
      <c r="AB202" s="9">
        <f>'Datos Crudos SE3 Impac'!S31</f>
        <v>79.100076664504329</v>
      </c>
      <c r="AC202" s="9">
        <f>'Datos Crudos SE3 Impac'!S85</f>
        <v>30.731065208586472</v>
      </c>
      <c r="AH202" s="17">
        <f>'Datos Crudos SE3 Impac'!U31</f>
        <v>20.899923335495664</v>
      </c>
      <c r="AI202" s="17">
        <f>'Datos Crudos SE3 Impac'!U85</f>
        <v>69.268934791413528</v>
      </c>
    </row>
    <row r="203" spans="1:35" x14ac:dyDescent="0.25">
      <c r="A203" s="22" t="s">
        <v>718</v>
      </c>
      <c r="B203" s="87" t="s">
        <v>330</v>
      </c>
      <c r="C203" s="61" t="s">
        <v>317</v>
      </c>
      <c r="D203" s="61">
        <v>1</v>
      </c>
      <c r="E203" t="s">
        <v>20</v>
      </c>
      <c r="F203" s="53">
        <v>44685</v>
      </c>
      <c r="G203" s="9">
        <f>'Datos Crudos SE3 Impac'!H32</f>
        <v>1.9755</v>
      </c>
      <c r="H203" s="9">
        <f>'Datos Crudos SE3 Impac'!H86</f>
        <v>2.1198999999999999</v>
      </c>
      <c r="I203" s="17">
        <f>'Datos Crudos SE3 Impac'!I32</f>
        <v>4.9860794735509906</v>
      </c>
      <c r="J203" s="17">
        <f>'Datos Crudos SE3 Impac'!I86</f>
        <v>6.8682485022878419</v>
      </c>
      <c r="K203" s="9">
        <f>'Datos Crudos SE3 Impac'!R32</f>
        <v>1.7642</v>
      </c>
      <c r="L203" s="9">
        <f>'Datos Crudos SE3 Impac'!R86</f>
        <v>1.899</v>
      </c>
      <c r="M203" s="62">
        <v>44743</v>
      </c>
      <c r="N203" s="9">
        <f>'Datos Crudos SE3 Impac'!M32</f>
        <v>0.60589999999999999</v>
      </c>
      <c r="O203" s="9">
        <f>'Datos Crudos SE3 Impac'!P32</f>
        <v>0.1474</v>
      </c>
      <c r="P203" s="9">
        <f>'Datos Crudos SE3 Impac'!Q32</f>
        <v>6.3899999999999998E-2</v>
      </c>
      <c r="Q203" s="9">
        <f>'Datos Crudos SE3 Impac'!M86</f>
        <v>1.421</v>
      </c>
      <c r="R203" s="9">
        <f>'Datos Crudos SE3 Impac'!P86</f>
        <v>0.1517</v>
      </c>
      <c r="S203" s="9">
        <f>'Datos Crudos SE3 Impac'!Q86</f>
        <v>6.9199999999999998E-2</v>
      </c>
      <c r="T203" s="9">
        <f>'Datos Crudos SE3 Impac'!O32</f>
        <v>0.39240000000000003</v>
      </c>
      <c r="U203" s="9">
        <f>'Datos Crudos SE3 Impac'!O86</f>
        <v>1.2002999999999999</v>
      </c>
      <c r="V203" s="198">
        <f t="shared" si="20"/>
        <v>0.77757623852170954</v>
      </c>
      <c r="W203" s="198">
        <f t="shared" si="21"/>
        <v>7.6512780853076556E-2</v>
      </c>
      <c r="X203" s="21">
        <f t="shared" si="22"/>
        <v>0.50976494496910174</v>
      </c>
      <c r="Y203" s="21">
        <f t="shared" si="23"/>
        <v>0.6320695102685624</v>
      </c>
      <c r="Z203" s="22">
        <f t="shared" si="24"/>
        <v>58</v>
      </c>
      <c r="AA203" s="248">
        <f t="shared" si="25"/>
        <v>2.2056709619390366E-2</v>
      </c>
      <c r="AB203" s="9">
        <f>'Datos Crudos SE3 Impac'!S32</f>
        <v>77.757623852170951</v>
      </c>
      <c r="AC203" s="9">
        <f>'Datos Crudos SE3 Impac'!S86</f>
        <v>36.793048973143769</v>
      </c>
      <c r="AH203" s="17">
        <f>'Datos Crudos SE3 Impac'!U32</f>
        <v>22.242376147829045</v>
      </c>
      <c r="AI203" s="17">
        <f>'Datos Crudos SE3 Impac'!U86</f>
        <v>63.206951026856238</v>
      </c>
    </row>
    <row r="204" spans="1:35" x14ac:dyDescent="0.25">
      <c r="A204" s="22" t="s">
        <v>719</v>
      </c>
      <c r="B204" s="87" t="s">
        <v>330</v>
      </c>
      <c r="C204" s="61" t="s">
        <v>317</v>
      </c>
      <c r="D204" s="61">
        <v>2</v>
      </c>
      <c r="E204" t="s">
        <v>20</v>
      </c>
      <c r="F204" s="53">
        <v>44685</v>
      </c>
      <c r="G204" s="9">
        <f>'Datos Crudos SE3 Impac'!H33</f>
        <v>1.9832000000000001</v>
      </c>
      <c r="H204" s="9">
        <f>'Datos Crudos SE3 Impac'!H87</f>
        <v>2.1345000000000001</v>
      </c>
      <c r="I204" s="17">
        <f>'Datos Crudos SE3 Impac'!I33</f>
        <v>5.05748285599031</v>
      </c>
      <c r="J204" s="17">
        <f>'Datos Crudos SE3 Impac'!I87</f>
        <v>7.0602014523307597</v>
      </c>
      <c r="K204" s="9">
        <f>'Datos Crudos SE3 Impac'!R33</f>
        <v>1.7607000000000002</v>
      </c>
      <c r="L204" s="9">
        <f>'Datos Crudos SE3 Impac'!R87</f>
        <v>1.9114</v>
      </c>
      <c r="M204" s="62">
        <v>44743</v>
      </c>
      <c r="N204" s="9">
        <f>'Datos Crudos SE3 Impac'!M33</f>
        <v>0.63739999999999997</v>
      </c>
      <c r="O204" s="9">
        <f>'Datos Crudos SE3 Impac'!P33</f>
        <v>0.1545</v>
      </c>
      <c r="P204" s="9">
        <f>'Datos Crudos SE3 Impac'!Q33</f>
        <v>6.8000000000000005E-2</v>
      </c>
      <c r="Q204" s="9">
        <f>'Datos Crudos SE3 Impac'!M87</f>
        <v>1.1669</v>
      </c>
      <c r="R204" s="9">
        <f>'Datos Crudos SE3 Impac'!P87</f>
        <v>0.1522</v>
      </c>
      <c r="S204" s="9">
        <f>'Datos Crudos SE3 Impac'!Q87</f>
        <v>7.0900000000000005E-2</v>
      </c>
      <c r="T204" s="9">
        <f>'Datos Crudos SE3 Impac'!O33</f>
        <v>0.41320000000000001</v>
      </c>
      <c r="U204" s="9">
        <f>'Datos Crudos SE3 Impac'!O87</f>
        <v>0.94089999999999996</v>
      </c>
      <c r="V204" s="198">
        <f t="shared" si="20"/>
        <v>0.76532061112057703</v>
      </c>
      <c r="W204" s="198">
        <f t="shared" si="21"/>
        <v>9.1068157814041539E-2</v>
      </c>
      <c r="X204" s="21">
        <f t="shared" si="22"/>
        <v>0.50173037688664912</v>
      </c>
      <c r="Y204" s="21">
        <f t="shared" si="23"/>
        <v>0.49225698440933346</v>
      </c>
      <c r="Z204" s="22">
        <f t="shared" si="24"/>
        <v>58</v>
      </c>
      <c r="AA204" s="284" t="e">
        <f t="shared" si="25"/>
        <v>#NUM!</v>
      </c>
      <c r="AB204" s="9">
        <f>'Datos Crudos SE3 Impac'!S33</f>
        <v>76.532061112057704</v>
      </c>
      <c r="AC204" s="9">
        <f>'Datos Crudos SE3 Impac'!S87</f>
        <v>50.774301559066657</v>
      </c>
      <c r="AH204" s="17">
        <f>'Datos Crudos SE3 Impac'!U33</f>
        <v>23.467938887942292</v>
      </c>
      <c r="AI204" s="17">
        <f>'Datos Crudos SE3 Impac'!U87</f>
        <v>49.22569844093335</v>
      </c>
    </row>
    <row r="205" spans="1:35" x14ac:dyDescent="0.25">
      <c r="A205" s="22" t="s">
        <v>720</v>
      </c>
      <c r="B205" s="87" t="s">
        <v>329</v>
      </c>
      <c r="C205" s="61" t="s">
        <v>317</v>
      </c>
      <c r="D205" s="61">
        <v>1</v>
      </c>
      <c r="E205" t="s">
        <v>17</v>
      </c>
      <c r="F205" s="53">
        <v>44685</v>
      </c>
      <c r="G205" s="9">
        <f>'Datos Crudos SE3 Impac'!H34</f>
        <v>1.9897</v>
      </c>
      <c r="H205" s="9">
        <f>'Datos Crudos SE3 Impac'!H88</f>
        <v>2.1539999999999999</v>
      </c>
      <c r="I205" s="17">
        <f>'Datos Crudos SE3 Impac'!I34</f>
        <v>5.1113233150726298</v>
      </c>
      <c r="J205" s="17">
        <f>'Datos Crudos SE3 Impac'!I88</f>
        <v>7.0334261838440106</v>
      </c>
      <c r="K205" s="9">
        <f>'Datos Crudos SE3 Impac'!R34</f>
        <v>1.7631000000000001</v>
      </c>
      <c r="L205" s="9">
        <f>'Datos Crudos SE3 Impac'!R88</f>
        <v>1.9365999999999999</v>
      </c>
      <c r="M205" s="62">
        <v>44743</v>
      </c>
      <c r="N205" s="9">
        <f>'Datos Crudos SE3 Impac'!M34</f>
        <v>0.50419999999999998</v>
      </c>
      <c r="O205" s="9">
        <f>'Datos Crudos SE3 Impac'!P34</f>
        <v>0.15049999999999999</v>
      </c>
      <c r="P205" s="9">
        <f>'Datos Crudos SE3 Impac'!Q34</f>
        <v>7.6100000000000001E-2</v>
      </c>
      <c r="Q205" s="9">
        <f>'Datos Crudos SE3 Impac'!M88</f>
        <v>1.3880999999999999</v>
      </c>
      <c r="R205" s="9">
        <f>'Datos Crudos SE3 Impac'!P88</f>
        <v>0.15290000000000001</v>
      </c>
      <c r="S205" s="9">
        <f>'Datos Crudos SE3 Impac'!Q88</f>
        <v>6.4500000000000002E-2</v>
      </c>
      <c r="T205" s="9">
        <f>'Datos Crudos SE3 Impac'!O34</f>
        <v>0.2757</v>
      </c>
      <c r="U205" s="9">
        <f>'Datos Crudos SE3 Impac'!O88</f>
        <v>1.1777</v>
      </c>
      <c r="V205" s="198">
        <f t="shared" si="20"/>
        <v>0.84362770120809938</v>
      </c>
      <c r="W205" s="241">
        <f t="shared" si="21"/>
        <v>-1.933136826721471E-3</v>
      </c>
      <c r="X205" s="21">
        <f t="shared" si="22"/>
        <v>0.55306709152835032</v>
      </c>
      <c r="Y205" s="21">
        <f t="shared" si="23"/>
        <v>0.60812764639058148</v>
      </c>
      <c r="Z205" s="22">
        <f t="shared" si="24"/>
        <v>58</v>
      </c>
      <c r="AA205" s="248">
        <f t="shared" si="25"/>
        <v>2.1256312597283947E-2</v>
      </c>
      <c r="AB205" s="9">
        <f>'Datos Crudos SE3 Impac'!S34</f>
        <v>84.362770120809941</v>
      </c>
      <c r="AC205" s="9">
        <f>'Datos Crudos SE3 Impac'!S88</f>
        <v>39.187235360941855</v>
      </c>
      <c r="AD205" s="65">
        <f>AVERAGE(W205:W212)</f>
        <v>6.7988335463907701E-3</v>
      </c>
      <c r="AE205">
        <f>STDEV(W205:W212)</f>
        <v>2.4203294659065545E-2</v>
      </c>
      <c r="AF205" s="7">
        <f>AVERAGE(AA205:AA212)</f>
        <v>2.0019481756655431E-2</v>
      </c>
      <c r="AG205">
        <f>STDEV(AA205:AA212)</f>
        <v>4.3298099037575996E-3</v>
      </c>
      <c r="AH205" s="17">
        <f>'Datos Crudos SE3 Impac'!U34</f>
        <v>15.637229879190063</v>
      </c>
      <c r="AI205" s="17">
        <f>'Datos Crudos SE3 Impac'!U88</f>
        <v>60.812764639058145</v>
      </c>
    </row>
    <row r="206" spans="1:35" x14ac:dyDescent="0.25">
      <c r="A206" s="22" t="s">
        <v>721</v>
      </c>
      <c r="B206" s="87" t="s">
        <v>329</v>
      </c>
      <c r="C206" s="61" t="s">
        <v>317</v>
      </c>
      <c r="D206" s="61">
        <v>2</v>
      </c>
      <c r="E206" t="s">
        <v>17</v>
      </c>
      <c r="F206" s="53">
        <v>44685</v>
      </c>
      <c r="G206" s="9">
        <f>'Datos Crudos SE3 Impac'!H35</f>
        <v>2.0501</v>
      </c>
      <c r="H206" s="9">
        <f>'Datos Crudos SE3 Impac'!H89</f>
        <v>2.1135999999999999</v>
      </c>
      <c r="I206" s="17">
        <f>'Datos Crudos SE3 Impac'!I35</f>
        <v>5.0387785961660381</v>
      </c>
      <c r="J206" s="17">
        <f>'Datos Crudos SE3 Impac'!I89</f>
        <v>6.9407645722937197</v>
      </c>
      <c r="K206" s="9">
        <f>'Datos Crudos SE3 Impac'!R35</f>
        <v>1.8351</v>
      </c>
      <c r="L206" s="9">
        <f>'Datos Crudos SE3 Impac'!R89</f>
        <v>1.9063999999999999</v>
      </c>
      <c r="M206" s="62">
        <v>44743</v>
      </c>
      <c r="N206" s="9">
        <f>'Datos Crudos SE3 Impac'!M35</f>
        <v>0.53449999999999998</v>
      </c>
      <c r="O206" s="9">
        <f>'Datos Crudos SE3 Impac'!P35</f>
        <v>0.14799999999999999</v>
      </c>
      <c r="P206" s="9">
        <f>'Datos Crudos SE3 Impac'!Q35</f>
        <v>6.7000000000000004E-2</v>
      </c>
      <c r="Q206" s="9">
        <f>'Datos Crudos SE3 Impac'!M89</f>
        <v>1.3498000000000001</v>
      </c>
      <c r="R206" s="9">
        <f>'Datos Crudos SE3 Impac'!P89</f>
        <v>0.13769999999999999</v>
      </c>
      <c r="S206" s="9">
        <f>'Datos Crudos SE3 Impac'!Q89</f>
        <v>6.9500000000000006E-2</v>
      </c>
      <c r="T206" s="9">
        <f>'Datos Crudos SE3 Impac'!O35</f>
        <v>0.318</v>
      </c>
      <c r="U206" s="9">
        <f>'Datos Crudos SE3 Impac'!O89</f>
        <v>1.1414</v>
      </c>
      <c r="V206" s="198">
        <f t="shared" si="20"/>
        <v>0.82671244073892436</v>
      </c>
      <c r="W206" s="198">
        <f t="shared" si="21"/>
        <v>1.8156246153296474E-2</v>
      </c>
      <c r="X206" s="21">
        <f t="shared" si="22"/>
        <v>0.5419777521233804</v>
      </c>
      <c r="Y206" s="21">
        <f t="shared" si="23"/>
        <v>0.59872010071338655</v>
      </c>
      <c r="Z206" s="22">
        <f t="shared" si="24"/>
        <v>58</v>
      </c>
      <c r="AA206" s="248">
        <f t="shared" si="25"/>
        <v>2.3251900852202998E-2</v>
      </c>
      <c r="AB206" s="9">
        <f>'Datos Crudos SE3 Impac'!S35</f>
        <v>82.671244073892424</v>
      </c>
      <c r="AC206" s="9">
        <f>'Datos Crudos SE3 Impac'!S89</f>
        <v>40.12798992866135</v>
      </c>
      <c r="AH206" s="17">
        <f>'Datos Crudos SE3 Impac'!U35</f>
        <v>17.328755926107569</v>
      </c>
      <c r="AI206" s="17">
        <f>'Datos Crudos SE3 Impac'!U89</f>
        <v>59.872010071338657</v>
      </c>
    </row>
    <row r="207" spans="1:35" x14ac:dyDescent="0.25">
      <c r="A207" s="22" t="s">
        <v>722</v>
      </c>
      <c r="B207" s="87" t="s">
        <v>329</v>
      </c>
      <c r="C207" s="61" t="s">
        <v>317</v>
      </c>
      <c r="D207" s="61">
        <v>1</v>
      </c>
      <c r="E207" t="s">
        <v>18</v>
      </c>
      <c r="F207" s="53">
        <v>44685</v>
      </c>
      <c r="G207" s="9">
        <f>'Datos Crudos SE3 Impac'!H36</f>
        <v>1.9915</v>
      </c>
      <c r="H207" s="9">
        <f>'Datos Crudos SE3 Impac'!H90</f>
        <v>2.2139000000000002</v>
      </c>
      <c r="I207" s="17">
        <f>'Datos Crudos SE3 Impac'!I36</f>
        <v>5.1468742154155063</v>
      </c>
      <c r="J207" s="17">
        <f>'Datos Crudos SE3 Impac'!I90</f>
        <v>7.1096255476760444</v>
      </c>
      <c r="K207" s="9">
        <f>'Datos Crudos SE3 Impac'!R36</f>
        <v>1.7817000000000001</v>
      </c>
      <c r="L207" s="9">
        <f>'Datos Crudos SE3 Impac'!R90</f>
        <v>1.9920000000000002</v>
      </c>
      <c r="M207" s="62">
        <v>44743</v>
      </c>
      <c r="N207" s="9">
        <f>'Datos Crudos SE3 Impac'!M36</f>
        <v>0.49270000000000003</v>
      </c>
      <c r="O207" s="9">
        <f>'Datos Crudos SE3 Impac'!P36</f>
        <v>0.14649999999999999</v>
      </c>
      <c r="P207" s="9">
        <f>'Datos Crudos SE3 Impac'!Q36</f>
        <v>6.3299999999999995E-2</v>
      </c>
      <c r="Q207" s="9">
        <f>'Datos Crudos SE3 Impac'!M90</f>
        <v>1.5787</v>
      </c>
      <c r="R207" s="9">
        <f>'Datos Crudos SE3 Impac'!P90</f>
        <v>0.14360000000000001</v>
      </c>
      <c r="S207" s="9">
        <f>'Datos Crudos SE3 Impac'!Q90</f>
        <v>7.8299999999999995E-2</v>
      </c>
      <c r="T207" s="9">
        <f>'Datos Crudos SE3 Impac'!O36</f>
        <v>0.2797</v>
      </c>
      <c r="U207" s="9">
        <f>'Datos Crudos SE3 Impac'!O90</f>
        <v>1.357</v>
      </c>
      <c r="V207" s="198">
        <f t="shared" si="20"/>
        <v>0.84301509794016949</v>
      </c>
      <c r="W207" s="241">
        <f t="shared" si="21"/>
        <v>-1.2055795013889981E-3</v>
      </c>
      <c r="X207" s="21">
        <f t="shared" si="22"/>
        <v>0.55266547988476677</v>
      </c>
      <c r="Y207" s="21">
        <f t="shared" si="23"/>
        <v>0.6812248995983935</v>
      </c>
      <c r="Z207" s="22">
        <f t="shared" si="24"/>
        <v>58</v>
      </c>
      <c r="AA207" s="248">
        <f t="shared" si="25"/>
        <v>1.4825868237999331E-2</v>
      </c>
      <c r="AB207" s="9">
        <f>'Datos Crudos SE3 Impac'!S36</f>
        <v>84.301509794016951</v>
      </c>
      <c r="AC207" s="9">
        <f>'Datos Crudos SE3 Impac'!S90</f>
        <v>31.877510040160651</v>
      </c>
      <c r="AH207" s="17">
        <f>'Datos Crudos SE3 Impac'!U36</f>
        <v>15.698490205983049</v>
      </c>
      <c r="AI207" s="17">
        <f>'Datos Crudos SE3 Impac'!U90</f>
        <v>68.122489959839356</v>
      </c>
    </row>
    <row r="208" spans="1:35" x14ac:dyDescent="0.25">
      <c r="A208" s="22" t="s">
        <v>723</v>
      </c>
      <c r="B208" s="87" t="s">
        <v>329</v>
      </c>
      <c r="C208" s="61" t="s">
        <v>317</v>
      </c>
      <c r="D208" s="61">
        <v>2</v>
      </c>
      <c r="E208" t="s">
        <v>18</v>
      </c>
      <c r="F208" s="53">
        <v>44685</v>
      </c>
      <c r="G208" s="9">
        <f>'Datos Crudos SE3 Impac'!H37</f>
        <v>1.9702999999999999</v>
      </c>
      <c r="H208" s="9">
        <f>'Datos Crudos SE3 Impac'!H91</f>
        <v>2.1408999999999998</v>
      </c>
      <c r="I208" s="17">
        <f>'Datos Crudos SE3 Impac'!I37</f>
        <v>5.0753692331117133</v>
      </c>
      <c r="J208" s="17">
        <f>'Datos Crudos SE3 Impac'!I91</f>
        <v>7.1698818254005428</v>
      </c>
      <c r="K208" s="9">
        <f>'Datos Crudos SE3 Impac'!R37</f>
        <v>1.7621</v>
      </c>
      <c r="L208" s="9">
        <f>'Datos Crudos SE3 Impac'!R91</f>
        <v>1.9221999999999997</v>
      </c>
      <c r="M208" s="62">
        <v>44743</v>
      </c>
      <c r="N208" s="9">
        <f>'Datos Crudos SE3 Impac'!M37</f>
        <v>0.48349999999999999</v>
      </c>
      <c r="O208" s="9">
        <f>'Datos Crudos SE3 Impac'!P37</f>
        <v>0.14430000000000001</v>
      </c>
      <c r="P208" s="9">
        <f>'Datos Crudos SE3 Impac'!Q37</f>
        <v>6.3899999999999998E-2</v>
      </c>
      <c r="Q208" s="9">
        <f>'Datos Crudos SE3 Impac'!M91</f>
        <v>1.4995000000000001</v>
      </c>
      <c r="R208" s="9">
        <f>'Datos Crudos SE3 Impac'!P91</f>
        <v>0.14560000000000001</v>
      </c>
      <c r="S208" s="9">
        <f>'Datos Crudos SE3 Impac'!Q91</f>
        <v>7.3099999999999998E-2</v>
      </c>
      <c r="T208" s="9">
        <f>'Datos Crudos SE3 Impac'!O37</f>
        <v>0.27839999999999998</v>
      </c>
      <c r="U208" s="9">
        <f>'Datos Crudos SE3 Impac'!O91</f>
        <v>1.2835000000000001</v>
      </c>
      <c r="V208" s="198">
        <f t="shared" si="20"/>
        <v>0.84200669655524663</v>
      </c>
      <c r="W208" s="241">
        <f t="shared" si="21"/>
        <v>-7.9531534995513908E-6</v>
      </c>
      <c r="X208" s="21">
        <f t="shared" si="22"/>
        <v>0.55200439014073177</v>
      </c>
      <c r="Y208" s="21">
        <f t="shared" si="23"/>
        <v>0.66772448236395809</v>
      </c>
      <c r="Z208" s="22">
        <f t="shared" si="24"/>
        <v>58</v>
      </c>
      <c r="AA208" s="248">
        <f t="shared" si="25"/>
        <v>1.5882096737570968E-2</v>
      </c>
      <c r="AB208" s="9">
        <f>'Datos Crudos SE3 Impac'!S37</f>
        <v>84.200669655524663</v>
      </c>
      <c r="AC208" s="9">
        <f>'Datos Crudos SE3 Impac'!S91</f>
        <v>33.22755176360419</v>
      </c>
      <c r="AH208" s="17">
        <f>'Datos Crudos SE3 Impac'!U37</f>
        <v>15.79933034447534</v>
      </c>
      <c r="AI208" s="17">
        <f>'Datos Crudos SE3 Impac'!U91</f>
        <v>66.772448236395803</v>
      </c>
    </row>
    <row r="209" spans="1:35" x14ac:dyDescent="0.25">
      <c r="A209" s="22" t="s">
        <v>724</v>
      </c>
      <c r="B209" s="87" t="s">
        <v>329</v>
      </c>
      <c r="C209" s="61" t="s">
        <v>317</v>
      </c>
      <c r="D209" s="61">
        <v>1</v>
      </c>
      <c r="E209" t="s">
        <v>19</v>
      </c>
      <c r="F209" s="53">
        <v>44685</v>
      </c>
      <c r="G209" s="9">
        <f>'Datos Crudos SE3 Impac'!H38</f>
        <v>1.9327000000000001</v>
      </c>
      <c r="H209" s="9">
        <f>'Datos Crudos SE3 Impac'!H92</f>
        <v>2.1315</v>
      </c>
      <c r="I209" s="17">
        <f>'Datos Crudos SE3 Impac'!I38</f>
        <v>5.1585864334868266</v>
      </c>
      <c r="J209" s="17">
        <f>'Datos Crudos SE3 Impac'!I92</f>
        <v>7.1311283133943304</v>
      </c>
      <c r="K209" s="9">
        <f>'Datos Crudos SE3 Impac'!R38</f>
        <v>1.7242000000000002</v>
      </c>
      <c r="L209" s="9">
        <f>'Datos Crudos SE3 Impac'!R92</f>
        <v>1.9118999999999999</v>
      </c>
      <c r="M209" s="62">
        <v>44743</v>
      </c>
      <c r="N209" s="9">
        <f>'Datos Crudos SE3 Impac'!M38</f>
        <v>0.56269999999999998</v>
      </c>
      <c r="O209" s="9">
        <f>'Datos Crudos SE3 Impac'!P38</f>
        <v>0.13900000000000001</v>
      </c>
      <c r="P209" s="9">
        <f>'Datos Crudos SE3 Impac'!Q38</f>
        <v>6.9500000000000006E-2</v>
      </c>
      <c r="Q209" s="9">
        <f>'Datos Crudos SE3 Impac'!M92</f>
        <v>1.3536999999999999</v>
      </c>
      <c r="R209" s="9">
        <f>'Datos Crudos SE3 Impac'!P92</f>
        <v>0.14710000000000001</v>
      </c>
      <c r="S209" s="9">
        <f>'Datos Crudos SE3 Impac'!Q92</f>
        <v>7.2499999999999995E-2</v>
      </c>
      <c r="T209" s="9">
        <f>'Datos Crudos SE3 Impac'!O38</f>
        <v>0.35520000000000002</v>
      </c>
      <c r="U209" s="9">
        <f>'Datos Crudos SE3 Impac'!O92</f>
        <v>1.1371</v>
      </c>
      <c r="V209" s="198">
        <f t="shared" si="20"/>
        <v>0.79399141630901293</v>
      </c>
      <c r="W209" s="198">
        <f t="shared" si="21"/>
        <v>5.7017320298084373E-2</v>
      </c>
      <c r="X209" s="21">
        <f t="shared" si="22"/>
        <v>0.52052643919545749</v>
      </c>
      <c r="Y209" s="21">
        <f t="shared" si="23"/>
        <v>0.59474867932423248</v>
      </c>
      <c r="Z209" s="22">
        <f t="shared" si="24"/>
        <v>58</v>
      </c>
      <c r="AA209" s="248">
        <f t="shared" si="25"/>
        <v>2.5991708211894882E-2</v>
      </c>
      <c r="AB209" s="9">
        <f>'Datos Crudos SE3 Impac'!S38</f>
        <v>79.399141630901298</v>
      </c>
      <c r="AC209" s="9">
        <f>'Datos Crudos SE3 Impac'!S92</f>
        <v>40.525132067576749</v>
      </c>
      <c r="AH209" s="17">
        <f>'Datos Crudos SE3 Impac'!U38</f>
        <v>20.600858369098713</v>
      </c>
      <c r="AI209" s="17">
        <f>'Datos Crudos SE3 Impac'!U92</f>
        <v>59.474867932423251</v>
      </c>
    </row>
    <row r="210" spans="1:35" x14ac:dyDescent="0.25">
      <c r="A210" s="22" t="s">
        <v>725</v>
      </c>
      <c r="B210" s="87" t="s">
        <v>329</v>
      </c>
      <c r="C210" s="61" t="s">
        <v>317</v>
      </c>
      <c r="D210" s="61">
        <v>2</v>
      </c>
      <c r="E210" t="s">
        <v>19</v>
      </c>
      <c r="F210" s="53">
        <v>44685</v>
      </c>
      <c r="G210" s="9">
        <f>'Datos Crudos SE3 Impac'!H39</f>
        <v>2.0303</v>
      </c>
      <c r="H210" s="9">
        <f>'Datos Crudos SE3 Impac'!H93</f>
        <v>2.1450999999999998</v>
      </c>
      <c r="I210" s="17">
        <f>'Datos Crudos SE3 Impac'!I39</f>
        <v>5.1420972270107885</v>
      </c>
      <c r="J210" s="17">
        <f>'Datos Crudos SE3 Impac'!I93</f>
        <v>7.2350939350146959</v>
      </c>
      <c r="K210" s="9">
        <f>'Datos Crudos SE3 Impac'!R39</f>
        <v>1.8202</v>
      </c>
      <c r="L210" s="9">
        <f>'Datos Crudos SE3 Impac'!R93</f>
        <v>1.8833999999999997</v>
      </c>
      <c r="M210" s="62">
        <v>44743</v>
      </c>
      <c r="N210" s="9">
        <f>'Datos Crudos SE3 Impac'!M39</f>
        <v>0.46089999999999998</v>
      </c>
      <c r="O210" s="9">
        <f>'Datos Crudos SE3 Impac'!P39</f>
        <v>0.14380000000000001</v>
      </c>
      <c r="P210" s="9">
        <f>'Datos Crudos SE3 Impac'!Q39</f>
        <v>6.6299999999999998E-2</v>
      </c>
      <c r="Q210" s="9">
        <f>'Datos Crudos SE3 Impac'!M93</f>
        <v>1.5029999999999999</v>
      </c>
      <c r="R210" s="9">
        <f>'Datos Crudos SE3 Impac'!P93</f>
        <v>0.17430000000000001</v>
      </c>
      <c r="S210" s="9">
        <f>'Datos Crudos SE3 Impac'!Q93</f>
        <v>8.7400000000000005E-2</v>
      </c>
      <c r="T210" s="9">
        <f>'Datos Crudos SE3 Impac'!O39</f>
        <v>0.25040000000000001</v>
      </c>
      <c r="U210" s="9">
        <f>'Datos Crudos SE3 Impac'!O93</f>
        <v>1.2405999999999999</v>
      </c>
      <c r="V210" s="198">
        <f t="shared" si="20"/>
        <v>0.86243269970332936</v>
      </c>
      <c r="W210" s="241">
        <f t="shared" si="21"/>
        <v>-2.4266864255735543E-2</v>
      </c>
      <c r="X210" s="21">
        <f t="shared" si="22"/>
        <v>0.56539530906916602</v>
      </c>
      <c r="Y210" s="21">
        <f t="shared" si="23"/>
        <v>0.65870234681958162</v>
      </c>
      <c r="Z210" s="22">
        <f t="shared" si="24"/>
        <v>58</v>
      </c>
      <c r="AA210" s="248">
        <f t="shared" si="25"/>
        <v>1.5955917722877123E-2</v>
      </c>
      <c r="AB210" s="9">
        <f>'Datos Crudos SE3 Impac'!S39</f>
        <v>86.243269970332932</v>
      </c>
      <c r="AC210" s="9">
        <f>'Datos Crudos SE3 Impac'!S93</f>
        <v>34.129765318041834</v>
      </c>
      <c r="AH210" s="17">
        <f>'Datos Crudos SE3 Impac'!U39</f>
        <v>13.75673002966707</v>
      </c>
      <c r="AI210" s="17">
        <f>'Datos Crudos SE3 Impac'!U93</f>
        <v>65.870234681958166</v>
      </c>
    </row>
    <row r="211" spans="1:35" x14ac:dyDescent="0.25">
      <c r="A211" s="22" t="s">
        <v>726</v>
      </c>
      <c r="B211" s="87" t="s">
        <v>329</v>
      </c>
      <c r="C211" s="61" t="s">
        <v>317</v>
      </c>
      <c r="D211" s="61">
        <v>1</v>
      </c>
      <c r="E211" t="s">
        <v>20</v>
      </c>
      <c r="F211" s="53">
        <v>44685</v>
      </c>
      <c r="G211" s="9">
        <f>'Datos Crudos SE3 Impac'!H40</f>
        <v>1.9129</v>
      </c>
      <c r="H211" s="9">
        <f>'Datos Crudos SE3 Impac'!H94</f>
        <v>2.1379000000000001</v>
      </c>
      <c r="I211" s="17">
        <f>'Datos Crudos SE3 Impac'!I40</f>
        <v>5.196298813320098</v>
      </c>
      <c r="J211" s="17">
        <f>'Datos Crudos SE3 Impac'!I94</f>
        <v>7.1425230366247163</v>
      </c>
      <c r="K211" s="9">
        <f>'Datos Crudos SE3 Impac'!R40</f>
        <v>1.7065000000000001</v>
      </c>
      <c r="L211" s="9">
        <f>'Datos Crudos SE3 Impac'!R94</f>
        <v>1.9342000000000001</v>
      </c>
      <c r="M211" s="62">
        <v>44743</v>
      </c>
      <c r="N211" s="9">
        <f>'Datos Crudos SE3 Impac'!M40</f>
        <v>0.49809999999999999</v>
      </c>
      <c r="O211" s="9">
        <f>'Datos Crudos SE3 Impac'!P40</f>
        <v>0.13800000000000001</v>
      </c>
      <c r="P211" s="9">
        <f>'Datos Crudos SE3 Impac'!Q40</f>
        <v>6.8400000000000002E-2</v>
      </c>
      <c r="Q211" s="9">
        <f>'Datos Crudos SE3 Impac'!M94</f>
        <v>1.5918000000000001</v>
      </c>
      <c r="R211" s="9">
        <f>'Datos Crudos SE3 Impac'!P94</f>
        <v>0.13739999999999999</v>
      </c>
      <c r="S211" s="9">
        <f>'Datos Crudos SE3 Impac'!Q94</f>
        <v>6.6299999999999998E-2</v>
      </c>
      <c r="T211" s="9">
        <f>'Datos Crudos SE3 Impac'!O40</f>
        <v>0.29120000000000001</v>
      </c>
      <c r="U211" s="9">
        <f>'Datos Crudos SE3 Impac'!O94</f>
        <v>1.1357999999999999</v>
      </c>
      <c r="V211" s="198">
        <f t="shared" si="20"/>
        <v>0.82935833577497808</v>
      </c>
      <c r="W211" s="198">
        <f t="shared" si="21"/>
        <v>1.5013852998838395E-2</v>
      </c>
      <c r="X211" s="21">
        <f t="shared" si="22"/>
        <v>0.54371235314464128</v>
      </c>
      <c r="Y211" s="21">
        <f t="shared" si="23"/>
        <v>0.58721952228311436</v>
      </c>
      <c r="Z211" s="22">
        <f t="shared" si="24"/>
        <v>58</v>
      </c>
      <c r="AA211" s="248">
        <f t="shared" si="25"/>
        <v>2.4547296403042439E-2</v>
      </c>
      <c r="AB211" s="9">
        <f>'Datos Crudos SE3 Impac'!S40</f>
        <v>82.935833577497803</v>
      </c>
      <c r="AC211" s="9">
        <f>'Datos Crudos SE3 Impac'!S94</f>
        <v>41.278047771688563</v>
      </c>
      <c r="AH211" s="17">
        <f>'Datos Crudos SE3 Impac'!U40</f>
        <v>17.064166422502197</v>
      </c>
      <c r="AI211" s="17">
        <f>'Datos Crudos SE3 Impac'!U94</f>
        <v>58.721952228311437</v>
      </c>
    </row>
    <row r="212" spans="1:35" x14ac:dyDescent="0.25">
      <c r="A212" s="22" t="s">
        <v>727</v>
      </c>
      <c r="B212" s="87" t="s">
        <v>329</v>
      </c>
      <c r="C212" s="61" t="s">
        <v>317</v>
      </c>
      <c r="D212" s="61">
        <v>2</v>
      </c>
      <c r="E212" t="s">
        <v>20</v>
      </c>
      <c r="F212" s="53">
        <v>44685</v>
      </c>
      <c r="G212" s="9">
        <f>'Datos Crudos SE3 Impac'!H41</f>
        <v>2.0385</v>
      </c>
      <c r="H212" s="9">
        <f>'Datos Crudos SE3 Impac'!H95</f>
        <v>2.1053999999999999</v>
      </c>
      <c r="I212" s="17">
        <f>'Datos Crudos SE3 Impac'!I41</f>
        <v>5.0821682609762151</v>
      </c>
      <c r="J212" s="17">
        <f>'Datos Crudos SE3 Impac'!I95</f>
        <v>7.1767835090719112</v>
      </c>
      <c r="K212" s="9">
        <f>'Datos Crudos SE3 Impac'!R41</f>
        <v>1.8271999999999999</v>
      </c>
      <c r="L212" s="9">
        <f>'Datos Crudos SE3 Impac'!R95</f>
        <v>1.8817999999999999</v>
      </c>
      <c r="M212" s="62">
        <v>44743</v>
      </c>
      <c r="N212" s="9">
        <f>'Datos Crudos SE3 Impac'!M41</f>
        <v>0.49230000000000002</v>
      </c>
      <c r="O212" s="9">
        <f>'Datos Crudos SE3 Impac'!P41</f>
        <v>0.1454</v>
      </c>
      <c r="P212" s="9">
        <f>'Datos Crudos SE3 Impac'!Q41</f>
        <v>6.59E-2</v>
      </c>
      <c r="Q212" s="9">
        <f>'Datos Crudos SE3 Impac'!M95</f>
        <v>1.4180999999999999</v>
      </c>
      <c r="R212" s="9">
        <f>'Datos Crudos SE3 Impac'!P95</f>
        <v>0.14760000000000001</v>
      </c>
      <c r="S212" s="9">
        <f>'Datos Crudos SE3 Impac'!Q95</f>
        <v>7.5999999999999998E-2</v>
      </c>
      <c r="T212" s="9">
        <f>'Datos Crudos SE3 Impac'!O41</f>
        <v>0.27579999999999999</v>
      </c>
      <c r="U212" s="9">
        <f>'Datos Crudos SE3 Impac'!O95</f>
        <v>1.1937</v>
      </c>
      <c r="V212" s="198">
        <f t="shared" si="20"/>
        <v>0.84905866900175131</v>
      </c>
      <c r="W212" s="241">
        <f t="shared" si="21"/>
        <v>-8.3832173417475175E-3</v>
      </c>
      <c r="X212" s="21">
        <f t="shared" si="22"/>
        <v>0.55662753597264469</v>
      </c>
      <c r="Y212" s="21">
        <f t="shared" si="23"/>
        <v>0.63433946221702631</v>
      </c>
      <c r="Z212" s="22">
        <f t="shared" si="24"/>
        <v>58</v>
      </c>
      <c r="AA212" s="248">
        <f t="shared" si="25"/>
        <v>1.8444753290371783E-2</v>
      </c>
      <c r="AB212" s="9">
        <f>'Datos Crudos SE3 Impac'!S41</f>
        <v>84.905866900175127</v>
      </c>
      <c r="AC212" s="9">
        <f>'Datos Crudos SE3 Impac'!S95</f>
        <v>36.566053778297373</v>
      </c>
      <c r="AH212" s="17">
        <f>'Datos Crudos SE3 Impac'!U41</f>
        <v>15.09413309982487</v>
      </c>
      <c r="AI212" s="17">
        <f>'Datos Crudos SE3 Impac'!U95</f>
        <v>63.433946221702634</v>
      </c>
    </row>
    <row r="213" spans="1:35" x14ac:dyDescent="0.25">
      <c r="A213" s="64" t="s">
        <v>882</v>
      </c>
      <c r="B213" s="87" t="s">
        <v>783</v>
      </c>
      <c r="C213" s="61" t="s">
        <v>317</v>
      </c>
      <c r="D213" s="61">
        <v>1</v>
      </c>
      <c r="E213" t="s">
        <v>17</v>
      </c>
      <c r="F213" s="267">
        <v>44944</v>
      </c>
      <c r="G213" s="9">
        <f>'Datos Crudos SE3 Impac'!H42</f>
        <v>1.9942</v>
      </c>
      <c r="H213" s="9">
        <f>'Datos Crudos SE3 Impac'!H96</f>
        <v>2.1850000000000001</v>
      </c>
      <c r="I213" s="17">
        <f>'Datos Crudos SE3 Impac'!I42</f>
        <v>5.4708655099789381</v>
      </c>
      <c r="J213" s="17">
        <f>'Datos Crudos SE3 Impac'!I96</f>
        <v>7.1762013729977134</v>
      </c>
      <c r="K213" s="9">
        <f>'Datos Crudos SE3 Impac'!R42</f>
        <v>1.7535000000000001</v>
      </c>
      <c r="L213" s="9">
        <f>'Datos Crudos SE3 Impac'!R96</f>
        <v>1.9913000000000001</v>
      </c>
      <c r="M213" s="267">
        <v>45002</v>
      </c>
      <c r="N213" s="9">
        <f>'Datos Crudos SE3 Impac'!M42</f>
        <v>0.86550000000000005</v>
      </c>
      <c r="O213" s="9">
        <f>'Datos Crudos SE3 Impac'!P42</f>
        <v>0.1764</v>
      </c>
      <c r="P213" s="9">
        <f>'Datos Crudos SE3 Impac'!Q42</f>
        <v>6.4299999999999996E-2</v>
      </c>
      <c r="Q213" s="9">
        <f>'Datos Crudos SE3 Impac'!M96</f>
        <v>1.7023999999999999</v>
      </c>
      <c r="R213" s="9">
        <f>'Datos Crudos SE3 Impac'!P96</f>
        <v>0.1288</v>
      </c>
      <c r="S213" s="9">
        <f>'Datos Crudos SE3 Impac'!Q96</f>
        <v>6.4899999999999999E-2</v>
      </c>
      <c r="T213" s="9">
        <f>'Datos Crudos SE3 Impac'!O42</f>
        <v>0.60629999999999995</v>
      </c>
      <c r="U213" s="9">
        <f>'Datos Crudos SE3 Impac'!O96</f>
        <v>1.5094000000000001</v>
      </c>
      <c r="V213" s="198">
        <f t="shared" si="20"/>
        <v>0.65423438836612491</v>
      </c>
      <c r="W213" s="198">
        <f t="shared" si="21"/>
        <v>0.22299953875757139</v>
      </c>
      <c r="X213" s="21">
        <f t="shared" si="22"/>
        <v>0.4289042546058206</v>
      </c>
      <c r="Y213" s="21">
        <f t="shared" si="23"/>
        <v>0.75799728820368606</v>
      </c>
      <c r="Z213" s="22">
        <f t="shared" si="24"/>
        <v>58</v>
      </c>
      <c r="AA213" s="248">
        <f t="shared" si="25"/>
        <v>1.4321581760725325E-2</v>
      </c>
      <c r="AB213" s="9">
        <f>'Datos Crudos SE3 Impac'!S42</f>
        <v>65.423438836612505</v>
      </c>
      <c r="AC213" s="9">
        <f>'Datos Crudos SE3 Impac'!S96</f>
        <v>24.200271179631397</v>
      </c>
      <c r="AD213" s="65">
        <f>AVERAGE(W213:W220)</f>
        <v>0.13868816368319103</v>
      </c>
      <c r="AE213">
        <f>STDEV(W213:W220)</f>
        <v>4.678259621409192E-2</v>
      </c>
      <c r="AF213" s="7">
        <f>AVERAGE(AA213:AA220)</f>
        <v>1.4293999679305724E-2</v>
      </c>
      <c r="AG213">
        <f>STDEV(AA213:AA220)</f>
        <v>8.8178685700528202E-4</v>
      </c>
      <c r="AH213" s="17">
        <f>'Datos Crudos SE3 Impac'!U42</f>
        <v>34.57656116338751</v>
      </c>
      <c r="AI213" s="17">
        <f>'Datos Crudos SE3 Impac'!U96</f>
        <v>75.7997288203686</v>
      </c>
    </row>
    <row r="214" spans="1:35" x14ac:dyDescent="0.25">
      <c r="A214" s="64" t="s">
        <v>883</v>
      </c>
      <c r="B214" s="87" t="s">
        <v>783</v>
      </c>
      <c r="C214" s="61" t="s">
        <v>317</v>
      </c>
      <c r="D214" s="61">
        <v>2</v>
      </c>
      <c r="E214" t="s">
        <v>17</v>
      </c>
      <c r="F214" s="267">
        <v>44944</v>
      </c>
      <c r="G214" s="9">
        <f>'Datos Crudos SE3 Impac'!H43</f>
        <v>1.9883999999999999</v>
      </c>
      <c r="H214" s="9">
        <f>'Datos Crudos SE3 Impac'!H97</f>
        <v>2.2160000000000002</v>
      </c>
      <c r="I214" s="17">
        <f>'Datos Crudos SE3 Impac'!I43</f>
        <v>5.4264735465701008</v>
      </c>
      <c r="J214" s="17">
        <f>'Datos Crudos SE3 Impac'!I97</f>
        <v>7.1119133574007201</v>
      </c>
      <c r="K214" s="9">
        <f>'Datos Crudos SE3 Impac'!R43</f>
        <v>1.7778</v>
      </c>
      <c r="L214" s="9">
        <f>'Datos Crudos SE3 Impac'!R97</f>
        <v>2.0271000000000003</v>
      </c>
      <c r="M214" s="267">
        <v>45002</v>
      </c>
      <c r="N214" s="9">
        <f>'Datos Crudos SE3 Impac'!M43</f>
        <v>0.76770000000000005</v>
      </c>
      <c r="O214" s="9">
        <f>'Datos Crudos SE3 Impac'!P43</f>
        <v>0.14269999999999999</v>
      </c>
      <c r="P214" s="9">
        <f>'Datos Crudos SE3 Impac'!Q43</f>
        <v>6.7900000000000002E-2</v>
      </c>
      <c r="Q214" s="9">
        <f>'Datos Crudos SE3 Impac'!M97</f>
        <v>1.669</v>
      </c>
      <c r="R214" s="9">
        <f>'Datos Crudos SE3 Impac'!P97</f>
        <v>0.1278</v>
      </c>
      <c r="S214" s="9">
        <f>'Datos Crudos SE3 Impac'!Q97</f>
        <v>6.1100000000000002E-2</v>
      </c>
      <c r="T214" s="9">
        <f>'Datos Crudos SE3 Impac'!O43</f>
        <v>0.55289999999999995</v>
      </c>
      <c r="U214" s="9">
        <f>'Datos Crudos SE3 Impac'!O97</f>
        <v>1.4812000000000001</v>
      </c>
      <c r="V214" s="198">
        <f t="shared" si="20"/>
        <v>0.68899763752953092</v>
      </c>
      <c r="W214" s="198">
        <f t="shared" si="21"/>
        <v>0.18171301956112718</v>
      </c>
      <c r="X214" s="21">
        <f t="shared" si="22"/>
        <v>0.45169441320225784</v>
      </c>
      <c r="Y214" s="21">
        <f t="shared" si="23"/>
        <v>0.73069902816831922</v>
      </c>
      <c r="Z214" s="22">
        <f t="shared" si="24"/>
        <v>58</v>
      </c>
      <c r="AA214" s="248">
        <f t="shared" si="25"/>
        <v>1.5635168182885777E-2</v>
      </c>
      <c r="AB214" s="9">
        <f>'Datos Crudos SE3 Impac'!S43</f>
        <v>68.899763752953092</v>
      </c>
      <c r="AC214" s="9">
        <f>'Datos Crudos SE3 Impac'!S97</f>
        <v>26.930097183168083</v>
      </c>
      <c r="AH214" s="17">
        <f>'Datos Crudos SE3 Impac'!U43</f>
        <v>31.100236247046908</v>
      </c>
      <c r="AI214" s="17">
        <f>'Datos Crudos SE3 Impac'!U97</f>
        <v>73.069902816831927</v>
      </c>
    </row>
    <row r="215" spans="1:35" x14ac:dyDescent="0.25">
      <c r="A215" s="64" t="s">
        <v>884</v>
      </c>
      <c r="B215" s="87" t="s">
        <v>783</v>
      </c>
      <c r="C215" s="61" t="s">
        <v>317</v>
      </c>
      <c r="D215" s="61">
        <v>1</v>
      </c>
      <c r="E215" t="s">
        <v>18</v>
      </c>
      <c r="F215" s="267">
        <v>44944</v>
      </c>
      <c r="G215" s="9">
        <f>'Datos Crudos SE3 Impac'!H44</f>
        <v>1.9635</v>
      </c>
      <c r="H215" s="9">
        <f>'Datos Crudos SE3 Impac'!H98</f>
        <v>2.2155</v>
      </c>
      <c r="I215" s="17">
        <f>'Datos Crudos SE3 Impac'!I44</f>
        <v>5.4188948306595393</v>
      </c>
      <c r="J215" s="17">
        <f>'Datos Crudos SE3 Impac'!I98</f>
        <v>7.1767095463777837</v>
      </c>
      <c r="K215" s="9">
        <f>'Datos Crudos SE3 Impac'!R44</f>
        <v>1.7611000000000001</v>
      </c>
      <c r="L215" s="9">
        <f>'Datos Crudos SE3 Impac'!R98</f>
        <v>2.0239000000000003</v>
      </c>
      <c r="M215" s="267">
        <v>45002</v>
      </c>
      <c r="N215" s="9">
        <f>'Datos Crudos SE3 Impac'!M44</f>
        <v>0.66569999999999996</v>
      </c>
      <c r="O215" s="9">
        <f>'Datos Crudos SE3 Impac'!P44</f>
        <v>0.13969999999999999</v>
      </c>
      <c r="P215" s="9">
        <f>'Datos Crudos SE3 Impac'!Q44</f>
        <v>6.2700000000000006E-2</v>
      </c>
      <c r="Q215" s="9">
        <f>'Datos Crudos SE3 Impac'!M98</f>
        <v>1.6465000000000001</v>
      </c>
      <c r="R215" s="9">
        <f>'Datos Crudos SE3 Impac'!P98</f>
        <v>0.128</v>
      </c>
      <c r="S215" s="9">
        <f>'Datos Crudos SE3 Impac'!Q98</f>
        <v>6.3600000000000004E-2</v>
      </c>
      <c r="T215" s="9">
        <f>'Datos Crudos SE3 Impac'!O44</f>
        <v>0.4587</v>
      </c>
      <c r="U215" s="9">
        <f>'Datos Crudos SE3 Impac'!O98</f>
        <v>1.4543999999999999</v>
      </c>
      <c r="V215" s="198">
        <f t="shared" si="20"/>
        <v>0.73953778888194877</v>
      </c>
      <c r="W215" s="198">
        <f t="shared" si="21"/>
        <v>0.12168908683854063</v>
      </c>
      <c r="X215" s="21">
        <f t="shared" si="22"/>
        <v>0.48482762406512564</v>
      </c>
      <c r="Y215" s="21">
        <f t="shared" si="23"/>
        <v>0.71861257967290859</v>
      </c>
      <c r="Z215" s="22">
        <f t="shared" si="24"/>
        <v>58</v>
      </c>
      <c r="AA215" s="248">
        <f t="shared" si="25"/>
        <v>1.4972780877341475E-2</v>
      </c>
      <c r="AB215" s="9">
        <f>'Datos Crudos SE3 Impac'!S44</f>
        <v>73.953778888194876</v>
      </c>
      <c r="AC215" s="9">
        <f>'Datos Crudos SE3 Impac'!S98</f>
        <v>28.138742032709139</v>
      </c>
      <c r="AH215" s="17">
        <f>'Datos Crudos SE3 Impac'!U44</f>
        <v>26.046221111805117</v>
      </c>
      <c r="AI215" s="17">
        <f>'Datos Crudos SE3 Impac'!U98</f>
        <v>71.861257967290854</v>
      </c>
    </row>
    <row r="216" spans="1:35" x14ac:dyDescent="0.25">
      <c r="A216" s="64" t="s">
        <v>885</v>
      </c>
      <c r="B216" s="87" t="s">
        <v>783</v>
      </c>
      <c r="C216" s="61" t="s">
        <v>317</v>
      </c>
      <c r="D216" s="61">
        <v>2</v>
      </c>
      <c r="E216" t="s">
        <v>18</v>
      </c>
      <c r="F216" s="267">
        <v>44944</v>
      </c>
      <c r="G216" s="9">
        <f>'Datos Crudos SE3 Impac'!H45</f>
        <v>1.9601</v>
      </c>
      <c r="H216" s="9">
        <f>'Datos Crudos SE3 Impac'!H99</f>
        <v>2.2814000000000001</v>
      </c>
      <c r="I216" s="17">
        <f>'Datos Crudos SE3 Impac'!I45</f>
        <v>5.4282944747716977</v>
      </c>
      <c r="J216" s="17">
        <f>'Datos Crudos SE3 Impac'!I99</f>
        <v>7.1885684228982072</v>
      </c>
      <c r="K216" s="9">
        <f>'Datos Crudos SE3 Impac'!R45</f>
        <v>1.7611999999999999</v>
      </c>
      <c r="L216" s="9">
        <f>'Datos Crudos SE3 Impac'!R99</f>
        <v>2.0609000000000002</v>
      </c>
      <c r="M216" s="267">
        <v>45002</v>
      </c>
      <c r="N216" s="9">
        <f>'Datos Crudos SE3 Impac'!M45</f>
        <v>0.61319999999999997</v>
      </c>
      <c r="O216" s="9">
        <f>'Datos Crudos SE3 Impac'!P45</f>
        <v>0.14199999999999999</v>
      </c>
      <c r="P216" s="9">
        <f>'Datos Crudos SE3 Impac'!Q45</f>
        <v>5.6899999999999999E-2</v>
      </c>
      <c r="Q216" s="9">
        <f>'Datos Crudos SE3 Impac'!M99</f>
        <v>1.7366999999999999</v>
      </c>
      <c r="R216" s="9">
        <f>'Datos Crudos SE3 Impac'!P99</f>
        <v>0.1313</v>
      </c>
      <c r="S216" s="9">
        <f>'Datos Crudos SE3 Impac'!Q99</f>
        <v>8.9200000000000002E-2</v>
      </c>
      <c r="T216" s="9">
        <f>'Datos Crudos SE3 Impac'!O45</f>
        <v>0.4103</v>
      </c>
      <c r="U216" s="9">
        <f>'Datos Crudos SE3 Impac'!O99</f>
        <v>1.5159</v>
      </c>
      <c r="V216" s="198">
        <f t="shared" si="20"/>
        <v>0.7670338405632523</v>
      </c>
      <c r="W216" s="198">
        <f t="shared" si="21"/>
        <v>8.9033443511576826E-2</v>
      </c>
      <c r="X216" s="21">
        <f t="shared" si="22"/>
        <v>0.50285353918160969</v>
      </c>
      <c r="Y216" s="21">
        <f t="shared" si="23"/>
        <v>0.73555242855063319</v>
      </c>
      <c r="Z216" s="22">
        <f t="shared" si="24"/>
        <v>58</v>
      </c>
      <c r="AA216" s="248">
        <f t="shared" si="25"/>
        <v>1.2867654927571543E-2</v>
      </c>
      <c r="AB216" s="9">
        <f>'Datos Crudos SE3 Impac'!S45</f>
        <v>76.703384056325234</v>
      </c>
      <c r="AC216" s="9">
        <f>'Datos Crudos SE3 Impac'!S99</f>
        <v>26.444757144936681</v>
      </c>
      <c r="AH216" s="17">
        <f>'Datos Crudos SE3 Impac'!U45</f>
        <v>23.29661594367477</v>
      </c>
      <c r="AI216" s="17">
        <f>'Datos Crudos SE3 Impac'!U99</f>
        <v>73.555242855063312</v>
      </c>
    </row>
    <row r="217" spans="1:35" x14ac:dyDescent="0.25">
      <c r="A217" s="64" t="s">
        <v>886</v>
      </c>
      <c r="B217" s="87" t="s">
        <v>783</v>
      </c>
      <c r="C217" s="61" t="s">
        <v>317</v>
      </c>
      <c r="D217" s="61">
        <v>1</v>
      </c>
      <c r="E217" t="s">
        <v>19</v>
      </c>
      <c r="F217" s="267">
        <v>44944</v>
      </c>
      <c r="G217" s="9">
        <f>'Datos Crudos SE3 Impac'!H46</f>
        <v>1.9611000000000001</v>
      </c>
      <c r="H217" s="9">
        <f>'Datos Crudos SE3 Impac'!H100</f>
        <v>1.9328000000000001</v>
      </c>
      <c r="I217" s="17">
        <f>'Datos Crudos SE3 Impac'!I46</f>
        <v>5.3898322370098475</v>
      </c>
      <c r="J217" s="17">
        <f>'Datos Crudos SE3 Impac'!I100</f>
        <v>6.8242963576158999</v>
      </c>
      <c r="K217" s="9">
        <f>'Datos Crudos SE3 Impac'!R46</f>
        <v>1.7533000000000001</v>
      </c>
      <c r="L217" s="9">
        <f>'Datos Crudos SE3 Impac'!R100</f>
        <v>1.7396</v>
      </c>
      <c r="M217" s="267">
        <v>45002</v>
      </c>
      <c r="N217" s="9">
        <f>'Datos Crudos SE3 Impac'!M46</f>
        <v>0.65910000000000002</v>
      </c>
      <c r="O217" s="9">
        <f>'Datos Crudos SE3 Impac'!P46</f>
        <v>0.14630000000000001</v>
      </c>
      <c r="P217" s="9">
        <f>'Datos Crudos SE3 Impac'!Q46</f>
        <v>6.1499999999999999E-2</v>
      </c>
      <c r="Q217" s="9">
        <f>'Datos Crudos SE3 Impac'!M100</f>
        <v>1.4605999999999999</v>
      </c>
      <c r="R217" s="9">
        <f>'Datos Crudos SE3 Impac'!P100</f>
        <v>0.13170000000000001</v>
      </c>
      <c r="S217" s="9">
        <f>'Datos Crudos SE3 Impac'!Q100</f>
        <v>6.1499999999999999E-2</v>
      </c>
      <c r="T217" s="9">
        <f>'Datos Crudos SE3 Impac'!O46</f>
        <v>0.443</v>
      </c>
      <c r="U217" s="9">
        <f>'Datos Crudos SE3 Impac'!O100</f>
        <v>1.2674000000000001</v>
      </c>
      <c r="V217" s="198">
        <f t="shared" si="20"/>
        <v>0.74733359949808931</v>
      </c>
      <c r="W217" s="198">
        <f t="shared" si="21"/>
        <v>0.11243040439656848</v>
      </c>
      <c r="X217" s="21">
        <f t="shared" si="22"/>
        <v>0.48993841677309424</v>
      </c>
      <c r="Y217" s="21">
        <f t="shared" si="23"/>
        <v>0.72855828926189936</v>
      </c>
      <c r="Z217" s="22">
        <f t="shared" si="24"/>
        <v>58</v>
      </c>
      <c r="AA217" s="248">
        <f t="shared" si="25"/>
        <v>1.392256489800125E-2</v>
      </c>
      <c r="AB217" s="9">
        <f>'Datos Crudos SE3 Impac'!S46</f>
        <v>74.733359949808928</v>
      </c>
      <c r="AC217" s="9">
        <f>'Datos Crudos SE3 Impac'!S100</f>
        <v>27.144171073810071</v>
      </c>
      <c r="AH217" s="17">
        <f>'Datos Crudos SE3 Impac'!U46</f>
        <v>25.266640050191068</v>
      </c>
      <c r="AI217" s="17">
        <f>'Datos Crudos SE3 Impac'!U100</f>
        <v>72.855828926189929</v>
      </c>
    </row>
    <row r="218" spans="1:35" x14ac:dyDescent="0.25">
      <c r="A218" s="64" t="s">
        <v>887</v>
      </c>
      <c r="B218" s="87" t="s">
        <v>783</v>
      </c>
      <c r="C218" s="61" t="s">
        <v>317</v>
      </c>
      <c r="D218" s="61">
        <v>2</v>
      </c>
      <c r="E218" t="s">
        <v>19</v>
      </c>
      <c r="F218" s="267">
        <v>44944</v>
      </c>
      <c r="G218" s="9">
        <f>'Datos Crudos SE3 Impac'!H47</f>
        <v>1.9915</v>
      </c>
      <c r="H218" s="9">
        <f>'Datos Crudos SE3 Impac'!H101</f>
        <v>2.1953</v>
      </c>
      <c r="I218" s="17">
        <f>'Datos Crudos SE3 Impac'!I47</f>
        <v>5.4079839317097731</v>
      </c>
      <c r="J218" s="17">
        <f>'Datos Crudos SE3 Impac'!I101</f>
        <v>7.1197558420261418</v>
      </c>
      <c r="K218" s="9">
        <f>'Datos Crudos SE3 Impac'!R47</f>
        <v>1.7731000000000001</v>
      </c>
      <c r="L218" s="9">
        <f>'Datos Crudos SE3 Impac'!R101</f>
        <v>2.0038</v>
      </c>
      <c r="M218" s="267">
        <v>45002</v>
      </c>
      <c r="N218" s="9">
        <f>'Datos Crudos SE3 Impac'!M47</f>
        <v>0.63449999999999995</v>
      </c>
      <c r="O218" s="9">
        <f>'Datos Crudos SE3 Impac'!P47</f>
        <v>0.15409999999999999</v>
      </c>
      <c r="P218" s="9">
        <f>'Datos Crudos SE3 Impac'!Q47</f>
        <v>6.4299999999999996E-2</v>
      </c>
      <c r="Q218" s="9">
        <f>'Datos Crudos SE3 Impac'!M101</f>
        <v>1.6498999999999999</v>
      </c>
      <c r="R218" s="9">
        <f>'Datos Crudos SE3 Impac'!P101</f>
        <v>0.1275</v>
      </c>
      <c r="S218" s="9">
        <f>'Datos Crudos SE3 Impac'!Q101</f>
        <v>6.4000000000000001E-2</v>
      </c>
      <c r="T218" s="9">
        <f>'Datos Crudos SE3 Impac'!O47</f>
        <v>0.41239999999999999</v>
      </c>
      <c r="U218" s="9">
        <f>'Datos Crudos SE3 Impac'!O101</f>
        <v>1.4591000000000001</v>
      </c>
      <c r="V218" s="198">
        <f t="shared" si="20"/>
        <v>0.76741300547064462</v>
      </c>
      <c r="W218" s="198">
        <f t="shared" si="21"/>
        <v>8.8583128894721308E-2</v>
      </c>
      <c r="X218" s="21">
        <f t="shared" si="22"/>
        <v>0.50310211285011386</v>
      </c>
      <c r="Y218" s="21">
        <f t="shared" si="23"/>
        <v>0.72816648368100612</v>
      </c>
      <c r="Z218" s="22">
        <f t="shared" si="24"/>
        <v>58</v>
      </c>
      <c r="AA218" s="248">
        <f t="shared" si="25"/>
        <v>1.3400230457925506E-2</v>
      </c>
      <c r="AB218" s="9">
        <f>'Datos Crudos SE3 Impac'!S47</f>
        <v>76.741300547064455</v>
      </c>
      <c r="AC218" s="9">
        <f>'Datos Crudos SE3 Impac'!S101</f>
        <v>27.183351631899388</v>
      </c>
      <c r="AH218" s="17">
        <f>'Datos Crudos SE3 Impac'!U47</f>
        <v>23.258699452935534</v>
      </c>
      <c r="AI218" s="17">
        <f>'Datos Crudos SE3 Impac'!U101</f>
        <v>72.816648368100616</v>
      </c>
    </row>
    <row r="219" spans="1:35" x14ac:dyDescent="0.25">
      <c r="A219" s="64" t="s">
        <v>888</v>
      </c>
      <c r="B219" s="87" t="s">
        <v>783</v>
      </c>
      <c r="C219" s="61" t="s">
        <v>317</v>
      </c>
      <c r="D219" s="61">
        <v>1</v>
      </c>
      <c r="E219" t="s">
        <v>20</v>
      </c>
      <c r="F219" s="267">
        <v>44944</v>
      </c>
      <c r="G219" s="9">
        <f>'Datos Crudos SE3 Impac'!H48</f>
        <v>2.0204</v>
      </c>
      <c r="H219" s="9">
        <f>'Datos Crudos SE3 Impac'!H102</f>
        <v>2.1375999999999999</v>
      </c>
      <c r="I219" s="17">
        <f>'Datos Crudos SE3 Impac'!I48</f>
        <v>6.4492179766382938</v>
      </c>
      <c r="J219" s="17">
        <f>'Datos Crudos SE3 Impac'!I102</f>
        <v>7.0827095808383325</v>
      </c>
      <c r="K219" s="9">
        <f>'Datos Crudos SE3 Impac'!R48</f>
        <v>1.784</v>
      </c>
      <c r="L219" s="9">
        <f>'Datos Crudos SE3 Impac'!R102</f>
        <v>1.9447999999999999</v>
      </c>
      <c r="M219" s="267">
        <v>45002</v>
      </c>
      <c r="N219" s="9">
        <f>'Datos Crudos SE3 Impac'!M48</f>
        <v>0.72440000000000004</v>
      </c>
      <c r="O219" s="9">
        <f>'Datos Crudos SE3 Impac'!P48</f>
        <v>0.15579999999999999</v>
      </c>
      <c r="P219" s="9">
        <f>'Datos Crudos SE3 Impac'!Q48</f>
        <v>8.0600000000000005E-2</v>
      </c>
      <c r="Q219" s="9">
        <f>'Datos Crudos SE3 Impac'!M102</f>
        <v>1.607</v>
      </c>
      <c r="R219" s="9">
        <f>'Datos Crudos SE3 Impac'!P102</f>
        <v>0.12670000000000001</v>
      </c>
      <c r="S219" s="9">
        <f>'Datos Crudos SE3 Impac'!Q102</f>
        <v>6.6100000000000006E-2</v>
      </c>
      <c r="T219" s="9">
        <f>'Datos Crudos SE3 Impac'!O48</f>
        <v>0.48409999999999997</v>
      </c>
      <c r="U219" s="9">
        <f>'Datos Crudos SE3 Impac'!O102</f>
        <v>1.4148000000000001</v>
      </c>
      <c r="V219" s="198">
        <f t="shared" si="20"/>
        <v>0.72864349775784754</v>
      </c>
      <c r="W219" s="198">
        <f t="shared" si="21"/>
        <v>0.13462767487191496</v>
      </c>
      <c r="X219" s="21">
        <f t="shared" si="22"/>
        <v>0.47768552347070298</v>
      </c>
      <c r="Y219" s="21">
        <f t="shared" si="23"/>
        <v>0.72747840394899221</v>
      </c>
      <c r="Z219" s="22">
        <f t="shared" si="24"/>
        <v>58</v>
      </c>
      <c r="AA219" s="248">
        <f t="shared" si="25"/>
        <v>1.4571436374987387E-2</v>
      </c>
      <c r="AB219" s="9">
        <f>'Datos Crudos SE3 Impac'!S48</f>
        <v>72.86434977578476</v>
      </c>
      <c r="AC219" s="9">
        <f>'Datos Crudos SE3 Impac'!S102</f>
        <v>27.252159605100772</v>
      </c>
      <c r="AH219" s="17">
        <f>'Datos Crudos SE3 Impac'!U48</f>
        <v>27.135650224215247</v>
      </c>
      <c r="AI219" s="17">
        <f>'Datos Crudos SE3 Impac'!U102</f>
        <v>72.747840394899228</v>
      </c>
    </row>
    <row r="220" spans="1:35" x14ac:dyDescent="0.25">
      <c r="A220" s="64" t="s">
        <v>889</v>
      </c>
      <c r="B220" s="87" t="s">
        <v>783</v>
      </c>
      <c r="C220" s="61" t="s">
        <v>317</v>
      </c>
      <c r="D220" s="61">
        <v>2</v>
      </c>
      <c r="E220" t="s">
        <v>20</v>
      </c>
      <c r="F220" s="267">
        <v>44944</v>
      </c>
      <c r="G220" s="9">
        <f>'Datos Crudos SE3 Impac'!H49</f>
        <v>1.9846999999999999</v>
      </c>
      <c r="H220" s="9">
        <f>'Datos Crudos SE3 Impac'!H103</f>
        <v>2.1901999999999999</v>
      </c>
      <c r="I220" s="17">
        <f>'Datos Crudos SE3 Impac'!I49</f>
        <v>6.4543759762180741</v>
      </c>
      <c r="J220" s="17">
        <f>'Datos Crudos SE3 Impac'!I103</f>
        <v>7.0724134782211694</v>
      </c>
      <c r="K220" s="9">
        <f>'Datos Crudos SE3 Impac'!R49</f>
        <v>1.7319999999999998</v>
      </c>
      <c r="L220" s="9">
        <f>'Datos Crudos SE3 Impac'!R103</f>
        <v>1.9728999999999999</v>
      </c>
      <c r="M220" s="267">
        <v>45002</v>
      </c>
      <c r="N220" s="9">
        <f>'Datos Crudos SE3 Impac'!M49</f>
        <v>0.77310000000000001</v>
      </c>
      <c r="O220" s="9">
        <f>'Datos Crudos SE3 Impac'!P49</f>
        <v>0.18720000000000001</v>
      </c>
      <c r="P220" s="9">
        <f>'Datos Crudos SE3 Impac'!Q49</f>
        <v>6.5500000000000003E-2</v>
      </c>
      <c r="Q220" s="9">
        <f>'Datos Crudos SE3 Impac'!M103</f>
        <v>1.6725000000000001</v>
      </c>
      <c r="R220" s="9">
        <f>'Datos Crudos SE3 Impac'!P103</f>
        <v>0.14630000000000001</v>
      </c>
      <c r="S220" s="9">
        <f>'Datos Crudos SE3 Impac'!Q103</f>
        <v>7.0999999999999994E-2</v>
      </c>
      <c r="T220" s="9">
        <f>'Datos Crudos SE3 Impac'!O49</f>
        <v>0.50470000000000004</v>
      </c>
      <c r="U220" s="9">
        <f>'Datos Crudos SE3 Impac'!O103</f>
        <v>1.448</v>
      </c>
      <c r="V220" s="198">
        <f t="shared" si="20"/>
        <v>0.70860277136258654</v>
      </c>
      <c r="W220" s="198">
        <f t="shared" si="21"/>
        <v>0.15842901263350762</v>
      </c>
      <c r="X220" s="21">
        <f t="shared" si="22"/>
        <v>0.46454718502630382</v>
      </c>
      <c r="Y220" s="21">
        <f t="shared" si="23"/>
        <v>0.73394495412844041</v>
      </c>
      <c r="Z220" s="22">
        <f t="shared" si="24"/>
        <v>58</v>
      </c>
      <c r="AA220" s="248">
        <f t="shared" si="25"/>
        <v>1.4660579955007544E-2</v>
      </c>
      <c r="AB220" s="9">
        <f>'Datos Crudos SE3 Impac'!S49</f>
        <v>70.860277136258645</v>
      </c>
      <c r="AC220" s="9">
        <f>'Datos Crudos SE3 Impac'!S103</f>
        <v>26.605504587155959</v>
      </c>
      <c r="AH220" s="17">
        <f>'Datos Crudos SE3 Impac'!U49</f>
        <v>29.139722863741348</v>
      </c>
      <c r="AI220" s="17">
        <f>'Datos Crudos SE3 Impac'!U103</f>
        <v>73.394495412844037</v>
      </c>
    </row>
    <row r="221" spans="1:35" x14ac:dyDescent="0.25">
      <c r="A221" s="9" t="s">
        <v>728</v>
      </c>
      <c r="B221" s="87" t="s">
        <v>100</v>
      </c>
      <c r="C221" s="61" t="s">
        <v>621</v>
      </c>
      <c r="D221" s="61">
        <v>1</v>
      </c>
      <c r="E221" t="s">
        <v>17</v>
      </c>
      <c r="F221" s="54">
        <v>44781</v>
      </c>
      <c r="G221" s="9">
        <f>'Datos Crudos SE4 Im'!H2</f>
        <v>1.9281999999999999</v>
      </c>
      <c r="H221" s="9">
        <f>'Datos Crudos SE4 Im'!H56</f>
        <v>2.1480999999999999</v>
      </c>
      <c r="I221" s="17">
        <f>'Datos Crudos SE4 Im'!I2</f>
        <v>5.2743491339072772</v>
      </c>
      <c r="J221" s="17">
        <f>'Datos Crudos SE4 Im'!I56</f>
        <v>6.9084307062054888</v>
      </c>
      <c r="K221" s="9">
        <f>'Datos Crudos SE4 Im'!R2</f>
        <v>1.7369999999999999</v>
      </c>
      <c r="L221" s="9">
        <f>'Datos Crudos SE4 Im'!R56</f>
        <v>1.9510999999999998</v>
      </c>
      <c r="M221" s="62">
        <v>44841</v>
      </c>
      <c r="N221" s="9">
        <f>'Datos Crudos SE4 Im'!M2</f>
        <v>0.41510000000000002</v>
      </c>
      <c r="O221" s="9">
        <f>'Datos Crudos SE4 Im'!P2</f>
        <v>0.13389999999999999</v>
      </c>
      <c r="P221" s="9">
        <f>'Datos Crudos SE4 Im'!Q2</f>
        <v>5.7299999999999997E-2</v>
      </c>
      <c r="Q221" s="9">
        <f>'Datos Crudos SE4 Im'!M56</f>
        <v>1.3369</v>
      </c>
      <c r="R221" s="9">
        <f>'Datos Crudos SE4 Im'!P56</f>
        <v>0.14019999999999999</v>
      </c>
      <c r="S221" s="9">
        <f>'Datos Crudos SE4 Im'!Q56</f>
        <v>5.6800000000000003E-2</v>
      </c>
      <c r="T221" s="9">
        <f>'Datos Crudos SE4 Im'!O2</f>
        <v>0.2228</v>
      </c>
      <c r="U221" s="9">
        <f>'Datos Crudos SE4 Im'!O56</f>
        <v>1.1399999999999999</v>
      </c>
      <c r="V221" s="198">
        <f t="shared" si="20"/>
        <v>0.87173287276914224</v>
      </c>
      <c r="W221" s="241">
        <f t="shared" si="21"/>
        <v>-3.5312200438411212E-2</v>
      </c>
      <c r="X221" s="21">
        <f t="shared" si="22"/>
        <v>0.571492334642003</v>
      </c>
      <c r="Y221" s="21">
        <f t="shared" si="23"/>
        <v>0.58428578750448468</v>
      </c>
      <c r="Z221" s="22">
        <f t="shared" si="24"/>
        <v>60</v>
      </c>
      <c r="AA221" s="248">
        <f t="shared" si="25"/>
        <v>2.1663639492472391E-2</v>
      </c>
      <c r="AB221">
        <f>'Datos Crudos SE4 Im'!S2</f>
        <v>87.173287276914209</v>
      </c>
      <c r="AC221">
        <f>'Datos Crudos SE4 Im'!S56</f>
        <v>41.571421249551541</v>
      </c>
      <c r="AD221" s="65">
        <f>AVERAGE(W221:W228)</f>
        <v>-2.5229640802663073E-2</v>
      </c>
      <c r="AE221">
        <f>STDEV(W221:W228)</f>
        <v>1.5904618384941699E-2</v>
      </c>
      <c r="AF221" s="7">
        <f>AVERAGE(AA221:AA228)</f>
        <v>1.8483087976980853E-2</v>
      </c>
      <c r="AG221">
        <f>STDEV(AA221:AA228)</f>
        <v>1.9352423562549123E-3</v>
      </c>
      <c r="AH221" s="17">
        <f>'Datos Crudos SE4 Im'!U2</f>
        <v>12.826712723085782</v>
      </c>
      <c r="AI221" s="17">
        <f>'Datos Crudos SE4 Im'!U56</f>
        <v>58.428578750448466</v>
      </c>
    </row>
    <row r="222" spans="1:35" x14ac:dyDescent="0.25">
      <c r="A222" s="9" t="s">
        <v>729</v>
      </c>
      <c r="B222" s="87" t="s">
        <v>100</v>
      </c>
      <c r="C222" s="61" t="s">
        <v>621</v>
      </c>
      <c r="D222" s="61">
        <v>2</v>
      </c>
      <c r="E222" t="s">
        <v>17</v>
      </c>
      <c r="F222" s="54">
        <v>44781</v>
      </c>
      <c r="G222" s="9">
        <f>'Datos Crudos SE4 Im'!H3</f>
        <v>1.9765999999999999</v>
      </c>
      <c r="H222" s="9">
        <f>'Datos Crudos SE4 Im'!H57</f>
        <v>2.1707999999999998</v>
      </c>
      <c r="I222" s="17">
        <f>'Datos Crudos SE4 Im'!I3</f>
        <v>5.2716786400890454</v>
      </c>
      <c r="J222" s="17">
        <f>'Datos Crudos SE4 Im'!I57</f>
        <v>6.9375345494748624</v>
      </c>
      <c r="K222" s="9">
        <f>'Datos Crudos SE4 Im'!R3</f>
        <v>1.7806999999999999</v>
      </c>
      <c r="L222" s="9">
        <f>'Datos Crudos SE4 Im'!R57</f>
        <v>1.9713999999999998</v>
      </c>
      <c r="M222" s="62">
        <v>44841</v>
      </c>
      <c r="N222" s="9">
        <f>'Datos Crudos SE4 Im'!M3</f>
        <v>0.42049999999999998</v>
      </c>
      <c r="O222" s="9">
        <f>'Datos Crudos SE4 Im'!P3</f>
        <v>0.1394</v>
      </c>
      <c r="P222" s="9">
        <f>'Datos Crudos SE4 Im'!Q3</f>
        <v>5.6500000000000002E-2</v>
      </c>
      <c r="Q222" s="9">
        <f>'Datos Crudos SE4 Im'!M57</f>
        <v>1.3920999999999999</v>
      </c>
      <c r="R222" s="9">
        <f>'Datos Crudos SE4 Im'!P57</f>
        <v>0.14330000000000001</v>
      </c>
      <c r="S222" s="9">
        <f>'Datos Crudos SE4 Im'!Q57</f>
        <v>5.6099999999999997E-2</v>
      </c>
      <c r="T222" s="9">
        <f>'Datos Crudos SE4 Im'!O3</f>
        <v>0.22450000000000001</v>
      </c>
      <c r="U222" s="9">
        <f>'Datos Crudos SE4 Im'!O57</f>
        <v>1.1932</v>
      </c>
      <c r="V222" s="198">
        <f t="shared" si="20"/>
        <v>0.87392598416353118</v>
      </c>
      <c r="W222" s="241">
        <f t="shared" si="21"/>
        <v>-3.7916845799918386E-2</v>
      </c>
      <c r="X222" s="21">
        <f t="shared" si="22"/>
        <v>0.57293009888155499</v>
      </c>
      <c r="Y222" s="21">
        <f t="shared" si="23"/>
        <v>0.60525514862534247</v>
      </c>
      <c r="Z222" s="22">
        <f t="shared" si="24"/>
        <v>60</v>
      </c>
      <c r="AA222" s="248">
        <f t="shared" si="25"/>
        <v>1.9465666538988347E-2</v>
      </c>
      <c r="AB222">
        <f>'Datos Crudos SE4 Im'!S3</f>
        <v>87.392598416353124</v>
      </c>
      <c r="AC222">
        <f>'Datos Crudos SE4 Im'!S57</f>
        <v>39.474485137465756</v>
      </c>
      <c r="AH222" s="17">
        <f>'Datos Crudos SE4 Im'!U3</f>
        <v>12.607401583646883</v>
      </c>
      <c r="AI222" s="17">
        <f>'Datos Crudos SE4 Im'!U57</f>
        <v>60.525514862534244</v>
      </c>
    </row>
    <row r="223" spans="1:35" x14ac:dyDescent="0.25">
      <c r="A223" s="9" t="s">
        <v>730</v>
      </c>
      <c r="B223" s="87" t="s">
        <v>100</v>
      </c>
      <c r="C223" s="61" t="s">
        <v>621</v>
      </c>
      <c r="D223" s="61">
        <v>1</v>
      </c>
      <c r="E223" t="s">
        <v>18</v>
      </c>
      <c r="F223" s="54">
        <v>44781</v>
      </c>
      <c r="G223" s="9">
        <f>'Datos Crudos SE4 Im'!H4</f>
        <v>1.9741</v>
      </c>
      <c r="H223" s="9">
        <f>'Datos Crudos SE4 Im'!H58</f>
        <v>2.1598999999999999</v>
      </c>
      <c r="I223" s="17">
        <f>'Datos Crudos SE4 Im'!I4</f>
        <v>5.3138138898738774</v>
      </c>
      <c r="J223" s="17">
        <f>'Datos Crudos SE4 Im'!I58</f>
        <v>6.9030973656187893</v>
      </c>
      <c r="K223" s="9">
        <f>'Datos Crudos SE4 Im'!R4</f>
        <v>1.7792999999999999</v>
      </c>
      <c r="L223" s="9">
        <f>'Datos Crudos SE4 Im'!R58</f>
        <v>1.9649999999999999</v>
      </c>
      <c r="M223" s="62">
        <v>44841</v>
      </c>
      <c r="N223" s="9">
        <f>'Datos Crudos SE4 Im'!M4</f>
        <v>0.40550000000000003</v>
      </c>
      <c r="O223" s="9">
        <f>'Datos Crudos SE4 Im'!P4</f>
        <v>0.1381</v>
      </c>
      <c r="P223" s="9">
        <f>'Datos Crudos SE4 Im'!Q4</f>
        <v>5.67E-2</v>
      </c>
      <c r="Q223" s="9">
        <f>'Datos Crudos SE4 Im'!M58</f>
        <v>1.3824000000000001</v>
      </c>
      <c r="R223" s="9">
        <f>'Datos Crudos SE4 Im'!P58</f>
        <v>0.13830000000000001</v>
      </c>
      <c r="S223" s="9">
        <f>'Datos Crudos SE4 Im'!Q58</f>
        <v>5.6599999999999998E-2</v>
      </c>
      <c r="T223" s="9">
        <f>'Datos Crudos SE4 Im'!O4</f>
        <v>0.21029999999999999</v>
      </c>
      <c r="U223" s="9">
        <f>'Datos Crudos SE4 Im'!O58</f>
        <v>1.2707999999999999</v>
      </c>
      <c r="V223" s="198">
        <f t="shared" si="20"/>
        <v>0.88180745236890912</v>
      </c>
      <c r="W223" s="241">
        <f t="shared" si="21"/>
        <v>-4.7277259345497757E-2</v>
      </c>
      <c r="X223" s="21">
        <f t="shared" si="22"/>
        <v>0.57809704715871479</v>
      </c>
      <c r="Y223" s="21">
        <f t="shared" si="23"/>
        <v>0.64671755725190838</v>
      </c>
      <c r="Z223" s="22">
        <f t="shared" si="24"/>
        <v>60</v>
      </c>
      <c r="AA223" s="248">
        <f t="shared" si="25"/>
        <v>1.5741094568139994E-2</v>
      </c>
      <c r="AB223">
        <f>'Datos Crudos SE4 Im'!S4</f>
        <v>88.180745236890914</v>
      </c>
      <c r="AC223">
        <f>'Datos Crudos SE4 Im'!S58</f>
        <v>35.328244274809165</v>
      </c>
      <c r="AH223" s="17">
        <f>'Datos Crudos SE4 Im'!U4</f>
        <v>11.819254763109088</v>
      </c>
      <c r="AI223" s="17">
        <f>'Datos Crudos SE4 Im'!U58</f>
        <v>64.671755725190835</v>
      </c>
    </row>
    <row r="224" spans="1:35" x14ac:dyDescent="0.25">
      <c r="A224" s="9" t="s">
        <v>731</v>
      </c>
      <c r="B224" s="87" t="s">
        <v>100</v>
      </c>
      <c r="C224" s="61" t="s">
        <v>621</v>
      </c>
      <c r="D224" s="61">
        <v>2</v>
      </c>
      <c r="E224" t="s">
        <v>18</v>
      </c>
      <c r="F224" s="54">
        <v>44781</v>
      </c>
      <c r="G224" s="9">
        <f>'Datos Crudos SE4 Im'!H5</f>
        <v>1.9593</v>
      </c>
      <c r="H224" s="9">
        <f>'Datos Crudos SE4 Im'!H59</f>
        <v>2.1724000000000001</v>
      </c>
      <c r="I224" s="17">
        <f>'Datos Crudos SE4 Im'!I5</f>
        <v>5.3131220333792726</v>
      </c>
      <c r="J224" s="17">
        <f>'Datos Crudos SE4 Im'!I59</f>
        <v>6.844964095010118</v>
      </c>
      <c r="K224" s="9">
        <f>'Datos Crudos SE4 Im'!R5</f>
        <v>1.7715000000000001</v>
      </c>
      <c r="L224" s="9">
        <f>'Datos Crudos SE4 Im'!R59</f>
        <v>1.9812000000000001</v>
      </c>
      <c r="M224" s="62">
        <v>44841</v>
      </c>
      <c r="N224" s="9">
        <f>'Datos Crudos SE4 Im'!M5</f>
        <v>0.44159999999999999</v>
      </c>
      <c r="O224" s="9">
        <f>'Datos Crudos SE4 Im'!P5</f>
        <v>0.1303</v>
      </c>
      <c r="P224" s="9">
        <f>'Datos Crudos SE4 Im'!Q5</f>
        <v>5.7500000000000002E-2</v>
      </c>
      <c r="Q224" s="9">
        <f>'Datos Crudos SE4 Im'!M59</f>
        <v>1.3903000000000001</v>
      </c>
      <c r="R224" s="9">
        <f>'Datos Crudos SE4 Im'!P59</f>
        <v>0.13400000000000001</v>
      </c>
      <c r="S224" s="9">
        <f>'Datos Crudos SE4 Im'!Q59</f>
        <v>5.7200000000000001E-2</v>
      </c>
      <c r="T224" s="9">
        <f>'Datos Crudos SE4 Im'!O5</f>
        <v>0.25409999999999999</v>
      </c>
      <c r="U224" s="9">
        <f>'Datos Crudos SE4 Im'!O59</f>
        <v>1.1982999999999999</v>
      </c>
      <c r="V224" s="198">
        <f t="shared" si="20"/>
        <v>0.85656223539373411</v>
      </c>
      <c r="W224" s="241">
        <f t="shared" si="21"/>
        <v>-1.7294816382106948E-2</v>
      </c>
      <c r="X224" s="21">
        <f t="shared" si="22"/>
        <v>0.56154673864292304</v>
      </c>
      <c r="Y224" s="21">
        <f t="shared" si="23"/>
        <v>0.60483545326065002</v>
      </c>
      <c r="Z224" s="22">
        <f t="shared" si="24"/>
        <v>60</v>
      </c>
      <c r="AA224" s="248">
        <f t="shared" si="25"/>
        <v>2.0273458446092192E-2</v>
      </c>
      <c r="AB224">
        <f>'Datos Crudos SE4 Im'!S5</f>
        <v>85.656223539373414</v>
      </c>
      <c r="AC224">
        <f>'Datos Crudos SE4 Im'!S59</f>
        <v>39.516454673934994</v>
      </c>
      <c r="AH224" s="17">
        <f>'Datos Crudos SE4 Im'!U5</f>
        <v>14.343776460626586</v>
      </c>
      <c r="AI224" s="17">
        <f>'Datos Crudos SE4 Im'!U59</f>
        <v>60.483545326065006</v>
      </c>
    </row>
    <row r="225" spans="1:35" x14ac:dyDescent="0.25">
      <c r="A225" s="9" t="s">
        <v>732</v>
      </c>
      <c r="B225" s="87" t="s">
        <v>100</v>
      </c>
      <c r="C225" s="61" t="s">
        <v>621</v>
      </c>
      <c r="D225" s="61">
        <v>1</v>
      </c>
      <c r="E225" t="s">
        <v>19</v>
      </c>
      <c r="F225" s="54">
        <v>44781</v>
      </c>
      <c r="G225" s="9">
        <f>'Datos Crudos SE4 Im'!H6</f>
        <v>2.0009999999999999</v>
      </c>
      <c r="H225" s="9">
        <f>'Datos Crudos SE4 Im'!H60</f>
        <v>2.2113</v>
      </c>
      <c r="I225" s="17">
        <f>'Datos Crudos SE4 Im'!I6</f>
        <v>6.3318340829585233</v>
      </c>
      <c r="J225" s="17">
        <f>'Datos Crudos SE4 Im'!I60</f>
        <v>7.1134626690182143</v>
      </c>
      <c r="K225" s="9">
        <f>'Datos Crudos SE4 Im'!R6</f>
        <v>1.8128</v>
      </c>
      <c r="L225" s="9">
        <f>'Datos Crudos SE4 Im'!R60</f>
        <v>2.0179</v>
      </c>
      <c r="M225" s="62">
        <v>44841</v>
      </c>
      <c r="N225" s="9">
        <f>'Datos Crudos SE4 Im'!M6</f>
        <v>0.44779999999999998</v>
      </c>
      <c r="O225" s="9">
        <f>'Datos Crudos SE4 Im'!P6</f>
        <v>0.13059999999999999</v>
      </c>
      <c r="P225" s="9">
        <f>'Datos Crudos SE4 Im'!Q6</f>
        <v>5.7599999999999998E-2</v>
      </c>
      <c r="Q225" s="9">
        <f>'Datos Crudos SE4 Im'!M60</f>
        <v>1.4776</v>
      </c>
      <c r="R225" s="9">
        <f>'Datos Crudos SE4 Im'!P60</f>
        <v>0.1353</v>
      </c>
      <c r="S225" s="9">
        <f>'Datos Crudos SE4 Im'!Q60</f>
        <v>5.8099999999999999E-2</v>
      </c>
      <c r="T225" s="9">
        <f>'Datos Crudos SE4 Im'!O6</f>
        <v>0.25840000000000002</v>
      </c>
      <c r="U225" s="9">
        <f>'Datos Crudos SE4 Im'!O60</f>
        <v>1.2823</v>
      </c>
      <c r="V225" s="198">
        <f t="shared" si="20"/>
        <v>0.85745807590467782</v>
      </c>
      <c r="W225" s="241">
        <f t="shared" si="21"/>
        <v>-1.8358759981802697E-2</v>
      </c>
      <c r="X225" s="21">
        <f t="shared" si="22"/>
        <v>0.56213403550995511</v>
      </c>
      <c r="Y225" s="21">
        <f t="shared" si="23"/>
        <v>0.63546260964368895</v>
      </c>
      <c r="Z225" s="22">
        <f t="shared" si="24"/>
        <v>60</v>
      </c>
      <c r="AA225" s="248">
        <f t="shared" si="25"/>
        <v>1.7425208526735705E-2</v>
      </c>
      <c r="AB225">
        <f>'Datos Crudos SE4 Im'!S6</f>
        <v>85.745807590467777</v>
      </c>
      <c r="AC225">
        <f>'Datos Crudos SE4 Im'!S60</f>
        <v>36.453739035631102</v>
      </c>
      <c r="AH225" s="17">
        <f>'Datos Crudos SE4 Im'!U6</f>
        <v>14.254192409532216</v>
      </c>
      <c r="AI225" s="17">
        <f>'Datos Crudos SE4 Im'!U60</f>
        <v>63.546260964368898</v>
      </c>
    </row>
    <row r="226" spans="1:35" x14ac:dyDescent="0.25">
      <c r="A226" s="9" t="s">
        <v>733</v>
      </c>
      <c r="B226" s="87" t="s">
        <v>100</v>
      </c>
      <c r="C226" s="61" t="s">
        <v>621</v>
      </c>
      <c r="D226" s="61">
        <v>2</v>
      </c>
      <c r="E226" t="s">
        <v>19</v>
      </c>
      <c r="F226" s="54">
        <v>44781</v>
      </c>
      <c r="G226" s="9">
        <f>'Datos Crudos SE4 Im'!H7</f>
        <v>2.0043000000000002</v>
      </c>
      <c r="H226" s="9">
        <f>'Datos Crudos SE4 Im'!H61</f>
        <v>2.1772999999999998</v>
      </c>
      <c r="I226" s="17">
        <f>'Datos Crudos SE4 Im'!I7</f>
        <v>6.3413660629646245</v>
      </c>
      <c r="J226" s="17">
        <f>'Datos Crudos SE4 Im'!I61</f>
        <v>6.8663023010150273</v>
      </c>
      <c r="K226" s="9">
        <f>'Datos Crudos SE4 Im'!R7</f>
        <v>1.8048000000000002</v>
      </c>
      <c r="L226" s="9">
        <f>'Datos Crudos SE4 Im'!R61</f>
        <v>1.9794999999999998</v>
      </c>
      <c r="M226" s="62">
        <v>44841</v>
      </c>
      <c r="N226" s="9">
        <f>'Datos Crudos SE4 Im'!M7</f>
        <v>0.4748</v>
      </c>
      <c r="O226" s="9">
        <f>'Datos Crudos SE4 Im'!P7</f>
        <v>0.1414</v>
      </c>
      <c r="P226" s="9">
        <f>'Datos Crudos SE4 Im'!Q7</f>
        <v>5.8099999999999999E-2</v>
      </c>
      <c r="Q226" s="9">
        <f>'Datos Crudos SE4 Im'!M61</f>
        <v>1.4731000000000001</v>
      </c>
      <c r="R226" s="9">
        <f>'Datos Crudos SE4 Im'!P61</f>
        <v>0.1411</v>
      </c>
      <c r="S226" s="9">
        <f>'Datos Crudos SE4 Im'!Q61</f>
        <v>5.67E-2</v>
      </c>
      <c r="T226" s="9">
        <f>'Datos Crudos SE4 Im'!O7</f>
        <v>0.27210000000000001</v>
      </c>
      <c r="U226" s="9">
        <f>'Datos Crudos SE4 Im'!O61</f>
        <v>1.2724</v>
      </c>
      <c r="V226" s="198">
        <f t="shared" si="20"/>
        <v>0.84923537234042556</v>
      </c>
      <c r="W226" s="241">
        <f t="shared" si="21"/>
        <v>-8.5930787891039806E-3</v>
      </c>
      <c r="X226" s="21">
        <f t="shared" si="22"/>
        <v>0.55674337949158548</v>
      </c>
      <c r="Y226" s="21">
        <f t="shared" si="23"/>
        <v>0.6427885829754989</v>
      </c>
      <c r="Z226" s="22">
        <f t="shared" si="24"/>
        <v>60</v>
      </c>
      <c r="AA226" s="248">
        <f t="shared" si="25"/>
        <v>1.7102166305887165E-2</v>
      </c>
      <c r="AB226">
        <f>'Datos Crudos SE4 Im'!S7</f>
        <v>84.923537234042556</v>
      </c>
      <c r="AC226">
        <f>'Datos Crudos SE4 Im'!S61</f>
        <v>35.721141702450112</v>
      </c>
      <c r="AH226" s="17">
        <f>'Datos Crudos SE4 Im'!U7</f>
        <v>15.076462765957446</v>
      </c>
      <c r="AI226" s="17">
        <f>'Datos Crudos SE4 Im'!U61</f>
        <v>64.278858297549888</v>
      </c>
    </row>
    <row r="227" spans="1:35" x14ac:dyDescent="0.25">
      <c r="A227" s="9" t="s">
        <v>734</v>
      </c>
      <c r="B227" s="87" t="s">
        <v>100</v>
      </c>
      <c r="C227" s="61" t="s">
        <v>621</v>
      </c>
      <c r="D227" s="61">
        <v>1</v>
      </c>
      <c r="E227" t="s">
        <v>20</v>
      </c>
      <c r="F227" s="54">
        <v>44781</v>
      </c>
      <c r="G227" s="9">
        <f>'Datos Crudos SE4 Im'!H8</f>
        <v>1.9532</v>
      </c>
      <c r="H227" s="9">
        <f>'Datos Crudos SE4 Im'!H62</f>
        <v>2.0608</v>
      </c>
      <c r="I227" s="17">
        <f>'Datos Crudos SE4 Im'!I8</f>
        <v>5.2580380913372817</v>
      </c>
      <c r="J227" s="17">
        <f>'Datos Crudos SE4 Im'!I62</f>
        <v>7.613548136645953</v>
      </c>
      <c r="K227" s="9">
        <f>'Datos Crudos SE4 Im'!R8</f>
        <v>1.7595000000000001</v>
      </c>
      <c r="L227" s="9">
        <f>'Datos Crudos SE4 Im'!R62</f>
        <v>1.861</v>
      </c>
      <c r="M227" s="62">
        <v>44841</v>
      </c>
      <c r="N227" s="9">
        <f>'Datos Crudos SE4 Im'!M8</f>
        <v>0.43330000000000002</v>
      </c>
      <c r="O227" s="9">
        <f>'Datos Crudos SE4 Im'!P8</f>
        <v>0.13800000000000001</v>
      </c>
      <c r="P227" s="9">
        <f>'Datos Crudos SE4 Im'!Q8</f>
        <v>5.57E-2</v>
      </c>
      <c r="Q227" s="9">
        <f>'Datos Crudos SE4 Im'!M62</f>
        <v>1.3955</v>
      </c>
      <c r="R227" s="9">
        <f>'Datos Crudos SE4 Im'!P62</f>
        <v>0.14069999999999999</v>
      </c>
      <c r="S227" s="9">
        <f>'Datos Crudos SE4 Im'!Q62</f>
        <v>5.91E-2</v>
      </c>
      <c r="T227" s="9">
        <f>'Datos Crudos SE4 Im'!O8</f>
        <v>0.27500000000000002</v>
      </c>
      <c r="U227" s="9">
        <f>'Datos Crudos SE4 Im'!O62</f>
        <v>1.1949000000000001</v>
      </c>
      <c r="V227" s="198">
        <f t="shared" si="20"/>
        <v>0.84370559818130153</v>
      </c>
      <c r="W227" s="241">
        <f t="shared" si="21"/>
        <v>-2.0256510466765132E-3</v>
      </c>
      <c r="X227" s="21">
        <f t="shared" si="22"/>
        <v>0.55311815937776543</v>
      </c>
      <c r="Y227" s="21">
        <f t="shared" si="23"/>
        <v>0.64207415368081677</v>
      </c>
      <c r="Z227" s="22">
        <f t="shared" si="24"/>
        <v>60</v>
      </c>
      <c r="AA227" s="248">
        <f t="shared" si="25"/>
        <v>1.7359772584638847E-2</v>
      </c>
      <c r="AB227">
        <f>'Datos Crudos SE4 Im'!S8</f>
        <v>84.370559818130147</v>
      </c>
      <c r="AC227">
        <f>'Datos Crudos SE4 Im'!S62</f>
        <v>35.792584631918317</v>
      </c>
      <c r="AH227" s="17">
        <f>'Datos Crudos SE4 Im'!U8</f>
        <v>15.62944018186985</v>
      </c>
      <c r="AI227" s="17">
        <f>'Datos Crudos SE4 Im'!U62</f>
        <v>64.207415368081683</v>
      </c>
    </row>
    <row r="228" spans="1:35" x14ac:dyDescent="0.25">
      <c r="A228" s="9" t="s">
        <v>735</v>
      </c>
      <c r="B228" s="87" t="s">
        <v>100</v>
      </c>
      <c r="C228" s="61" t="s">
        <v>621</v>
      </c>
      <c r="D228" s="61">
        <v>2</v>
      </c>
      <c r="E228" t="s">
        <v>20</v>
      </c>
      <c r="F228" s="54">
        <v>44781</v>
      </c>
      <c r="G228" s="9">
        <f>'Datos Crudos SE4 Im'!H9</f>
        <v>1.9843</v>
      </c>
      <c r="H228" s="9">
        <f>'Datos Crudos SE4 Im'!H63</f>
        <v>2.16</v>
      </c>
      <c r="I228" s="17">
        <f>'Datos Crudos SE4 Im'!I9</f>
        <v>6.2339364007458622</v>
      </c>
      <c r="J228" s="17">
        <f>'Datos Crudos SE4 Im'!I63</f>
        <v>7.0046296296296289</v>
      </c>
      <c r="K228" s="9">
        <f>'Datos Crudos SE4 Im'!R9</f>
        <v>1.7955999999999999</v>
      </c>
      <c r="L228" s="9">
        <f>'Datos Crudos SE4 Im'!R63</f>
        <v>1.9698000000000002</v>
      </c>
      <c r="M228" s="62">
        <v>44841</v>
      </c>
      <c r="N228" s="9">
        <f>'Datos Crudos SE4 Im'!M9</f>
        <v>0.4209</v>
      </c>
      <c r="O228" s="9">
        <f>'Datos Crudos SE4 Im'!P9</f>
        <v>0.13150000000000001</v>
      </c>
      <c r="P228" s="9">
        <f>'Datos Crudos SE4 Im'!Q9</f>
        <v>5.7200000000000001E-2</v>
      </c>
      <c r="Q228" s="9">
        <f>'Datos Crudos SE4 Im'!M63</f>
        <v>1.4000999999999999</v>
      </c>
      <c r="R228" s="9">
        <f>'Datos Crudos SE4 Im'!P63</f>
        <v>0.13370000000000001</v>
      </c>
      <c r="S228" s="9">
        <f>'Datos Crudos SE4 Im'!Q63</f>
        <v>5.6500000000000002E-2</v>
      </c>
      <c r="T228" s="9">
        <f>'Datos Crudos SE4 Im'!O9</f>
        <v>0.23069999999999999</v>
      </c>
      <c r="U228" s="9">
        <f>'Datos Crudos SE4 Im'!O63</f>
        <v>1.2079</v>
      </c>
      <c r="V228" s="198">
        <f t="shared" si="20"/>
        <v>0.87151926932501667</v>
      </c>
      <c r="W228" s="241">
        <f t="shared" si="21"/>
        <v>-3.5058514637787086E-2</v>
      </c>
      <c r="X228" s="21">
        <f t="shared" si="22"/>
        <v>0.57135230008005855</v>
      </c>
      <c r="Y228" s="21">
        <f t="shared" si="23"/>
        <v>0.61320946288963341</v>
      </c>
      <c r="Z228" s="22">
        <f t="shared" si="24"/>
        <v>60</v>
      </c>
      <c r="AA228" s="248">
        <f t="shared" si="25"/>
        <v>1.8833697352892156E-2</v>
      </c>
      <c r="AB228">
        <f>'Datos Crudos SE4 Im'!S9</f>
        <v>87.151926932501681</v>
      </c>
      <c r="AC228">
        <f>'Datos Crudos SE4 Im'!S63</f>
        <v>38.679053711036659</v>
      </c>
      <c r="AH228" s="17">
        <f>'Datos Crudos SE4 Im'!U9</f>
        <v>12.84807306749833</v>
      </c>
      <c r="AI228" s="17">
        <f>'Datos Crudos SE4 Im'!U63</f>
        <v>61.320946288963341</v>
      </c>
    </row>
    <row r="229" spans="1:35" x14ac:dyDescent="0.25">
      <c r="A229" s="9" t="s">
        <v>849</v>
      </c>
      <c r="B229" s="87" t="s">
        <v>327</v>
      </c>
      <c r="C229" s="61" t="s">
        <v>621</v>
      </c>
      <c r="D229" s="61">
        <v>1</v>
      </c>
      <c r="E229" t="s">
        <v>17</v>
      </c>
      <c r="F229" s="53">
        <v>44788</v>
      </c>
      <c r="G229" s="9">
        <f>'Datos Crudos SE4 Im'!H10</f>
        <v>1.8952</v>
      </c>
      <c r="H229" s="9">
        <f>'Datos Crudos SE4 Im'!H64</f>
        <v>2.1977000000000002</v>
      </c>
      <c r="I229" s="17">
        <f>'Datos Crudos SE4 Im'!I10</f>
        <v>5.6722245673279827</v>
      </c>
      <c r="J229" s="17">
        <f>'Datos Crudos SE4 Im'!I64</f>
        <v>7.3849934021931869</v>
      </c>
      <c r="K229" s="9">
        <f>'Datos Crudos SE4 Im'!R10</f>
        <v>1.7020999999999999</v>
      </c>
      <c r="L229" s="9">
        <f>'Datos Crudos SE4 Im'!R64</f>
        <v>2.0053000000000001</v>
      </c>
      <c r="M229" s="62">
        <v>44848</v>
      </c>
      <c r="N229" s="9">
        <f>'Datos Crudos SE4 Im'!M10</f>
        <v>0.55879999999999996</v>
      </c>
      <c r="O229" s="9">
        <f>'Datos Crudos SE4 Im'!P10</f>
        <v>0.13250000000000001</v>
      </c>
      <c r="P229" s="9">
        <f>'Datos Crudos SE4 Im'!Q10</f>
        <v>6.0600000000000001E-2</v>
      </c>
      <c r="Q229" s="9">
        <f>'Datos Crudos SE4 Im'!M64</f>
        <v>1.5432999999999999</v>
      </c>
      <c r="R229" s="9">
        <f>'Datos Crudos SE4 Im'!P64</f>
        <v>0.13170000000000001</v>
      </c>
      <c r="S229" s="9">
        <f>'Datos Crudos SE4 Im'!Q64</f>
        <v>6.0699999999999997E-2</v>
      </c>
      <c r="T229" s="9">
        <f>'Datos Crudos SE4 Im'!O10</f>
        <v>0.36299999999999999</v>
      </c>
      <c r="U229" s="9">
        <f>'Datos Crudos SE4 Im'!O64</f>
        <v>1.3449</v>
      </c>
      <c r="V229" s="198">
        <f t="shared" si="20"/>
        <v>0.78673403442805945</v>
      </c>
      <c r="W229" s="198">
        <f t="shared" si="21"/>
        <v>6.5636538684014867E-2</v>
      </c>
      <c r="X229" s="21">
        <f t="shared" si="22"/>
        <v>0.51576863064642386</v>
      </c>
      <c r="Y229" s="21">
        <f t="shared" si="23"/>
        <v>0.67067271729915723</v>
      </c>
      <c r="Z229" s="22">
        <f t="shared" si="24"/>
        <v>60</v>
      </c>
      <c r="AA229" s="248">
        <f t="shared" si="25"/>
        <v>1.6959026221831146E-2</v>
      </c>
      <c r="AB229">
        <f>'Datos Crudos SE4 Im'!S10</f>
        <v>78.673403442805949</v>
      </c>
      <c r="AC229">
        <f>'Datos Crudos SE4 Im'!S64</f>
        <v>32.932728270084283</v>
      </c>
      <c r="AD229" s="65">
        <f>AVERAGE(W229:W236)</f>
        <v>5.5269586576430427E-2</v>
      </c>
      <c r="AE229">
        <f>STDEV(W229:W236)</f>
        <v>2.1295188573601249E-2</v>
      </c>
      <c r="AF229" s="7">
        <f>AVERAGE(AA229:AA236)</f>
        <v>1.6584738853832239E-2</v>
      </c>
      <c r="AG229">
        <f>STDEV(AA229:AA236)</f>
        <v>1.4900349251798209E-3</v>
      </c>
      <c r="AH229" s="17">
        <f>'Datos Crudos SE4 Im'!U10</f>
        <v>21.326596557194055</v>
      </c>
      <c r="AI229" s="17">
        <f>'Datos Crudos SE4 Im'!U64</f>
        <v>67.067271729915717</v>
      </c>
    </row>
    <row r="230" spans="1:35" x14ac:dyDescent="0.25">
      <c r="A230" s="9" t="s">
        <v>850</v>
      </c>
      <c r="B230" s="87" t="s">
        <v>327</v>
      </c>
      <c r="C230" s="61" t="s">
        <v>621</v>
      </c>
      <c r="D230" s="61">
        <v>2</v>
      </c>
      <c r="E230" t="s">
        <v>17</v>
      </c>
      <c r="F230" s="53">
        <v>44788</v>
      </c>
      <c r="G230" s="9">
        <f>'Datos Crudos SE4 Im'!H11</f>
        <v>1.9689000000000001</v>
      </c>
      <c r="H230" s="9">
        <f>'Datos Crudos SE4 Im'!H65</f>
        <v>2.1381000000000001</v>
      </c>
      <c r="I230" s="17">
        <f>'Datos Crudos SE4 Im'!I11</f>
        <v>5.6427446797704288</v>
      </c>
      <c r="J230" s="17">
        <f>'Datos Crudos SE4 Im'!I65</f>
        <v>7.3242598568822812</v>
      </c>
      <c r="K230" s="9">
        <f>'Datos Crudos SE4 Im'!R11</f>
        <v>1.7713000000000001</v>
      </c>
      <c r="L230" s="9">
        <f>'Datos Crudos SE4 Im'!R65</f>
        <v>1.9336000000000002</v>
      </c>
      <c r="M230" s="62">
        <v>44848</v>
      </c>
      <c r="N230" s="9">
        <f>'Datos Crudos SE4 Im'!M11</f>
        <v>0.53769999999999996</v>
      </c>
      <c r="O230" s="9">
        <f>'Datos Crudos SE4 Im'!P11</f>
        <v>0.13739999999999999</v>
      </c>
      <c r="P230" s="9">
        <f>'Datos Crudos SE4 Im'!Q11</f>
        <v>6.0199999999999997E-2</v>
      </c>
      <c r="Q230" s="9">
        <f>'Datos Crudos SE4 Im'!M65</f>
        <v>1.5579000000000001</v>
      </c>
      <c r="R230" s="9">
        <f>'Datos Crudos SE4 Im'!P65</f>
        <v>0.14000000000000001</v>
      </c>
      <c r="S230" s="9">
        <f>'Datos Crudos SE4 Im'!Q65</f>
        <v>6.4500000000000002E-2</v>
      </c>
      <c r="T230" s="9">
        <f>'Datos Crudos SE4 Im'!O11</f>
        <v>0.33710000000000001</v>
      </c>
      <c r="U230" s="9">
        <f>'Datos Crudos SE4 Im'!O65</f>
        <v>1.3504</v>
      </c>
      <c r="V230" s="198">
        <f t="shared" si="20"/>
        <v>0.80968779992096196</v>
      </c>
      <c r="W230" s="198">
        <f t="shared" si="21"/>
        <v>3.8375534535674549E-2</v>
      </c>
      <c r="X230" s="21">
        <f t="shared" si="22"/>
        <v>0.53081670493630773</v>
      </c>
      <c r="Y230" s="21">
        <f t="shared" si="23"/>
        <v>0.69838642945800578</v>
      </c>
      <c r="Z230" s="22">
        <f t="shared" si="24"/>
        <v>60</v>
      </c>
      <c r="AA230" s="248">
        <f t="shared" si="25"/>
        <v>1.3996801884864862E-2</v>
      </c>
      <c r="AB230">
        <f>'Datos Crudos SE4 Im'!S11</f>
        <v>80.968779992096202</v>
      </c>
      <c r="AC230">
        <f>'Datos Crudos SE4 Im'!S65</f>
        <v>30.161357054199428</v>
      </c>
      <c r="AH230" s="17">
        <f>'Datos Crudos SE4 Im'!U11</f>
        <v>19.031220007903798</v>
      </c>
      <c r="AI230" s="17">
        <f>'Datos Crudos SE4 Im'!U65</f>
        <v>69.838642945800572</v>
      </c>
    </row>
    <row r="231" spans="1:35" x14ac:dyDescent="0.25">
      <c r="A231" s="9" t="s">
        <v>851</v>
      </c>
      <c r="B231" s="87" t="s">
        <v>327</v>
      </c>
      <c r="C231" s="61" t="s">
        <v>621</v>
      </c>
      <c r="D231" s="61">
        <v>1</v>
      </c>
      <c r="E231" t="s">
        <v>18</v>
      </c>
      <c r="F231" s="53">
        <v>44788</v>
      </c>
      <c r="G231" s="9">
        <f>'Datos Crudos SE4 Im'!H12</f>
        <v>1.962</v>
      </c>
      <c r="H231" s="9">
        <f>'Datos Crudos SE4 Im'!H66</f>
        <v>2.1918000000000002</v>
      </c>
      <c r="I231" s="17">
        <f>'Datos Crudos SE4 Im'!I12</f>
        <v>5.6676860346585105</v>
      </c>
      <c r="J231" s="17">
        <f>'Datos Crudos SE4 Im'!I66</f>
        <v>7.2634364449310969</v>
      </c>
      <c r="K231" s="9">
        <f>'Datos Crudos SE4 Im'!R12</f>
        <v>1.6905999999999999</v>
      </c>
      <c r="L231" s="9">
        <f>'Datos Crudos SE4 Im'!R66</f>
        <v>1.9941000000000002</v>
      </c>
      <c r="M231" s="62">
        <v>44848</v>
      </c>
      <c r="N231" s="9">
        <f>'Datos Crudos SE4 Im'!M12</f>
        <v>0.59140000000000004</v>
      </c>
      <c r="O231" s="9">
        <f>'Datos Crudos SE4 Im'!P12</f>
        <v>0.13569999999999999</v>
      </c>
      <c r="P231" s="9">
        <f>'Datos Crudos SE4 Im'!Q12</f>
        <v>0.13569999999999999</v>
      </c>
      <c r="Q231" s="9">
        <f>'Datos Crudos SE4 Im'!M66</f>
        <v>1.5183</v>
      </c>
      <c r="R231" s="9">
        <f>'Datos Crudos SE4 Im'!P66</f>
        <v>0.1361</v>
      </c>
      <c r="S231" s="9">
        <f>'Datos Crudos SE4 Im'!Q66</f>
        <v>6.1600000000000002E-2</v>
      </c>
      <c r="T231" s="9">
        <f>'Datos Crudos SE4 Im'!O12</f>
        <v>0.3972</v>
      </c>
      <c r="U231" s="9">
        <f>'Datos Crudos SE4 Im'!O66</f>
        <v>1.3187</v>
      </c>
      <c r="V231" s="198">
        <f t="shared" si="20"/>
        <v>0.7650538270436531</v>
      </c>
      <c r="W231" s="198">
        <f t="shared" si="21"/>
        <v>9.1385003511100793E-2</v>
      </c>
      <c r="X231" s="21">
        <f t="shared" si="22"/>
        <v>0.5015554780618724</v>
      </c>
      <c r="Y231" s="21">
        <f t="shared" si="23"/>
        <v>0.66130083747053803</v>
      </c>
      <c r="Z231" s="22">
        <f t="shared" si="24"/>
        <v>60</v>
      </c>
      <c r="AA231" s="248">
        <f t="shared" si="25"/>
        <v>1.8747431887973218E-2</v>
      </c>
      <c r="AB231">
        <f>'Datos Crudos SE4 Im'!S12</f>
        <v>76.505382704365303</v>
      </c>
      <c r="AC231">
        <f>'Datos Crudos SE4 Im'!S66</f>
        <v>33.869916252946197</v>
      </c>
      <c r="AH231" s="17">
        <f>'Datos Crudos SE4 Im'!U12</f>
        <v>23.494617295634686</v>
      </c>
      <c r="AI231" s="17">
        <f>'Datos Crudos SE4 Im'!U66</f>
        <v>66.130083747053803</v>
      </c>
    </row>
    <row r="232" spans="1:35" x14ac:dyDescent="0.25">
      <c r="A232" s="9" t="s">
        <v>852</v>
      </c>
      <c r="B232" s="87" t="s">
        <v>327</v>
      </c>
      <c r="C232" s="61" t="s">
        <v>621</v>
      </c>
      <c r="D232" s="61">
        <v>2</v>
      </c>
      <c r="E232" t="s">
        <v>18</v>
      </c>
      <c r="F232" s="53">
        <v>44788</v>
      </c>
      <c r="G232" s="9">
        <f>'Datos Crudos SE4 Im'!H13</f>
        <v>1.972</v>
      </c>
      <c r="H232" s="9">
        <f>'Datos Crudos SE4 Im'!H67</f>
        <v>2.2042999999999999</v>
      </c>
      <c r="I232" s="17">
        <f>'Datos Crudos SE4 Im'!I13</f>
        <v>5.6795131845841835</v>
      </c>
      <c r="J232" s="17">
        <f>'Datos Crudos SE4 Im'!I67</f>
        <v>7.249466950959496</v>
      </c>
      <c r="K232" s="9">
        <f>'Datos Crudos SE4 Im'!R13</f>
        <v>1.7016</v>
      </c>
      <c r="L232" s="9">
        <f>'Datos Crudos SE4 Im'!R67</f>
        <v>2.0063999999999997</v>
      </c>
      <c r="M232" s="62">
        <v>44848</v>
      </c>
      <c r="N232" s="9">
        <f>'Datos Crudos SE4 Im'!M13</f>
        <v>0.57010000000000005</v>
      </c>
      <c r="O232" s="9">
        <f>'Datos Crudos SE4 Im'!P13</f>
        <v>0.13519999999999999</v>
      </c>
      <c r="P232" s="9">
        <f>'Datos Crudos SE4 Im'!Q13</f>
        <v>0.13519999999999999</v>
      </c>
      <c r="Q232" s="9">
        <f>'Datos Crudos SE4 Im'!M67</f>
        <v>1.5573999999999999</v>
      </c>
      <c r="R232" s="9">
        <f>'Datos Crudos SE4 Im'!P67</f>
        <v>0.1358</v>
      </c>
      <c r="S232" s="9">
        <f>'Datos Crudos SE4 Im'!Q67</f>
        <v>6.2100000000000002E-2</v>
      </c>
      <c r="T232" s="9">
        <f>'Datos Crudos SE4 Im'!O13</f>
        <v>0.37180000000000002</v>
      </c>
      <c r="U232" s="9">
        <f>'Datos Crudos SE4 Im'!O67</f>
        <v>1.3547</v>
      </c>
      <c r="V232" s="198">
        <f t="shared" si="20"/>
        <v>0.78149976492712736</v>
      </c>
      <c r="W232" s="198">
        <f t="shared" si="21"/>
        <v>7.1853010775383197E-2</v>
      </c>
      <c r="X232" s="21">
        <f t="shared" si="22"/>
        <v>0.51233713805198855</v>
      </c>
      <c r="Y232" s="21">
        <f t="shared" si="23"/>
        <v>0.67518939393939403</v>
      </c>
      <c r="Z232" s="22">
        <f t="shared" si="24"/>
        <v>60</v>
      </c>
      <c r="AA232" s="248">
        <f t="shared" si="25"/>
        <v>1.6751042362424452E-2</v>
      </c>
      <c r="AB232">
        <f>'Datos Crudos SE4 Im'!S13</f>
        <v>78.149976492712753</v>
      </c>
      <c r="AC232">
        <f>'Datos Crudos SE4 Im'!S67</f>
        <v>32.481060606060595</v>
      </c>
      <c r="AH232" s="17">
        <f>'Datos Crudos SE4 Im'!U13</f>
        <v>21.850023507287261</v>
      </c>
      <c r="AI232" s="17">
        <f>'Datos Crudos SE4 Im'!U67</f>
        <v>67.518939393939405</v>
      </c>
    </row>
    <row r="233" spans="1:35" x14ac:dyDescent="0.25">
      <c r="A233" s="9" t="s">
        <v>853</v>
      </c>
      <c r="B233" s="87" t="s">
        <v>327</v>
      </c>
      <c r="C233" s="61" t="s">
        <v>621</v>
      </c>
      <c r="D233" s="61">
        <v>1</v>
      </c>
      <c r="E233" t="s">
        <v>19</v>
      </c>
      <c r="F233" s="53">
        <v>44788</v>
      </c>
      <c r="G233" s="9">
        <f>'Datos Crudos SE4 Im'!H14</f>
        <v>1.9492</v>
      </c>
      <c r="H233" s="9">
        <f>'Datos Crudos SE4 Im'!H68</f>
        <v>2.2178</v>
      </c>
      <c r="I233" s="17">
        <f>'Datos Crudos SE4 Im'!I14</f>
        <v>5.6689924071413822</v>
      </c>
      <c r="J233" s="17">
        <f>'Datos Crudos SE4 Im'!I68</f>
        <v>7.1827937595815667</v>
      </c>
      <c r="K233" s="9">
        <f>'Datos Crudos SE4 Im'!R14</f>
        <v>1.6738</v>
      </c>
      <c r="L233" s="9">
        <f>'Datos Crudos SE4 Im'!R68</f>
        <v>2.0263</v>
      </c>
      <c r="M233" s="62">
        <v>44848</v>
      </c>
      <c r="N233" s="9">
        <f>'Datos Crudos SE4 Im'!M14</f>
        <v>0.55349999999999999</v>
      </c>
      <c r="O233" s="9">
        <f>'Datos Crudos SE4 Im'!P14</f>
        <v>0.13769999999999999</v>
      </c>
      <c r="P233" s="9">
        <f>'Datos Crudos SE4 Im'!Q14</f>
        <v>0.13769999999999999</v>
      </c>
      <c r="Q233" s="9">
        <f>'Datos Crudos SE4 Im'!M68</f>
        <v>1.579</v>
      </c>
      <c r="R233" s="9">
        <f>'Datos Crudos SE4 Im'!P68</f>
        <v>0.1341</v>
      </c>
      <c r="S233" s="9">
        <f>'Datos Crudos SE4 Im'!Q68</f>
        <v>5.74E-2</v>
      </c>
      <c r="T233" s="9">
        <f>'Datos Crudos SE4 Im'!O14</f>
        <v>0.35089999999999999</v>
      </c>
      <c r="U233" s="9">
        <f>'Datos Crudos SE4 Im'!O68</f>
        <v>1.3827</v>
      </c>
      <c r="V233" s="198">
        <f t="shared" si="20"/>
        <v>0.7903572708806309</v>
      </c>
      <c r="W233" s="198">
        <f t="shared" si="21"/>
        <v>6.1333407505188897E-2</v>
      </c>
      <c r="X233" s="21">
        <f t="shared" si="22"/>
        <v>0.51814395905713573</v>
      </c>
      <c r="Y233" s="21">
        <f t="shared" si="23"/>
        <v>0.68237674579282437</v>
      </c>
      <c r="Z233" s="22">
        <f t="shared" si="24"/>
        <v>60</v>
      </c>
      <c r="AA233" s="248">
        <f t="shared" si="25"/>
        <v>1.5822260156447145E-2</v>
      </c>
      <c r="AB233">
        <f>'Datos Crudos SE4 Im'!S14</f>
        <v>79.035727088063084</v>
      </c>
      <c r="AC233">
        <f>'Datos Crudos SE4 Im'!S68</f>
        <v>31.762325420717563</v>
      </c>
      <c r="AH233" s="17">
        <f>'Datos Crudos SE4 Im'!U14</f>
        <v>20.964272911936909</v>
      </c>
      <c r="AI233" s="17">
        <f>'Datos Crudos SE4 Im'!U68</f>
        <v>68.237674579282441</v>
      </c>
    </row>
    <row r="234" spans="1:35" x14ac:dyDescent="0.25">
      <c r="A234" s="9" t="s">
        <v>854</v>
      </c>
      <c r="B234" s="87" t="s">
        <v>327</v>
      </c>
      <c r="C234" s="61" t="s">
        <v>621</v>
      </c>
      <c r="D234" s="61">
        <v>2</v>
      </c>
      <c r="E234" t="s">
        <v>19</v>
      </c>
      <c r="F234" s="53">
        <v>44788</v>
      </c>
      <c r="G234" s="9">
        <f>'Datos Crudos SE4 Im'!H15</f>
        <v>1.9218999999999999</v>
      </c>
      <c r="H234" s="9">
        <f>'Datos Crudos SE4 Im'!H69</f>
        <v>2.2292000000000001</v>
      </c>
      <c r="I234" s="17">
        <f>'Datos Crudos SE4 Im'!I15</f>
        <v>5.5674072532389927</v>
      </c>
      <c r="J234" s="17">
        <f>'Datos Crudos SE4 Im'!I69</f>
        <v>7.1505472815359665</v>
      </c>
      <c r="K234" s="9">
        <f>'Datos Crudos SE4 Im'!R15</f>
        <v>1.6553</v>
      </c>
      <c r="L234" s="9">
        <f>'Datos Crudos SE4 Im'!R69</f>
        <v>2.0337000000000001</v>
      </c>
      <c r="M234" s="62">
        <v>44848</v>
      </c>
      <c r="N234" s="9">
        <f>'Datos Crudos SE4 Im'!M15</f>
        <v>0.49120000000000003</v>
      </c>
      <c r="O234" s="9">
        <f>'Datos Crudos SE4 Im'!P15</f>
        <v>0.1333</v>
      </c>
      <c r="P234" s="9">
        <f>'Datos Crudos SE4 Im'!Q15</f>
        <v>0.1333</v>
      </c>
      <c r="Q234" s="9">
        <f>'Datos Crudos SE4 Im'!M69</f>
        <v>1.5333000000000001</v>
      </c>
      <c r="R234" s="9">
        <f>'Datos Crudos SE4 Im'!P69</f>
        <v>0.13919999999999999</v>
      </c>
      <c r="S234" s="9">
        <f>'Datos Crudos SE4 Im'!Q69</f>
        <v>5.6300000000000003E-2</v>
      </c>
      <c r="T234" s="9">
        <f>'Datos Crudos SE4 Im'!O15</f>
        <v>0.2979</v>
      </c>
      <c r="U234" s="9">
        <f>'Datos Crudos SE4 Im'!O69</f>
        <v>1.3371999999999999</v>
      </c>
      <c r="V234" s="198">
        <f t="shared" si="20"/>
        <v>0.82003262248535003</v>
      </c>
      <c r="W234" s="198">
        <f t="shared" si="21"/>
        <v>2.608952198889547E-2</v>
      </c>
      <c r="X234" s="21">
        <f t="shared" si="22"/>
        <v>0.53759858386212978</v>
      </c>
      <c r="Y234" s="21">
        <f t="shared" si="23"/>
        <v>0.6575207749422235</v>
      </c>
      <c r="Z234" s="22">
        <f t="shared" si="24"/>
        <v>60</v>
      </c>
      <c r="AA234" s="248">
        <f t="shared" si="25"/>
        <v>1.6891678121312158E-2</v>
      </c>
      <c r="AB234">
        <f>'Datos Crudos SE4 Im'!S15</f>
        <v>82.003262248535009</v>
      </c>
      <c r="AC234">
        <f>'Datos Crudos SE4 Im'!S69</f>
        <v>34.247922505777652</v>
      </c>
      <c r="AH234" s="17">
        <f>'Datos Crudos SE4 Im'!U15</f>
        <v>17.996737751464991</v>
      </c>
      <c r="AI234" s="17">
        <f>'Datos Crudos SE4 Im'!U69</f>
        <v>65.752077494222348</v>
      </c>
    </row>
    <row r="235" spans="1:35" x14ac:dyDescent="0.25">
      <c r="A235" s="9" t="s">
        <v>855</v>
      </c>
      <c r="B235" s="87" t="s">
        <v>327</v>
      </c>
      <c r="C235" s="61" t="s">
        <v>621</v>
      </c>
      <c r="D235" s="61">
        <v>1</v>
      </c>
      <c r="E235" t="s">
        <v>20</v>
      </c>
      <c r="F235" s="53">
        <v>44788</v>
      </c>
      <c r="G235" s="9">
        <f>'Datos Crudos SE4 Im'!H16</f>
        <v>2.0057</v>
      </c>
      <c r="H235" s="9">
        <f>'Datos Crudos SE4 Im'!H70</f>
        <v>2.1772999999999998</v>
      </c>
      <c r="I235" s="17">
        <f>'Datos Crudos SE4 Im'!I16</f>
        <v>5.5541706137508182</v>
      </c>
      <c r="J235" s="17">
        <f>'Datos Crudos SE4 Im'!I70</f>
        <v>7.2153584715014123</v>
      </c>
      <c r="K235" s="9">
        <f>'Datos Crudos SE4 Im'!R16</f>
        <v>1.7345000000000002</v>
      </c>
      <c r="L235" s="9">
        <f>'Datos Crudos SE4 Im'!R70</f>
        <v>1.9844999999999997</v>
      </c>
      <c r="M235" s="62">
        <v>44848</v>
      </c>
      <c r="N235" s="9">
        <f>'Datos Crudos SE4 Im'!M16</f>
        <v>0.54139999999999999</v>
      </c>
      <c r="O235" s="9">
        <f>'Datos Crudos SE4 Im'!P16</f>
        <v>0.1356</v>
      </c>
      <c r="P235" s="9">
        <f>'Datos Crudos SE4 Im'!Q16</f>
        <v>0.1356</v>
      </c>
      <c r="Q235" s="9">
        <f>'Datos Crudos SE4 Im'!M70</f>
        <v>1.5476000000000001</v>
      </c>
      <c r="R235" s="9">
        <f>'Datos Crudos SE4 Im'!P70</f>
        <v>0.1366</v>
      </c>
      <c r="S235" s="9">
        <f>'Datos Crudos SE4 Im'!Q70</f>
        <v>5.62E-2</v>
      </c>
      <c r="T235" s="9">
        <f>'Datos Crudos SE4 Im'!O16</f>
        <v>0.34510000000000002</v>
      </c>
      <c r="U235" s="9">
        <f>'Datos Crudos SE4 Im'!O70</f>
        <v>1.3541000000000001</v>
      </c>
      <c r="V235" s="198">
        <f t="shared" si="20"/>
        <v>0.8010377630441049</v>
      </c>
      <c r="W235" s="198">
        <f t="shared" si="21"/>
        <v>4.8648737477310022E-2</v>
      </c>
      <c r="X235" s="21">
        <f t="shared" si="22"/>
        <v>0.52514589691252489</v>
      </c>
      <c r="Y235" s="21">
        <f t="shared" si="23"/>
        <v>0.68233812043335862</v>
      </c>
      <c r="Z235" s="22">
        <f t="shared" si="24"/>
        <v>60</v>
      </c>
      <c r="AA235" s="248">
        <f t="shared" si="25"/>
        <v>1.547703018334683E-2</v>
      </c>
      <c r="AB235">
        <f>'Datos Crudos SE4 Im'!S16</f>
        <v>80.103776304410502</v>
      </c>
      <c r="AC235">
        <f>'Datos Crudos SE4 Im'!S70</f>
        <v>31.766187956664133</v>
      </c>
      <c r="AH235" s="17">
        <f>'Datos Crudos SE4 Im'!U16</f>
        <v>19.896223695589509</v>
      </c>
      <c r="AI235" s="17">
        <f>'Datos Crudos SE4 Im'!U70</f>
        <v>68.23381204333586</v>
      </c>
    </row>
    <row r="236" spans="1:35" x14ac:dyDescent="0.25">
      <c r="A236" s="9" t="s">
        <v>856</v>
      </c>
      <c r="B236" s="87" t="s">
        <v>327</v>
      </c>
      <c r="C236" s="61" t="s">
        <v>621</v>
      </c>
      <c r="D236" s="61">
        <v>2</v>
      </c>
      <c r="E236" t="s">
        <v>20</v>
      </c>
      <c r="F236" s="53">
        <v>44788</v>
      </c>
      <c r="G236" s="9">
        <f>'Datos Crudos SE4 Im'!H17</f>
        <v>2.0053999999999998</v>
      </c>
      <c r="H236" s="9">
        <f>'Datos Crudos SE4 Im'!H71</f>
        <v>2.1856</v>
      </c>
      <c r="I236" s="17">
        <f>'Datos Crudos SE4 Im'!I17</f>
        <v>5.5998803231275707</v>
      </c>
      <c r="J236" s="17">
        <f>'Datos Crudos SE4 Im'!I71</f>
        <v>7.1650805270863867</v>
      </c>
      <c r="K236" s="9">
        <f>'Datos Crudos SE4 Im'!R17</f>
        <v>1.7309999999999999</v>
      </c>
      <c r="L236" s="9">
        <f>'Datos Crudos SE4 Im'!R71</f>
        <v>1.9898</v>
      </c>
      <c r="M236" s="62">
        <v>44848</v>
      </c>
      <c r="N236" s="9">
        <f>'Datos Crudos SE4 Im'!M17</f>
        <v>0.52680000000000005</v>
      </c>
      <c r="O236" s="9">
        <f>'Datos Crudos SE4 Im'!P17</f>
        <v>0.13719999999999999</v>
      </c>
      <c r="P236" s="9">
        <f>'Datos Crudos SE4 Im'!Q17</f>
        <v>0.13719999999999999</v>
      </c>
      <c r="Q236" s="9">
        <f>'Datos Crudos SE4 Im'!M71</f>
        <v>1.4903999999999999</v>
      </c>
      <c r="R236" s="9">
        <f>'Datos Crudos SE4 Im'!P71</f>
        <v>0.14030000000000001</v>
      </c>
      <c r="S236" s="9">
        <f>'Datos Crudos SE4 Im'!Q71</f>
        <v>5.5500000000000001E-2</v>
      </c>
      <c r="T236" s="9">
        <f>'Datos Crudos SE4 Im'!O17</f>
        <v>0.3301</v>
      </c>
      <c r="U236" s="9">
        <f>'Datos Crudos SE4 Im'!O71</f>
        <v>1.2919</v>
      </c>
      <c r="V236" s="198">
        <f t="shared" si="20"/>
        <v>0.80930098209127665</v>
      </c>
      <c r="W236" s="198">
        <f t="shared" si="21"/>
        <v>3.8834938133875618E-2</v>
      </c>
      <c r="X236" s="21">
        <f t="shared" si="22"/>
        <v>0.53056311415010071</v>
      </c>
      <c r="Y236" s="21">
        <f t="shared" si="23"/>
        <v>0.64926123228465171</v>
      </c>
      <c r="Z236" s="22">
        <f t="shared" si="24"/>
        <v>60</v>
      </c>
      <c r="AA236" s="248">
        <f t="shared" si="25"/>
        <v>1.80326400124581E-2</v>
      </c>
      <c r="AB236">
        <f>'Datos Crudos SE4 Im'!S17</f>
        <v>80.930098209127664</v>
      </c>
      <c r="AC236">
        <f>'Datos Crudos SE4 Im'!S71</f>
        <v>35.07387677153482</v>
      </c>
      <c r="AH236" s="17">
        <f>'Datos Crudos SE4 Im'!U17</f>
        <v>19.069901790872329</v>
      </c>
      <c r="AI236" s="17">
        <f>'Datos Crudos SE4 Im'!U71</f>
        <v>64.926123228465173</v>
      </c>
    </row>
    <row r="237" spans="1:35" x14ac:dyDescent="0.25">
      <c r="A237" s="9" t="s">
        <v>857</v>
      </c>
      <c r="B237" s="87" t="s">
        <v>328</v>
      </c>
      <c r="C237" s="61" t="s">
        <v>621</v>
      </c>
      <c r="D237" s="61">
        <v>1</v>
      </c>
      <c r="E237" t="s">
        <v>17</v>
      </c>
      <c r="F237" s="53">
        <v>44802</v>
      </c>
      <c r="G237" s="9">
        <f>'Datos Crudos SE4 Im'!H18</f>
        <v>2.1493000000000002</v>
      </c>
      <c r="H237" s="9">
        <f>'Datos Crudos SE4 Im'!H72</f>
        <v>2.2507999999999999</v>
      </c>
      <c r="I237" s="17">
        <f>'Datos Crudos SE4 Im'!I18</f>
        <v>4.5130972874889483</v>
      </c>
      <c r="J237" s="17">
        <f>'Datos Crudos SE4 Im'!I72</f>
        <v>5.0026657188555195</v>
      </c>
      <c r="K237" s="9">
        <f>'Datos Crudos SE4 Im'!R18</f>
        <v>1.9338000000000002</v>
      </c>
      <c r="L237" s="9">
        <f>'Datos Crudos SE4 Im'!R72</f>
        <v>2.0381</v>
      </c>
      <c r="M237" s="62">
        <v>44862</v>
      </c>
      <c r="N237" s="9">
        <f>'Datos Crudos SE4 Im'!M18</f>
        <v>0.52149999999999996</v>
      </c>
      <c r="O237" s="9">
        <f>'Datos Crudos SE4 Im'!P18</f>
        <v>0.1537</v>
      </c>
      <c r="P237" s="9">
        <f>'Datos Crudos SE4 Im'!Q18</f>
        <v>6.1800000000000001E-2</v>
      </c>
      <c r="Q237" s="9">
        <f>'Datos Crudos SE4 Im'!M72</f>
        <v>1.5495000000000001</v>
      </c>
      <c r="R237" s="9">
        <f>'Datos Crudos SE4 Im'!P72</f>
        <v>0.1472</v>
      </c>
      <c r="S237" s="9">
        <f>'Datos Crudos SE4 Im'!Q72</f>
        <v>6.5500000000000003E-2</v>
      </c>
      <c r="T237" s="9">
        <f>'Datos Crudos SE4 Im'!O18</f>
        <v>0.30709999999999998</v>
      </c>
      <c r="U237" s="9">
        <f>'Datos Crudos SE4 Im'!O72</f>
        <v>1.3398000000000001</v>
      </c>
      <c r="V237" s="198">
        <f t="shared" si="20"/>
        <v>0.84119350501603063</v>
      </c>
      <c r="W237" s="198">
        <f t="shared" si="21"/>
        <v>9.5783252252890083E-4</v>
      </c>
      <c r="X237" s="21">
        <f t="shared" si="22"/>
        <v>0.55147127644756411</v>
      </c>
      <c r="Y237" s="21">
        <f t="shared" si="23"/>
        <v>0.65737696874540019</v>
      </c>
      <c r="Z237" s="22">
        <f t="shared" si="24"/>
        <v>60</v>
      </c>
      <c r="AA237" s="248">
        <f t="shared" si="25"/>
        <v>1.6183031101136777E-2</v>
      </c>
      <c r="AB237">
        <f>'Datos Crudos SE4 Im'!S18</f>
        <v>84.119350501603066</v>
      </c>
      <c r="AC237">
        <f>'Datos Crudos SE4 Im'!S72</f>
        <v>34.262303125459979</v>
      </c>
      <c r="AD237" s="65">
        <f>AVERAGE(W237:W244)</f>
        <v>6.3010156007607329E-2</v>
      </c>
      <c r="AE237">
        <f>STDEV(W237:W244)</f>
        <v>3.8526821866339891E-2</v>
      </c>
      <c r="AF237" s="7">
        <f>AVERAGE(AA237:AA244)</f>
        <v>1.6118567136447184E-2</v>
      </c>
      <c r="AG237">
        <f>STDEV(AA237:AA244)</f>
        <v>1.6709524198534251E-3</v>
      </c>
      <c r="AH237" s="17">
        <f>'Datos Crudos SE4 Im'!U18</f>
        <v>15.880649498396938</v>
      </c>
      <c r="AI237" s="17">
        <f>'Datos Crudos SE4 Im'!U72</f>
        <v>65.737696874540021</v>
      </c>
    </row>
    <row r="238" spans="1:35" x14ac:dyDescent="0.25">
      <c r="A238" s="9" t="s">
        <v>858</v>
      </c>
      <c r="B238" s="87" t="s">
        <v>328</v>
      </c>
      <c r="C238" s="61" t="s">
        <v>621</v>
      </c>
      <c r="D238" s="61">
        <v>2</v>
      </c>
      <c r="E238" t="s">
        <v>17</v>
      </c>
      <c r="F238" s="53">
        <v>44802</v>
      </c>
      <c r="G238" s="9">
        <f>'Datos Crudos SE4 Im'!H19</f>
        <v>2.0819999999999999</v>
      </c>
      <c r="H238" s="9">
        <f>'Datos Crudos SE4 Im'!H73</f>
        <v>2.1674000000000002</v>
      </c>
      <c r="I238" s="17">
        <f>'Datos Crudos SE4 Im'!I19</f>
        <v>4.3756003842459164</v>
      </c>
      <c r="J238" s="17">
        <f>'Datos Crudos SE4 Im'!I73</f>
        <v>4.9321768016978869</v>
      </c>
      <c r="K238" s="9">
        <f>'Datos Crudos SE4 Im'!R19</f>
        <v>1.8686999999999998</v>
      </c>
      <c r="L238" s="9">
        <f>'Datos Crudos SE4 Im'!R73</f>
        <v>1.9628000000000001</v>
      </c>
      <c r="M238" s="62">
        <v>44862</v>
      </c>
      <c r="N238" s="9">
        <f>'Datos Crudos SE4 Im'!M19</f>
        <v>0.57369999999999999</v>
      </c>
      <c r="O238" s="9">
        <f>'Datos Crudos SE4 Im'!P19</f>
        <v>0.14480000000000001</v>
      </c>
      <c r="P238" s="9">
        <f>'Datos Crudos SE4 Im'!Q19</f>
        <v>6.8500000000000005E-2</v>
      </c>
      <c r="Q238" s="9">
        <f>'Datos Crudos SE4 Im'!M73</f>
        <v>1.5322</v>
      </c>
      <c r="R238" s="9">
        <f>'Datos Crudos SE4 Im'!P73</f>
        <v>0.13600000000000001</v>
      </c>
      <c r="S238" s="9">
        <f>'Datos Crudos SE4 Im'!Q73</f>
        <v>6.8599999999999994E-2</v>
      </c>
      <c r="T238" s="9">
        <f>'Datos Crudos SE4 Im'!O19</f>
        <v>0.36080000000000001</v>
      </c>
      <c r="U238" s="9">
        <f>'Datos Crudos SE4 Im'!O73</f>
        <v>1.3299000000000001</v>
      </c>
      <c r="V238" s="198">
        <f t="shared" si="20"/>
        <v>0.80692459998929733</v>
      </c>
      <c r="W238" s="198">
        <f t="shared" si="21"/>
        <v>4.1657244668292903E-2</v>
      </c>
      <c r="X238" s="21">
        <f t="shared" si="22"/>
        <v>0.52900520094310233</v>
      </c>
      <c r="Y238" s="21">
        <f t="shared" si="23"/>
        <v>0.67755247605461588</v>
      </c>
      <c r="Z238" s="22">
        <f t="shared" si="24"/>
        <v>60</v>
      </c>
      <c r="AA238" s="248">
        <f t="shared" si="25"/>
        <v>1.5673643042723864E-2</v>
      </c>
      <c r="AB238">
        <f>'Datos Crudos SE4 Im'!S19</f>
        <v>80.692459998929735</v>
      </c>
      <c r="AC238">
        <f>'Datos Crudos SE4 Im'!S73</f>
        <v>32.244752394538409</v>
      </c>
      <c r="AH238" s="17">
        <f>'Datos Crudos SE4 Im'!U19</f>
        <v>19.307540001070265</v>
      </c>
      <c r="AI238" s="17">
        <f>'Datos Crudos SE4 Im'!U73</f>
        <v>67.755247605461591</v>
      </c>
    </row>
    <row r="239" spans="1:35" x14ac:dyDescent="0.25">
      <c r="A239" s="9" t="s">
        <v>859</v>
      </c>
      <c r="B239" s="87" t="s">
        <v>328</v>
      </c>
      <c r="C239" s="61" t="s">
        <v>621</v>
      </c>
      <c r="D239" s="61">
        <v>1</v>
      </c>
      <c r="E239" t="s">
        <v>18</v>
      </c>
      <c r="F239" s="53">
        <v>44802</v>
      </c>
      <c r="G239" s="9">
        <f>'Datos Crudos SE4 Im'!H20</f>
        <v>1.9218999999999999</v>
      </c>
      <c r="H239" s="9">
        <f>'Datos Crudos SE4 Im'!H74</f>
        <v>2.1257000000000001</v>
      </c>
      <c r="I239" s="17">
        <f>'Datos Crudos SE4 Im'!I20</f>
        <v>4.4903480930329387</v>
      </c>
      <c r="J239" s="17">
        <f>'Datos Crudos SE4 Im'!I74</f>
        <v>4.7043326904078491</v>
      </c>
      <c r="K239" s="9">
        <f>'Datos Crudos SE4 Im'!R20</f>
        <v>1.704</v>
      </c>
      <c r="L239" s="9">
        <f>'Datos Crudos SE4 Im'!R74</f>
        <v>1.9255000000000002</v>
      </c>
      <c r="M239" s="62">
        <v>44862</v>
      </c>
      <c r="N239" s="9">
        <f>'Datos Crudos SE4 Im'!M20</f>
        <v>0.55610000000000004</v>
      </c>
      <c r="O239" s="9">
        <f>'Datos Crudos SE4 Im'!P20</f>
        <v>0.153</v>
      </c>
      <c r="P239" s="9">
        <f>'Datos Crudos SE4 Im'!Q20</f>
        <v>6.4899999999999999E-2</v>
      </c>
      <c r="Q239" s="9">
        <f>'Datos Crudos SE4 Im'!M74</f>
        <v>1.4558</v>
      </c>
      <c r="R239" s="9">
        <f>'Datos Crudos SE4 Im'!P74</f>
        <v>0.1331</v>
      </c>
      <c r="S239" s="9">
        <f>'Datos Crudos SE4 Im'!Q74</f>
        <v>6.7100000000000007E-2</v>
      </c>
      <c r="T239" s="9">
        <f>'Datos Crudos SE4 Im'!O20</f>
        <v>0.3392</v>
      </c>
      <c r="U239" s="9">
        <f>'Datos Crudos SE4 Im'!O74</f>
        <v>1.2577</v>
      </c>
      <c r="V239" s="198">
        <f t="shared" si="20"/>
        <v>0.8009389671361502</v>
      </c>
      <c r="W239" s="198">
        <f t="shared" si="21"/>
        <v>4.8766072284857187E-2</v>
      </c>
      <c r="X239" s="21">
        <f t="shared" si="22"/>
        <v>0.52508112809875884</v>
      </c>
      <c r="Y239" s="21">
        <f t="shared" si="23"/>
        <v>0.65318099195014279</v>
      </c>
      <c r="Z239" s="22">
        <f t="shared" si="24"/>
        <v>60</v>
      </c>
      <c r="AA239" s="248">
        <f t="shared" si="25"/>
        <v>1.8004962145299026E-2</v>
      </c>
      <c r="AB239">
        <f>'Datos Crudos SE4 Im'!S20</f>
        <v>80.093896713615038</v>
      </c>
      <c r="AC239">
        <f>'Datos Crudos SE4 Im'!S74</f>
        <v>34.681900804985723</v>
      </c>
      <c r="AH239" s="17">
        <f>'Datos Crudos SE4 Im'!U20</f>
        <v>19.906103286384976</v>
      </c>
      <c r="AI239" s="17">
        <f>'Datos Crudos SE4 Im'!U74</f>
        <v>65.318099195014284</v>
      </c>
    </row>
    <row r="240" spans="1:35" x14ac:dyDescent="0.25">
      <c r="A240" s="9" t="s">
        <v>860</v>
      </c>
      <c r="B240" s="87" t="s">
        <v>328</v>
      </c>
      <c r="C240" s="61" t="s">
        <v>621</v>
      </c>
      <c r="D240" s="61">
        <v>2</v>
      </c>
      <c r="E240" t="s">
        <v>18</v>
      </c>
      <c r="F240" s="53">
        <v>44802</v>
      </c>
      <c r="G240" s="9">
        <f>'Datos Crudos SE4 Im'!H21</f>
        <v>1.9805999999999999</v>
      </c>
      <c r="H240" s="9">
        <f>'Datos Crudos SE4 Im'!H75</f>
        <v>2.173</v>
      </c>
      <c r="I240" s="17">
        <f>'Datos Crudos SE4 Im'!I21</f>
        <v>4.533979602140759</v>
      </c>
      <c r="J240" s="17">
        <f>'Datos Crudos SE4 Im'!I75</f>
        <v>4.88265071329959</v>
      </c>
      <c r="K240" s="9">
        <f>'Datos Crudos SE4 Im'!R21</f>
        <v>1.7769999999999999</v>
      </c>
      <c r="L240" s="9">
        <f>'Datos Crudos SE4 Im'!R75</f>
        <v>1.9763000000000002</v>
      </c>
      <c r="M240" s="62">
        <v>44862</v>
      </c>
      <c r="N240" s="9">
        <f>'Datos Crudos SE4 Im'!M21</f>
        <v>0.62419999999999998</v>
      </c>
      <c r="O240" s="9">
        <f>'Datos Crudos SE4 Im'!P21</f>
        <v>0.14710000000000001</v>
      </c>
      <c r="P240" s="9">
        <f>'Datos Crudos SE4 Im'!Q21</f>
        <v>5.6500000000000002E-2</v>
      </c>
      <c r="Q240" s="9">
        <f>'Datos Crudos SE4 Im'!M75</f>
        <v>1.5521</v>
      </c>
      <c r="R240" s="9">
        <f>'Datos Crudos SE4 Im'!P75</f>
        <v>0.13769999999999999</v>
      </c>
      <c r="S240" s="9">
        <f>'Datos Crudos SE4 Im'!Q75</f>
        <v>5.8999999999999997E-2</v>
      </c>
      <c r="T240" s="9">
        <f>'Datos Crudos SE4 Im'!O21</f>
        <v>0.42380000000000001</v>
      </c>
      <c r="U240" s="9">
        <f>'Datos Crudos SE4 Im'!O75</f>
        <v>1.3575999999999999</v>
      </c>
      <c r="V240" s="198">
        <f t="shared" si="20"/>
        <v>0.76150815981992115</v>
      </c>
      <c r="W240" s="198">
        <f t="shared" si="21"/>
        <v>9.5596009715057995E-2</v>
      </c>
      <c r="X240" s="21">
        <f t="shared" si="22"/>
        <v>0.49923100263728803</v>
      </c>
      <c r="Y240" s="21">
        <f t="shared" si="23"/>
        <v>0.68694024186611335</v>
      </c>
      <c r="Z240" s="22">
        <f t="shared" si="24"/>
        <v>60</v>
      </c>
      <c r="AA240" s="248">
        <f t="shared" si="25"/>
        <v>1.6440033337309631E-2</v>
      </c>
      <c r="AB240">
        <f>'Datos Crudos SE4 Im'!S21</f>
        <v>76.150815981992125</v>
      </c>
      <c r="AC240">
        <f>'Datos Crudos SE4 Im'!S75</f>
        <v>31.305975813388663</v>
      </c>
      <c r="AH240" s="17">
        <f>'Datos Crudos SE4 Im'!U21</f>
        <v>23.849184018007879</v>
      </c>
      <c r="AI240" s="17">
        <f>'Datos Crudos SE4 Im'!U75</f>
        <v>68.69402418661133</v>
      </c>
    </row>
    <row r="241" spans="1:35" x14ac:dyDescent="0.25">
      <c r="A241" s="9" t="s">
        <v>861</v>
      </c>
      <c r="B241" s="87" t="s">
        <v>328</v>
      </c>
      <c r="C241" s="61" t="s">
        <v>621</v>
      </c>
      <c r="D241" s="61">
        <v>1</v>
      </c>
      <c r="E241" t="s">
        <v>19</v>
      </c>
      <c r="F241" s="53">
        <v>44802</v>
      </c>
      <c r="G241" s="9">
        <f>'Datos Crudos SE4 Im'!H22</f>
        <v>1.9564999999999999</v>
      </c>
      <c r="H241" s="9">
        <f>'Datos Crudos SE4 Im'!H76</f>
        <v>2.2054</v>
      </c>
      <c r="I241" s="17">
        <f>'Datos Crudos SE4 Im'!I22</f>
        <v>4.4671607462305101</v>
      </c>
      <c r="J241" s="17">
        <f>'Datos Crudos SE4 Im'!I76</f>
        <v>4.7156978325927312</v>
      </c>
      <c r="K241" s="9">
        <f>'Datos Crudos SE4 Im'!R22</f>
        <v>1.7559</v>
      </c>
      <c r="L241" s="9">
        <f>'Datos Crudos SE4 Im'!R76</f>
        <v>1.9962</v>
      </c>
      <c r="M241" s="62">
        <v>44862</v>
      </c>
      <c r="N241" s="9">
        <f>'Datos Crudos SE4 Im'!M22</f>
        <v>0.54930000000000001</v>
      </c>
      <c r="O241" s="9">
        <f>'Datos Crudos SE4 Im'!P22</f>
        <v>0.1424</v>
      </c>
      <c r="P241" s="9">
        <f>'Datos Crudos SE4 Im'!Q22</f>
        <v>5.8200000000000002E-2</v>
      </c>
      <c r="Q241" s="9">
        <f>'Datos Crudos SE4 Im'!M76</f>
        <v>1.6184000000000001</v>
      </c>
      <c r="R241" s="9">
        <f>'Datos Crudos SE4 Im'!P76</f>
        <v>0.13880000000000001</v>
      </c>
      <c r="S241" s="9">
        <f>'Datos Crudos SE4 Im'!Q76</f>
        <v>7.0400000000000004E-2</v>
      </c>
      <c r="T241" s="9">
        <f>'Datos Crudos SE4 Im'!O22</f>
        <v>0.34350000000000003</v>
      </c>
      <c r="U241" s="9">
        <f>'Datos Crudos SE4 Im'!O76</f>
        <v>1.4176</v>
      </c>
      <c r="V241" s="198">
        <f t="shared" si="20"/>
        <v>0.80437382538868951</v>
      </c>
      <c r="W241" s="198">
        <f t="shared" si="21"/>
        <v>4.4686668184454215E-2</v>
      </c>
      <c r="X241" s="21">
        <f t="shared" si="22"/>
        <v>0.52733295916218137</v>
      </c>
      <c r="Y241" s="21">
        <f t="shared" si="23"/>
        <v>0.71014928363891394</v>
      </c>
      <c r="Z241" s="22">
        <f t="shared" si="24"/>
        <v>60</v>
      </c>
      <c r="AA241" s="248">
        <f t="shared" si="25"/>
        <v>1.3295654942994034E-2</v>
      </c>
      <c r="AB241">
        <f>'Datos Crudos SE4 Im'!S22</f>
        <v>80.437382538868945</v>
      </c>
      <c r="AC241">
        <f>'Datos Crudos SE4 Im'!S76</f>
        <v>28.985071636108607</v>
      </c>
      <c r="AH241" s="17">
        <f>'Datos Crudos SE4 Im'!U22</f>
        <v>19.562617461131047</v>
      </c>
      <c r="AI241" s="17">
        <f>'Datos Crudos SE4 Im'!U76</f>
        <v>71.0149283638914</v>
      </c>
    </row>
    <row r="242" spans="1:35" x14ac:dyDescent="0.25">
      <c r="A242" s="9" t="s">
        <v>862</v>
      </c>
      <c r="B242" s="87" t="s">
        <v>328</v>
      </c>
      <c r="C242" s="61" t="s">
        <v>621</v>
      </c>
      <c r="D242" s="61">
        <v>2</v>
      </c>
      <c r="E242" t="s">
        <v>19</v>
      </c>
      <c r="F242" s="53">
        <v>44802</v>
      </c>
      <c r="G242" s="9">
        <f>'Datos Crudos SE4 Im'!H23</f>
        <v>2.0411000000000001</v>
      </c>
      <c r="H242" s="9">
        <f>'Datos Crudos SE4 Im'!H77</f>
        <v>2.2176</v>
      </c>
      <c r="I242" s="17">
        <f>'Datos Crudos SE4 Im'!I23</f>
        <v>4.5220714320709332</v>
      </c>
      <c r="J242" s="17">
        <f>'Datos Crudos SE4 Im'!I77</f>
        <v>4.8069985569985487</v>
      </c>
      <c r="K242" s="9">
        <f>'Datos Crudos SE4 Im'!R23</f>
        <v>1.8261000000000001</v>
      </c>
      <c r="L242" s="9">
        <f>'Datos Crudos SE4 Im'!R77</f>
        <v>2.0159000000000002</v>
      </c>
      <c r="M242" s="62">
        <v>44862</v>
      </c>
      <c r="N242" s="9">
        <f>'Datos Crudos SE4 Im'!M23</f>
        <v>0.62890000000000001</v>
      </c>
      <c r="O242" s="9">
        <f>'Datos Crudos SE4 Im'!P23</f>
        <v>0.1452</v>
      </c>
      <c r="P242" s="9">
        <f>'Datos Crudos SE4 Im'!Q23</f>
        <v>6.9800000000000001E-2</v>
      </c>
      <c r="Q242" s="9">
        <f>'Datos Crudos SE4 Im'!M77</f>
        <v>1.5932999999999999</v>
      </c>
      <c r="R242" s="9">
        <f>'Datos Crudos SE4 Im'!P77</f>
        <v>0.13880000000000001</v>
      </c>
      <c r="S242" s="9">
        <f>'Datos Crudos SE4 Im'!Q77</f>
        <v>6.2899999999999998E-2</v>
      </c>
      <c r="T242" s="9">
        <f>'Datos Crudos SE4 Im'!O23</f>
        <v>0.37080000000000002</v>
      </c>
      <c r="U242" s="9">
        <f>'Datos Crudos SE4 Im'!O77</f>
        <v>1.3960999999999999</v>
      </c>
      <c r="V242" s="198">
        <f t="shared" si="20"/>
        <v>0.79694430754066037</v>
      </c>
      <c r="W242" s="198">
        <f t="shared" si="21"/>
        <v>5.351032358591401E-2</v>
      </c>
      <c r="X242" s="21">
        <f t="shared" si="22"/>
        <v>0.52246230138057548</v>
      </c>
      <c r="Y242" s="21">
        <f t="shared" si="23"/>
        <v>0.69254427302941601</v>
      </c>
      <c r="Z242" s="22">
        <f t="shared" si="24"/>
        <v>60</v>
      </c>
      <c r="AA242" s="248">
        <f t="shared" si="25"/>
        <v>1.4798070407615485E-2</v>
      </c>
      <c r="AB242">
        <f>'Datos Crudos SE4 Im'!S23</f>
        <v>79.694430754066033</v>
      </c>
      <c r="AC242">
        <f>'Datos Crudos SE4 Im'!S77</f>
        <v>30.7455726970584</v>
      </c>
      <c r="AH242" s="17">
        <f>'Datos Crudos SE4 Im'!U23</f>
        <v>20.305569245933956</v>
      </c>
      <c r="AI242" s="17">
        <f>'Datos Crudos SE4 Im'!U77</f>
        <v>69.254427302941608</v>
      </c>
    </row>
    <row r="243" spans="1:35" x14ac:dyDescent="0.25">
      <c r="A243" s="9" t="s">
        <v>863</v>
      </c>
      <c r="B243" s="87" t="s">
        <v>328</v>
      </c>
      <c r="C243" s="61" t="s">
        <v>621</v>
      </c>
      <c r="D243" s="61">
        <v>1</v>
      </c>
      <c r="E243" t="s">
        <v>20</v>
      </c>
      <c r="F243" s="53">
        <v>44802</v>
      </c>
      <c r="G243" s="9">
        <f>'Datos Crudos SE4 Im'!H24</f>
        <v>2.0640000000000001</v>
      </c>
      <c r="H243" s="9">
        <f>'Datos Crudos SE4 Im'!H78</f>
        <v>2.2831000000000001</v>
      </c>
      <c r="I243" s="17">
        <f>'Datos Crudos SE4 Im'!I24</f>
        <v>4.462209302325574</v>
      </c>
      <c r="J243" s="17">
        <f>'Datos Crudos SE4 Im'!I78</f>
        <v>4.7128903683587975</v>
      </c>
      <c r="K243" s="9">
        <f>'Datos Crudos SE4 Im'!R24</f>
        <v>1.861</v>
      </c>
      <c r="L243" s="9">
        <f>'Datos Crudos SE4 Im'!R78</f>
        <v>2.0829</v>
      </c>
      <c r="M243" s="62">
        <v>44862</v>
      </c>
      <c r="N243" s="9">
        <f>'Datos Crudos SE4 Im'!M24</f>
        <v>0.68899999999999995</v>
      </c>
      <c r="O243" s="9">
        <f>'Datos Crudos SE4 Im'!P24</f>
        <v>0.15040000000000001</v>
      </c>
      <c r="P243" s="9">
        <f>'Datos Crudos SE4 Im'!Q24</f>
        <v>5.2600000000000001E-2</v>
      </c>
      <c r="Q243" s="9">
        <f>'Datos Crudos SE4 Im'!M78</f>
        <v>1.5991</v>
      </c>
      <c r="R243" s="9">
        <f>'Datos Crudos SE4 Im'!P78</f>
        <v>0.1366</v>
      </c>
      <c r="S243" s="9">
        <f>'Datos Crudos SE4 Im'!Q78</f>
        <v>6.3600000000000004E-2</v>
      </c>
      <c r="T243" s="9">
        <f>'Datos Crudos SE4 Im'!O24</f>
        <v>0.47539999999999999</v>
      </c>
      <c r="U243" s="9">
        <f>'Datos Crudos SE4 Im'!O78</f>
        <v>1.4000999999999999</v>
      </c>
      <c r="V243" s="198">
        <f t="shared" si="20"/>
        <v>0.74454594304137567</v>
      </c>
      <c r="W243" s="198">
        <f t="shared" si="21"/>
        <v>0.11574116028340176</v>
      </c>
      <c r="X243" s="21">
        <f t="shared" si="22"/>
        <v>0.48811087952356225</v>
      </c>
      <c r="Y243" s="21">
        <f t="shared" si="23"/>
        <v>0.6721878150655336</v>
      </c>
      <c r="Z243" s="22">
        <f t="shared" si="24"/>
        <v>60</v>
      </c>
      <c r="AA243" s="248">
        <f t="shared" si="25"/>
        <v>1.8558394602491233E-2</v>
      </c>
      <c r="AB243">
        <f>'Datos Crudos SE4 Im'!S24</f>
        <v>74.454594304137558</v>
      </c>
      <c r="AC243">
        <f>'Datos Crudos SE4 Im'!S78</f>
        <v>32.781218493446637</v>
      </c>
      <c r="AH243" s="17">
        <f>'Datos Crudos SE4 Im'!U24</f>
        <v>25.545405695862438</v>
      </c>
      <c r="AI243" s="17">
        <f>'Datos Crudos SE4 Im'!U78</f>
        <v>67.218781506553356</v>
      </c>
    </row>
    <row r="244" spans="1:35" x14ac:dyDescent="0.25">
      <c r="A244" s="9" t="s">
        <v>864</v>
      </c>
      <c r="B244" s="87" t="s">
        <v>328</v>
      </c>
      <c r="C244" s="61" t="s">
        <v>621</v>
      </c>
      <c r="D244" s="61">
        <v>2</v>
      </c>
      <c r="E244" t="s">
        <v>20</v>
      </c>
      <c r="F244" s="53">
        <v>44802</v>
      </c>
      <c r="G244" s="9">
        <f>'Datos Crudos SE4 Im'!H25</f>
        <v>1.9883999999999999</v>
      </c>
      <c r="H244" s="9">
        <f>'Datos Crudos SE4 Im'!H79</f>
        <v>2.1623000000000001</v>
      </c>
      <c r="I244" s="17">
        <f>'Datos Crudos SE4 Im'!I25</f>
        <v>4.2446187889760632</v>
      </c>
      <c r="J244" s="17">
        <f>'Datos Crudos SE4 Im'!I79</f>
        <v>4.2963511076168786</v>
      </c>
      <c r="K244" s="9">
        <f>'Datos Crudos SE4 Im'!R25</f>
        <v>1.7724</v>
      </c>
      <c r="L244" s="9">
        <f>'Datos Crudos SE4 Im'!R79</f>
        <v>1.9575</v>
      </c>
      <c r="M244" s="62">
        <v>44862</v>
      </c>
      <c r="N244" s="9">
        <f>'Datos Crudos SE4 Im'!M25</f>
        <v>0.6492</v>
      </c>
      <c r="O244" s="9">
        <f>'Datos Crudos SE4 Im'!P25</f>
        <v>0.1459</v>
      </c>
      <c r="P244" s="9">
        <f>'Datos Crudos SE4 Im'!Q25</f>
        <v>7.0099999999999996E-2</v>
      </c>
      <c r="Q244" s="9">
        <f>'Datos Crudos SE4 Im'!M79</f>
        <v>1.5657000000000001</v>
      </c>
      <c r="R244" s="9">
        <f>'Datos Crudos SE4 Im'!P79</f>
        <v>0.1351</v>
      </c>
      <c r="S244" s="9">
        <f>'Datos Crudos SE4 Im'!Q79</f>
        <v>6.9699999999999998E-2</v>
      </c>
      <c r="T244" s="9">
        <f>'Datos Crudos SE4 Im'!O25</f>
        <v>0.434</v>
      </c>
      <c r="U244" s="9">
        <f>'Datos Crudos SE4 Im'!O79</f>
        <v>1.3595999999999999</v>
      </c>
      <c r="V244" s="198">
        <f t="shared" si="20"/>
        <v>0.75513428120063186</v>
      </c>
      <c r="W244" s="198">
        <f t="shared" si="21"/>
        <v>0.10316593681635167</v>
      </c>
      <c r="X244" s="21">
        <f t="shared" si="22"/>
        <v>0.4950524028773739</v>
      </c>
      <c r="Y244" s="21">
        <f t="shared" si="23"/>
        <v>0.69455938697317998</v>
      </c>
      <c r="Z244" s="22">
        <f t="shared" si="24"/>
        <v>60</v>
      </c>
      <c r="AA244" s="248">
        <f t="shared" si="25"/>
        <v>1.5994747512007423E-2</v>
      </c>
      <c r="AB244">
        <f>'Datos Crudos SE4 Im'!S25</f>
        <v>75.513428120063196</v>
      </c>
      <c r="AC244">
        <f>'Datos Crudos SE4 Im'!S79</f>
        <v>30.544061302681996</v>
      </c>
      <c r="AH244" s="17">
        <f>'Datos Crudos SE4 Im'!U25</f>
        <v>24.486571879936808</v>
      </c>
      <c r="AI244" s="17">
        <f>'Datos Crudos SE4 Im'!U79</f>
        <v>69.455938697318004</v>
      </c>
    </row>
    <row r="245" spans="1:35" x14ac:dyDescent="0.25">
      <c r="A245" s="9" t="s">
        <v>865</v>
      </c>
      <c r="B245" s="87" t="s">
        <v>329</v>
      </c>
      <c r="C245" s="61" t="s">
        <v>621</v>
      </c>
      <c r="D245" s="61">
        <v>1</v>
      </c>
      <c r="E245" t="s">
        <v>17</v>
      </c>
      <c r="F245" s="53">
        <v>44809</v>
      </c>
      <c r="G245" s="9">
        <f>'Datos Crudos SE4 Im'!H26</f>
        <v>2.0924999999999998</v>
      </c>
      <c r="H245" s="9">
        <f>'Datos Crudos SE4 Im'!H80</f>
        <v>2.1309</v>
      </c>
      <c r="I245" s="17">
        <f>'Datos Crudos SE4 Im'!I26</f>
        <v>4.9414575866188848</v>
      </c>
      <c r="J245" s="17">
        <f>'Datos Crudos SE4 Im'!I80</f>
        <v>5.6361161950349556</v>
      </c>
      <c r="K245" s="9">
        <f>'Datos Crudos SE4 Im'!R26</f>
        <v>1.8898999999999999</v>
      </c>
      <c r="L245" s="9">
        <f>'Datos Crudos SE4 Im'!R80</f>
        <v>1.9164000000000001</v>
      </c>
      <c r="M245" s="62">
        <v>44869</v>
      </c>
      <c r="N245" s="9">
        <f>'Datos Crudos SE4 Im'!M26</f>
        <v>0.54790000000000005</v>
      </c>
      <c r="O245" s="9">
        <f>'Datos Crudos SE4 Im'!P26</f>
        <v>0.1487</v>
      </c>
      <c r="P245" s="9">
        <f>'Datos Crudos SE4 Im'!Q26</f>
        <v>5.3900000000000003E-2</v>
      </c>
      <c r="Q245" s="9">
        <f>'Datos Crudos SE4 Im'!M80</f>
        <v>1.5496000000000001</v>
      </c>
      <c r="R245" s="9">
        <f>'Datos Crudos SE4 Im'!P80</f>
        <v>0.1512</v>
      </c>
      <c r="S245" s="9">
        <f>'Datos Crudos SE4 Im'!Q80</f>
        <v>6.3299999999999995E-2</v>
      </c>
      <c r="T245" s="9">
        <f>'Datos Crudos SE4 Im'!O26</f>
        <v>0.34360000000000002</v>
      </c>
      <c r="U245" s="9">
        <f>'Datos Crudos SE4 Im'!O80</f>
        <v>1.3338000000000001</v>
      </c>
      <c r="V245" s="198">
        <f t="shared" si="20"/>
        <v>0.81819143870046029</v>
      </c>
      <c r="W245" s="198">
        <f t="shared" si="21"/>
        <v>2.8276201068336948E-2</v>
      </c>
      <c r="X245" s="21">
        <f t="shared" si="22"/>
        <v>0.53639153701027809</v>
      </c>
      <c r="Y245" s="21">
        <f t="shared" si="23"/>
        <v>0.69599248591108331</v>
      </c>
      <c r="Z245" s="22">
        <f t="shared" si="24"/>
        <v>60</v>
      </c>
      <c r="AA245" s="248">
        <f t="shared" si="25"/>
        <v>1.3941218324495344E-2</v>
      </c>
      <c r="AB245">
        <f>'Datos Crudos SE4 Im'!S26</f>
        <v>81.819143870046034</v>
      </c>
      <c r="AC245">
        <f>'Datos Crudos SE4 Im'!S80</f>
        <v>30.400751408891669</v>
      </c>
      <c r="AD245" s="65">
        <f>AVERAGE(W245:W252)</f>
        <v>4.0239294088674507E-2</v>
      </c>
      <c r="AE245">
        <f>STDEV(W245:W252)</f>
        <v>1.4186677493889339E-2</v>
      </c>
      <c r="AF245" s="7">
        <f>AVERAGE(AA245:AA252)</f>
        <v>1.6033775473579922E-2</v>
      </c>
      <c r="AG245">
        <f>STDEV(AA245:AA252)</f>
        <v>1.5976612026251515E-3</v>
      </c>
      <c r="AH245" s="17">
        <f>'Datos Crudos SE4 Im'!U26</f>
        <v>18.180856129953966</v>
      </c>
      <c r="AI245" s="17">
        <f>'Datos Crudos SE4 Im'!U80</f>
        <v>69.599248591108335</v>
      </c>
    </row>
    <row r="246" spans="1:35" x14ac:dyDescent="0.25">
      <c r="A246" s="9" t="s">
        <v>866</v>
      </c>
      <c r="B246" s="87" t="s">
        <v>329</v>
      </c>
      <c r="C246" s="61" t="s">
        <v>621</v>
      </c>
      <c r="D246" s="61">
        <v>2</v>
      </c>
      <c r="E246" t="s">
        <v>17</v>
      </c>
      <c r="F246" s="53">
        <v>44809</v>
      </c>
      <c r="G246" s="9">
        <f>'Datos Crudos SE4 Im'!H27</f>
        <v>2.0245000000000002</v>
      </c>
      <c r="H246" s="9">
        <f>'Datos Crudos SE4 Im'!H81</f>
        <v>2.1652</v>
      </c>
      <c r="I246" s="17">
        <f>'Datos Crudos SE4 Im'!I27</f>
        <v>4.89009632007902</v>
      </c>
      <c r="J246" s="17">
        <f>'Datos Crudos SE4 Im'!I81</f>
        <v>5.5468317014594435</v>
      </c>
      <c r="K246" s="9">
        <f>'Datos Crudos SE4 Im'!R27</f>
        <v>1.8171000000000002</v>
      </c>
      <c r="L246" s="9">
        <f>'Datos Crudos SE4 Im'!R81</f>
        <v>1.9546000000000001</v>
      </c>
      <c r="M246" s="62">
        <v>44869</v>
      </c>
      <c r="N246" s="9">
        <f>'Datos Crudos SE4 Im'!M27</f>
        <v>0.55810000000000004</v>
      </c>
      <c r="O246" s="9">
        <f>'Datos Crudos SE4 Im'!P27</f>
        <v>0.1459</v>
      </c>
      <c r="P246" s="9">
        <f>'Datos Crudos SE4 Im'!Q27</f>
        <v>6.1499999999999999E-2</v>
      </c>
      <c r="Q246" s="9">
        <f>'Datos Crudos SE4 Im'!M81</f>
        <v>1.5198</v>
      </c>
      <c r="R246" s="9">
        <f>'Datos Crudos SE4 Im'!P81</f>
        <v>0.14499999999999999</v>
      </c>
      <c r="S246" s="9">
        <f>'Datos Crudos SE4 Im'!Q81</f>
        <v>6.5600000000000006E-2</v>
      </c>
      <c r="T246" s="9">
        <f>'Datos Crudos SE4 Im'!O27</f>
        <v>0.3508</v>
      </c>
      <c r="U246" s="9">
        <f>'Datos Crudos SE4 Im'!O81</f>
        <v>1.3118000000000001</v>
      </c>
      <c r="V246" s="198">
        <f t="shared" si="20"/>
        <v>0.80694513235375054</v>
      </c>
      <c r="W246" s="198">
        <f t="shared" si="21"/>
        <v>4.1632859437350844E-2</v>
      </c>
      <c r="X246" s="21">
        <f t="shared" si="22"/>
        <v>0.52901866159058242</v>
      </c>
      <c r="Y246" s="21">
        <f t="shared" si="23"/>
        <v>0.67113475902998054</v>
      </c>
      <c r="Z246" s="22">
        <f t="shared" si="24"/>
        <v>60</v>
      </c>
      <c r="AA246" s="248">
        <f t="shared" si="25"/>
        <v>1.6198992212788029E-2</v>
      </c>
      <c r="AB246">
        <f>'Datos Crudos SE4 Im'!S27</f>
        <v>80.694513235375055</v>
      </c>
      <c r="AC246">
        <f>'Datos Crudos SE4 Im'!S81</f>
        <v>32.886524097001946</v>
      </c>
      <c r="AH246" s="17">
        <f>'Datos Crudos SE4 Im'!U27</f>
        <v>19.305486764624948</v>
      </c>
      <c r="AI246" s="17">
        <f>'Datos Crudos SE4 Im'!U81</f>
        <v>67.113475902998061</v>
      </c>
    </row>
    <row r="247" spans="1:35" x14ac:dyDescent="0.25">
      <c r="A247" s="9" t="s">
        <v>867</v>
      </c>
      <c r="B247" s="87" t="s">
        <v>329</v>
      </c>
      <c r="C247" s="61" t="s">
        <v>621</v>
      </c>
      <c r="D247" s="61">
        <v>1</v>
      </c>
      <c r="E247" t="s">
        <v>18</v>
      </c>
      <c r="F247" s="53">
        <v>44809</v>
      </c>
      <c r="G247" s="9">
        <f>'Datos Crudos SE4 Im'!H28</f>
        <v>1.9756</v>
      </c>
      <c r="H247" s="9">
        <f>'Datos Crudos SE4 Im'!H82</f>
        <v>2.2105999999999999</v>
      </c>
      <c r="I247" s="17">
        <f>'Datos Crudos SE4 Im'!I28</f>
        <v>4.7782952014577758</v>
      </c>
      <c r="J247" s="17">
        <f>'Datos Crudos SE4 Im'!I82</f>
        <v>5.668144395186836</v>
      </c>
      <c r="K247" s="9">
        <f>'Datos Crudos SE4 Im'!R28</f>
        <v>1.77</v>
      </c>
      <c r="L247" s="9">
        <f>'Datos Crudos SE4 Im'!R82</f>
        <v>2.0046999999999997</v>
      </c>
      <c r="M247" s="62">
        <v>44869</v>
      </c>
      <c r="N247" s="9">
        <f>'Datos Crudos SE4 Im'!M28</f>
        <v>0.58089999999999997</v>
      </c>
      <c r="O247" s="9">
        <f>'Datos Crudos SE4 Im'!P28</f>
        <v>0.1472</v>
      </c>
      <c r="P247" s="9">
        <f>'Datos Crudos SE4 Im'!Q28</f>
        <v>5.8400000000000001E-2</v>
      </c>
      <c r="Q247" s="9">
        <f>'Datos Crudos SE4 Im'!M82</f>
        <v>1.5658000000000001</v>
      </c>
      <c r="R247" s="9">
        <f>'Datos Crudos SE4 Im'!P82</f>
        <v>0.14199999999999999</v>
      </c>
      <c r="S247" s="9">
        <f>'Datos Crudos SE4 Im'!Q82</f>
        <v>6.3899999999999998E-2</v>
      </c>
      <c r="T247" s="9">
        <f>'Datos Crudos SE4 Im'!O28</f>
        <v>0.37319999999999998</v>
      </c>
      <c r="U247" s="9">
        <f>'Datos Crudos SE4 Im'!O82</f>
        <v>1.3574999999999999</v>
      </c>
      <c r="V247" s="198">
        <f t="shared" si="20"/>
        <v>0.78915254237288135</v>
      </c>
      <c r="W247" s="198">
        <f t="shared" si="21"/>
        <v>6.2764201457385593E-2</v>
      </c>
      <c r="X247" s="21">
        <f t="shared" si="22"/>
        <v>0.51735416079552321</v>
      </c>
      <c r="Y247" s="21">
        <f t="shared" si="23"/>
        <v>0.6771586771087944</v>
      </c>
      <c r="Z247" s="22">
        <f t="shared" si="24"/>
        <v>60</v>
      </c>
      <c r="AA247" s="248">
        <f t="shared" si="25"/>
        <v>1.6303825083410512E-2</v>
      </c>
      <c r="AB247">
        <f>'Datos Crudos SE4 Im'!S28</f>
        <v>78.915254237288138</v>
      </c>
      <c r="AC247">
        <f>'Datos Crudos SE4 Im'!S82</f>
        <v>32.284132289120556</v>
      </c>
      <c r="AH247" s="17">
        <f>'Datos Crudos SE4 Im'!U28</f>
        <v>21.084745762711862</v>
      </c>
      <c r="AI247" s="17">
        <f>'Datos Crudos SE4 Im'!U82</f>
        <v>67.715867710879436</v>
      </c>
    </row>
    <row r="248" spans="1:35" x14ac:dyDescent="0.25">
      <c r="A248" s="9" t="s">
        <v>868</v>
      </c>
      <c r="B248" s="87" t="s">
        <v>329</v>
      </c>
      <c r="C248" s="61" t="s">
        <v>621</v>
      </c>
      <c r="D248" s="61">
        <v>2</v>
      </c>
      <c r="E248" t="s">
        <v>18</v>
      </c>
      <c r="F248" s="53">
        <v>44809</v>
      </c>
      <c r="G248" s="9">
        <f>'Datos Crudos SE4 Im'!H29</f>
        <v>1.9296</v>
      </c>
      <c r="H248" s="9">
        <f>'Datos Crudos SE4 Im'!H83</f>
        <v>2.1608000000000001</v>
      </c>
      <c r="I248" s="17">
        <f>'Datos Crudos SE4 Im'!I29</f>
        <v>4.7522802653399729</v>
      </c>
      <c r="J248" s="17">
        <f>'Datos Crudos SE4 Im'!I83</f>
        <v>5.6275453535727475</v>
      </c>
      <c r="K248" s="9">
        <f>'Datos Crudos SE4 Im'!R29</f>
        <v>1.7144999999999999</v>
      </c>
      <c r="L248" s="9">
        <f>'Datos Crudos SE4 Im'!R83</f>
        <v>1.9489000000000001</v>
      </c>
      <c r="M248" s="62">
        <v>44869</v>
      </c>
      <c r="N248" s="9">
        <f>'Datos Crudos SE4 Im'!M29</f>
        <v>0.56079999999999997</v>
      </c>
      <c r="O248" s="9">
        <f>'Datos Crudos SE4 Im'!P29</f>
        <v>0.152</v>
      </c>
      <c r="P248" s="9">
        <f>'Datos Crudos SE4 Im'!Q29</f>
        <v>6.3100000000000003E-2</v>
      </c>
      <c r="Q248" s="9">
        <f>'Datos Crudos SE4 Im'!M83</f>
        <v>1.5369999999999999</v>
      </c>
      <c r="R248" s="9">
        <f>'Datos Crudos SE4 Im'!P83</f>
        <v>0.14599999999999999</v>
      </c>
      <c r="S248" s="9">
        <f>'Datos Crudos SE4 Im'!Q83</f>
        <v>6.59E-2</v>
      </c>
      <c r="T248" s="9">
        <f>'Datos Crudos SE4 Im'!O29</f>
        <v>0.3407</v>
      </c>
      <c r="U248" s="9">
        <f>'Datos Crudos SE4 Im'!O83</f>
        <v>1.3184</v>
      </c>
      <c r="V248" s="198">
        <f t="shared" si="20"/>
        <v>0.80128317293671625</v>
      </c>
      <c r="W248" s="198">
        <f t="shared" si="21"/>
        <v>4.8357276797249105E-2</v>
      </c>
      <c r="X248" s="21">
        <f t="shared" si="22"/>
        <v>0.52530678320791857</v>
      </c>
      <c r="Y248" s="21">
        <f t="shared" si="23"/>
        <v>0.67648417055775045</v>
      </c>
      <c r="Z248" s="22">
        <f t="shared" si="24"/>
        <v>60</v>
      </c>
      <c r="AA248" s="248">
        <f t="shared" si="25"/>
        <v>1.5945836028352523E-2</v>
      </c>
      <c r="AB248">
        <f>'Datos Crudos SE4 Im'!S29</f>
        <v>80.128317293671628</v>
      </c>
      <c r="AC248">
        <f>'Datos Crudos SE4 Im'!S83</f>
        <v>32.351582944224951</v>
      </c>
      <c r="AH248" s="17">
        <f>'Datos Crudos SE4 Im'!U29</f>
        <v>19.871682706328379</v>
      </c>
      <c r="AI248" s="17">
        <f>'Datos Crudos SE4 Im'!U83</f>
        <v>67.648417055775042</v>
      </c>
    </row>
    <row r="249" spans="1:35" x14ac:dyDescent="0.25">
      <c r="A249" s="9" t="s">
        <v>869</v>
      </c>
      <c r="B249" s="87" t="s">
        <v>329</v>
      </c>
      <c r="C249" s="61" t="s">
        <v>621</v>
      </c>
      <c r="D249" s="61">
        <v>1</v>
      </c>
      <c r="E249" t="s">
        <v>19</v>
      </c>
      <c r="F249" s="53">
        <v>44809</v>
      </c>
      <c r="G249" s="9">
        <f>'Datos Crudos SE4 Im'!H30</f>
        <v>2.0061</v>
      </c>
      <c r="H249" s="9">
        <f>'Datos Crudos SE4 Im'!H84</f>
        <v>2.1838000000000002</v>
      </c>
      <c r="I249" s="17">
        <f>'Datos Crudos SE4 Im'!I30</f>
        <v>4.8701460545336781</v>
      </c>
      <c r="J249" s="17">
        <f>'Datos Crudos SE4 Im'!I84</f>
        <v>5.5545379613517598</v>
      </c>
      <c r="K249" s="9">
        <f>'Datos Crudos SE4 Im'!R30</f>
        <v>1.8033999999999999</v>
      </c>
      <c r="L249" s="9">
        <f>'Datos Crudos SE4 Im'!R84</f>
        <v>1.9687000000000001</v>
      </c>
      <c r="M249" s="62">
        <v>44869</v>
      </c>
      <c r="N249" s="9">
        <f>'Datos Crudos SE4 Im'!M30</f>
        <v>0.53439999999999999</v>
      </c>
      <c r="O249" s="9">
        <f>'Datos Crudos SE4 Im'!P30</f>
        <v>0.14449999999999999</v>
      </c>
      <c r="P249" s="9">
        <f>'Datos Crudos SE4 Im'!Q30</f>
        <v>5.8200000000000002E-2</v>
      </c>
      <c r="Q249" s="9">
        <f>'Datos Crudos SE4 Im'!M84</f>
        <v>1.488</v>
      </c>
      <c r="R249" s="9">
        <f>'Datos Crudos SE4 Im'!P84</f>
        <v>0.1542</v>
      </c>
      <c r="S249" s="9">
        <f>'Datos Crudos SE4 Im'!Q84</f>
        <v>6.0900000000000003E-2</v>
      </c>
      <c r="T249" s="9">
        <f>'Datos Crudos SE4 Im'!O30</f>
        <v>0.33090000000000003</v>
      </c>
      <c r="U249" s="9">
        <f>'Datos Crudos SE4 Im'!O84</f>
        <v>1.2737000000000001</v>
      </c>
      <c r="V249" s="198">
        <f t="shared" si="20"/>
        <v>0.81651325274481534</v>
      </c>
      <c r="W249" s="198">
        <f t="shared" si="21"/>
        <v>3.0269296027535142E-2</v>
      </c>
      <c r="X249" s="21">
        <f t="shared" si="22"/>
        <v>0.5352913485928007</v>
      </c>
      <c r="Y249" s="21">
        <f t="shared" si="23"/>
        <v>0.64697516127393706</v>
      </c>
      <c r="Z249" s="22">
        <f t="shared" si="24"/>
        <v>60</v>
      </c>
      <c r="AA249" s="248">
        <f t="shared" si="25"/>
        <v>1.795568699288529E-2</v>
      </c>
      <c r="AB249">
        <f>'Datos Crudos SE4 Im'!S30</f>
        <v>81.651325274481536</v>
      </c>
      <c r="AC249">
        <f>'Datos Crudos SE4 Im'!S84</f>
        <v>35.302483872606288</v>
      </c>
      <c r="AH249" s="17">
        <f>'Datos Crudos SE4 Im'!U30</f>
        <v>18.348674725518467</v>
      </c>
      <c r="AI249" s="17">
        <f>'Datos Crudos SE4 Im'!U84</f>
        <v>64.697516127393712</v>
      </c>
    </row>
    <row r="250" spans="1:35" x14ac:dyDescent="0.25">
      <c r="A250" s="9" t="s">
        <v>870</v>
      </c>
      <c r="B250" s="87" t="s">
        <v>329</v>
      </c>
      <c r="C250" s="61" t="s">
        <v>621</v>
      </c>
      <c r="D250" s="61">
        <v>2</v>
      </c>
      <c r="E250" t="s">
        <v>19</v>
      </c>
      <c r="F250" s="53">
        <v>44809</v>
      </c>
      <c r="G250" s="9">
        <f>'Datos Crudos SE4 Im'!H31</f>
        <v>2.0886</v>
      </c>
      <c r="H250" s="9">
        <f>'Datos Crudos SE4 Im'!H85</f>
        <v>2.1269999999999998</v>
      </c>
      <c r="I250" s="17">
        <f>'Datos Crudos SE4 Im'!I31</f>
        <v>4.7400172364263238</v>
      </c>
      <c r="J250" s="17">
        <f>'Datos Crudos SE4 Im'!I85</f>
        <v>5.42078044193702</v>
      </c>
      <c r="K250" s="9">
        <f>'Datos Crudos SE4 Im'!R31</f>
        <v>1.873</v>
      </c>
      <c r="L250" s="9">
        <f>'Datos Crudos SE4 Im'!R85</f>
        <v>1.9042999999999997</v>
      </c>
      <c r="M250" s="62">
        <v>44869</v>
      </c>
      <c r="N250" s="9">
        <f>'Datos Crudos SE4 Im'!M31</f>
        <v>0.55000000000000004</v>
      </c>
      <c r="O250" s="9">
        <f>'Datos Crudos SE4 Im'!P31</f>
        <v>0.1573</v>
      </c>
      <c r="P250" s="9">
        <f>'Datos Crudos SE4 Im'!Q31</f>
        <v>5.8299999999999998E-2</v>
      </c>
      <c r="Q250" s="9">
        <f>'Datos Crudos SE4 Im'!M85</f>
        <v>1.4895</v>
      </c>
      <c r="R250" s="9">
        <f>'Datos Crudos SE4 Im'!P85</f>
        <v>0.16220000000000001</v>
      </c>
      <c r="S250" s="9">
        <f>'Datos Crudos SE4 Im'!Q85</f>
        <v>6.0499999999999998E-2</v>
      </c>
      <c r="T250" s="9">
        <f>'Datos Crudos SE4 Im'!O31</f>
        <v>0.32919999999999999</v>
      </c>
      <c r="U250" s="9">
        <f>'Datos Crudos SE4 Im'!O85</f>
        <v>1.2658</v>
      </c>
      <c r="V250" s="198">
        <f t="shared" si="20"/>
        <v>0.82423918846769895</v>
      </c>
      <c r="W250" s="198">
        <f t="shared" si="21"/>
        <v>2.1093600394656797E-2</v>
      </c>
      <c r="X250" s="21">
        <f t="shared" si="22"/>
        <v>0.54035633258214955</v>
      </c>
      <c r="Y250" s="21">
        <f t="shared" si="23"/>
        <v>0.66470619125137864</v>
      </c>
      <c r="Z250" s="22">
        <f t="shared" si="24"/>
        <v>60</v>
      </c>
      <c r="AA250" s="248">
        <f t="shared" si="25"/>
        <v>1.6148564502359644E-2</v>
      </c>
      <c r="AB250">
        <f>'Datos Crudos SE4 Im'!S31</f>
        <v>82.423918846769894</v>
      </c>
      <c r="AC250">
        <f>'Datos Crudos SE4 Im'!S85</f>
        <v>33.529380874862142</v>
      </c>
      <c r="AH250" s="17">
        <f>'Datos Crudos SE4 Im'!U31</f>
        <v>17.57608115323011</v>
      </c>
      <c r="AI250" s="17">
        <f>'Datos Crudos SE4 Im'!U85</f>
        <v>66.470619125137858</v>
      </c>
    </row>
    <row r="251" spans="1:35" x14ac:dyDescent="0.25">
      <c r="A251" s="9" t="s">
        <v>871</v>
      </c>
      <c r="B251" s="87" t="s">
        <v>329</v>
      </c>
      <c r="C251" s="61" t="s">
        <v>621</v>
      </c>
      <c r="D251" s="61">
        <v>1</v>
      </c>
      <c r="E251" t="s">
        <v>20</v>
      </c>
      <c r="F251" s="53">
        <v>44809</v>
      </c>
      <c r="G251" s="9">
        <f>'Datos Crudos SE4 Im'!H32</f>
        <v>1.9479</v>
      </c>
      <c r="H251" s="9">
        <f>'Datos Crudos SE4 Im'!H86</f>
        <v>2.1467000000000001</v>
      </c>
      <c r="I251" s="17">
        <f>'Datos Crudos SE4 Im'!I32</f>
        <v>4.728168797166183</v>
      </c>
      <c r="J251" s="17">
        <f>'Datos Crudos SE4 Im'!I86</f>
        <v>5.5573671216285438</v>
      </c>
      <c r="K251" s="9">
        <f>'Datos Crudos SE4 Im'!R32</f>
        <v>1.7353999999999998</v>
      </c>
      <c r="L251" s="9">
        <f>'Datos Crudos SE4 Im'!R86</f>
        <v>1.9389000000000001</v>
      </c>
      <c r="M251" s="62">
        <v>44869</v>
      </c>
      <c r="N251" s="9">
        <f>'Datos Crudos SE4 Im'!M32</f>
        <v>0.56679999999999997</v>
      </c>
      <c r="O251" s="9">
        <f>'Datos Crudos SE4 Im'!P32</f>
        <v>0.14280000000000001</v>
      </c>
      <c r="P251" s="9">
        <f>'Datos Crudos SE4 Im'!Q32</f>
        <v>6.9699999999999998E-2</v>
      </c>
      <c r="Q251" s="9">
        <f>'Datos Crudos SE4 Im'!M86</f>
        <v>1.4736</v>
      </c>
      <c r="R251" s="9">
        <f>'Datos Crudos SE4 Im'!P86</f>
        <v>0.1497</v>
      </c>
      <c r="S251" s="9">
        <f>'Datos Crudos SE4 Im'!Q86</f>
        <v>5.8099999999999999E-2</v>
      </c>
      <c r="T251" s="9">
        <f>'Datos Crudos SE4 Im'!O32</f>
        <v>0.35360000000000003</v>
      </c>
      <c r="U251" s="9">
        <f>'Datos Crudos SE4 Im'!O86</f>
        <v>1.2687999999999999</v>
      </c>
      <c r="V251" s="198">
        <f t="shared" si="20"/>
        <v>0.7962429411086781</v>
      </c>
      <c r="W251" s="198">
        <f t="shared" si="21"/>
        <v>5.4343300345987999E-2</v>
      </c>
      <c r="X251" s="21">
        <f t="shared" si="22"/>
        <v>0.52200249820901468</v>
      </c>
      <c r="Y251" s="21">
        <f t="shared" si="23"/>
        <v>0.65439166537727567</v>
      </c>
      <c r="Z251" s="22">
        <f t="shared" si="24"/>
        <v>60</v>
      </c>
      <c r="AA251" s="248">
        <f t="shared" si="25"/>
        <v>1.8082521948873356E-2</v>
      </c>
      <c r="AB251">
        <f>'Datos Crudos SE4 Im'!S32</f>
        <v>79.624294110867794</v>
      </c>
      <c r="AC251">
        <f>'Datos Crudos SE4 Im'!S86</f>
        <v>34.560833462272427</v>
      </c>
      <c r="AH251" s="17">
        <f>'Datos Crudos SE4 Im'!U32</f>
        <v>20.375705889132192</v>
      </c>
      <c r="AI251" s="17">
        <f>'Datos Crudos SE4 Im'!U86</f>
        <v>65.439166537727573</v>
      </c>
    </row>
    <row r="252" spans="1:35" x14ac:dyDescent="0.25">
      <c r="A252" s="9" t="s">
        <v>872</v>
      </c>
      <c r="B252" s="87" t="s">
        <v>329</v>
      </c>
      <c r="C252" s="61" t="s">
        <v>621</v>
      </c>
      <c r="D252" s="61">
        <v>2</v>
      </c>
      <c r="E252" t="s">
        <v>20</v>
      </c>
      <c r="F252" s="53">
        <v>44809</v>
      </c>
      <c r="G252" s="9">
        <f>'Datos Crudos SE4 Im'!H33</f>
        <v>2.1177000000000001</v>
      </c>
      <c r="H252" s="9">
        <f>'Datos Crudos SE4 Im'!H87</f>
        <v>2.1909000000000001</v>
      </c>
      <c r="I252" s="17">
        <f>'Datos Crudos SE4 Im'!I33</f>
        <v>4.7929357321622374</v>
      </c>
      <c r="J252" s="17">
        <f>'Datos Crudos SE4 Im'!I87</f>
        <v>5.5091514902551371</v>
      </c>
      <c r="K252" s="9">
        <f>'Datos Crudos SE4 Im'!R33</f>
        <v>1.8820000000000001</v>
      </c>
      <c r="L252" s="9">
        <f>'Datos Crudos SE4 Im'!R87</f>
        <v>1.9367000000000001</v>
      </c>
      <c r="M252" s="62">
        <v>44869</v>
      </c>
      <c r="N252" s="9">
        <f>'Datos Crudos SE4 Im'!M33</f>
        <v>0.58199999999999996</v>
      </c>
      <c r="O252" s="9">
        <f>'Datos Crudos SE4 Im'!P33</f>
        <v>0.1696</v>
      </c>
      <c r="P252" s="9">
        <f>'Datos Crudos SE4 Im'!Q33</f>
        <v>6.6100000000000006E-2</v>
      </c>
      <c r="Q252" s="9">
        <f>'Datos Crudos SE4 Im'!M87</f>
        <v>1.6117999999999999</v>
      </c>
      <c r="R252" s="9">
        <f>'Datos Crudos SE4 Im'!P87</f>
        <v>0.161</v>
      </c>
      <c r="S252" s="9">
        <f>'Datos Crudos SE4 Im'!Q87</f>
        <v>9.3200000000000005E-2</v>
      </c>
      <c r="T252" s="9">
        <f>'Datos Crudos SE4 Im'!O33</f>
        <v>0.35310000000000002</v>
      </c>
      <c r="U252" s="9">
        <f>'Datos Crudos SE4 Im'!O87</f>
        <v>1.3588</v>
      </c>
      <c r="V252" s="198">
        <f t="shared" si="20"/>
        <v>0.81238044633368756</v>
      </c>
      <c r="W252" s="198">
        <f t="shared" si="21"/>
        <v>3.5177617180893628E-2</v>
      </c>
      <c r="X252" s="21">
        <f t="shared" si="22"/>
        <v>0.53258195531614672</v>
      </c>
      <c r="Y252" s="21">
        <f t="shared" si="23"/>
        <v>0.70160582434037277</v>
      </c>
      <c r="Z252" s="22">
        <f t="shared" si="24"/>
        <v>60</v>
      </c>
      <c r="AA252" s="248">
        <f t="shared" si="25"/>
        <v>1.3693558695474676E-2</v>
      </c>
      <c r="AB252">
        <f>'Datos Crudos SE4 Im'!S33</f>
        <v>81.238044633368759</v>
      </c>
      <c r="AC252">
        <f>'Datos Crudos SE4 Im'!S87</f>
        <v>29.839417565962723</v>
      </c>
      <c r="AH252" s="17">
        <f>'Datos Crudos SE4 Im'!U33</f>
        <v>18.761955366631245</v>
      </c>
      <c r="AI252" s="17">
        <f>'Datos Crudos SE4 Im'!U87</f>
        <v>70.160582434037281</v>
      </c>
    </row>
    <row r="253" spans="1:35" x14ac:dyDescent="0.25">
      <c r="A253" s="9" t="s">
        <v>873</v>
      </c>
      <c r="B253" s="87" t="s">
        <v>330</v>
      </c>
      <c r="C253" s="61" t="s">
        <v>621</v>
      </c>
      <c r="D253" s="61">
        <v>1</v>
      </c>
      <c r="E253" t="s">
        <v>17</v>
      </c>
      <c r="F253" s="53">
        <v>44816</v>
      </c>
      <c r="G253" s="9">
        <f>'Datos Crudos SE4 Im'!H34</f>
        <v>1.9681999999999999</v>
      </c>
      <c r="H253" s="9">
        <f>'Datos Crudos SE4 Im'!H88</f>
        <v>2.1661999999999999</v>
      </c>
      <c r="I253" s="17">
        <f>'Datos Crudos SE4 Im'!I34</f>
        <v>6.5592927548013522</v>
      </c>
      <c r="J253" s="17">
        <f>'Datos Crudos SE4 Im'!I88</f>
        <v>9.0342535315298669</v>
      </c>
      <c r="K253" s="9">
        <f>'Datos Crudos SE4 Im'!R34</f>
        <v>1.7630999999999999</v>
      </c>
      <c r="L253" s="9">
        <f>'Datos Crudos SE4 Im'!R88</f>
        <v>1.9491999999999998</v>
      </c>
      <c r="M253" s="62">
        <v>44876</v>
      </c>
      <c r="N253" s="9">
        <f>'Datos Crudos SE4 Im'!M34</f>
        <v>0.51780000000000004</v>
      </c>
      <c r="O253" s="9">
        <f>'Datos Crudos SE4 Im'!P34</f>
        <v>0.13919999999999999</v>
      </c>
      <c r="P253" s="9">
        <f>'Datos Crudos SE4 Im'!Q34</f>
        <v>6.59E-2</v>
      </c>
      <c r="Q253" s="9">
        <f>'Datos Crudos SE4 Im'!M88</f>
        <v>1.5385</v>
      </c>
      <c r="R253" s="9">
        <f>'Datos Crudos SE4 Im'!P88</f>
        <v>0.13420000000000001</v>
      </c>
      <c r="S253" s="9">
        <f>'Datos Crudos SE4 Im'!Q88</f>
        <v>8.2799999999999999E-2</v>
      </c>
      <c r="T253" s="9">
        <f>'Datos Crudos SE4 Im'!O34</f>
        <v>0.30869999999999997</v>
      </c>
      <c r="U253" s="9">
        <f>'Datos Crudos SE4 Im'!O88</f>
        <v>1.3258000000000001</v>
      </c>
      <c r="V253" s="198">
        <f t="shared" si="20"/>
        <v>0.82491066870852481</v>
      </c>
      <c r="W253" s="198">
        <f t="shared" si="21"/>
        <v>2.0296117923367163E-2</v>
      </c>
      <c r="X253" s="21">
        <f t="shared" si="22"/>
        <v>0.54079654290630141</v>
      </c>
      <c r="Y253" s="21">
        <f t="shared" si="23"/>
        <v>0.68017648265955277</v>
      </c>
      <c r="Z253" s="22">
        <f t="shared" si="24"/>
        <v>60</v>
      </c>
      <c r="AA253" s="248">
        <f t="shared" si="25"/>
        <v>1.4916708239137134E-2</v>
      </c>
      <c r="AB253">
        <f>'Datos Crudos SE4 Im'!S34</f>
        <v>82.491066870852478</v>
      </c>
      <c r="AC253">
        <f>'Datos Crudos SE4 Im'!S88</f>
        <v>31.982351734044723</v>
      </c>
      <c r="AD253" s="65">
        <f>AVERAGE(W253:W260)</f>
        <v>3.2784856467796775E-2</v>
      </c>
      <c r="AE253">
        <f>STDEV(W253:W260)</f>
        <v>2.7524899246576303E-2</v>
      </c>
      <c r="AF253" s="7">
        <f>AVERAGE(AA253:AA260)</f>
        <v>1.8610889832935473E-2</v>
      </c>
      <c r="AG253">
        <f>STDEV(AA253:AA260)</f>
        <v>2.5837102579603704E-3</v>
      </c>
      <c r="AH253" s="17">
        <f>'Datos Crudos SE4 Im'!U34</f>
        <v>17.508933129147525</v>
      </c>
      <c r="AI253" s="17">
        <f>'Datos Crudos SE4 Im'!U88</f>
        <v>68.017648265955273</v>
      </c>
    </row>
    <row r="254" spans="1:35" x14ac:dyDescent="0.25">
      <c r="A254" s="9" t="s">
        <v>874</v>
      </c>
      <c r="B254" s="87" t="s">
        <v>330</v>
      </c>
      <c r="C254" s="61" t="s">
        <v>621</v>
      </c>
      <c r="D254" s="61">
        <v>2</v>
      </c>
      <c r="E254" t="s">
        <v>17</v>
      </c>
      <c r="F254" s="53">
        <v>44816</v>
      </c>
      <c r="G254" s="9">
        <f>'Datos Crudos SE4 Im'!H35</f>
        <v>1.9781</v>
      </c>
      <c r="H254" s="9">
        <f>'Datos Crudos SE4 Im'!H89</f>
        <v>2.1316999999999999</v>
      </c>
      <c r="I254" s="17">
        <f>'Datos Crudos SE4 Im'!I35</f>
        <v>6.5719629947929779</v>
      </c>
      <c r="J254" s="17">
        <f>'Datos Crudos SE4 Im'!I89</f>
        <v>8.9599849885068394</v>
      </c>
      <c r="K254" s="9">
        <f>'Datos Crudos SE4 Im'!R35</f>
        <v>1.7670999999999999</v>
      </c>
      <c r="L254" s="9">
        <f>'Datos Crudos SE4 Im'!R89</f>
        <v>1.9312</v>
      </c>
      <c r="M254" s="62">
        <v>44876</v>
      </c>
      <c r="N254" s="9">
        <f>'Datos Crudos SE4 Im'!M35</f>
        <v>0.55589999999999995</v>
      </c>
      <c r="O254" s="9">
        <f>'Datos Crudos SE4 Im'!P35</f>
        <v>0.1416</v>
      </c>
      <c r="P254" s="9">
        <f>'Datos Crudos SE4 Im'!Q35</f>
        <v>6.9400000000000003E-2</v>
      </c>
      <c r="Q254" s="9">
        <f>'Datos Crudos SE4 Im'!M89</f>
        <v>1.4761</v>
      </c>
      <c r="R254" s="9">
        <f>'Datos Crudos SE4 Im'!P89</f>
        <v>0.13200000000000001</v>
      </c>
      <c r="S254" s="9">
        <f>'Datos Crudos SE4 Im'!Q89</f>
        <v>6.8500000000000005E-2</v>
      </c>
      <c r="T254" s="9">
        <f>'Datos Crudos SE4 Im'!O35</f>
        <v>0.34360000000000002</v>
      </c>
      <c r="U254" s="9">
        <f>'Datos Crudos SE4 Im'!O89</f>
        <v>1.278</v>
      </c>
      <c r="V254" s="198">
        <f t="shared" si="20"/>
        <v>0.80555712749702901</v>
      </c>
      <c r="W254" s="198">
        <f t="shared" si="21"/>
        <v>4.3281321262435779E-2</v>
      </c>
      <c r="X254" s="21">
        <f t="shared" si="22"/>
        <v>0.52810871066313547</v>
      </c>
      <c r="Y254" s="21">
        <f t="shared" si="23"/>
        <v>0.66176470588235292</v>
      </c>
      <c r="Z254" s="22">
        <f t="shared" si="24"/>
        <v>60</v>
      </c>
      <c r="AA254" s="248">
        <f t="shared" si="25"/>
        <v>1.7049075541623725E-2</v>
      </c>
      <c r="AB254">
        <f>'Datos Crudos SE4 Im'!S35</f>
        <v>80.555712749702892</v>
      </c>
      <c r="AC254">
        <f>'Datos Crudos SE4 Im'!S89</f>
        <v>33.82352941176471</v>
      </c>
      <c r="AH254" s="17">
        <f>'Datos Crudos SE4 Im'!U35</f>
        <v>19.444287250297098</v>
      </c>
      <c r="AI254" s="17">
        <f>'Datos Crudos SE4 Im'!U89</f>
        <v>66.17647058823529</v>
      </c>
    </row>
    <row r="255" spans="1:35" x14ac:dyDescent="0.25">
      <c r="A255" s="9" t="s">
        <v>875</v>
      </c>
      <c r="B255" s="87" t="s">
        <v>330</v>
      </c>
      <c r="C255" s="61" t="s">
        <v>621</v>
      </c>
      <c r="D255" s="61">
        <v>1</v>
      </c>
      <c r="E255" t="s">
        <v>18</v>
      </c>
      <c r="F255" s="53">
        <v>44816</v>
      </c>
      <c r="G255" s="9">
        <f>'Datos Crudos SE4 Im'!H36</f>
        <v>2.0182000000000002</v>
      </c>
      <c r="H255" s="9">
        <f>'Datos Crudos SE4 Im'!H90</f>
        <v>2.0472999999999999</v>
      </c>
      <c r="I255" s="17">
        <f>'Datos Crudos SE4 Im'!I36</f>
        <v>6.4562481419086133</v>
      </c>
      <c r="J255" s="17">
        <f>'Datos Crudos SE4 Im'!I90</f>
        <v>8.9092951692472973</v>
      </c>
      <c r="K255" s="9">
        <f>'Datos Crudos SE4 Im'!R36</f>
        <v>1.7876000000000003</v>
      </c>
      <c r="L255" s="9">
        <f>'Datos Crudos SE4 Im'!R90</f>
        <v>1.8323999999999998</v>
      </c>
      <c r="M255" s="62">
        <v>44876</v>
      </c>
      <c r="N255" s="9">
        <f>'Datos Crudos SE4 Im'!M36</f>
        <v>0.65939999999999999</v>
      </c>
      <c r="O255" s="9">
        <f>'Datos Crudos SE4 Im'!P36</f>
        <v>0.1658</v>
      </c>
      <c r="P255" s="9">
        <f>'Datos Crudos SE4 Im'!Q36</f>
        <v>6.4799999999999996E-2</v>
      </c>
      <c r="Q255" s="9">
        <f>'Datos Crudos SE4 Im'!M90</f>
        <v>1.3552999999999999</v>
      </c>
      <c r="R255" s="9">
        <f>'Datos Crudos SE4 Im'!P90</f>
        <v>0.1452</v>
      </c>
      <c r="S255" s="9">
        <f>'Datos Crudos SE4 Im'!Q90</f>
        <v>6.9699999999999998E-2</v>
      </c>
      <c r="T255" s="9">
        <f>'Datos Crudos SE4 Im'!O36</f>
        <v>0.42609999999999998</v>
      </c>
      <c r="U255" s="9">
        <f>'Datos Crudos SE4 Im'!O90</f>
        <v>1.1417999999999999</v>
      </c>
      <c r="V255" s="198">
        <f t="shared" si="20"/>
        <v>0.76163571268740216</v>
      </c>
      <c r="W255" s="198">
        <f t="shared" si="21"/>
        <v>9.5444521748928479E-2</v>
      </c>
      <c r="X255" s="21">
        <f t="shared" si="22"/>
        <v>0.49931462399459153</v>
      </c>
      <c r="Y255" s="21">
        <f t="shared" si="23"/>
        <v>0.62311722331368702</v>
      </c>
      <c r="Z255" s="22">
        <f t="shared" si="24"/>
        <v>60</v>
      </c>
      <c r="AA255" s="248">
        <f t="shared" si="25"/>
        <v>2.3428031323495736E-2</v>
      </c>
      <c r="AB255">
        <f>'Datos Crudos SE4 Im'!S36</f>
        <v>76.163571268740213</v>
      </c>
      <c r="AC255">
        <f>'Datos Crudos SE4 Im'!S90</f>
        <v>37.688277668631301</v>
      </c>
      <c r="AH255" s="17">
        <f>'Datos Crudos SE4 Im'!U36</f>
        <v>23.836428731259783</v>
      </c>
      <c r="AI255" s="17">
        <f>'Datos Crudos SE4 Im'!U90</f>
        <v>62.311722331368699</v>
      </c>
    </row>
    <row r="256" spans="1:35" x14ac:dyDescent="0.25">
      <c r="A256" s="9" t="s">
        <v>876</v>
      </c>
      <c r="B256" s="87" t="s">
        <v>330</v>
      </c>
      <c r="C256" s="61" t="s">
        <v>621</v>
      </c>
      <c r="D256" s="61">
        <v>2</v>
      </c>
      <c r="E256" t="s">
        <v>18</v>
      </c>
      <c r="F256" s="53">
        <v>44816</v>
      </c>
      <c r="G256" s="9">
        <f>'Datos Crudos SE4 Im'!H37</f>
        <v>1.9351</v>
      </c>
      <c r="H256" s="9">
        <f>'Datos Crudos SE4 Im'!H91</f>
        <v>2.1715</v>
      </c>
      <c r="I256" s="17">
        <f>'Datos Crudos SE4 Im'!I37</f>
        <v>6.5422975556818797</v>
      </c>
      <c r="J256" s="17">
        <f>'Datos Crudos SE4 Im'!I91</f>
        <v>8.9569422058484971</v>
      </c>
      <c r="K256" s="9">
        <f>'Datos Crudos SE4 Im'!R37</f>
        <v>1.7141</v>
      </c>
      <c r="L256" s="9">
        <f>'Datos Crudos SE4 Im'!R91</f>
        <v>1.9501999999999999</v>
      </c>
      <c r="M256" s="62">
        <v>44876</v>
      </c>
      <c r="N256" s="9">
        <f>'Datos Crudos SE4 Im'!M37</f>
        <v>0.57340000000000002</v>
      </c>
      <c r="O256" s="9">
        <f>'Datos Crudos SE4 Im'!P37</f>
        <v>0.15240000000000001</v>
      </c>
      <c r="P256" s="9">
        <f>'Datos Crudos SE4 Im'!Q37</f>
        <v>6.8599999999999994E-2</v>
      </c>
      <c r="Q256" s="9">
        <f>'Datos Crudos SE4 Im'!M91</f>
        <v>1.4419</v>
      </c>
      <c r="R256" s="9">
        <f>'Datos Crudos SE4 Im'!P91</f>
        <v>0.15329999999999999</v>
      </c>
      <c r="S256" s="9">
        <f>'Datos Crudos SE4 Im'!Q91</f>
        <v>6.8000000000000005E-2</v>
      </c>
      <c r="T256" s="9">
        <f>'Datos Crudos SE4 Im'!O37</f>
        <v>0.31230000000000002</v>
      </c>
      <c r="U256" s="9">
        <f>'Datos Crudos SE4 Im'!O91</f>
        <v>1.2242999999999999</v>
      </c>
      <c r="V256" s="198">
        <f t="shared" si="20"/>
        <v>0.81780526223674233</v>
      </c>
      <c r="W256" s="198">
        <f t="shared" si="21"/>
        <v>2.8734842949237116E-2</v>
      </c>
      <c r="X256" s="21">
        <f t="shared" si="22"/>
        <v>0.5361383666920212</v>
      </c>
      <c r="Y256" s="21">
        <f t="shared" si="23"/>
        <v>0.62778176597272073</v>
      </c>
      <c r="Z256" s="22">
        <f t="shared" si="24"/>
        <v>60</v>
      </c>
      <c r="AA256" s="248">
        <f t="shared" si="25"/>
        <v>1.9750216021894262E-2</v>
      </c>
      <c r="AB256">
        <f>'Datos Crudos SE4 Im'!S37</f>
        <v>81.780526223674229</v>
      </c>
      <c r="AC256">
        <f>'Datos Crudos SE4 Im'!S91</f>
        <v>37.221823402727928</v>
      </c>
      <c r="AH256" s="17">
        <f>'Datos Crudos SE4 Im'!U37</f>
        <v>18.219473776325771</v>
      </c>
      <c r="AI256" s="17">
        <f>'Datos Crudos SE4 Im'!U91</f>
        <v>62.778176597272072</v>
      </c>
    </row>
    <row r="257" spans="1:35" x14ac:dyDescent="0.25">
      <c r="A257" s="9" t="s">
        <v>877</v>
      </c>
      <c r="B257" s="87" t="s">
        <v>330</v>
      </c>
      <c r="C257" s="61" t="s">
        <v>621</v>
      </c>
      <c r="D257" s="61">
        <v>1</v>
      </c>
      <c r="E257" t="s">
        <v>19</v>
      </c>
      <c r="F257" s="53">
        <v>44816</v>
      </c>
      <c r="G257" s="9">
        <f>'Datos Crudos SE4 Im'!H38</f>
        <v>2.0474999999999999</v>
      </c>
      <c r="H257" s="9">
        <f>'Datos Crudos SE4 Im'!H92</f>
        <v>2.1469</v>
      </c>
      <c r="I257" s="17">
        <f>'Datos Crudos SE4 Im'!I38</f>
        <v>6.5836385836385958</v>
      </c>
      <c r="J257" s="17">
        <f>'Datos Crudos SE4 Im'!I92</f>
        <v>8.9990218454515833</v>
      </c>
      <c r="K257" s="9">
        <f>'Datos Crudos SE4 Im'!R38</f>
        <v>1.8277999999999999</v>
      </c>
      <c r="L257" s="9">
        <f>'Datos Crudos SE4 Im'!R92</f>
        <v>1.9475</v>
      </c>
      <c r="M257" s="62">
        <v>44876</v>
      </c>
      <c r="N257" s="9">
        <f>'Datos Crudos SE4 Im'!M38</f>
        <v>0.55630000000000002</v>
      </c>
      <c r="O257" s="9">
        <f>'Datos Crudos SE4 Im'!P38</f>
        <v>0.1535</v>
      </c>
      <c r="P257" s="9">
        <f>'Datos Crudos SE4 Im'!Q38</f>
        <v>6.6199999999999995E-2</v>
      </c>
      <c r="Q257" s="9">
        <f>'Datos Crudos SE4 Im'!M92</f>
        <v>1.4379</v>
      </c>
      <c r="R257" s="9">
        <f>'Datos Crudos SE4 Im'!P92</f>
        <v>0.13489999999999999</v>
      </c>
      <c r="S257" s="9">
        <f>'Datos Crudos SE4 Im'!Q92</f>
        <v>6.4500000000000002E-2</v>
      </c>
      <c r="T257" s="9">
        <f>'Datos Crudos SE4 Im'!O38</f>
        <v>0.33289999999999997</v>
      </c>
      <c r="U257" s="9">
        <f>'Datos Crudos SE4 Im'!O92</f>
        <v>1.2411000000000001</v>
      </c>
      <c r="V257" s="198">
        <f t="shared" ref="V257:V270" si="26">1-FINAL_WEIGHT_GREEN/INITIAL_WEIGHT_GREEN</f>
        <v>0.81786847576321264</v>
      </c>
      <c r="W257" s="198">
        <f t="shared" si="21"/>
        <v>2.8659767502122735E-2</v>
      </c>
      <c r="X257" s="21">
        <f t="shared" ref="X257:X270" si="27">0.552*(1-W257)</f>
        <v>0.53617980833882828</v>
      </c>
      <c r="Y257" s="21">
        <f t="shared" ref="Y257:Y270" si="28">FINAL_WEIGHT_RED/INITIAL_WEIGHT_RED</f>
        <v>0.6372785622593069</v>
      </c>
      <c r="Z257" s="22">
        <f t="shared" ref="Z257:Z270" si="29">M257-F257</f>
        <v>60</v>
      </c>
      <c r="AA257" s="248">
        <f t="shared" ref="AA257:AA258" si="30">LN(X257/(Y257-(1-X257)))/Z257</f>
        <v>1.8808865607549227E-2</v>
      </c>
      <c r="AB257">
        <f>'Datos Crudos SE4 Im'!S38</f>
        <v>81.786847576321264</v>
      </c>
      <c r="AC257">
        <f>'Datos Crudos SE4 Im'!S92</f>
        <v>36.272143774069313</v>
      </c>
      <c r="AH257" s="17">
        <f>'Datos Crudos SE4 Im'!U38</f>
        <v>18.213152423678739</v>
      </c>
      <c r="AI257" s="17">
        <f>'Datos Crudos SE4 Im'!U92</f>
        <v>63.727856225930694</v>
      </c>
    </row>
    <row r="258" spans="1:35" x14ac:dyDescent="0.25">
      <c r="A258" s="9" t="s">
        <v>878</v>
      </c>
      <c r="B258" s="87" t="s">
        <v>330</v>
      </c>
      <c r="C258" s="61" t="s">
        <v>621</v>
      </c>
      <c r="D258" s="61">
        <v>2</v>
      </c>
      <c r="E258" t="s">
        <v>19</v>
      </c>
      <c r="F258" s="53">
        <v>44816</v>
      </c>
      <c r="G258" s="9">
        <f>'Datos Crudos SE4 Im'!H39</f>
        <v>1.9632000000000001</v>
      </c>
      <c r="H258" s="9">
        <f>'Datos Crudos SE4 Im'!H93</f>
        <v>2.1295000000000002</v>
      </c>
      <c r="I258" s="17">
        <f>'Datos Crudos SE4 Im'!I39</f>
        <v>6.3773431132844323</v>
      </c>
      <c r="J258" s="17">
        <f>'Datos Crudos SE4 Im'!I93</f>
        <v>8.6921812632073152</v>
      </c>
      <c r="K258" s="9">
        <f>'Datos Crudos SE4 Im'!R39</f>
        <v>1.7455000000000001</v>
      </c>
      <c r="L258" s="9">
        <f>'Datos Crudos SE4 Im'!R93</f>
        <v>1.9255000000000002</v>
      </c>
      <c r="M258" s="62">
        <v>44876</v>
      </c>
      <c r="N258" s="9">
        <f>'Datos Crudos SE4 Im'!M39</f>
        <v>0.50270000000000004</v>
      </c>
      <c r="O258" s="9">
        <f>'Datos Crudos SE4 Im'!P39</f>
        <v>0.15160000000000001</v>
      </c>
      <c r="P258" s="9">
        <f>'Datos Crudos SE4 Im'!Q39</f>
        <v>6.6100000000000006E-2</v>
      </c>
      <c r="Q258" s="9">
        <f>'Datos Crudos SE4 Im'!M93</f>
        <v>1.4235</v>
      </c>
      <c r="R258" s="9">
        <f>'Datos Crudos SE4 Im'!P93</f>
        <v>0.1361</v>
      </c>
      <c r="S258" s="9">
        <f>'Datos Crudos SE4 Im'!Q93</f>
        <v>6.7900000000000002E-2</v>
      </c>
      <c r="T258" s="9">
        <f>'Datos Crudos SE4 Im'!O39</f>
        <v>0.28560000000000002</v>
      </c>
      <c r="U258" s="9">
        <f>'Datos Crudos SE4 Im'!O93</f>
        <v>1.2212000000000001</v>
      </c>
      <c r="V258" s="198">
        <f t="shared" si="20"/>
        <v>0.83637926095674597</v>
      </c>
      <c r="W258" s="198">
        <f t="shared" ref="W258" si="31">1-(V258/0.842)</f>
        <v>6.675462046619951E-3</v>
      </c>
      <c r="X258" s="21">
        <f t="shared" si="27"/>
        <v>0.54831514495026579</v>
      </c>
      <c r="Y258" s="21">
        <f t="shared" si="28"/>
        <v>0.63422487665541416</v>
      </c>
      <c r="Z258" s="22">
        <f t="shared" si="29"/>
        <v>60</v>
      </c>
      <c r="AA258" s="248">
        <f t="shared" si="30"/>
        <v>1.8331345970461328E-2</v>
      </c>
      <c r="AB258">
        <f>'Datos Crudos SE4 Im'!S39</f>
        <v>83.637926095674587</v>
      </c>
      <c r="AC258">
        <f>'Datos Crudos SE4 Im'!S93</f>
        <v>36.577512334458582</v>
      </c>
      <c r="AH258" s="17">
        <f>'Datos Crudos SE4 Im'!U39</f>
        <v>16.36207390432541</v>
      </c>
      <c r="AI258" s="17">
        <f>'Datos Crudos SE4 Im'!U93</f>
        <v>63.422487665541418</v>
      </c>
    </row>
    <row r="259" spans="1:35" x14ac:dyDescent="0.25">
      <c r="A259" s="9" t="s">
        <v>879</v>
      </c>
      <c r="B259" s="87" t="s">
        <v>330</v>
      </c>
      <c r="C259" s="61" t="s">
        <v>621</v>
      </c>
      <c r="D259" s="61">
        <v>1</v>
      </c>
      <c r="E259" t="s">
        <v>20</v>
      </c>
      <c r="F259" s="53">
        <v>44816</v>
      </c>
      <c r="G259" s="9">
        <f>'Datos Crudos SE4 Im'!H40</f>
        <v>1.9597</v>
      </c>
      <c r="H259" s="9">
        <f>'Datos Crudos SE4 Im'!H94</f>
        <v>2.1088</v>
      </c>
      <c r="I259" s="17">
        <f>'Datos Crudos SE4 Im'!I40</f>
        <v>6.5112006939837697</v>
      </c>
      <c r="J259" s="17">
        <f>'Datos Crudos SE4 Im'!I94</f>
        <v>9.0857359635811719</v>
      </c>
      <c r="K259" s="9">
        <f>'Datos Crudos SE4 Im'!R40</f>
        <v>1.7232000000000001</v>
      </c>
      <c r="L259" s="9">
        <f>'Datos Crudos SE4 Im'!R94</f>
        <v>1.887</v>
      </c>
      <c r="M259" s="62">
        <v>44876</v>
      </c>
      <c r="N259" s="9">
        <f>'Datos Crudos SE4 Im'!M40</f>
        <v>0.53639999999999999</v>
      </c>
      <c r="O259" s="9">
        <f>'Datos Crudos SE4 Im'!P40</f>
        <v>0.1676</v>
      </c>
      <c r="P259" s="9">
        <f>'Datos Crudos SE4 Im'!Q40</f>
        <v>6.8900000000000003E-2</v>
      </c>
      <c r="Q259" s="9">
        <f>'Datos Crudos SE4 Im'!M94</f>
        <v>1.4608000000000001</v>
      </c>
      <c r="R259" s="9">
        <f>'Datos Crudos SE4 Im'!P94</f>
        <v>0.1532</v>
      </c>
      <c r="S259" s="9">
        <f>'Datos Crudos SE4 Im'!Q94</f>
        <v>6.8599999999999994E-2</v>
      </c>
      <c r="T259" s="9">
        <f>'Datos Crudos SE4 Im'!O40</f>
        <v>0.29360000000000003</v>
      </c>
      <c r="U259" s="9">
        <f>'Datos Crudos SE4 Im'!O94</f>
        <v>1.2399</v>
      </c>
      <c r="V259" s="198">
        <f t="shared" si="20"/>
        <v>0.82961931290622104</v>
      </c>
      <c r="W259" s="198">
        <f t="shared" si="21"/>
        <v>1.4703903911851501E-2</v>
      </c>
      <c r="X259" s="21">
        <f t="shared" si="27"/>
        <v>0.543883445040658</v>
      </c>
      <c r="Y259" s="21">
        <f t="shared" si="28"/>
        <v>0.65707472178060411</v>
      </c>
      <c r="Z259" s="22">
        <f t="shared" si="29"/>
        <v>60</v>
      </c>
      <c r="AA259" s="248">
        <f t="shared" ref="AA259:AA270" si="32">LN(X259/(Y259-(1-X259)))/Z259</f>
        <v>1.6593970122155764E-2</v>
      </c>
      <c r="AB259">
        <f>'Datos Crudos SE4 Im'!S40</f>
        <v>82.96193129062209</v>
      </c>
      <c r="AC259">
        <f>'Datos Crudos SE4 Im'!S94</f>
        <v>34.292527821939586</v>
      </c>
      <c r="AH259" s="17">
        <f>'Datos Crudos SE4 Im'!U40</f>
        <v>17.038068709377903</v>
      </c>
      <c r="AI259" s="17">
        <f>'Datos Crudos SE4 Im'!U94</f>
        <v>65.707472178060414</v>
      </c>
    </row>
    <row r="260" spans="1:35" x14ac:dyDescent="0.25">
      <c r="A260" s="9" t="s">
        <v>880</v>
      </c>
      <c r="B260" s="87" t="s">
        <v>330</v>
      </c>
      <c r="C260" s="61" t="s">
        <v>621</v>
      </c>
      <c r="D260" s="61">
        <v>2</v>
      </c>
      <c r="E260" t="s">
        <v>20</v>
      </c>
      <c r="F260" s="53">
        <v>44816</v>
      </c>
      <c r="G260" s="9">
        <f>'Datos Crudos SE4 Im'!H41</f>
        <v>1.9519</v>
      </c>
      <c r="H260" s="9">
        <f>'Datos Crudos SE4 Im'!H95</f>
        <v>2.1288</v>
      </c>
      <c r="I260" s="17">
        <f>'Datos Crudos SE4 Im'!I41</f>
        <v>6.5474665710333477</v>
      </c>
      <c r="J260" s="17">
        <f>'Datos Crudos SE4 Im'!I95</f>
        <v>8.8218714768883952</v>
      </c>
      <c r="K260" s="9">
        <f>'Datos Crudos SE4 Im'!R41</f>
        <v>1.7366999999999999</v>
      </c>
      <c r="L260" s="9">
        <f>'Datos Crudos SE4 Im'!R95</f>
        <v>1.9156</v>
      </c>
      <c r="M260" s="62">
        <v>44876</v>
      </c>
      <c r="N260" s="9">
        <f>'Datos Crudos SE4 Im'!M41</f>
        <v>0.5252</v>
      </c>
      <c r="O260" s="9">
        <f>'Datos Crudos SE4 Im'!P41</f>
        <v>0.14949999999999999</v>
      </c>
      <c r="P260" s="9">
        <f>'Datos Crudos SE4 Im'!Q41</f>
        <v>6.5699999999999995E-2</v>
      </c>
      <c r="Q260" s="9">
        <f>'Datos Crudos SE4 Im'!M95</f>
        <v>1.4067000000000001</v>
      </c>
      <c r="R260" s="9">
        <f>'Datos Crudos SE4 Im'!P95</f>
        <v>0.14510000000000001</v>
      </c>
      <c r="S260" s="9">
        <f>'Datos Crudos SE4 Im'!Q95</f>
        <v>6.8099999999999994E-2</v>
      </c>
      <c r="T260" s="9">
        <f>'Datos Crudos SE4 Im'!O41</f>
        <v>0.31019999999999998</v>
      </c>
      <c r="U260" s="9">
        <f>'Datos Crudos SE4 Im'!O95</f>
        <v>1.1946000000000001</v>
      </c>
      <c r="V260" s="198">
        <f t="shared" si="26"/>
        <v>0.8213853860770427</v>
      </c>
      <c r="W260" s="198">
        <f t="shared" ref="W260:W270" si="33">1-(V260/0.842)</f>
        <v>2.4482914397811473E-2</v>
      </c>
      <c r="X260" s="21">
        <f t="shared" si="27"/>
        <v>0.53848543125240811</v>
      </c>
      <c r="Y260" s="21">
        <f t="shared" si="28"/>
        <v>0.62361662142409691</v>
      </c>
      <c r="Z260" s="22">
        <f t="shared" si="29"/>
        <v>60</v>
      </c>
      <c r="AA260" s="248">
        <f t="shared" si="32"/>
        <v>2.0008905837166597E-2</v>
      </c>
      <c r="AB260">
        <f>'Datos Crudos SE4 Im'!S41</f>
        <v>82.138538607704263</v>
      </c>
      <c r="AC260">
        <f>'Datos Crudos SE4 Im'!S95</f>
        <v>37.638337857590301</v>
      </c>
      <c r="AH260" s="17">
        <f>'Datos Crudos SE4 Im'!U41</f>
        <v>17.861461392295734</v>
      </c>
      <c r="AI260" s="17">
        <f>'Datos Crudos SE4 Im'!U95</f>
        <v>62.361662142409692</v>
      </c>
    </row>
    <row r="261" spans="1:35" x14ac:dyDescent="0.25">
      <c r="A261" s="9" t="s">
        <v>907</v>
      </c>
      <c r="B261" s="87" t="s">
        <v>783</v>
      </c>
      <c r="C261" s="61" t="s">
        <v>621</v>
      </c>
      <c r="D261" s="61">
        <v>1</v>
      </c>
      <c r="E261" t="s">
        <v>17</v>
      </c>
      <c r="F261" s="53">
        <v>45005</v>
      </c>
      <c r="G261" s="9">
        <f>'Datos Crudos SE4 Im'!H42</f>
        <v>2.0566</v>
      </c>
      <c r="H261" s="9">
        <f>'Datos Crudos SE4 Im'!H96</f>
        <v>2.1583999999999999</v>
      </c>
      <c r="I261" s="17">
        <f>'Datos Crudos SE4 Im'!I42</f>
        <v>4.7165224156374581</v>
      </c>
      <c r="J261" s="17">
        <f>'Datos Crudos SE4 Im'!I96</f>
        <v>6.4584877687175775</v>
      </c>
      <c r="K261" s="9">
        <f>'Datos Crudos SE4 Im'!R42</f>
        <v>1.8469</v>
      </c>
      <c r="L261" s="9">
        <f>'Datos Crudos SE4 Im'!R96</f>
        <v>1.952</v>
      </c>
      <c r="M261" s="267">
        <v>45065</v>
      </c>
      <c r="N261" s="9">
        <f>'Datos Crudos SE4 Im'!M42</f>
        <v>0.64100000000000001</v>
      </c>
      <c r="O261" s="9">
        <f>'Datos Crudos SE4 Im'!P42</f>
        <v>0.1426</v>
      </c>
      <c r="P261" s="9">
        <f>'Datos Crudos SE4 Im'!Q42</f>
        <v>6.7100000000000007E-2</v>
      </c>
      <c r="Q261" s="9">
        <f>'Datos Crudos SE4 Im'!M96</f>
        <v>1.5667</v>
      </c>
      <c r="R261" s="9">
        <f>'Datos Crudos SE4 Im'!P96</f>
        <v>0.14169999999999999</v>
      </c>
      <c r="S261" s="9">
        <f>'Datos Crudos SE4 Im'!Q96</f>
        <v>6.4699999999999994E-2</v>
      </c>
      <c r="T261" s="9">
        <f>'Datos Crudos SE4 Im'!O42</f>
        <v>0.43080000000000002</v>
      </c>
      <c r="U261" s="9">
        <f>'Datos Crudos SE4 Im'!O96</f>
        <v>1.3602000000000001</v>
      </c>
      <c r="V261" s="198">
        <f t="shared" si="26"/>
        <v>0.7667442741891819</v>
      </c>
      <c r="W261" s="198">
        <f t="shared" si="33"/>
        <v>8.9377346568667582E-2</v>
      </c>
      <c r="X261" s="21">
        <f t="shared" si="27"/>
        <v>0.50266370469409549</v>
      </c>
      <c r="Y261" s="21">
        <f t="shared" si="28"/>
        <v>0.69682377049180333</v>
      </c>
      <c r="Z261" s="61">
        <f t="shared" si="29"/>
        <v>60</v>
      </c>
      <c r="AA261" s="248">
        <f t="shared" si="32"/>
        <v>1.5402831900466823E-2</v>
      </c>
      <c r="AB261">
        <f>'Datos Crudos SE4 Im'!S42</f>
        <v>76.674427418918185</v>
      </c>
      <c r="AC261">
        <f>'Datos Crudos SE4 Im'!S96</f>
        <v>30.317622950819668</v>
      </c>
      <c r="AD261" s="65">
        <f>AVERAGE(W261:W267)</f>
        <v>4.4848620518272E-2</v>
      </c>
      <c r="AE261">
        <f>STDEV(W261:W267)</f>
        <v>2.6272898496521476E-2</v>
      </c>
      <c r="AF261" s="7">
        <f>AVERAGE(AA261:AA267)</f>
        <v>1.5160405360274047E-2</v>
      </c>
      <c r="AG261">
        <f>STDEV(AA261:AA267)</f>
        <v>2.0166237982822588E-3</v>
      </c>
      <c r="AH261" s="17">
        <f>'Datos Crudos SE4 Im'!U42</f>
        <v>23.325572581081815</v>
      </c>
      <c r="AI261" s="17">
        <f>'Datos Crudos SE4 Im'!U96</f>
        <v>69.682377049180332</v>
      </c>
    </row>
    <row r="262" spans="1:35" x14ac:dyDescent="0.25">
      <c r="A262" s="9" t="s">
        <v>908</v>
      </c>
      <c r="B262" s="87" t="s">
        <v>783</v>
      </c>
      <c r="C262" s="61" t="s">
        <v>621</v>
      </c>
      <c r="D262" s="61">
        <v>2</v>
      </c>
      <c r="E262" t="s">
        <v>17</v>
      </c>
      <c r="F262" s="53">
        <v>45005</v>
      </c>
      <c r="G262" s="9">
        <f>'Datos Crudos SE4 Im'!H43</f>
        <v>1.9129</v>
      </c>
      <c r="H262" s="9">
        <f>'Datos Crudos SE4 Im'!H97</f>
        <v>2.0594000000000001</v>
      </c>
      <c r="I262" s="17">
        <f>'Datos Crudos SE4 Im'!I43</f>
        <v>4.6944429923153264</v>
      </c>
      <c r="J262" s="17">
        <f>'Datos Crudos SE4 Im'!I97</f>
        <v>6.4533359230843832</v>
      </c>
      <c r="K262" s="9">
        <f>'Datos Crudos SE4 Im'!R43</f>
        <v>1.7135</v>
      </c>
      <c r="L262" s="9">
        <f>'Datos Crudos SE4 Im'!R97</f>
        <v>1.8661000000000001</v>
      </c>
      <c r="M262" s="267">
        <v>45065</v>
      </c>
      <c r="N262" s="9">
        <f>'Datos Crudos SE4 Im'!M43</f>
        <v>0.57020000000000004</v>
      </c>
      <c r="O262" s="9">
        <f>'Datos Crudos SE4 Im'!P43</f>
        <v>0.13830000000000001</v>
      </c>
      <c r="P262" s="9">
        <f>'Datos Crudos SE4 Im'!Q43</f>
        <v>6.1100000000000002E-2</v>
      </c>
      <c r="Q262" s="9">
        <f>'Datos Crudos SE4 Im'!M97</f>
        <v>1.5065</v>
      </c>
      <c r="R262" s="9">
        <f>'Datos Crudos SE4 Im'!P97</f>
        <v>0.1353</v>
      </c>
      <c r="S262" s="9">
        <f>'Datos Crudos SE4 Im'!Q97</f>
        <v>5.8000000000000003E-2</v>
      </c>
      <c r="T262" s="9">
        <f>'Datos Crudos SE4 Im'!O43</f>
        <v>0.3695</v>
      </c>
      <c r="U262" s="9">
        <f>'Datos Crudos SE4 Im'!O97</f>
        <v>1.3137000000000001</v>
      </c>
      <c r="V262" s="198">
        <f t="shared" si="26"/>
        <v>0.7843594981032973</v>
      </c>
      <c r="W262" s="198">
        <f t="shared" si="33"/>
        <v>6.8456653083969865E-2</v>
      </c>
      <c r="X262" s="21">
        <f t="shared" si="27"/>
        <v>0.51421192749764866</v>
      </c>
      <c r="Y262" s="21">
        <f t="shared" si="28"/>
        <v>0.70398156583248483</v>
      </c>
      <c r="Z262" s="61">
        <f t="shared" si="29"/>
        <v>60</v>
      </c>
      <c r="AA262" s="248">
        <f t="shared" si="32"/>
        <v>1.4287553959714884E-2</v>
      </c>
      <c r="AB262">
        <f>'Datos Crudos SE4 Im'!S43</f>
        <v>78.435949810329745</v>
      </c>
      <c r="AC262">
        <f>'Datos Crudos SE4 Im'!S97</f>
        <v>29.60184341675151</v>
      </c>
      <c r="AH262" s="17">
        <f>'Datos Crudos SE4 Im'!U43</f>
        <v>21.564050189670265</v>
      </c>
      <c r="AI262" s="17">
        <f>'Datos Crudos SE4 Im'!U97</f>
        <v>70.398156583248479</v>
      </c>
    </row>
    <row r="263" spans="1:35" x14ac:dyDescent="0.25">
      <c r="A263" s="9" t="s">
        <v>909</v>
      </c>
      <c r="B263" s="87" t="s">
        <v>783</v>
      </c>
      <c r="C263" s="61" t="s">
        <v>621</v>
      </c>
      <c r="D263" s="61">
        <v>1</v>
      </c>
      <c r="E263" t="s">
        <v>18</v>
      </c>
      <c r="F263" s="53">
        <v>45005</v>
      </c>
      <c r="G263" s="9">
        <f>'Datos Crudos SE4 Im'!H44</f>
        <v>2.0177</v>
      </c>
      <c r="H263" s="9">
        <f>'Datos Crudos SE4 Im'!H98</f>
        <v>2.1154999999999999</v>
      </c>
      <c r="I263" s="17">
        <f>'Datos Crudos SE4 Im'!I44</f>
        <v>4.6439014719730443</v>
      </c>
      <c r="J263" s="17">
        <f>'Datos Crudos SE4 Im'!I98</f>
        <v>6.5421886078941087</v>
      </c>
      <c r="K263" s="9">
        <f>'Datos Crudos SE4 Im'!R44</f>
        <v>1.8162</v>
      </c>
      <c r="L263" s="9">
        <f>'Datos Crudos SE4 Im'!R98</f>
        <v>1.9076</v>
      </c>
      <c r="M263" s="267">
        <v>45065</v>
      </c>
      <c r="N263" s="9">
        <f>'Datos Crudos SE4 Im'!M44</f>
        <v>0.51700000000000002</v>
      </c>
      <c r="O263" s="9">
        <f>'Datos Crudos SE4 Im'!P44</f>
        <v>0.14000000000000001</v>
      </c>
      <c r="P263" s="9">
        <f>'Datos Crudos SE4 Im'!Q44</f>
        <v>6.1499999999999999E-2</v>
      </c>
      <c r="Q263" s="9">
        <f>'Datos Crudos SE4 Im'!M98</f>
        <v>1.5476000000000001</v>
      </c>
      <c r="R263" s="9">
        <f>'Datos Crudos SE4 Im'!P98</f>
        <v>0.1406</v>
      </c>
      <c r="S263" s="9">
        <f>'Datos Crudos SE4 Im'!Q98</f>
        <v>6.7299999999999999E-2</v>
      </c>
      <c r="T263" s="9">
        <f>'Datos Crudos SE4 Im'!O44</f>
        <v>0.31309999999999999</v>
      </c>
      <c r="U263" s="9">
        <f>'Datos Crudos SE4 Im'!O98</f>
        <v>1.3391</v>
      </c>
      <c r="V263" s="198">
        <f t="shared" si="26"/>
        <v>0.8276070917299857</v>
      </c>
      <c r="W263" s="198">
        <f t="shared" si="33"/>
        <v>1.7093715285052546E-2</v>
      </c>
      <c r="X263" s="21">
        <f t="shared" si="27"/>
        <v>0.54256426916265099</v>
      </c>
      <c r="Y263" s="21">
        <f t="shared" si="28"/>
        <v>0.70198154749423358</v>
      </c>
      <c r="Z263" s="61">
        <f t="shared" si="29"/>
        <v>60</v>
      </c>
      <c r="AA263" s="248">
        <f t="shared" si="32"/>
        <v>1.3281731105848011E-2</v>
      </c>
      <c r="AB263">
        <f>'Datos Crudos SE4 Im'!S44</f>
        <v>82.760709172998574</v>
      </c>
      <c r="AC263">
        <f>'Datos Crudos SE4 Im'!S98</f>
        <v>29.80184525057664</v>
      </c>
      <c r="AH263" s="17">
        <f>'Datos Crudos SE4 Im'!U44</f>
        <v>17.23929082700143</v>
      </c>
      <c r="AI263" s="17">
        <f>'Datos Crudos SE4 Im'!U98</f>
        <v>70.198154749423352</v>
      </c>
    </row>
    <row r="264" spans="1:35" x14ac:dyDescent="0.25">
      <c r="A264" s="9" t="s">
        <v>910</v>
      </c>
      <c r="B264" s="87" t="s">
        <v>783</v>
      </c>
      <c r="C264" s="61" t="s">
        <v>621</v>
      </c>
      <c r="D264" s="61">
        <v>2</v>
      </c>
      <c r="E264" t="s">
        <v>18</v>
      </c>
      <c r="F264" s="53">
        <v>45005</v>
      </c>
      <c r="G264" s="9">
        <f>'Datos Crudos SE4 Im'!H45</f>
        <v>1.9877</v>
      </c>
      <c r="H264" s="9">
        <f>'Datos Crudos SE4 Im'!H99</f>
        <v>2.0236000000000001</v>
      </c>
      <c r="I264" s="17">
        <f>'Datos Crudos SE4 Im'!I45</f>
        <v>4.6385269406852059</v>
      </c>
      <c r="J264" s="17">
        <f>'Datos Crudos SE4 Im'!I99</f>
        <v>6.4686696975686893</v>
      </c>
      <c r="K264" s="9">
        <f>'Datos Crudos SE4 Im'!R45</f>
        <v>1.7768999999999999</v>
      </c>
      <c r="L264" s="9">
        <f>'Datos Crudos SE4 Im'!R99</f>
        <v>1.8214000000000001</v>
      </c>
      <c r="M264" s="267">
        <v>45065</v>
      </c>
      <c r="N264" s="9">
        <f>'Datos Crudos SE4 Im'!M45</f>
        <v>0.5554</v>
      </c>
      <c r="O264" s="9">
        <f>'Datos Crudos SE4 Im'!P45</f>
        <v>0.14080000000000001</v>
      </c>
      <c r="P264" s="9">
        <f>'Datos Crudos SE4 Im'!Q45</f>
        <v>7.0000000000000007E-2</v>
      </c>
      <c r="Q264" s="9">
        <f>'Datos Crudos SE4 Im'!M99</f>
        <v>1.5266999999999999</v>
      </c>
      <c r="R264" s="9">
        <f>'Datos Crudos SE4 Im'!P99</f>
        <v>0.13189999999999999</v>
      </c>
      <c r="S264" s="9">
        <f>'Datos Crudos SE4 Im'!Q99</f>
        <v>7.0300000000000001E-2</v>
      </c>
      <c r="T264" s="9">
        <f>'Datos Crudos SE4 Im'!O45</f>
        <v>0.34100000000000003</v>
      </c>
      <c r="U264" s="9">
        <f>'Datos Crudos SE4 Im'!O99</f>
        <v>1.3229</v>
      </c>
      <c r="V264" s="198">
        <f t="shared" si="26"/>
        <v>0.80809274579323542</v>
      </c>
      <c r="W264" s="198">
        <f t="shared" si="33"/>
        <v>4.0269898107796354E-2</v>
      </c>
      <c r="X264" s="21">
        <f t="shared" si="27"/>
        <v>0.52977101624449641</v>
      </c>
      <c r="Y264" s="21">
        <f t="shared" si="28"/>
        <v>0.72630943230482037</v>
      </c>
      <c r="Z264" s="61">
        <f t="shared" si="29"/>
        <v>60</v>
      </c>
      <c r="AA264" s="248">
        <f t="shared" si="32"/>
        <v>1.2115887018462331E-2</v>
      </c>
      <c r="AB264">
        <f>'Datos Crudos SE4 Im'!S45</f>
        <v>80.809274579323542</v>
      </c>
      <c r="AC264">
        <f>'Datos Crudos SE4 Im'!S99</f>
        <v>27.369056769517957</v>
      </c>
      <c r="AH264" s="17">
        <f>'Datos Crudos SE4 Im'!U45</f>
        <v>19.190725420676461</v>
      </c>
      <c r="AI264" s="17">
        <f>'Datos Crudos SE4 Im'!U99</f>
        <v>72.630943230482032</v>
      </c>
    </row>
    <row r="265" spans="1:35" x14ac:dyDescent="0.25">
      <c r="A265" s="9" t="s">
        <v>911</v>
      </c>
      <c r="B265" s="87" t="s">
        <v>783</v>
      </c>
      <c r="C265" s="61" t="s">
        <v>621</v>
      </c>
      <c r="D265" s="61">
        <v>1</v>
      </c>
      <c r="E265" t="s">
        <v>19</v>
      </c>
      <c r="F265" s="53">
        <v>45005</v>
      </c>
      <c r="G265" s="9">
        <f>'Datos Crudos SE4 Im'!H46</f>
        <v>1.9769000000000001</v>
      </c>
      <c r="H265" s="9">
        <f>'Datos Crudos SE4 Im'!H100</f>
        <v>2.1839</v>
      </c>
      <c r="I265" s="17">
        <f>'Datos Crudos SE4 Im'!I46</f>
        <v>4.699276645252656</v>
      </c>
      <c r="J265" s="17">
        <f>'Datos Crudos SE4 Im'!I100</f>
        <v>6.4700764687027883</v>
      </c>
      <c r="K265" s="9">
        <f>'Datos Crudos SE4 Im'!R46</f>
        <v>1.7850000000000001</v>
      </c>
      <c r="L265" s="9">
        <f>'Datos Crudos SE4 Im'!R100</f>
        <v>1.98</v>
      </c>
      <c r="M265" s="267">
        <v>45065</v>
      </c>
      <c r="N265" s="9">
        <f>'Datos Crudos SE4 Im'!M46</f>
        <v>0.54169999999999996</v>
      </c>
      <c r="O265" s="9">
        <f>'Datos Crudos SE4 Im'!P46</f>
        <v>0.1328</v>
      </c>
      <c r="P265" s="9">
        <f>'Datos Crudos SE4 Im'!Q46</f>
        <v>5.91E-2</v>
      </c>
      <c r="Q265" s="9">
        <f>'Datos Crudos SE4 Im'!M100</f>
        <v>1.5021</v>
      </c>
      <c r="R265" s="9">
        <f>'Datos Crudos SE4 Im'!P100</f>
        <v>0.13930000000000001</v>
      </c>
      <c r="S265" s="9">
        <f>'Datos Crudos SE4 Im'!Q100</f>
        <v>6.4600000000000005E-2</v>
      </c>
      <c r="T265" s="9">
        <f>'Datos Crudos SE4 Im'!O46</f>
        <v>0.34699999999999998</v>
      </c>
      <c r="U265" s="9">
        <f>'Datos Crudos SE4 Im'!O100</f>
        <v>1.2984</v>
      </c>
      <c r="V265" s="198">
        <f t="shared" si="26"/>
        <v>0.80560224089635857</v>
      </c>
      <c r="W265" s="198">
        <f t="shared" si="33"/>
        <v>4.3227742403374569E-2</v>
      </c>
      <c r="X265" s="21">
        <f t="shared" si="27"/>
        <v>0.52813828619333725</v>
      </c>
      <c r="Y265" s="21">
        <f t="shared" si="28"/>
        <v>0.65575757575757576</v>
      </c>
      <c r="Z265" s="61">
        <f t="shared" si="29"/>
        <v>60</v>
      </c>
      <c r="AA265" s="248">
        <f t="shared" si="32"/>
        <v>1.7583142089223416E-2</v>
      </c>
      <c r="AB265">
        <f>'Datos Crudos SE4 Im'!S46</f>
        <v>80.560224089635852</v>
      </c>
      <c r="AC265">
        <f>'Datos Crudos SE4 Im'!S100</f>
        <v>34.424242424242422</v>
      </c>
      <c r="AH265" s="17">
        <f>'Datos Crudos SE4 Im'!U46</f>
        <v>19.439775910364144</v>
      </c>
      <c r="AI265" s="17">
        <f>'Datos Crudos SE4 Im'!U100</f>
        <v>65.575757575757578</v>
      </c>
    </row>
    <row r="266" spans="1:35" x14ac:dyDescent="0.25">
      <c r="A266" s="9" t="s">
        <v>913</v>
      </c>
      <c r="B266" s="87" t="s">
        <v>783</v>
      </c>
      <c r="C266" s="61" t="s">
        <v>621</v>
      </c>
      <c r="D266" s="61">
        <v>1</v>
      </c>
      <c r="E266" t="s">
        <v>20</v>
      </c>
      <c r="F266" s="53">
        <v>45005</v>
      </c>
      <c r="G266" s="9">
        <f>'Datos Crudos SE4 Im'!H47</f>
        <v>2.0329999999999999</v>
      </c>
      <c r="H266" s="9">
        <f>'Datos Crudos SE4 Im'!H101</f>
        <v>2.1423999999999999</v>
      </c>
      <c r="I266" s="17">
        <f>'Datos Crudos SE4 Im'!I47</f>
        <v>4.6483030004918851</v>
      </c>
      <c r="J266" s="17">
        <f>'Datos Crudos SE4 Im'!I101</f>
        <v>6.287341299477224</v>
      </c>
      <c r="K266" s="9">
        <f>'Datos Crudos SE4 Im'!R47</f>
        <v>1.8373999999999999</v>
      </c>
      <c r="L266" s="9">
        <f>'Datos Crudos SE4 Im'!R101</f>
        <v>1.9377</v>
      </c>
      <c r="M266" s="267">
        <v>45065</v>
      </c>
      <c r="N266" s="9">
        <f>'Datos Crudos SE4 Im'!M47</f>
        <v>0.54569999999999996</v>
      </c>
      <c r="O266" s="9">
        <f>'Datos Crudos SE4 Im'!P47</f>
        <v>0.13689999999999999</v>
      </c>
      <c r="P266" s="9">
        <f>'Datos Crudos SE4 Im'!Q47</f>
        <v>5.8700000000000002E-2</v>
      </c>
      <c r="Q266" s="9">
        <f>'Datos Crudos SE4 Im'!M101</f>
        <v>1.4941</v>
      </c>
      <c r="R266" s="9">
        <f>'Datos Crudos SE4 Im'!P101</f>
        <v>0.14360000000000001</v>
      </c>
      <c r="S266" s="9">
        <f>'Datos Crudos SE4 Im'!Q101</f>
        <v>6.1100000000000002E-2</v>
      </c>
      <c r="T266" s="9">
        <f>'Datos Crudos SE4 Im'!O47</f>
        <v>0.34960000000000002</v>
      </c>
      <c r="U266" s="9">
        <f>'Datos Crudos SE4 Im'!O101</f>
        <v>1.2878000000000001</v>
      </c>
      <c r="V266" s="198">
        <f t="shared" si="26"/>
        <v>0.80973114183084793</v>
      </c>
      <c r="W266" s="198">
        <f t="shared" si="33"/>
        <v>3.8324059583315973E-2</v>
      </c>
      <c r="X266" s="21">
        <f t="shared" si="27"/>
        <v>0.53084511911000964</v>
      </c>
      <c r="Y266" s="21">
        <f t="shared" si="28"/>
        <v>0.66460236362698044</v>
      </c>
      <c r="Z266" s="61">
        <f t="shared" si="29"/>
        <v>60</v>
      </c>
      <c r="AA266" s="248">
        <f t="shared" si="32"/>
        <v>1.6652976468338763E-2</v>
      </c>
      <c r="AB266">
        <f>'Datos Crudos SE4 Im'!S47</f>
        <v>80.973114183084789</v>
      </c>
      <c r="AC266">
        <f>'Datos Crudos SE4 Im'!S101</f>
        <v>33.539763637301952</v>
      </c>
      <c r="AH266" s="17">
        <f>'Datos Crudos SE4 Im'!U47</f>
        <v>19.026885816915211</v>
      </c>
      <c r="AI266" s="17">
        <f>'Datos Crudos SE4 Im'!U101</f>
        <v>66.460236362698041</v>
      </c>
    </row>
    <row r="267" spans="1:35" x14ac:dyDescent="0.25">
      <c r="A267" s="9" t="s">
        <v>914</v>
      </c>
      <c r="B267" s="87" t="s">
        <v>783</v>
      </c>
      <c r="C267" s="61" t="s">
        <v>621</v>
      </c>
      <c r="D267" s="61">
        <v>2</v>
      </c>
      <c r="E267" t="s">
        <v>20</v>
      </c>
      <c r="F267" s="53">
        <v>45005</v>
      </c>
      <c r="G267" s="9">
        <f>'Datos Crudos SE4 Im'!H48</f>
        <v>1.9501999999999999</v>
      </c>
      <c r="H267" s="9">
        <f>'Datos Crudos SE4 Im'!H102</f>
        <v>2.1223000000000001</v>
      </c>
      <c r="I267" s="17">
        <f>'Datos Crudos SE4 Im'!I48</f>
        <v>4.6866988001230601</v>
      </c>
      <c r="J267" s="17">
        <f>'Datos Crudos SE4 Im'!I102</f>
        <v>6.2573622956226744</v>
      </c>
      <c r="K267" s="9">
        <f>'Datos Crudos SE4 Im'!R48</f>
        <v>1.7532999999999999</v>
      </c>
      <c r="L267" s="9">
        <f>'Datos Crudos SE4 Im'!R102</f>
        <v>1.9152</v>
      </c>
      <c r="M267" s="267">
        <v>45065</v>
      </c>
      <c r="N267" s="9">
        <f>'Datos Crudos SE4 Im'!M48</f>
        <v>0.50260000000000005</v>
      </c>
      <c r="O267" s="9">
        <f>'Datos Crudos SE4 Im'!P48</f>
        <v>0.13669999999999999</v>
      </c>
      <c r="P267" s="9">
        <f>'Datos Crudos SE4 Im'!Q48</f>
        <v>6.0199999999999997E-2</v>
      </c>
      <c r="Q267" s="9">
        <f>'Datos Crudos SE4 Im'!M102</f>
        <v>1.4630000000000001</v>
      </c>
      <c r="R267" s="9">
        <f>'Datos Crudos SE4 Im'!P102</f>
        <v>0.1381</v>
      </c>
      <c r="S267" s="9">
        <f>'Datos Crudos SE4 Im'!Q102</f>
        <v>6.9000000000000006E-2</v>
      </c>
      <c r="T267" s="9">
        <f>'Datos Crudos SE4 Im'!O48</f>
        <v>0.3024</v>
      </c>
      <c r="U267" s="9">
        <f>'Datos Crudos SE4 Im'!O102</f>
        <v>1.2554000000000001</v>
      </c>
      <c r="V267" s="198">
        <f t="shared" si="26"/>
        <v>0.82752523812239775</v>
      </c>
      <c r="W267" s="198">
        <f t="shared" si="33"/>
        <v>1.7190928595727129E-2</v>
      </c>
      <c r="X267" s="21">
        <f t="shared" si="27"/>
        <v>0.54251060741515866</v>
      </c>
      <c r="Y267" s="21">
        <f t="shared" si="28"/>
        <v>0.65549289891395157</v>
      </c>
      <c r="Z267" s="61">
        <f t="shared" si="29"/>
        <v>60</v>
      </c>
      <c r="AA267" s="248">
        <f t="shared" si="32"/>
        <v>1.6798714979864082E-2</v>
      </c>
      <c r="AB267">
        <f>'Datos Crudos SE4 Im'!S48</f>
        <v>82.752523812239772</v>
      </c>
      <c r="AC267">
        <f>'Datos Crudos SE4 Im'!S102</f>
        <v>34.450710108604845</v>
      </c>
      <c r="AH267" s="17">
        <f>'Datos Crudos SE4 Im'!U48</f>
        <v>17.247476187760224</v>
      </c>
      <c r="AI267" s="17">
        <f>'Datos Crudos SE4 Im'!U102</f>
        <v>65.549289891395162</v>
      </c>
    </row>
    <row r="268" spans="1:35" x14ac:dyDescent="0.25">
      <c r="A268" t="s">
        <v>184</v>
      </c>
      <c r="F268" s="5">
        <v>44307</v>
      </c>
      <c r="G268" s="9">
        <f>'Ensayo en Lab'!C2</f>
        <v>2.0112000000000001</v>
      </c>
      <c r="H268" s="9">
        <f>'Ensayo en Lab'!C5</f>
        <v>2.2002000000000002</v>
      </c>
      <c r="I268" s="17">
        <f>'Ensayo en Lab'!D2</f>
        <v>4.3655529037390659</v>
      </c>
      <c r="J268" s="17">
        <f>'Ensayo en Lab'!D5</f>
        <v>4.840469048268341</v>
      </c>
      <c r="K268" s="9">
        <f>'Ensayo en Lab'!M2</f>
        <v>1.5670000000000002</v>
      </c>
      <c r="L268" s="9">
        <f>'Ensayo en Lab'!M5</f>
        <v>1.8971</v>
      </c>
      <c r="M268" s="5">
        <v>44312</v>
      </c>
      <c r="N268">
        <f>'Ensayo en Lab'!H2</f>
        <v>1.4911000000000001</v>
      </c>
      <c r="O268">
        <f>'Ensayo en Lab'!K2</f>
        <v>0.2868</v>
      </c>
      <c r="P268">
        <f>'Ensayo en Lab'!L2</f>
        <v>0.15740000000000001</v>
      </c>
      <c r="Q268">
        <f>'Ensayo en Lab'!H5</f>
        <v>1.9879</v>
      </c>
      <c r="R268">
        <f>'Ensayo en Lab'!K5</f>
        <v>0.16400000000000001</v>
      </c>
      <c r="S268">
        <f>'Ensayo en Lab'!L5</f>
        <v>0.1391</v>
      </c>
      <c r="T268">
        <f>'Ensayo en Lab'!J2</f>
        <v>1.0327999999999999</v>
      </c>
      <c r="U268">
        <f>'Ensayo en Lab'!J5</f>
        <v>1.6836</v>
      </c>
      <c r="V268" s="198">
        <f t="shared" si="26"/>
        <v>0.34090619017230384</v>
      </c>
      <c r="W268" s="198">
        <f t="shared" si="33"/>
        <v>0.59512328958158689</v>
      </c>
      <c r="X268" s="21">
        <f t="shared" si="27"/>
        <v>0.22349194415096404</v>
      </c>
      <c r="Y268" s="21">
        <f t="shared" si="28"/>
        <v>0.887459807073955</v>
      </c>
      <c r="Z268" s="61">
        <f t="shared" si="29"/>
        <v>5</v>
      </c>
      <c r="AA268" s="248">
        <f t="shared" si="32"/>
        <v>0.14005598723435292</v>
      </c>
    </row>
    <row r="269" spans="1:35" x14ac:dyDescent="0.25">
      <c r="A269" t="s">
        <v>185</v>
      </c>
      <c r="F269" s="5">
        <v>44307</v>
      </c>
      <c r="G269" s="9">
        <f>'Ensayo en Lab'!C3</f>
        <v>2.0074999999999998</v>
      </c>
      <c r="H269" s="9">
        <f>'Ensayo en Lab'!C6</f>
        <v>2.113</v>
      </c>
      <c r="I269" s="17">
        <f>'Ensayo en Lab'!D3</f>
        <v>4.3835616438356206</v>
      </c>
      <c r="J269" s="17">
        <f>'Ensayo en Lab'!D6</f>
        <v>4.8367250354945508</v>
      </c>
      <c r="K269" s="9">
        <f>'Ensayo en Lab'!M3</f>
        <v>1.5177999999999998</v>
      </c>
      <c r="L269" s="9">
        <f>'Ensayo en Lab'!M6</f>
        <v>1.7979000000000001</v>
      </c>
      <c r="M269" s="5">
        <v>44312</v>
      </c>
      <c r="N269">
        <f>'Ensayo en Lab'!H3</f>
        <v>1.4441999999999999</v>
      </c>
      <c r="O269">
        <f>'Ensayo en Lab'!K3</f>
        <v>0.31559999999999999</v>
      </c>
      <c r="P269">
        <f>'Ensayo en Lab'!L3</f>
        <v>0.1741</v>
      </c>
      <c r="Q269">
        <f>'Ensayo en Lab'!H6</f>
        <v>1.9238</v>
      </c>
      <c r="R269">
        <f>'Ensayo en Lab'!K6</f>
        <v>0.1726</v>
      </c>
      <c r="S269">
        <f>'Ensayo en Lab'!L6</f>
        <v>0.14249999999999999</v>
      </c>
      <c r="T269">
        <f>'Ensayo en Lab'!J3</f>
        <v>0.94769999999999999</v>
      </c>
      <c r="U269">
        <f>'Ensayo en Lab'!J6</f>
        <v>1.601</v>
      </c>
      <c r="V269" s="198">
        <f t="shared" si="26"/>
        <v>0.37560943470813013</v>
      </c>
      <c r="W269" s="198">
        <f t="shared" si="33"/>
        <v>0.55390803478844397</v>
      </c>
      <c r="X269" s="21">
        <f t="shared" si="27"/>
        <v>0.24624276479677895</v>
      </c>
      <c r="Y269" s="21">
        <f t="shared" si="28"/>
        <v>0.8904833416764002</v>
      </c>
      <c r="Z269" s="61">
        <f t="shared" si="29"/>
        <v>5</v>
      </c>
      <c r="AA269" s="248">
        <f t="shared" si="32"/>
        <v>0.11766763923870449</v>
      </c>
    </row>
    <row r="270" spans="1:35" x14ac:dyDescent="0.25">
      <c r="A270" t="s">
        <v>186</v>
      </c>
      <c r="F270" s="5">
        <v>44307</v>
      </c>
      <c r="G270" s="9">
        <f>'Ensayo en Lab'!C4</f>
        <v>1.9977</v>
      </c>
      <c r="H270" s="9">
        <f>'Ensayo en Lab'!C7</f>
        <v>2.1604999999999999</v>
      </c>
      <c r="I270" s="17">
        <f>'Ensayo en Lab'!D4</f>
        <v>4.3550082594984323</v>
      </c>
      <c r="J270" s="17">
        <f>'Ensayo en Lab'!D7</f>
        <v>4.7396436010182956</v>
      </c>
      <c r="K270" s="9">
        <f>'Ensayo en Lab'!M4</f>
        <v>1.55755</v>
      </c>
      <c r="L270" s="9">
        <f>'Ensayo en Lab'!M7</f>
        <v>1.8526999999999998</v>
      </c>
      <c r="M270" s="5">
        <v>44312</v>
      </c>
      <c r="N270">
        <f>'Ensayo en Lab'!H4</f>
        <v>1.4692000000000001</v>
      </c>
      <c r="O270">
        <f>'Ensayo en Lab'!K4</f>
        <v>0.2515</v>
      </c>
      <c r="P270">
        <f>'Ensayo en Lab'!L4</f>
        <v>0.18865000000000001</v>
      </c>
      <c r="Q270">
        <f>'Ensayo en Lab'!H7</f>
        <v>1.9665999999999999</v>
      </c>
      <c r="R270">
        <f>'Ensayo en Lab'!K7</f>
        <v>0.15770000000000001</v>
      </c>
      <c r="S270">
        <f>'Ensayo en Lab'!L7</f>
        <v>0.15010000000000001</v>
      </c>
      <c r="T270">
        <f>'Ensayo en Lab'!J4</f>
        <v>1.0225</v>
      </c>
      <c r="U270">
        <f>'Ensayo en Lab'!J7</f>
        <v>1.6586000000000001</v>
      </c>
      <c r="V270" s="198">
        <f t="shared" si="26"/>
        <v>0.34352027222240056</v>
      </c>
      <c r="W270" s="198">
        <f t="shared" si="33"/>
        <v>0.59201867907078309</v>
      </c>
      <c r="X270" s="21">
        <f t="shared" si="27"/>
        <v>0.22520568915292774</v>
      </c>
      <c r="Y270" s="21">
        <f t="shared" si="28"/>
        <v>0.89523398283586131</v>
      </c>
      <c r="Z270" s="61">
        <f t="shared" si="29"/>
        <v>5</v>
      </c>
      <c r="AA270" s="248">
        <f t="shared" si="32"/>
        <v>0.12517303568916832</v>
      </c>
    </row>
    <row r="271" spans="1:35" x14ac:dyDescent="0.25">
      <c r="F271" s="267"/>
    </row>
    <row r="272" spans="1:35" x14ac:dyDescent="0.25">
      <c r="F272" s="267"/>
    </row>
    <row r="273" spans="6:6" x14ac:dyDescent="0.25">
      <c r="F273" s="267"/>
    </row>
  </sheetData>
  <autoFilter ref="A1:AI267"/>
  <conditionalFormatting sqref="V2:Y270 AA21:AA270">
    <cfRule type="containsErrors" dxfId="5" priority="9" stopIfTrue="1">
      <formula>ISERROR(V2)</formula>
    </cfRule>
  </conditionalFormatting>
  <conditionalFormatting sqref="AA2:AC20 AB21:AC81">
    <cfRule type="containsErrors" dxfId="4" priority="5" stopIfTrue="1">
      <formula>ISERROR(AA2)</formula>
    </cfRule>
  </conditionalFormatting>
  <conditionalFormatting sqref="AH2:AH41">
    <cfRule type="containsErrors" dxfId="3" priority="4" stopIfTrue="1">
      <formula>ISERROR(AH2)</formula>
    </cfRule>
  </conditionalFormatting>
  <conditionalFormatting sqref="AI2:AI41">
    <cfRule type="containsErrors" dxfId="2" priority="3" stopIfTrue="1">
      <formula>ISERROR(AI2)</formula>
    </cfRule>
  </conditionalFormatting>
  <conditionalFormatting sqref="AH42:AH81">
    <cfRule type="containsErrors" dxfId="1" priority="2" stopIfTrue="1">
      <formula>ISERROR(AH42)</formula>
    </cfRule>
  </conditionalFormatting>
  <conditionalFormatting sqref="AI42:AI81">
    <cfRule type="containsErrors" dxfId="0" priority="1" stopIfTrue="1">
      <formula>ISERROR(AI42)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topLeftCell="A171" workbookViewId="0">
      <selection activeCell="C192" sqref="C192"/>
    </sheetView>
  </sheetViews>
  <sheetFormatPr baseColWidth="10" defaultRowHeight="15" x14ac:dyDescent="0.25"/>
  <cols>
    <col min="2" max="2" width="15.7109375" customWidth="1"/>
    <col min="3" max="3" width="14.28515625" customWidth="1"/>
  </cols>
  <sheetData>
    <row r="1" spans="1:3" ht="60" x14ac:dyDescent="0.25">
      <c r="A1" s="9" t="s">
        <v>938</v>
      </c>
      <c r="B1" s="117" t="s">
        <v>138</v>
      </c>
      <c r="C1" s="118" t="s">
        <v>139</v>
      </c>
    </row>
    <row r="2" spans="1:3" x14ac:dyDescent="0.25">
      <c r="A2" s="9" t="s">
        <v>14</v>
      </c>
      <c r="B2" s="65">
        <v>0.83617378131255748</v>
      </c>
      <c r="C2" s="65">
        <v>0.54818043620490708</v>
      </c>
    </row>
    <row r="3" spans="1:3" x14ac:dyDescent="0.25">
      <c r="A3" s="9" t="s">
        <v>14</v>
      </c>
      <c r="B3" s="65">
        <v>0.82777086601395578</v>
      </c>
      <c r="C3" s="65">
        <v>0.54267163662672646</v>
      </c>
    </row>
    <row r="4" spans="1:3" x14ac:dyDescent="0.25">
      <c r="A4" s="9" t="s">
        <v>14</v>
      </c>
      <c r="B4" s="65">
        <v>0.84157117610170462</v>
      </c>
      <c r="C4" s="65">
        <v>0.55171887079351667</v>
      </c>
    </row>
    <row r="5" spans="1:3" x14ac:dyDescent="0.25">
      <c r="A5" s="9" t="s">
        <v>14</v>
      </c>
      <c r="B5" s="65">
        <v>0.83816989103847006</v>
      </c>
      <c r="C5" s="65">
        <v>0.54948904970693058</v>
      </c>
    </row>
    <row r="6" spans="1:3" x14ac:dyDescent="0.25">
      <c r="A6" s="9" t="s">
        <v>14</v>
      </c>
      <c r="B6" s="65">
        <v>0.83003364032427074</v>
      </c>
      <c r="C6" s="65">
        <v>0.54415507061638657</v>
      </c>
    </row>
    <row r="7" spans="1:3" x14ac:dyDescent="0.25">
      <c r="A7" s="9" t="s">
        <v>14</v>
      </c>
      <c r="B7" s="65">
        <v>0.84140476456772173</v>
      </c>
      <c r="C7" s="65">
        <v>0.55160977439594117</v>
      </c>
    </row>
    <row r="8" spans="1:3" x14ac:dyDescent="0.25">
      <c r="A8" s="9" t="s">
        <v>14</v>
      </c>
      <c r="B8" s="65">
        <v>0.79898889987910759</v>
      </c>
      <c r="C8" s="65">
        <v>0.52380269920815614</v>
      </c>
    </row>
    <row r="9" spans="1:3" x14ac:dyDescent="0.25">
      <c r="A9" s="9" t="s">
        <v>14</v>
      </c>
      <c r="B9" s="65">
        <v>0.77766699900299108</v>
      </c>
      <c r="C9" s="65">
        <v>0.50982444590219844</v>
      </c>
    </row>
    <row r="10" spans="1:3" x14ac:dyDescent="0.25">
      <c r="A10" s="9" t="s">
        <v>14</v>
      </c>
      <c r="B10" s="65">
        <v>0.79676446394296685</v>
      </c>
      <c r="C10" s="65">
        <v>0.52234439916451036</v>
      </c>
    </row>
    <row r="11" spans="1:3" x14ac:dyDescent="0.25">
      <c r="A11" s="9" t="s">
        <v>14</v>
      </c>
      <c r="B11" s="65">
        <v>0.79507721498972228</v>
      </c>
      <c r="C11" s="65">
        <v>0.52123826920941418</v>
      </c>
    </row>
    <row r="12" spans="1:3" x14ac:dyDescent="0.25">
      <c r="A12" s="9" t="s">
        <v>14</v>
      </c>
      <c r="B12" s="65">
        <v>0.79980595084087969</v>
      </c>
      <c r="C12" s="65">
        <v>0.52433834306908034</v>
      </c>
    </row>
    <row r="13" spans="1:3" x14ac:dyDescent="0.25">
      <c r="A13" s="9" t="s">
        <v>14</v>
      </c>
      <c r="B13" s="65">
        <v>0.76165323458941414</v>
      </c>
      <c r="C13" s="65">
        <v>0.49932611103724067</v>
      </c>
    </row>
    <row r="14" spans="1:3" x14ac:dyDescent="0.25">
      <c r="A14" s="9" t="s">
        <v>14</v>
      </c>
      <c r="B14" s="65">
        <v>0.74504546514338998</v>
      </c>
      <c r="C14" s="65">
        <v>0.4884383571961417</v>
      </c>
    </row>
    <row r="15" spans="1:3" x14ac:dyDescent="0.25">
      <c r="A15" s="9" t="s">
        <v>14</v>
      </c>
      <c r="B15" s="65">
        <v>0.74960206377957084</v>
      </c>
      <c r="C15" s="65">
        <v>0.49142558100513439</v>
      </c>
    </row>
    <row r="16" spans="1:3" x14ac:dyDescent="0.25">
      <c r="A16" s="9" t="s">
        <v>14</v>
      </c>
      <c r="B16" s="65">
        <v>0.80136377112362878</v>
      </c>
      <c r="C16" s="65">
        <v>0.52535962192427921</v>
      </c>
    </row>
    <row r="17" spans="1:3" x14ac:dyDescent="0.25">
      <c r="A17" s="9" t="s">
        <v>14</v>
      </c>
      <c r="B17" s="65">
        <v>0.81387633701309836</v>
      </c>
      <c r="C17" s="65">
        <v>0.53356263424136618</v>
      </c>
    </row>
    <row r="18" spans="1:3" x14ac:dyDescent="0.25">
      <c r="A18" s="9" t="s">
        <v>14</v>
      </c>
      <c r="B18" s="65">
        <v>0.81612018736433223</v>
      </c>
      <c r="C18" s="65">
        <v>0.53503366202507296</v>
      </c>
    </row>
    <row r="19" spans="1:3" x14ac:dyDescent="0.25">
      <c r="A19" s="9" t="s">
        <v>14</v>
      </c>
      <c r="B19" s="65">
        <v>0.82578806170355468</v>
      </c>
      <c r="C19" s="65">
        <v>0.54137174591491954</v>
      </c>
    </row>
    <row r="20" spans="1:3" x14ac:dyDescent="0.25">
      <c r="A20" s="9" t="s">
        <v>14</v>
      </c>
      <c r="B20" s="65">
        <v>0.79894433781190022</v>
      </c>
      <c r="C20" s="65">
        <v>0.52377348512134081</v>
      </c>
    </row>
    <row r="21" spans="1:3" x14ac:dyDescent="0.25">
      <c r="A21" s="9" t="s">
        <v>14</v>
      </c>
      <c r="B21" s="65">
        <v>0.80404447836040549</v>
      </c>
      <c r="C21" s="65">
        <v>0.52711704519589531</v>
      </c>
    </row>
    <row r="22" spans="1:3" x14ac:dyDescent="0.25">
      <c r="A22" s="9" t="s">
        <v>14</v>
      </c>
      <c r="B22" s="65">
        <v>0.81254765276113705</v>
      </c>
      <c r="C22" s="65">
        <v>0.53269157283152935</v>
      </c>
    </row>
    <row r="23" spans="1:3" x14ac:dyDescent="0.25">
      <c r="A23" s="9" t="s">
        <v>59</v>
      </c>
      <c r="B23" s="65">
        <v>0.83158253364374546</v>
      </c>
      <c r="C23" s="65">
        <v>0.54517049711561472</v>
      </c>
    </row>
    <row r="24" spans="1:3" x14ac:dyDescent="0.25">
      <c r="A24" s="9" t="s">
        <v>59</v>
      </c>
      <c r="B24" s="65">
        <v>0.83435748167313495</v>
      </c>
      <c r="C24" s="65">
        <v>0.54698970294960869</v>
      </c>
    </row>
    <row r="25" spans="1:3" x14ac:dyDescent="0.25">
      <c r="A25" s="9" t="s">
        <v>59</v>
      </c>
      <c r="B25" s="65">
        <v>0.83980199062615202</v>
      </c>
      <c r="C25" s="65">
        <v>0.55055902473353446</v>
      </c>
    </row>
    <row r="26" spans="1:3" x14ac:dyDescent="0.25">
      <c r="A26" s="9" t="s">
        <v>59</v>
      </c>
      <c r="B26" s="65">
        <v>0.82470319380190626</v>
      </c>
      <c r="C26" s="65">
        <v>0.54066052610291249</v>
      </c>
    </row>
    <row r="27" spans="1:3" x14ac:dyDescent="0.25">
      <c r="A27" s="9" t="s">
        <v>59</v>
      </c>
      <c r="B27" s="65">
        <v>0.76752767527675281</v>
      </c>
      <c r="C27" s="65">
        <v>0.50317728830494968</v>
      </c>
    </row>
    <row r="28" spans="1:3" x14ac:dyDescent="0.25">
      <c r="A28" s="9" t="s">
        <v>59</v>
      </c>
      <c r="B28" s="65">
        <v>0.75480502166425945</v>
      </c>
      <c r="C28" s="65">
        <v>0.49483654626920581</v>
      </c>
    </row>
    <row r="29" spans="1:3" x14ac:dyDescent="0.25">
      <c r="A29" s="9" t="s">
        <v>59</v>
      </c>
      <c r="B29" s="65">
        <v>0.80218998083766768</v>
      </c>
      <c r="C29" s="65">
        <v>0.52590127009785348</v>
      </c>
    </row>
    <row r="30" spans="1:3" x14ac:dyDescent="0.25">
      <c r="A30" s="9" t="s">
        <v>59</v>
      </c>
      <c r="B30" s="65">
        <v>0.82188783949629152</v>
      </c>
      <c r="C30" s="65">
        <v>0.53881483064364966</v>
      </c>
    </row>
    <row r="31" spans="1:3" x14ac:dyDescent="0.25">
      <c r="A31" s="9" t="s">
        <v>59</v>
      </c>
      <c r="B31" s="65">
        <v>0.80484352885673838</v>
      </c>
      <c r="C31" s="65">
        <v>0.5276408882766267</v>
      </c>
    </row>
    <row r="32" spans="1:3" x14ac:dyDescent="0.25">
      <c r="A32" s="9" t="s">
        <v>59</v>
      </c>
      <c r="B32" s="65">
        <v>0.79548652146997578</v>
      </c>
      <c r="C32" s="65">
        <v>0.5215066031489628</v>
      </c>
    </row>
    <row r="33" spans="1:3" x14ac:dyDescent="0.25">
      <c r="A33" s="9" t="s">
        <v>59</v>
      </c>
      <c r="B33" s="65">
        <v>0.80771865722767755</v>
      </c>
      <c r="C33" s="65">
        <v>0.52952577053405947</v>
      </c>
    </row>
    <row r="34" spans="1:3" x14ac:dyDescent="0.25">
      <c r="A34" s="9" t="s">
        <v>59</v>
      </c>
      <c r="B34" s="65">
        <v>0.78232367573895234</v>
      </c>
      <c r="C34" s="65">
        <v>0.51287727910677172</v>
      </c>
    </row>
    <row r="35" spans="1:3" x14ac:dyDescent="0.25">
      <c r="A35" s="9" t="s">
        <v>59</v>
      </c>
      <c r="B35" s="65">
        <v>0.71814818844521811</v>
      </c>
      <c r="C35" s="65">
        <v>0.47080498814935917</v>
      </c>
    </row>
    <row r="36" spans="1:3" x14ac:dyDescent="0.25">
      <c r="A36" s="9" t="s">
        <v>59</v>
      </c>
      <c r="B36" s="65">
        <v>0.72568523430592391</v>
      </c>
      <c r="C36" s="65">
        <v>0.47574613935495252</v>
      </c>
    </row>
    <row r="37" spans="1:3" x14ac:dyDescent="0.25">
      <c r="A37" s="9" t="s">
        <v>59</v>
      </c>
      <c r="B37" s="65">
        <v>0.81300309597523224</v>
      </c>
      <c r="C37" s="65">
        <v>0.53299015318091247</v>
      </c>
    </row>
    <row r="38" spans="1:3" x14ac:dyDescent="0.25">
      <c r="A38" s="9" t="s">
        <v>59</v>
      </c>
      <c r="B38" s="65">
        <v>0.84063389319792425</v>
      </c>
      <c r="C38" s="65">
        <v>0.55110440504186964</v>
      </c>
    </row>
    <row r="39" spans="1:3" x14ac:dyDescent="0.25">
      <c r="A39" s="9" t="s">
        <v>59</v>
      </c>
      <c r="B39" s="65">
        <v>0.82121852338263013</v>
      </c>
      <c r="C39" s="65">
        <v>0.53837603908219944</v>
      </c>
    </row>
    <row r="40" spans="1:3" x14ac:dyDescent="0.25">
      <c r="A40" s="9" t="s">
        <v>59</v>
      </c>
      <c r="B40" s="65">
        <v>0.8393563562493318</v>
      </c>
      <c r="C40" s="65">
        <v>0.55026687488079717</v>
      </c>
    </row>
    <row r="41" spans="1:3" x14ac:dyDescent="0.25">
      <c r="A41" s="9" t="s">
        <v>62</v>
      </c>
      <c r="B41" s="65">
        <v>0.79335443037974684</v>
      </c>
      <c r="C41" s="65">
        <v>0.52010884271926405</v>
      </c>
    </row>
    <row r="42" spans="1:3" x14ac:dyDescent="0.25">
      <c r="A42" s="9" t="s">
        <v>62</v>
      </c>
      <c r="B42" s="65">
        <v>0.81847116577655499</v>
      </c>
      <c r="C42" s="65">
        <v>0.53657492103166082</v>
      </c>
    </row>
    <row r="43" spans="1:3" x14ac:dyDescent="0.25">
      <c r="A43" s="9" t="s">
        <v>62</v>
      </c>
      <c r="B43" s="65">
        <v>0.79984221796461175</v>
      </c>
      <c r="C43" s="65">
        <v>0.52436211914069564</v>
      </c>
    </row>
    <row r="44" spans="1:3" x14ac:dyDescent="0.25">
      <c r="A44" s="9" t="s">
        <v>62</v>
      </c>
      <c r="B44" s="65">
        <v>0.81309573145462077</v>
      </c>
      <c r="C44" s="65">
        <v>0.53305088332892014</v>
      </c>
    </row>
    <row r="45" spans="1:3" x14ac:dyDescent="0.25">
      <c r="A45" s="9" t="s">
        <v>62</v>
      </c>
      <c r="B45" s="65">
        <v>0.78755770037767525</v>
      </c>
      <c r="C45" s="65">
        <v>0.51630861117396287</v>
      </c>
    </row>
    <row r="46" spans="1:3" x14ac:dyDescent="0.25">
      <c r="A46" s="9" t="s">
        <v>62</v>
      </c>
      <c r="B46" s="65">
        <v>0.79719887955182078</v>
      </c>
      <c r="C46" s="65">
        <v>0.52262919419549303</v>
      </c>
    </row>
    <row r="47" spans="1:3" x14ac:dyDescent="0.25">
      <c r="A47" s="9" t="s">
        <v>62</v>
      </c>
      <c r="B47" s="65">
        <v>0.77916802079948</v>
      </c>
      <c r="C47" s="65">
        <v>0.51080848869514617</v>
      </c>
    </row>
    <row r="48" spans="1:3" x14ac:dyDescent="0.25">
      <c r="A48" s="9" t="s">
        <v>62</v>
      </c>
      <c r="B48" s="65">
        <v>0.78173612954605787</v>
      </c>
      <c r="C48" s="65">
        <v>0.5124920944292447</v>
      </c>
    </row>
    <row r="49" spans="1:3" x14ac:dyDescent="0.25">
      <c r="A49" s="9" t="s">
        <v>62</v>
      </c>
      <c r="B49" s="65">
        <v>0.78020463340931978</v>
      </c>
      <c r="C49" s="65">
        <v>0.51148807320896028</v>
      </c>
    </row>
    <row r="50" spans="1:3" x14ac:dyDescent="0.25">
      <c r="A50" s="9" t="s">
        <v>62</v>
      </c>
      <c r="B50" s="65">
        <v>0.76520351157222666</v>
      </c>
      <c r="C50" s="65">
        <v>0.50165360853666174</v>
      </c>
    </row>
    <row r="51" spans="1:3" x14ac:dyDescent="0.25">
      <c r="A51" s="9" t="s">
        <v>62</v>
      </c>
      <c r="B51" s="65">
        <v>0.80125860585197928</v>
      </c>
      <c r="C51" s="65">
        <v>0.52529067747065628</v>
      </c>
    </row>
    <row r="52" spans="1:3" x14ac:dyDescent="0.25">
      <c r="A52" s="9" t="s">
        <v>62</v>
      </c>
      <c r="B52" s="65">
        <v>0.82990898686576919</v>
      </c>
      <c r="C52" s="65">
        <v>0.54407335005926916</v>
      </c>
    </row>
    <row r="53" spans="1:3" x14ac:dyDescent="0.25">
      <c r="A53" s="9" t="s">
        <v>62</v>
      </c>
      <c r="B53" s="65">
        <v>0.80498878923766815</v>
      </c>
      <c r="C53" s="65">
        <v>0.5277361183600866</v>
      </c>
    </row>
    <row r="54" spans="1:3" x14ac:dyDescent="0.25">
      <c r="A54" s="9" t="s">
        <v>62</v>
      </c>
      <c r="B54" s="65">
        <v>0.80038801465833154</v>
      </c>
      <c r="C54" s="65">
        <v>0.52471993360023639</v>
      </c>
    </row>
    <row r="55" spans="1:3" x14ac:dyDescent="0.25">
      <c r="A55" s="9" t="s">
        <v>62</v>
      </c>
      <c r="B55" s="65">
        <v>0.78981069042316254</v>
      </c>
      <c r="C55" s="65">
        <v>0.51778563077623019</v>
      </c>
    </row>
    <row r="56" spans="1:3" x14ac:dyDescent="0.25">
      <c r="A56" s="9" t="s">
        <v>62</v>
      </c>
      <c r="B56" s="65">
        <v>0.80396782841823056</v>
      </c>
      <c r="C56" s="65">
        <v>0.52706679487750996</v>
      </c>
    </row>
    <row r="57" spans="1:3" x14ac:dyDescent="0.25">
      <c r="A57" s="9" t="s">
        <v>62</v>
      </c>
      <c r="B57" s="65">
        <v>0.79327275805632369</v>
      </c>
      <c r="C57" s="65">
        <v>0.52005529981839749</v>
      </c>
    </row>
    <row r="58" spans="1:3" x14ac:dyDescent="0.25">
      <c r="A58" s="9" t="s">
        <v>62</v>
      </c>
      <c r="B58" s="65">
        <v>0.77645060544627698</v>
      </c>
      <c r="C58" s="65">
        <v>0.5090270002450652</v>
      </c>
    </row>
    <row r="59" spans="1:3" x14ac:dyDescent="0.25">
      <c r="A59" s="9" t="s">
        <v>62</v>
      </c>
      <c r="B59" s="65">
        <v>0.79176284777062322</v>
      </c>
      <c r="C59" s="65">
        <v>0.51906542989238014</v>
      </c>
    </row>
    <row r="60" spans="1:3" x14ac:dyDescent="0.25">
      <c r="A60" s="9" t="s">
        <v>62</v>
      </c>
      <c r="B60" s="65">
        <v>0.79256105493465789</v>
      </c>
      <c r="C60" s="65">
        <v>0.51958872009968071</v>
      </c>
    </row>
    <row r="61" spans="1:3" x14ac:dyDescent="0.25">
      <c r="A61" s="9" t="s">
        <v>62</v>
      </c>
      <c r="B61" s="65">
        <v>0.79582265365108795</v>
      </c>
      <c r="C61" s="65">
        <v>0.52172696533895557</v>
      </c>
    </row>
    <row r="62" spans="1:3" x14ac:dyDescent="0.25">
      <c r="A62" s="9" t="s">
        <v>62</v>
      </c>
      <c r="B62" s="65">
        <v>0.78954699949852347</v>
      </c>
      <c r="C62" s="65">
        <v>0.51761275976625298</v>
      </c>
    </row>
    <row r="63" spans="1:3" x14ac:dyDescent="0.25">
      <c r="A63" s="9" t="s">
        <v>62</v>
      </c>
      <c r="B63" s="65">
        <v>0.82308954951668789</v>
      </c>
      <c r="C63" s="65">
        <v>0.53960265003944385</v>
      </c>
    </row>
    <row r="64" spans="1:3" x14ac:dyDescent="0.25">
      <c r="A64" s="9" t="s">
        <v>62</v>
      </c>
      <c r="B64" s="65">
        <v>0.78844500487189773</v>
      </c>
      <c r="C64" s="65">
        <v>0.51689031198252688</v>
      </c>
    </row>
    <row r="65" spans="1:3" x14ac:dyDescent="0.25">
      <c r="A65" s="9" t="s">
        <v>99</v>
      </c>
      <c r="B65" s="65">
        <v>0.82143049351488084</v>
      </c>
      <c r="C65" s="65">
        <v>0.53851500287436382</v>
      </c>
    </row>
    <row r="66" spans="1:3" x14ac:dyDescent="0.25">
      <c r="A66" s="9" t="s">
        <v>99</v>
      </c>
      <c r="B66" s="65">
        <v>0.79484864577801384</v>
      </c>
      <c r="C66" s="65">
        <v>0.52108842336040817</v>
      </c>
    </row>
    <row r="67" spans="1:3" x14ac:dyDescent="0.25">
      <c r="A67" s="9" t="s">
        <v>99</v>
      </c>
      <c r="B67" s="65">
        <v>0.79866959599658238</v>
      </c>
      <c r="C67" s="65">
        <v>0.52359336934692824</v>
      </c>
    </row>
    <row r="68" spans="1:3" x14ac:dyDescent="0.25">
      <c r="A68" s="9" t="s">
        <v>99</v>
      </c>
      <c r="B68" s="65">
        <v>0.81587198616066603</v>
      </c>
      <c r="C68" s="65">
        <v>0.53487094579654126</v>
      </c>
    </row>
    <row r="69" spans="1:3" x14ac:dyDescent="0.25">
      <c r="A69" s="9" t="s">
        <v>99</v>
      </c>
      <c r="B69" s="65">
        <v>0.8210960077063042</v>
      </c>
      <c r="C69" s="65">
        <v>0.53829572001648451</v>
      </c>
    </row>
    <row r="70" spans="1:3" x14ac:dyDescent="0.25">
      <c r="A70" s="9" t="s">
        <v>99</v>
      </c>
      <c r="B70" s="65">
        <v>0.83541961467290737</v>
      </c>
      <c r="C70" s="65">
        <v>0.54768601817036222</v>
      </c>
    </row>
    <row r="71" spans="1:3" x14ac:dyDescent="0.25">
      <c r="A71" s="9" t="s">
        <v>99</v>
      </c>
      <c r="B71" s="65">
        <v>0.78939641109298531</v>
      </c>
      <c r="C71" s="65">
        <v>0.51751403672604268</v>
      </c>
    </row>
    <row r="72" spans="1:3" x14ac:dyDescent="0.25">
      <c r="A72" s="9" t="s">
        <v>99</v>
      </c>
      <c r="B72" s="65">
        <v>0.76221444055361021</v>
      </c>
      <c r="C72" s="65">
        <v>0.49969402753633357</v>
      </c>
    </row>
    <row r="73" spans="1:3" x14ac:dyDescent="0.25">
      <c r="A73" s="9" t="s">
        <v>99</v>
      </c>
      <c r="B73" s="65">
        <v>0.71158064888580996</v>
      </c>
      <c r="C73" s="65">
        <v>0.46649942777312015</v>
      </c>
    </row>
    <row r="74" spans="1:3" x14ac:dyDescent="0.25">
      <c r="A74" s="9" t="s">
        <v>99</v>
      </c>
      <c r="B74" s="65">
        <v>0.78133922318590743</v>
      </c>
      <c r="C74" s="65">
        <v>0.51223188978458545</v>
      </c>
    </row>
    <row r="75" spans="1:3" x14ac:dyDescent="0.25">
      <c r="A75" s="9" t="s">
        <v>99</v>
      </c>
      <c r="B75" s="65">
        <v>0.80684637942702464</v>
      </c>
      <c r="C75" s="65">
        <v>0.52895392095453408</v>
      </c>
    </row>
    <row r="76" spans="1:3" x14ac:dyDescent="0.25">
      <c r="A76" s="9" t="s">
        <v>99</v>
      </c>
      <c r="B76" s="65">
        <v>0.82547494311266345</v>
      </c>
      <c r="C76" s="65">
        <v>0.54116647101922832</v>
      </c>
    </row>
    <row r="77" spans="1:3" x14ac:dyDescent="0.25">
      <c r="A77" s="9" t="s">
        <v>99</v>
      </c>
      <c r="B77" s="65">
        <v>0.79843715362447343</v>
      </c>
      <c r="C77" s="65">
        <v>0.52344098432388286</v>
      </c>
    </row>
    <row r="78" spans="1:3" x14ac:dyDescent="0.25">
      <c r="A78" s="9" t="s">
        <v>99</v>
      </c>
      <c r="B78" s="65">
        <v>0.79091505411610363</v>
      </c>
      <c r="C78" s="65">
        <v>0.51850963167706565</v>
      </c>
    </row>
    <row r="79" spans="1:3" x14ac:dyDescent="0.25">
      <c r="A79" s="9" t="s">
        <v>99</v>
      </c>
      <c r="B79" s="65">
        <v>0.76937907570172959</v>
      </c>
      <c r="C79" s="65">
        <v>0.50439103300160903</v>
      </c>
    </row>
    <row r="80" spans="1:3" x14ac:dyDescent="0.25">
      <c r="A80" s="9" t="s">
        <v>99</v>
      </c>
      <c r="B80" s="65">
        <v>0.79090034519834762</v>
      </c>
      <c r="C80" s="65">
        <v>0.51849998877611392</v>
      </c>
    </row>
    <row r="81" spans="1:3" x14ac:dyDescent="0.25">
      <c r="A81" s="9" t="s">
        <v>99</v>
      </c>
      <c r="B81" s="65">
        <v>0.78434081750143925</v>
      </c>
      <c r="C81" s="65">
        <v>0.5141996808322975</v>
      </c>
    </row>
    <row r="82" spans="1:3" x14ac:dyDescent="0.25">
      <c r="A82" s="9" t="s">
        <v>99</v>
      </c>
      <c r="B82" s="65">
        <v>0.76685282337676997</v>
      </c>
      <c r="C82" s="65">
        <v>0.50273486758192054</v>
      </c>
    </row>
    <row r="83" spans="1:3" x14ac:dyDescent="0.25">
      <c r="A83" s="9" t="s">
        <v>99</v>
      </c>
      <c r="B83" s="65">
        <v>0.83389721282423068</v>
      </c>
      <c r="C83" s="65">
        <v>0.54668795900115841</v>
      </c>
    </row>
    <row r="84" spans="1:3" x14ac:dyDescent="0.25">
      <c r="A84" s="9" t="s">
        <v>300</v>
      </c>
      <c r="B84" s="65">
        <v>0.83573067666648015</v>
      </c>
      <c r="C84" s="65">
        <v>0.54788994479797759</v>
      </c>
    </row>
    <row r="85" spans="1:3" x14ac:dyDescent="0.25">
      <c r="A85" s="9" t="s">
        <v>300</v>
      </c>
      <c r="B85" s="65">
        <v>0.812503333866752</v>
      </c>
      <c r="C85" s="65">
        <v>0.53266251816442656</v>
      </c>
    </row>
    <row r="86" spans="1:3" x14ac:dyDescent="0.25">
      <c r="A86" s="9" t="s">
        <v>300</v>
      </c>
      <c r="B86" s="65">
        <v>0.82128394795097459</v>
      </c>
      <c r="C86" s="65">
        <v>0.53841893024814491</v>
      </c>
    </row>
    <row r="87" spans="1:3" x14ac:dyDescent="0.25">
      <c r="A87" s="9" t="s">
        <v>300</v>
      </c>
      <c r="B87" s="65">
        <v>0.77936823978905445</v>
      </c>
      <c r="C87" s="65">
        <v>0.51093974865030656</v>
      </c>
    </row>
    <row r="88" spans="1:3" x14ac:dyDescent="0.25">
      <c r="A88" s="9" t="s">
        <v>300</v>
      </c>
      <c r="B88" s="65">
        <v>0.7909388646288209</v>
      </c>
      <c r="C88" s="65">
        <v>0.51852524141936962</v>
      </c>
    </row>
    <row r="89" spans="1:3" x14ac:dyDescent="0.25">
      <c r="A89" s="9" t="s">
        <v>300</v>
      </c>
      <c r="B89" s="65">
        <v>0.80734190782422299</v>
      </c>
      <c r="C89" s="65">
        <v>0.52927878042633147</v>
      </c>
    </row>
    <row r="90" spans="1:3" x14ac:dyDescent="0.25">
      <c r="A90" s="9" t="s">
        <v>300</v>
      </c>
      <c r="B90" s="65">
        <v>0.83962485345838211</v>
      </c>
      <c r="C90" s="65">
        <v>0.55044289680406999</v>
      </c>
    </row>
    <row r="91" spans="1:3" x14ac:dyDescent="0.25">
      <c r="A91" s="9" t="s">
        <v>300</v>
      </c>
      <c r="B91" s="65">
        <v>0.83026726830961473</v>
      </c>
      <c r="C91" s="65">
        <v>0.54430823290606578</v>
      </c>
    </row>
    <row r="92" spans="1:3" x14ac:dyDescent="0.25">
      <c r="A92" s="9" t="s">
        <v>476</v>
      </c>
      <c r="B92" s="65">
        <v>0.83931634403332522</v>
      </c>
      <c r="C92" s="65">
        <v>0.55024064359429403</v>
      </c>
    </row>
    <row r="93" spans="1:3" x14ac:dyDescent="0.25">
      <c r="A93" s="9" t="s">
        <v>476</v>
      </c>
      <c r="B93" s="65">
        <v>0.81701427003293092</v>
      </c>
      <c r="C93" s="65">
        <v>0.5356198064823966</v>
      </c>
    </row>
    <row r="94" spans="1:3" x14ac:dyDescent="0.25">
      <c r="A94" s="9" t="s">
        <v>476</v>
      </c>
      <c r="B94" s="65">
        <v>0.80016014641958366</v>
      </c>
      <c r="C94" s="65">
        <v>0.52457054729644925</v>
      </c>
    </row>
    <row r="95" spans="1:3" x14ac:dyDescent="0.25">
      <c r="A95" s="9" t="s">
        <v>476</v>
      </c>
      <c r="B95" s="65">
        <v>0.84093288356403395</v>
      </c>
      <c r="C95" s="65">
        <v>0.55130041772844041</v>
      </c>
    </row>
    <row r="96" spans="1:3" x14ac:dyDescent="0.25">
      <c r="A96" s="9" t="s">
        <v>476</v>
      </c>
      <c r="B96" s="65">
        <v>0.76049903356176418</v>
      </c>
      <c r="C96" s="65">
        <v>0.49856943767944639</v>
      </c>
    </row>
    <row r="97" spans="1:3" x14ac:dyDescent="0.25">
      <c r="A97" s="9" t="s">
        <v>476</v>
      </c>
      <c r="B97" s="65">
        <v>0.7746188237991517</v>
      </c>
      <c r="C97" s="65">
        <v>0.50782611726500215</v>
      </c>
    </row>
    <row r="98" spans="1:3" x14ac:dyDescent="0.25">
      <c r="A98" s="9" t="s">
        <v>476</v>
      </c>
      <c r="B98" s="65">
        <v>0.78065928999538958</v>
      </c>
      <c r="C98" s="65">
        <v>0.51178613785921034</v>
      </c>
    </row>
    <row r="99" spans="1:3" x14ac:dyDescent="0.25">
      <c r="A99" s="9" t="s">
        <v>476</v>
      </c>
      <c r="B99" s="65">
        <v>0.79881399270986342</v>
      </c>
      <c r="C99" s="65">
        <v>0.52368803322546875</v>
      </c>
    </row>
    <row r="100" spans="1:3" x14ac:dyDescent="0.25">
      <c r="A100" s="9" t="s">
        <v>476</v>
      </c>
      <c r="B100" s="65">
        <v>0.78786764705882351</v>
      </c>
      <c r="C100" s="65">
        <v>0.51651180662288676</v>
      </c>
    </row>
    <row r="101" spans="1:3" x14ac:dyDescent="0.25">
      <c r="A101" s="9" t="s">
        <v>476</v>
      </c>
      <c r="B101" s="65">
        <v>0.77766281542794735</v>
      </c>
      <c r="C101" s="65">
        <v>0.5098217032259228</v>
      </c>
    </row>
    <row r="102" spans="1:3" x14ac:dyDescent="0.25">
      <c r="A102" s="9" t="s">
        <v>476</v>
      </c>
      <c r="B102" s="65">
        <v>0.84119350501603063</v>
      </c>
      <c r="C102" s="65">
        <v>0.55147127644756411</v>
      </c>
    </row>
    <row r="103" spans="1:3" x14ac:dyDescent="0.25">
      <c r="A103" s="9" t="s">
        <v>476</v>
      </c>
      <c r="B103" s="65">
        <v>0.80692459998929733</v>
      </c>
      <c r="C103" s="65">
        <v>0.52900520094310233</v>
      </c>
    </row>
    <row r="104" spans="1:3" x14ac:dyDescent="0.25">
      <c r="A104" s="9" t="s">
        <v>476</v>
      </c>
      <c r="B104" s="65">
        <v>0.8009389671361502</v>
      </c>
      <c r="C104" s="65">
        <v>0.52508112809875884</v>
      </c>
    </row>
    <row r="105" spans="1:3" x14ac:dyDescent="0.25">
      <c r="A105" s="9" t="s">
        <v>476</v>
      </c>
      <c r="B105" s="65">
        <v>0.76150815981992115</v>
      </c>
      <c r="C105" s="65">
        <v>0.49923100263728803</v>
      </c>
    </row>
    <row r="106" spans="1:3" x14ac:dyDescent="0.25">
      <c r="A106" s="9" t="s">
        <v>476</v>
      </c>
      <c r="B106" s="65">
        <v>0.80437382538868951</v>
      </c>
      <c r="C106" s="65">
        <v>0.52733295916218137</v>
      </c>
    </row>
    <row r="107" spans="1:3" x14ac:dyDescent="0.25">
      <c r="A107" s="9" t="s">
        <v>476</v>
      </c>
      <c r="B107" s="65">
        <v>0.79694430754066037</v>
      </c>
      <c r="C107" s="65">
        <v>0.52246230138057548</v>
      </c>
    </row>
    <row r="108" spans="1:3" x14ac:dyDescent="0.25">
      <c r="A108" s="9" t="s">
        <v>476</v>
      </c>
      <c r="B108" s="65">
        <v>0.74454594304137567</v>
      </c>
      <c r="C108" s="65">
        <v>0.48811087952356225</v>
      </c>
    </row>
    <row r="109" spans="1:3" x14ac:dyDescent="0.25">
      <c r="A109" s="9" t="s">
        <v>476</v>
      </c>
      <c r="B109" s="65">
        <v>0.75513428120063186</v>
      </c>
      <c r="C109" s="65">
        <v>0.4950524028773739</v>
      </c>
    </row>
    <row r="110" spans="1:3" x14ac:dyDescent="0.25">
      <c r="A110" s="9" t="s">
        <v>475</v>
      </c>
      <c r="B110" s="65">
        <v>0.83627479160678353</v>
      </c>
      <c r="C110" s="65">
        <v>0.5482466567303379</v>
      </c>
    </row>
    <row r="111" spans="1:3" x14ac:dyDescent="0.25">
      <c r="A111" s="9" t="s">
        <v>475</v>
      </c>
      <c r="B111" s="65">
        <v>0.83091280578717763</v>
      </c>
      <c r="C111" s="65">
        <v>0.5447314356229479</v>
      </c>
    </row>
    <row r="112" spans="1:3" x14ac:dyDescent="0.25">
      <c r="A112" s="9" t="s">
        <v>475</v>
      </c>
      <c r="B112" s="65">
        <v>0.8298613060811949</v>
      </c>
      <c r="C112" s="65">
        <v>0.54404209139764803</v>
      </c>
    </row>
    <row r="113" spans="1:3" x14ac:dyDescent="0.25">
      <c r="A113" s="9" t="s">
        <v>475</v>
      </c>
      <c r="B113" s="65">
        <v>0.83346465556055827</v>
      </c>
      <c r="C113" s="65">
        <v>0.54640438226772947</v>
      </c>
    </row>
    <row r="114" spans="1:3" x14ac:dyDescent="0.25">
      <c r="A114" s="9" t="s">
        <v>475</v>
      </c>
      <c r="B114" s="65">
        <v>0.78676859747133199</v>
      </c>
      <c r="C114" s="65">
        <v>0.51579128955365239</v>
      </c>
    </row>
    <row r="115" spans="1:3" x14ac:dyDescent="0.25">
      <c r="A115" s="9" t="s">
        <v>475</v>
      </c>
      <c r="B115" s="65">
        <v>0.81232163840859495</v>
      </c>
      <c r="C115" s="65">
        <v>0.53254340190207183</v>
      </c>
    </row>
    <row r="116" spans="1:3" x14ac:dyDescent="0.25">
      <c r="A116" s="9" t="s">
        <v>475</v>
      </c>
      <c r="B116" s="65">
        <v>0.78494311585790566</v>
      </c>
      <c r="C116" s="65">
        <v>0.51459453676195244</v>
      </c>
    </row>
    <row r="117" spans="1:3" x14ac:dyDescent="0.25">
      <c r="A117" s="9" t="s">
        <v>475</v>
      </c>
      <c r="B117" s="65">
        <v>0.79733289430358911</v>
      </c>
      <c r="C117" s="65">
        <v>0.52271705184748363</v>
      </c>
    </row>
    <row r="118" spans="1:3" x14ac:dyDescent="0.25">
      <c r="A118" s="9" t="s">
        <v>475</v>
      </c>
      <c r="B118" s="65">
        <v>0.7773109243697478</v>
      </c>
      <c r="C118" s="65">
        <v>0.5095910098005948</v>
      </c>
    </row>
    <row r="119" spans="1:3" x14ac:dyDescent="0.25">
      <c r="A119" s="9" t="s">
        <v>475</v>
      </c>
      <c r="B119" s="65">
        <v>0.78673403442805945</v>
      </c>
      <c r="C119" s="65">
        <v>0.51576863064642386</v>
      </c>
    </row>
    <row r="120" spans="1:3" x14ac:dyDescent="0.25">
      <c r="A120" s="9" t="s">
        <v>475</v>
      </c>
      <c r="B120" s="65">
        <v>0.80968779992096196</v>
      </c>
      <c r="C120" s="65">
        <v>0.53081670493630773</v>
      </c>
    </row>
    <row r="121" spans="1:3" x14ac:dyDescent="0.25">
      <c r="A121" s="9" t="s">
        <v>475</v>
      </c>
      <c r="B121" s="65">
        <v>0.7650538270436531</v>
      </c>
      <c r="C121" s="65">
        <v>0.5015554780618724</v>
      </c>
    </row>
    <row r="122" spans="1:3" x14ac:dyDescent="0.25">
      <c r="A122" s="9" t="s">
        <v>475</v>
      </c>
      <c r="B122" s="65">
        <v>0.78149976492712736</v>
      </c>
      <c r="C122" s="65">
        <v>0.51233713805198855</v>
      </c>
    </row>
    <row r="123" spans="1:3" x14ac:dyDescent="0.25">
      <c r="A123" s="9" t="s">
        <v>475</v>
      </c>
      <c r="B123" s="65">
        <v>0.7903572708806309</v>
      </c>
      <c r="C123" s="65">
        <v>0.51814395905713573</v>
      </c>
    </row>
    <row r="124" spans="1:3" x14ac:dyDescent="0.25">
      <c r="A124" s="9" t="s">
        <v>475</v>
      </c>
      <c r="B124" s="65">
        <v>0.82003262248535003</v>
      </c>
      <c r="C124" s="65">
        <v>0.53759858386212978</v>
      </c>
    </row>
    <row r="125" spans="1:3" x14ac:dyDescent="0.25">
      <c r="A125" s="9" t="s">
        <v>475</v>
      </c>
      <c r="B125" s="65">
        <v>0.8010377630441049</v>
      </c>
      <c r="C125" s="65">
        <v>0.52514589691252489</v>
      </c>
    </row>
    <row r="126" spans="1:3" x14ac:dyDescent="0.25">
      <c r="A126" s="9" t="s">
        <v>475</v>
      </c>
      <c r="B126" s="65">
        <v>0.80930098209127665</v>
      </c>
      <c r="C126" s="65">
        <v>0.53056311415010071</v>
      </c>
    </row>
    <row r="127" spans="1:3" x14ac:dyDescent="0.25">
      <c r="A127" s="9" t="s">
        <v>474</v>
      </c>
      <c r="B127" s="65">
        <v>0.81074240719910007</v>
      </c>
      <c r="C127" s="65">
        <v>0.53150808642981384</v>
      </c>
    </row>
    <row r="128" spans="1:3" x14ac:dyDescent="0.25">
      <c r="A128" s="9" t="s">
        <v>474</v>
      </c>
      <c r="B128" s="65">
        <v>0.82229535170711643</v>
      </c>
      <c r="C128" s="65">
        <v>0.53908198829255149</v>
      </c>
    </row>
    <row r="129" spans="1:3" x14ac:dyDescent="0.25">
      <c r="A129" s="9" t="s">
        <v>474</v>
      </c>
      <c r="B129" s="65">
        <v>0.82333556747095615</v>
      </c>
      <c r="C129" s="65">
        <v>0.53976393496908293</v>
      </c>
    </row>
    <row r="130" spans="1:3" x14ac:dyDescent="0.25">
      <c r="A130" s="9" t="s">
        <v>474</v>
      </c>
      <c r="B130" s="65">
        <v>0.80488232202300991</v>
      </c>
      <c r="C130" s="65">
        <v>0.52766632037613004</v>
      </c>
    </row>
    <row r="131" spans="1:3" x14ac:dyDescent="0.25">
      <c r="A131" s="9" t="s">
        <v>474</v>
      </c>
      <c r="B131" s="65">
        <v>0.8260190619783534</v>
      </c>
      <c r="C131" s="65">
        <v>0.54152318552500134</v>
      </c>
    </row>
    <row r="132" spans="1:3" x14ac:dyDescent="0.25">
      <c r="A132" s="9" t="s">
        <v>474</v>
      </c>
      <c r="B132" s="65">
        <v>0.81649053280493167</v>
      </c>
      <c r="C132" s="65">
        <v>0.53527645381035904</v>
      </c>
    </row>
    <row r="133" spans="1:3" x14ac:dyDescent="0.25">
      <c r="A133" s="9" t="s">
        <v>474</v>
      </c>
      <c r="B133" s="65">
        <v>0.81337063256451247</v>
      </c>
      <c r="C133" s="65">
        <v>0.53323110353397973</v>
      </c>
    </row>
    <row r="134" spans="1:3" x14ac:dyDescent="0.25">
      <c r="A134" s="9" t="s">
        <v>474</v>
      </c>
      <c r="B134" s="65">
        <v>0.82476635514018692</v>
      </c>
      <c r="C134" s="65">
        <v>0.54070193353608464</v>
      </c>
    </row>
    <row r="135" spans="1:3" x14ac:dyDescent="0.25">
      <c r="A135" s="9" t="s">
        <v>478</v>
      </c>
      <c r="B135" s="65">
        <v>0.83446167285433503</v>
      </c>
      <c r="C135" s="65">
        <v>0.54705800880711752</v>
      </c>
    </row>
    <row r="136" spans="1:3" x14ac:dyDescent="0.25">
      <c r="A136" s="9" t="s">
        <v>478</v>
      </c>
      <c r="B136" s="65">
        <v>0.82931919454001912</v>
      </c>
      <c r="C136" s="65">
        <v>0.54368669285758986</v>
      </c>
    </row>
    <row r="137" spans="1:3" x14ac:dyDescent="0.25">
      <c r="A137" s="9" t="s">
        <v>478</v>
      </c>
      <c r="B137" s="65">
        <v>0.83476164970540978</v>
      </c>
      <c r="C137" s="65">
        <v>0.54725466821542312</v>
      </c>
    </row>
    <row r="138" spans="1:3" x14ac:dyDescent="0.25">
      <c r="A138" s="9" t="s">
        <v>478</v>
      </c>
      <c r="B138" s="65">
        <v>0.83588093322606594</v>
      </c>
      <c r="C138" s="65">
        <v>0.54798845028597198</v>
      </c>
    </row>
    <row r="139" spans="1:3" x14ac:dyDescent="0.25">
      <c r="A139" s="9" t="s">
        <v>478</v>
      </c>
      <c r="B139" s="65">
        <v>0.80668257756563244</v>
      </c>
      <c r="C139" s="65">
        <v>0.52884653541119853</v>
      </c>
    </row>
    <row r="140" spans="1:3" x14ac:dyDescent="0.25">
      <c r="A140" s="9" t="s">
        <v>478</v>
      </c>
      <c r="B140" s="65">
        <v>0.82816022195248828</v>
      </c>
      <c r="C140" s="65">
        <v>0.54292689135127503</v>
      </c>
    </row>
    <row r="141" spans="1:3" x14ac:dyDescent="0.25">
      <c r="A141" s="9" t="s">
        <v>478</v>
      </c>
      <c r="B141" s="65">
        <v>0.83018867924528306</v>
      </c>
      <c r="C141" s="65">
        <v>0.54425671133419995</v>
      </c>
    </row>
    <row r="142" spans="1:3" x14ac:dyDescent="0.25">
      <c r="A142" s="9" t="s">
        <v>478</v>
      </c>
      <c r="B142" s="65">
        <v>0.82671244073892436</v>
      </c>
      <c r="C142" s="65">
        <v>0.5419777521233804</v>
      </c>
    </row>
    <row r="143" spans="1:3" x14ac:dyDescent="0.25">
      <c r="A143" s="9" t="s">
        <v>478</v>
      </c>
      <c r="B143" s="65">
        <v>0.79399141630901293</v>
      </c>
      <c r="C143" s="65">
        <v>0.52052643919545749</v>
      </c>
    </row>
    <row r="144" spans="1:3" x14ac:dyDescent="0.25">
      <c r="A144" s="9" t="s">
        <v>478</v>
      </c>
      <c r="B144" s="65">
        <v>0.82935833577497808</v>
      </c>
      <c r="C144" s="65">
        <v>0.54371235314464128</v>
      </c>
    </row>
    <row r="145" spans="1:3" x14ac:dyDescent="0.25">
      <c r="A145" s="9" t="s">
        <v>478</v>
      </c>
      <c r="B145" s="65">
        <v>0.81819143870046029</v>
      </c>
      <c r="C145" s="65">
        <v>0.53639153701027809</v>
      </c>
    </row>
    <row r="146" spans="1:3" x14ac:dyDescent="0.25">
      <c r="A146" s="9" t="s">
        <v>478</v>
      </c>
      <c r="B146" s="65">
        <v>0.80694513235375054</v>
      </c>
      <c r="C146" s="65">
        <v>0.52901866159058242</v>
      </c>
    </row>
    <row r="147" spans="1:3" x14ac:dyDescent="0.25">
      <c r="A147" s="9" t="s">
        <v>478</v>
      </c>
      <c r="B147" s="65">
        <v>0.78915254237288135</v>
      </c>
      <c r="C147" s="65">
        <v>0.51735416079552321</v>
      </c>
    </row>
    <row r="148" spans="1:3" x14ac:dyDescent="0.25">
      <c r="A148" s="9" t="s">
        <v>478</v>
      </c>
      <c r="B148" s="65">
        <v>0.80128317293671625</v>
      </c>
      <c r="C148" s="65">
        <v>0.52530678320791857</v>
      </c>
    </row>
    <row r="149" spans="1:3" x14ac:dyDescent="0.25">
      <c r="A149" s="9" t="s">
        <v>478</v>
      </c>
      <c r="B149" s="65">
        <v>0.81651325274481534</v>
      </c>
      <c r="C149" s="65">
        <v>0.5352913485928007</v>
      </c>
    </row>
    <row r="150" spans="1:3" x14ac:dyDescent="0.25">
      <c r="A150" s="9" t="s">
        <v>478</v>
      </c>
      <c r="B150" s="65">
        <v>0.82423918846769895</v>
      </c>
      <c r="C150" s="65">
        <v>0.54035633258214955</v>
      </c>
    </row>
    <row r="151" spans="1:3" x14ac:dyDescent="0.25">
      <c r="A151" s="9" t="s">
        <v>478</v>
      </c>
      <c r="B151" s="65">
        <v>0.7962429411086781</v>
      </c>
      <c r="C151" s="65">
        <v>0.52200249820901468</v>
      </c>
    </row>
    <row r="152" spans="1:3" x14ac:dyDescent="0.25">
      <c r="A152" s="9" t="s">
        <v>478</v>
      </c>
      <c r="B152" s="65">
        <v>0.81238044633368756</v>
      </c>
      <c r="C152" s="65">
        <v>0.53258195531614672</v>
      </c>
    </row>
    <row r="153" spans="1:3" x14ac:dyDescent="0.25">
      <c r="A153" s="9" t="s">
        <v>477</v>
      </c>
      <c r="B153" s="65">
        <v>0.81160390516039049</v>
      </c>
      <c r="C153" s="65">
        <v>0.53207286894125372</v>
      </c>
    </row>
    <row r="154" spans="1:3" x14ac:dyDescent="0.25">
      <c r="A154" s="9" t="s">
        <v>477</v>
      </c>
      <c r="B154" s="65">
        <v>0.82743949607691458</v>
      </c>
      <c r="C154" s="65">
        <v>0.54245439647797733</v>
      </c>
    </row>
    <row r="155" spans="1:3" x14ac:dyDescent="0.25">
      <c r="A155" s="9" t="s">
        <v>477</v>
      </c>
      <c r="B155" s="65">
        <v>0.83741887035348395</v>
      </c>
      <c r="C155" s="65">
        <v>0.54899669410347174</v>
      </c>
    </row>
    <row r="156" spans="1:3" x14ac:dyDescent="0.25">
      <c r="A156" s="9" t="s">
        <v>477</v>
      </c>
      <c r="B156" s="65">
        <v>0.81262124843090267</v>
      </c>
      <c r="C156" s="65">
        <v>0.5327398208240598</v>
      </c>
    </row>
    <row r="157" spans="1:3" x14ac:dyDescent="0.25">
      <c r="A157" s="9" t="s">
        <v>477</v>
      </c>
      <c r="B157" s="65">
        <v>0.82052029864675691</v>
      </c>
      <c r="C157" s="65">
        <v>0.53791829554989301</v>
      </c>
    </row>
    <row r="158" spans="1:3" x14ac:dyDescent="0.25">
      <c r="A158" s="9" t="s">
        <v>477</v>
      </c>
      <c r="B158" s="65">
        <v>0.82403797253771827</v>
      </c>
      <c r="C158" s="65">
        <v>0.54022441905085572</v>
      </c>
    </row>
    <row r="159" spans="1:3" x14ac:dyDescent="0.25">
      <c r="A159" s="9" t="s">
        <v>477</v>
      </c>
      <c r="B159" s="65">
        <v>0.79504443845946671</v>
      </c>
      <c r="C159" s="65">
        <v>0.52121678150786899</v>
      </c>
    </row>
    <row r="160" spans="1:3" x14ac:dyDescent="0.25">
      <c r="A160" s="9" t="s">
        <v>477</v>
      </c>
      <c r="B160" s="65">
        <v>0.79071075123706702</v>
      </c>
      <c r="C160" s="65">
        <v>0.51837569439769726</v>
      </c>
    </row>
    <row r="161" spans="1:3" x14ac:dyDescent="0.25">
      <c r="A161" s="9" t="s">
        <v>477</v>
      </c>
      <c r="B161" s="65">
        <v>0.74827165514436755</v>
      </c>
      <c r="C161" s="65">
        <v>0.49055338912077312</v>
      </c>
    </row>
    <row r="162" spans="1:3" x14ac:dyDescent="0.25">
      <c r="A162" s="9" t="s">
        <v>477</v>
      </c>
      <c r="B162" s="65">
        <v>0.81550849985087981</v>
      </c>
      <c r="C162" s="65">
        <v>0.53463265073359345</v>
      </c>
    </row>
    <row r="163" spans="1:3" x14ac:dyDescent="0.25">
      <c r="A163" s="9" t="s">
        <v>477</v>
      </c>
      <c r="B163" s="65">
        <v>0.77917850378787878</v>
      </c>
      <c r="C163" s="65">
        <v>0.51081536115309878</v>
      </c>
    </row>
    <row r="164" spans="1:3" x14ac:dyDescent="0.25">
      <c r="A164" s="9" t="s">
        <v>477</v>
      </c>
      <c r="B164" s="65">
        <v>0.74497777277587085</v>
      </c>
      <c r="C164" s="65">
        <v>0.48839397930199618</v>
      </c>
    </row>
    <row r="165" spans="1:3" x14ac:dyDescent="0.25">
      <c r="A165" s="9" t="s">
        <v>477</v>
      </c>
      <c r="B165" s="65">
        <v>0.80314769975786926</v>
      </c>
      <c r="C165" s="65">
        <v>0.52652913333294993</v>
      </c>
    </row>
    <row r="166" spans="1:3" x14ac:dyDescent="0.25">
      <c r="A166" s="9" t="s">
        <v>477</v>
      </c>
      <c r="B166" s="65">
        <v>0.79100076664504337</v>
      </c>
      <c r="C166" s="65">
        <v>0.5185658232637339</v>
      </c>
    </row>
    <row r="167" spans="1:3" x14ac:dyDescent="0.25">
      <c r="A167" s="9" t="s">
        <v>477</v>
      </c>
      <c r="B167" s="65">
        <v>0.77757623852170954</v>
      </c>
      <c r="C167" s="65">
        <v>0.50976494496910174</v>
      </c>
    </row>
    <row r="168" spans="1:3" x14ac:dyDescent="0.25">
      <c r="A168" s="9" t="s">
        <v>477</v>
      </c>
      <c r="B168" s="65">
        <v>0.82491066870852481</v>
      </c>
      <c r="C168" s="65">
        <v>0.54079654290630141</v>
      </c>
    </row>
    <row r="169" spans="1:3" x14ac:dyDescent="0.25">
      <c r="A169" s="9" t="s">
        <v>477</v>
      </c>
      <c r="B169" s="65">
        <v>0.80555712749702901</v>
      </c>
      <c r="C169" s="65">
        <v>0.52810871066313547</v>
      </c>
    </row>
    <row r="170" spans="1:3" x14ac:dyDescent="0.25">
      <c r="A170" s="9" t="s">
        <v>477</v>
      </c>
      <c r="B170" s="65">
        <v>0.76163571268740216</v>
      </c>
      <c r="C170" s="65">
        <v>0.49931462399459153</v>
      </c>
    </row>
    <row r="171" spans="1:3" x14ac:dyDescent="0.25">
      <c r="A171" s="9" t="s">
        <v>477</v>
      </c>
      <c r="B171" s="65">
        <v>0.81780526223674233</v>
      </c>
      <c r="C171" s="65">
        <v>0.5361383666920212</v>
      </c>
    </row>
    <row r="172" spans="1:3" x14ac:dyDescent="0.25">
      <c r="A172" s="9" t="s">
        <v>477</v>
      </c>
      <c r="B172" s="65">
        <v>0.81786847576321264</v>
      </c>
      <c r="C172" s="65">
        <v>0.53617980833882828</v>
      </c>
    </row>
    <row r="173" spans="1:3" x14ac:dyDescent="0.25">
      <c r="A173" s="9" t="s">
        <v>477</v>
      </c>
      <c r="B173" s="65">
        <v>0.83637926095674597</v>
      </c>
      <c r="C173" s="65">
        <v>0.54831514495026579</v>
      </c>
    </row>
    <row r="174" spans="1:3" x14ac:dyDescent="0.25">
      <c r="A174" s="9" t="s">
        <v>477</v>
      </c>
      <c r="B174" s="65">
        <v>0.82961931290622104</v>
      </c>
      <c r="C174" s="65">
        <v>0.543883445040658</v>
      </c>
    </row>
    <row r="175" spans="1:3" x14ac:dyDescent="0.25">
      <c r="A175" s="9" t="s">
        <v>477</v>
      </c>
      <c r="B175" s="65">
        <v>0.8213853860770427</v>
      </c>
      <c r="C175" s="65">
        <v>0.53848543125240811</v>
      </c>
    </row>
    <row r="176" spans="1:3" x14ac:dyDescent="0.25">
      <c r="A176" s="9" t="s">
        <v>479</v>
      </c>
      <c r="B176" s="65">
        <v>0.65423438836612491</v>
      </c>
      <c r="C176" s="65">
        <v>0.4289042546058206</v>
      </c>
    </row>
    <row r="177" spans="1:3" x14ac:dyDescent="0.25">
      <c r="A177" s="9" t="s">
        <v>479</v>
      </c>
      <c r="B177" s="65">
        <v>0.68899763752953092</v>
      </c>
      <c r="C177" s="65">
        <v>0.45169441320225784</v>
      </c>
    </row>
    <row r="178" spans="1:3" x14ac:dyDescent="0.25">
      <c r="A178" s="9" t="s">
        <v>479</v>
      </c>
      <c r="B178" s="65">
        <v>0.73953778888194877</v>
      </c>
      <c r="C178" s="65">
        <v>0.48482762406512564</v>
      </c>
    </row>
    <row r="179" spans="1:3" x14ac:dyDescent="0.25">
      <c r="A179" s="9" t="s">
        <v>479</v>
      </c>
      <c r="B179" s="65">
        <v>0.7670338405632523</v>
      </c>
      <c r="C179" s="65">
        <v>0.50285353918160969</v>
      </c>
    </row>
    <row r="180" spans="1:3" x14ac:dyDescent="0.25">
      <c r="A180" s="9" t="s">
        <v>479</v>
      </c>
      <c r="B180" s="65">
        <v>0.74733359949808931</v>
      </c>
      <c r="C180" s="65">
        <v>0.48993841677309424</v>
      </c>
    </row>
    <row r="181" spans="1:3" x14ac:dyDescent="0.25">
      <c r="A181" s="9" t="s">
        <v>479</v>
      </c>
      <c r="B181" s="65">
        <v>0.76741300547064462</v>
      </c>
      <c r="C181" s="65">
        <v>0.50310211285011386</v>
      </c>
    </row>
    <row r="182" spans="1:3" x14ac:dyDescent="0.25">
      <c r="A182" s="9" t="s">
        <v>479</v>
      </c>
      <c r="B182" s="65">
        <v>0.72864349775784754</v>
      </c>
      <c r="C182" s="65">
        <v>0.47768552347070298</v>
      </c>
    </row>
    <row r="183" spans="1:3" x14ac:dyDescent="0.25">
      <c r="A183" s="9" t="s">
        <v>479</v>
      </c>
      <c r="B183" s="65">
        <v>0.70860277136258654</v>
      </c>
      <c r="C183" s="65">
        <v>0.46454718502630382</v>
      </c>
    </row>
    <row r="184" spans="1:3" x14ac:dyDescent="0.25">
      <c r="A184" s="9" t="s">
        <v>479</v>
      </c>
      <c r="B184" s="65">
        <v>0.7667442741891819</v>
      </c>
      <c r="C184" s="65">
        <v>0.50266370469409549</v>
      </c>
    </row>
    <row r="185" spans="1:3" x14ac:dyDescent="0.25">
      <c r="A185" s="9" t="s">
        <v>479</v>
      </c>
      <c r="B185" s="65">
        <v>0.7843594981032973</v>
      </c>
      <c r="C185" s="65">
        <v>0.51421192749764866</v>
      </c>
    </row>
    <row r="186" spans="1:3" x14ac:dyDescent="0.25">
      <c r="A186" s="9" t="s">
        <v>479</v>
      </c>
      <c r="B186" s="65">
        <v>0.8276070917299857</v>
      </c>
      <c r="C186" s="65">
        <v>0.54256426916265099</v>
      </c>
    </row>
    <row r="187" spans="1:3" x14ac:dyDescent="0.25">
      <c r="A187" s="9" t="s">
        <v>479</v>
      </c>
      <c r="B187" s="65">
        <v>0.80809274579323542</v>
      </c>
      <c r="C187" s="65">
        <v>0.52977101624449641</v>
      </c>
    </row>
    <row r="188" spans="1:3" x14ac:dyDescent="0.25">
      <c r="A188" s="9" t="s">
        <v>479</v>
      </c>
      <c r="B188" s="65">
        <v>0.80560224089635857</v>
      </c>
      <c r="C188" s="65">
        <v>0.52813828619333725</v>
      </c>
    </row>
    <row r="189" spans="1:3" x14ac:dyDescent="0.25">
      <c r="A189" s="9" t="s">
        <v>479</v>
      </c>
      <c r="B189" s="65">
        <v>0.80973114183084793</v>
      </c>
      <c r="C189" s="65">
        <v>0.53084511911000964</v>
      </c>
    </row>
    <row r="190" spans="1:3" x14ac:dyDescent="0.25">
      <c r="A190" s="9" t="s">
        <v>479</v>
      </c>
      <c r="B190" s="65">
        <v>0.82752523812239775</v>
      </c>
      <c r="C190" s="65">
        <v>0.54251060741515866</v>
      </c>
    </row>
    <row r="191" spans="1:3" x14ac:dyDescent="0.25">
      <c r="B191" s="65">
        <f>AVERAGE(B2:B190)</f>
        <v>0.79986673326259072</v>
      </c>
      <c r="C191" s="65">
        <f>AVERAGE(C2:C190)</f>
        <v>0.52437819092749427</v>
      </c>
    </row>
    <row r="192" spans="1:3" x14ac:dyDescent="0.25">
      <c r="B192" s="65">
        <f>STDEV(B2:B190)</f>
        <v>3.0768049362610371E-2</v>
      </c>
      <c r="C192" s="65">
        <f>STDEV(C2:C190)</f>
        <v>2.0170977729407274E-2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3"/>
  <sheetViews>
    <sheetView topLeftCell="A55" zoomScale="60" zoomScaleNormal="60" zoomScaleSheetLayoutView="80" workbookViewId="0">
      <selection activeCell="A49" sqref="A49:A88"/>
    </sheetView>
  </sheetViews>
  <sheetFormatPr baseColWidth="10" defaultColWidth="9.140625" defaultRowHeight="15" x14ac:dyDescent="0.25"/>
  <cols>
    <col min="1" max="1" width="11.28515625" customWidth="1"/>
    <col min="2" max="2" width="17" customWidth="1"/>
    <col min="3" max="4" width="11.28515625" customWidth="1"/>
    <col min="5" max="5" width="14.7109375" customWidth="1"/>
    <col min="6" max="6" width="12.140625" customWidth="1"/>
    <col min="7" max="7" width="19.42578125" customWidth="1"/>
    <col min="8" max="9" width="20.140625" customWidth="1"/>
    <col min="10" max="10" width="14.7109375" customWidth="1"/>
    <col min="11" max="11" width="12.7109375" customWidth="1"/>
    <col min="12" max="12" width="13.7109375" customWidth="1"/>
    <col min="13" max="13" width="15.140625" customWidth="1"/>
    <col min="14" max="14" width="13.85546875" customWidth="1"/>
    <col min="15" max="15" width="17.85546875" customWidth="1"/>
    <col min="16" max="16" width="14.28515625" customWidth="1"/>
    <col min="17" max="17" width="13.5703125" customWidth="1"/>
    <col min="18" max="18" width="13.28515625" customWidth="1"/>
    <col min="20" max="20" width="18.140625" customWidth="1"/>
    <col min="21" max="21" width="13.42578125" customWidth="1"/>
  </cols>
  <sheetData>
    <row r="1" spans="1:25" ht="60" x14ac:dyDescent="0.25">
      <c r="A1" t="s">
        <v>1</v>
      </c>
      <c r="B1" t="s">
        <v>39</v>
      </c>
      <c r="C1" t="s">
        <v>12</v>
      </c>
      <c r="D1" t="s">
        <v>13</v>
      </c>
      <c r="E1" t="s">
        <v>40</v>
      </c>
      <c r="F1" s="1" t="s">
        <v>0</v>
      </c>
      <c r="G1" s="2" t="s">
        <v>3</v>
      </c>
      <c r="H1" s="2" t="s">
        <v>11</v>
      </c>
      <c r="I1" s="2" t="s">
        <v>42</v>
      </c>
      <c r="J1" s="3" t="s">
        <v>2</v>
      </c>
      <c r="K1" s="1" t="s">
        <v>4</v>
      </c>
      <c r="L1" s="2" t="s">
        <v>5</v>
      </c>
      <c r="M1" s="3" t="s">
        <v>37</v>
      </c>
      <c r="N1" s="2" t="s">
        <v>6</v>
      </c>
      <c r="O1" s="3" t="s">
        <v>38</v>
      </c>
      <c r="P1" s="2" t="s">
        <v>7</v>
      </c>
      <c r="Q1" s="2" t="s">
        <v>8</v>
      </c>
      <c r="R1" s="2" t="s">
        <v>9</v>
      </c>
      <c r="S1" s="2" t="s">
        <v>10</v>
      </c>
      <c r="T1" s="51" t="s">
        <v>190</v>
      </c>
      <c r="U1" s="52" t="s">
        <v>191</v>
      </c>
      <c r="V1" s="52" t="s">
        <v>119</v>
      </c>
      <c r="W1" s="52" t="s">
        <v>192</v>
      </c>
      <c r="X1" s="52" t="s">
        <v>119</v>
      </c>
      <c r="Y1" s="52" t="s">
        <v>192</v>
      </c>
    </row>
    <row r="2" spans="1:25" x14ac:dyDescent="0.25">
      <c r="A2" s="27" t="s">
        <v>59</v>
      </c>
      <c r="B2" s="27" t="s">
        <v>41</v>
      </c>
      <c r="C2" s="27" t="s">
        <v>15</v>
      </c>
      <c r="D2" s="27" t="s">
        <v>17</v>
      </c>
      <c r="E2" s="27">
        <v>1</v>
      </c>
      <c r="F2" s="27" t="s">
        <v>193</v>
      </c>
      <c r="G2" s="27">
        <v>2.1044999999999998</v>
      </c>
      <c r="H2" s="30">
        <v>2.0196999999999998</v>
      </c>
      <c r="I2" s="28">
        <f t="shared" ref="I2:I41" si="0">((G2-H2)/H2)*100</f>
        <v>4.1986433628756741</v>
      </c>
      <c r="J2" s="53">
        <v>44361</v>
      </c>
      <c r="K2" s="29">
        <v>44393</v>
      </c>
      <c r="L2" s="27">
        <f t="shared" ref="L2:L41" si="1">K2-J2</f>
        <v>32</v>
      </c>
      <c r="M2" s="27">
        <v>0.62729999999999997</v>
      </c>
      <c r="N2" s="30">
        <f>H2-M2</f>
        <v>1.3923999999999999</v>
      </c>
      <c r="O2" s="27">
        <v>0.42209999999999998</v>
      </c>
      <c r="P2" s="27">
        <v>0.13519999999999999</v>
      </c>
      <c r="Q2" s="27">
        <v>6.88E-2</v>
      </c>
      <c r="R2" s="30">
        <f>H2-(P2+Q2)</f>
        <v>1.8156999999999999</v>
      </c>
      <c r="S2" s="27">
        <f>((R2-O2)/R2)*100</f>
        <v>76.752767527675275</v>
      </c>
      <c r="T2">
        <f>AVERAGE(O2:O9)</f>
        <v>0.37537500000000001</v>
      </c>
      <c r="U2" s="18">
        <f>(O2/R2)*100</f>
        <v>23.247232472324725</v>
      </c>
      <c r="V2" s="7">
        <f>AVERAGE(U2:U9)</f>
        <v>20.790213742896054</v>
      </c>
      <c r="W2">
        <f>STDEV(U2:U9)</f>
        <v>2.2351806047267284</v>
      </c>
      <c r="X2">
        <f>AVERAGE(S2:S9)</f>
        <v>79.209786257103943</v>
      </c>
      <c r="Y2">
        <f>STDEV(S2:S9)</f>
        <v>2.2351806047267138</v>
      </c>
    </row>
    <row r="3" spans="1:25" x14ac:dyDescent="0.25">
      <c r="A3" s="27" t="s">
        <v>59</v>
      </c>
      <c r="B3" s="27" t="s">
        <v>41</v>
      </c>
      <c r="C3" s="27" t="s">
        <v>15</v>
      </c>
      <c r="D3" s="27" t="s">
        <v>17</v>
      </c>
      <c r="E3" s="27">
        <v>2</v>
      </c>
      <c r="F3" s="27" t="s">
        <v>194</v>
      </c>
      <c r="G3" s="27">
        <v>2.0821999999999998</v>
      </c>
      <c r="H3" s="27">
        <v>1.9987999999999999</v>
      </c>
      <c r="I3" s="28">
        <f t="shared" si="0"/>
        <v>4.1725035021012564</v>
      </c>
      <c r="J3" s="53">
        <v>44361</v>
      </c>
      <c r="K3" s="29">
        <v>44393</v>
      </c>
      <c r="L3" s="27">
        <f t="shared" si="1"/>
        <v>32</v>
      </c>
      <c r="M3" s="27">
        <v>0.63700000000000001</v>
      </c>
      <c r="N3" s="30">
        <f t="shared" ref="N3:N41" si="2">H3-M3</f>
        <v>1.3617999999999999</v>
      </c>
      <c r="O3" s="27">
        <v>0.44140000000000001</v>
      </c>
      <c r="P3" s="27">
        <v>0.1346</v>
      </c>
      <c r="Q3" s="27">
        <v>6.4000000000000001E-2</v>
      </c>
      <c r="R3" s="30">
        <f t="shared" ref="R3:R41" si="3">H3-(P3+Q3)</f>
        <v>1.8001999999999998</v>
      </c>
      <c r="S3" s="27">
        <f t="shared" ref="S3:S41" si="4">((R3-O3)/R3)*100</f>
        <v>75.48050216642595</v>
      </c>
      <c r="U3" s="18">
        <f t="shared" ref="U3:U41" si="5">(O3/R3)*100</f>
        <v>24.51949783357405</v>
      </c>
    </row>
    <row r="4" spans="1:25" x14ac:dyDescent="0.25">
      <c r="A4" s="27" t="s">
        <v>59</v>
      </c>
      <c r="B4" s="27" t="s">
        <v>41</v>
      </c>
      <c r="C4" s="27" t="s">
        <v>15</v>
      </c>
      <c r="D4" s="27" t="s">
        <v>18</v>
      </c>
      <c r="E4" s="27">
        <v>1</v>
      </c>
      <c r="F4" s="27" t="s">
        <v>195</v>
      </c>
      <c r="G4" s="27">
        <v>2.0901999999999998</v>
      </c>
      <c r="H4" s="30">
        <v>2.0076000000000001</v>
      </c>
      <c r="I4" s="28">
        <f t="shared" si="0"/>
        <v>4.1143654114365305</v>
      </c>
      <c r="J4" s="53">
        <v>44361</v>
      </c>
      <c r="K4" s="29">
        <v>44393</v>
      </c>
      <c r="L4" s="27">
        <f t="shared" si="1"/>
        <v>32</v>
      </c>
      <c r="M4" s="27">
        <v>0.54100000000000004</v>
      </c>
      <c r="N4" s="30">
        <f t="shared" si="2"/>
        <v>1.4666000000000001</v>
      </c>
      <c r="O4" s="27">
        <v>0.36130000000000001</v>
      </c>
      <c r="P4" s="27">
        <v>0.12529999999999999</v>
      </c>
      <c r="Q4" s="27">
        <v>5.5800000000000002E-2</v>
      </c>
      <c r="R4" s="30">
        <f t="shared" si="3"/>
        <v>1.8265</v>
      </c>
      <c r="S4" s="27">
        <f t="shared" si="4"/>
        <v>80.218998083766763</v>
      </c>
      <c r="U4" s="18">
        <f t="shared" si="5"/>
        <v>19.781001916233233</v>
      </c>
    </row>
    <row r="5" spans="1:25" x14ac:dyDescent="0.25">
      <c r="A5" s="27" t="s">
        <v>59</v>
      </c>
      <c r="B5" s="27" t="s">
        <v>41</v>
      </c>
      <c r="C5" s="27" t="s">
        <v>15</v>
      </c>
      <c r="D5" s="27" t="s">
        <v>18</v>
      </c>
      <c r="E5" s="27">
        <v>2</v>
      </c>
      <c r="F5" s="27" t="s">
        <v>196</v>
      </c>
      <c r="G5" s="27">
        <v>2.1461999999999999</v>
      </c>
      <c r="H5" s="30">
        <v>2.0585</v>
      </c>
      <c r="I5" s="28">
        <f t="shared" si="0"/>
        <v>4.2603837745931443</v>
      </c>
      <c r="J5" s="53">
        <v>44361</v>
      </c>
      <c r="K5" s="29">
        <v>44393</v>
      </c>
      <c r="L5" s="27">
        <f t="shared" si="1"/>
        <v>32</v>
      </c>
      <c r="M5" s="27">
        <v>0.51700000000000002</v>
      </c>
      <c r="N5" s="30">
        <f t="shared" si="2"/>
        <v>1.5415000000000001</v>
      </c>
      <c r="O5" s="27">
        <v>0.33379999999999999</v>
      </c>
      <c r="P5" s="27">
        <v>0.1246</v>
      </c>
      <c r="Q5" s="27">
        <v>5.9799999999999999E-2</v>
      </c>
      <c r="R5" s="30">
        <f t="shared" si="3"/>
        <v>1.8740999999999999</v>
      </c>
      <c r="S5" s="27">
        <f t="shared" si="4"/>
        <v>82.188783949629155</v>
      </c>
      <c r="U5" s="18">
        <f t="shared" si="5"/>
        <v>17.811216050370845</v>
      </c>
    </row>
    <row r="6" spans="1:25" x14ac:dyDescent="0.25">
      <c r="A6" s="27" t="s">
        <v>59</v>
      </c>
      <c r="B6" s="27" t="s">
        <v>41</v>
      </c>
      <c r="C6" s="27" t="s">
        <v>15</v>
      </c>
      <c r="D6" s="27" t="s">
        <v>19</v>
      </c>
      <c r="E6" s="27">
        <v>1</v>
      </c>
      <c r="F6" s="27" t="s">
        <v>197</v>
      </c>
      <c r="G6" s="27">
        <v>2.1775000000000002</v>
      </c>
      <c r="H6" s="27">
        <v>2.0886999999999998</v>
      </c>
      <c r="I6" s="28">
        <f t="shared" si="0"/>
        <v>4.251448269258411</v>
      </c>
      <c r="J6" s="53">
        <v>44361</v>
      </c>
      <c r="K6" s="29">
        <v>44393</v>
      </c>
      <c r="L6" s="27">
        <f t="shared" si="1"/>
        <v>32</v>
      </c>
      <c r="M6" s="27">
        <v>0.55069999999999997</v>
      </c>
      <c r="N6" s="30">
        <f t="shared" si="2"/>
        <v>1.5379999999999998</v>
      </c>
      <c r="O6" s="27">
        <v>0.37230000000000002</v>
      </c>
      <c r="P6" s="27">
        <v>0.12540000000000001</v>
      </c>
      <c r="Q6" s="27">
        <v>5.5599999999999997E-2</v>
      </c>
      <c r="R6" s="30">
        <f t="shared" si="3"/>
        <v>1.9076999999999997</v>
      </c>
      <c r="S6" s="27">
        <f t="shared" si="4"/>
        <v>80.484352885673843</v>
      </c>
      <c r="U6" s="18">
        <f t="shared" si="5"/>
        <v>19.515647114326157</v>
      </c>
    </row>
    <row r="7" spans="1:25" x14ac:dyDescent="0.25">
      <c r="A7" s="27" t="s">
        <v>59</v>
      </c>
      <c r="B7" s="27" t="s">
        <v>41</v>
      </c>
      <c r="C7" s="27" t="s">
        <v>15</v>
      </c>
      <c r="D7" s="27" t="s">
        <v>19</v>
      </c>
      <c r="E7" s="27">
        <v>2</v>
      </c>
      <c r="F7" s="27" t="s">
        <v>198</v>
      </c>
      <c r="G7" s="27">
        <v>2.0623</v>
      </c>
      <c r="H7" s="30">
        <v>1.9590000000000001</v>
      </c>
      <c r="I7" s="28">
        <f t="shared" si="0"/>
        <v>5.2730985196528817</v>
      </c>
      <c r="J7" s="53">
        <v>44361</v>
      </c>
      <c r="K7" s="29">
        <v>44393</v>
      </c>
      <c r="L7" s="27">
        <f t="shared" si="1"/>
        <v>32</v>
      </c>
      <c r="M7" s="27">
        <v>0.5444</v>
      </c>
      <c r="N7" s="30">
        <f t="shared" si="2"/>
        <v>1.4146000000000001</v>
      </c>
      <c r="O7" s="27">
        <v>0.3634</v>
      </c>
      <c r="P7" s="27">
        <v>0.12670000000000001</v>
      </c>
      <c r="Q7" s="27">
        <v>5.5399999999999998E-2</v>
      </c>
      <c r="R7" s="30">
        <f t="shared" si="3"/>
        <v>1.7769000000000001</v>
      </c>
      <c r="S7" s="27">
        <f t="shared" si="4"/>
        <v>79.548652146997583</v>
      </c>
      <c r="U7" s="18">
        <f t="shared" si="5"/>
        <v>20.451347853002417</v>
      </c>
    </row>
    <row r="8" spans="1:25" x14ac:dyDescent="0.25">
      <c r="A8" s="27" t="s">
        <v>59</v>
      </c>
      <c r="B8" s="27" t="s">
        <v>41</v>
      </c>
      <c r="C8" s="27" t="s">
        <v>15</v>
      </c>
      <c r="D8" s="27" t="s">
        <v>20</v>
      </c>
      <c r="E8" s="27">
        <v>1</v>
      </c>
      <c r="F8" s="27" t="s">
        <v>199</v>
      </c>
      <c r="G8" s="30">
        <v>2.0392000000000001</v>
      </c>
      <c r="H8" s="30">
        <v>1.9384999999999999</v>
      </c>
      <c r="I8" s="28">
        <f t="shared" si="0"/>
        <v>5.1947381996389081</v>
      </c>
      <c r="J8" s="53">
        <v>44361</v>
      </c>
      <c r="K8" s="29">
        <v>44393</v>
      </c>
      <c r="L8" s="27">
        <f t="shared" si="1"/>
        <v>32</v>
      </c>
      <c r="M8" s="27">
        <v>0.5212</v>
      </c>
      <c r="N8" s="30">
        <f t="shared" si="2"/>
        <v>1.4173</v>
      </c>
      <c r="O8" s="27">
        <v>0.33679999999999999</v>
      </c>
      <c r="P8" s="27">
        <v>0.12640000000000001</v>
      </c>
      <c r="Q8" s="27">
        <v>6.0499999999999998E-2</v>
      </c>
      <c r="R8" s="30">
        <f t="shared" si="3"/>
        <v>1.7515999999999998</v>
      </c>
      <c r="S8" s="27">
        <f t="shared" si="4"/>
        <v>80.771865722767757</v>
      </c>
      <c r="U8" s="18">
        <f t="shared" si="5"/>
        <v>19.228134277232243</v>
      </c>
    </row>
    <row r="9" spans="1:25" x14ac:dyDescent="0.25">
      <c r="A9" s="27" t="s">
        <v>59</v>
      </c>
      <c r="B9" s="27" t="s">
        <v>41</v>
      </c>
      <c r="C9" s="27" t="s">
        <v>15</v>
      </c>
      <c r="D9" s="27" t="s">
        <v>20</v>
      </c>
      <c r="E9" s="27">
        <v>2</v>
      </c>
      <c r="F9" s="27" t="s">
        <v>200</v>
      </c>
      <c r="G9" s="27">
        <v>2.0045999999999999</v>
      </c>
      <c r="H9" s="27">
        <v>1.9044000000000001</v>
      </c>
      <c r="I9" s="28">
        <f t="shared" si="0"/>
        <v>5.2614996849401301</v>
      </c>
      <c r="J9" s="53">
        <v>44361</v>
      </c>
      <c r="K9" s="29">
        <v>44393</v>
      </c>
      <c r="L9" s="27">
        <f t="shared" si="1"/>
        <v>32</v>
      </c>
      <c r="M9" s="27">
        <v>0.56640000000000001</v>
      </c>
      <c r="N9" s="30">
        <f t="shared" si="2"/>
        <v>1.3380000000000001</v>
      </c>
      <c r="O9" s="27">
        <v>0.37190000000000001</v>
      </c>
      <c r="P9" s="27">
        <v>0.13150000000000001</v>
      </c>
      <c r="Q9" s="27">
        <v>6.4399999999999999E-2</v>
      </c>
      <c r="R9" s="30">
        <f t="shared" si="3"/>
        <v>1.7085000000000001</v>
      </c>
      <c r="S9" s="27">
        <f t="shared" si="4"/>
        <v>78.232367573895232</v>
      </c>
      <c r="U9" s="18">
        <f t="shared" si="5"/>
        <v>21.767632426104768</v>
      </c>
    </row>
    <row r="10" spans="1:25" x14ac:dyDescent="0.25">
      <c r="A10" s="31" t="s">
        <v>14</v>
      </c>
      <c r="B10" s="31" t="s">
        <v>60</v>
      </c>
      <c r="C10" s="31" t="s">
        <v>15</v>
      </c>
      <c r="D10" s="31" t="s">
        <v>17</v>
      </c>
      <c r="E10" s="31">
        <v>1</v>
      </c>
      <c r="F10" s="31" t="s">
        <v>201</v>
      </c>
      <c r="G10" s="31">
        <v>2.1614</v>
      </c>
      <c r="H10" s="31">
        <v>2.0234999999999999</v>
      </c>
      <c r="I10" s="32">
        <f t="shared" si="0"/>
        <v>6.8149246355324999</v>
      </c>
      <c r="J10" s="54">
        <v>44368</v>
      </c>
      <c r="K10" s="33">
        <v>44400</v>
      </c>
      <c r="L10" s="31">
        <f t="shared" si="1"/>
        <v>32</v>
      </c>
      <c r="M10" s="31">
        <v>0.56730000000000003</v>
      </c>
      <c r="N10" s="34">
        <f t="shared" si="2"/>
        <v>1.4561999999999999</v>
      </c>
      <c r="O10" s="31">
        <v>0.36580000000000001</v>
      </c>
      <c r="P10" s="31">
        <v>0.13819999999999999</v>
      </c>
      <c r="Q10" s="31">
        <v>6.5500000000000003E-2</v>
      </c>
      <c r="R10" s="34">
        <f t="shared" si="3"/>
        <v>1.8197999999999999</v>
      </c>
      <c r="S10" s="31">
        <f t="shared" si="4"/>
        <v>79.898889987910749</v>
      </c>
      <c r="T10">
        <f>AVERAGE(O10:O17)</f>
        <v>0.40366250000000004</v>
      </c>
      <c r="U10" s="18">
        <f t="shared" si="5"/>
        <v>20.101110012089244</v>
      </c>
      <c r="V10" s="7">
        <f>AVERAGE(U10:U17)</f>
        <v>22.19244634789947</v>
      </c>
      <c r="W10">
        <f>STDEV(U10:U17)</f>
        <v>2.3051172642009026</v>
      </c>
      <c r="X10">
        <f>AVERAGE(S10:S17)</f>
        <v>77.807553652100523</v>
      </c>
      <c r="Y10">
        <f>STDEV(S10:S17)</f>
        <v>2.3051172642008977</v>
      </c>
    </row>
    <row r="11" spans="1:25" x14ac:dyDescent="0.25">
      <c r="A11" s="31" t="s">
        <v>14</v>
      </c>
      <c r="B11" s="31" t="s">
        <v>60</v>
      </c>
      <c r="C11" s="31" t="s">
        <v>15</v>
      </c>
      <c r="D11" s="31" t="s">
        <v>17</v>
      </c>
      <c r="E11" s="31">
        <v>2</v>
      </c>
      <c r="F11" s="31" t="s">
        <v>202</v>
      </c>
      <c r="G11" s="31">
        <v>2.1419999999999999</v>
      </c>
      <c r="H11" s="31">
        <v>2.0066000000000002</v>
      </c>
      <c r="I11" s="32">
        <f t="shared" si="0"/>
        <v>6.7477324828067244</v>
      </c>
      <c r="J11" s="54">
        <v>44368</v>
      </c>
      <c r="K11" s="33">
        <v>44400</v>
      </c>
      <c r="L11" s="31">
        <f t="shared" si="1"/>
        <v>32</v>
      </c>
      <c r="M11" s="31">
        <v>0.60060000000000002</v>
      </c>
      <c r="N11" s="34">
        <f t="shared" si="2"/>
        <v>1.4060000000000001</v>
      </c>
      <c r="O11" s="31">
        <v>0.40139999999999998</v>
      </c>
      <c r="P11" s="31">
        <v>0.1343</v>
      </c>
      <c r="Q11" s="31">
        <v>6.6900000000000001E-2</v>
      </c>
      <c r="R11" s="34">
        <f t="shared" si="3"/>
        <v>1.8054000000000001</v>
      </c>
      <c r="S11" s="31">
        <f t="shared" si="4"/>
        <v>77.766699900299102</v>
      </c>
      <c r="U11" s="18">
        <f t="shared" si="5"/>
        <v>22.233300099700894</v>
      </c>
    </row>
    <row r="12" spans="1:25" x14ac:dyDescent="0.25">
      <c r="A12" s="31" t="s">
        <v>14</v>
      </c>
      <c r="B12" s="31" t="s">
        <v>60</v>
      </c>
      <c r="C12" s="31" t="s">
        <v>15</v>
      </c>
      <c r="D12" s="31" t="s">
        <v>18</v>
      </c>
      <c r="E12" s="31">
        <v>1</v>
      </c>
      <c r="F12" s="31" t="s">
        <v>203</v>
      </c>
      <c r="G12" s="31">
        <v>2.1640999999999999</v>
      </c>
      <c r="H12" s="34">
        <v>2.0270999999999999</v>
      </c>
      <c r="I12" s="32">
        <f t="shared" si="0"/>
        <v>6.7584233634255835</v>
      </c>
      <c r="J12" s="54">
        <v>44368</v>
      </c>
      <c r="K12" s="33">
        <v>44400</v>
      </c>
      <c r="L12" s="31">
        <f t="shared" si="1"/>
        <v>32</v>
      </c>
      <c r="M12" s="31">
        <v>0.5716</v>
      </c>
      <c r="N12" s="34">
        <f t="shared" si="2"/>
        <v>1.4554999999999998</v>
      </c>
      <c r="O12" s="31">
        <v>0.37059999999999998</v>
      </c>
      <c r="P12" s="31">
        <v>0.14280000000000001</v>
      </c>
      <c r="Q12" s="34">
        <v>6.08E-2</v>
      </c>
      <c r="R12" s="34">
        <f t="shared" si="3"/>
        <v>1.8234999999999999</v>
      </c>
      <c r="S12" s="31">
        <f t="shared" si="4"/>
        <v>79.676446394296676</v>
      </c>
      <c r="U12" s="18">
        <f t="shared" si="5"/>
        <v>20.323553605703317</v>
      </c>
    </row>
    <row r="13" spans="1:25" x14ac:dyDescent="0.25">
      <c r="A13" s="31" t="s">
        <v>14</v>
      </c>
      <c r="B13" s="31" t="s">
        <v>60</v>
      </c>
      <c r="C13" s="31" t="s">
        <v>15</v>
      </c>
      <c r="D13" s="31" t="s">
        <v>18</v>
      </c>
      <c r="E13" s="31">
        <v>2</v>
      </c>
      <c r="F13" s="31" t="s">
        <v>204</v>
      </c>
      <c r="G13" s="31">
        <v>2.2265999999999999</v>
      </c>
      <c r="H13" s="31">
        <v>2.0855999999999999</v>
      </c>
      <c r="I13" s="32">
        <f t="shared" si="0"/>
        <v>6.7606444188722676</v>
      </c>
      <c r="J13" s="54">
        <v>44368</v>
      </c>
      <c r="K13" s="33">
        <v>44400</v>
      </c>
      <c r="L13" s="31">
        <f t="shared" si="1"/>
        <v>32</v>
      </c>
      <c r="M13" s="31">
        <v>0.57650000000000001</v>
      </c>
      <c r="N13" s="34">
        <f t="shared" si="2"/>
        <v>1.5090999999999999</v>
      </c>
      <c r="O13" s="31">
        <v>0.38879999999999998</v>
      </c>
      <c r="P13" s="31">
        <v>0.12939999999999999</v>
      </c>
      <c r="Q13" s="31">
        <v>5.8900000000000001E-2</v>
      </c>
      <c r="R13" s="34">
        <f t="shared" si="3"/>
        <v>1.8973</v>
      </c>
      <c r="S13" s="31">
        <f t="shared" si="4"/>
        <v>79.507721498972217</v>
      </c>
      <c r="U13" s="18">
        <f t="shared" si="5"/>
        <v>20.492278501027776</v>
      </c>
    </row>
    <row r="14" spans="1:25" x14ac:dyDescent="0.25">
      <c r="A14" s="31" t="s">
        <v>14</v>
      </c>
      <c r="B14" s="31" t="s">
        <v>60</v>
      </c>
      <c r="C14" s="31" t="s">
        <v>15</v>
      </c>
      <c r="D14" s="31" t="s">
        <v>19</v>
      </c>
      <c r="E14" s="31">
        <v>1</v>
      </c>
      <c r="F14" s="31" t="s">
        <v>205</v>
      </c>
      <c r="G14" s="34">
        <v>2.1985999999999999</v>
      </c>
      <c r="H14" s="31">
        <v>2.0586000000000002</v>
      </c>
      <c r="I14" s="32">
        <f t="shared" si="0"/>
        <v>6.8007383658797078</v>
      </c>
      <c r="J14" s="54">
        <v>44368</v>
      </c>
      <c r="K14" s="33">
        <v>44400</v>
      </c>
      <c r="L14" s="31">
        <f t="shared" si="1"/>
        <v>32</v>
      </c>
      <c r="M14" s="31">
        <v>0.57410000000000005</v>
      </c>
      <c r="N14" s="34">
        <f t="shared" si="2"/>
        <v>1.4845000000000002</v>
      </c>
      <c r="O14" s="31">
        <v>0.37140000000000001</v>
      </c>
      <c r="P14" s="31">
        <v>0.13139999999999999</v>
      </c>
      <c r="Q14" s="31">
        <v>7.1999999999999995E-2</v>
      </c>
      <c r="R14" s="34">
        <f t="shared" si="3"/>
        <v>1.8552000000000002</v>
      </c>
      <c r="S14" s="31">
        <f t="shared" si="4"/>
        <v>79.980595084087966</v>
      </c>
      <c r="U14" s="18">
        <f t="shared" si="5"/>
        <v>20.019404915912027</v>
      </c>
    </row>
    <row r="15" spans="1:25" x14ac:dyDescent="0.25">
      <c r="A15" s="31" t="s">
        <v>14</v>
      </c>
      <c r="B15" s="31" t="s">
        <v>60</v>
      </c>
      <c r="C15" s="31" t="s">
        <v>15</v>
      </c>
      <c r="D15" s="31" t="s">
        <v>19</v>
      </c>
      <c r="E15" s="31">
        <v>2</v>
      </c>
      <c r="F15" s="31" t="s">
        <v>206</v>
      </c>
      <c r="G15" s="31">
        <v>2.1709000000000001</v>
      </c>
      <c r="H15" s="31">
        <v>2.0346000000000002</v>
      </c>
      <c r="I15" s="32">
        <f t="shared" si="0"/>
        <v>6.6991054752776886</v>
      </c>
      <c r="J15" s="54">
        <v>44368</v>
      </c>
      <c r="K15" s="33">
        <v>44400</v>
      </c>
      <c r="L15" s="31">
        <f t="shared" si="1"/>
        <v>32</v>
      </c>
      <c r="M15" s="31">
        <v>0.63600000000000001</v>
      </c>
      <c r="N15" s="34">
        <f t="shared" si="2"/>
        <v>1.3986000000000001</v>
      </c>
      <c r="O15" s="31">
        <v>0.43769999999999998</v>
      </c>
      <c r="P15" s="31">
        <v>0.13289999999999999</v>
      </c>
      <c r="Q15" s="31">
        <v>6.5299999999999997E-2</v>
      </c>
      <c r="R15" s="34">
        <f t="shared" si="3"/>
        <v>1.8364000000000003</v>
      </c>
      <c r="S15" s="31">
        <f t="shared" si="4"/>
        <v>76.165323458941415</v>
      </c>
      <c r="U15" s="18">
        <f t="shared" si="5"/>
        <v>23.834676541058588</v>
      </c>
    </row>
    <row r="16" spans="1:25" x14ac:dyDescent="0.25">
      <c r="A16" s="31" t="s">
        <v>14</v>
      </c>
      <c r="B16" s="31" t="s">
        <v>60</v>
      </c>
      <c r="C16" s="31" t="s">
        <v>15</v>
      </c>
      <c r="D16" s="31" t="s">
        <v>20</v>
      </c>
      <c r="E16" s="31">
        <v>1</v>
      </c>
      <c r="F16" s="31" t="s">
        <v>207</v>
      </c>
      <c r="G16" s="31">
        <v>2.0476999999999999</v>
      </c>
      <c r="H16" s="31">
        <v>1.9198999999999999</v>
      </c>
      <c r="I16" s="32">
        <f t="shared" si="0"/>
        <v>6.6565966977446696</v>
      </c>
      <c r="J16" s="54">
        <v>44368</v>
      </c>
      <c r="K16" s="33">
        <v>44400</v>
      </c>
      <c r="L16" s="31">
        <f t="shared" si="1"/>
        <v>32</v>
      </c>
      <c r="M16" s="31">
        <v>0.64280000000000004</v>
      </c>
      <c r="N16" s="34">
        <f t="shared" si="2"/>
        <v>1.2770999999999999</v>
      </c>
      <c r="O16" s="31">
        <v>0.43740000000000001</v>
      </c>
      <c r="P16" s="31">
        <v>0.1353</v>
      </c>
      <c r="Q16" s="31">
        <v>6.9000000000000006E-2</v>
      </c>
      <c r="R16" s="34">
        <f t="shared" si="3"/>
        <v>1.7156</v>
      </c>
      <c r="S16" s="31">
        <f t="shared" si="4"/>
        <v>74.504546514339012</v>
      </c>
      <c r="U16" s="18">
        <f t="shared" si="5"/>
        <v>25.495453485660995</v>
      </c>
    </row>
    <row r="17" spans="1:25" x14ac:dyDescent="0.25">
      <c r="A17" s="31" t="s">
        <v>14</v>
      </c>
      <c r="B17" s="31" t="s">
        <v>60</v>
      </c>
      <c r="C17" s="31" t="s">
        <v>15</v>
      </c>
      <c r="D17" s="31" t="s">
        <v>20</v>
      </c>
      <c r="E17" s="31">
        <v>2</v>
      </c>
      <c r="F17" s="31" t="s">
        <v>208</v>
      </c>
      <c r="G17" s="31">
        <v>2.1568999999999998</v>
      </c>
      <c r="H17" s="31">
        <v>2.0198</v>
      </c>
      <c r="I17" s="32">
        <f t="shared" si="0"/>
        <v>6.7878007723536875</v>
      </c>
      <c r="J17" s="54">
        <v>44368</v>
      </c>
      <c r="K17" s="33">
        <v>44400</v>
      </c>
      <c r="L17" s="31">
        <f t="shared" si="1"/>
        <v>32</v>
      </c>
      <c r="M17" s="31">
        <v>0.65339999999999998</v>
      </c>
      <c r="N17" s="34">
        <f t="shared" si="2"/>
        <v>1.3664000000000001</v>
      </c>
      <c r="O17" s="31">
        <v>0.45619999999999999</v>
      </c>
      <c r="P17" s="31">
        <v>0.1326</v>
      </c>
      <c r="Q17" s="31">
        <v>6.5299999999999997E-2</v>
      </c>
      <c r="R17" s="34">
        <f t="shared" si="3"/>
        <v>1.8219000000000001</v>
      </c>
      <c r="S17" s="31">
        <f t="shared" si="4"/>
        <v>74.960206377957078</v>
      </c>
      <c r="U17" s="18">
        <f t="shared" si="5"/>
        <v>25.039793622042922</v>
      </c>
    </row>
    <row r="18" spans="1:25" x14ac:dyDescent="0.25">
      <c r="A18" s="39" t="s">
        <v>62</v>
      </c>
      <c r="B18" s="39" t="s">
        <v>63</v>
      </c>
      <c r="C18" s="39" t="s">
        <v>15</v>
      </c>
      <c r="D18" s="39" t="s">
        <v>17</v>
      </c>
      <c r="E18" s="39">
        <v>1</v>
      </c>
      <c r="F18" s="39" t="s">
        <v>209</v>
      </c>
      <c r="G18" s="39">
        <v>2.1852</v>
      </c>
      <c r="H18" s="39">
        <v>2.0865999999999998</v>
      </c>
      <c r="I18" s="40">
        <f t="shared" si="0"/>
        <v>4.7253905875587199</v>
      </c>
      <c r="J18" s="53">
        <v>44375</v>
      </c>
      <c r="K18" s="41">
        <v>44411</v>
      </c>
      <c r="L18" s="39">
        <f t="shared" si="1"/>
        <v>36</v>
      </c>
      <c r="M18" s="39">
        <v>0.61060000000000003</v>
      </c>
      <c r="N18" s="42">
        <f t="shared" si="2"/>
        <v>1.4759999999999998</v>
      </c>
      <c r="O18" s="39">
        <v>0.41460000000000002</v>
      </c>
      <c r="P18" s="39">
        <v>0.1409</v>
      </c>
      <c r="Q18" s="39">
        <v>5.9400000000000001E-2</v>
      </c>
      <c r="R18" s="42">
        <f t="shared" si="3"/>
        <v>1.8862999999999999</v>
      </c>
      <c r="S18" s="39">
        <f t="shared" si="4"/>
        <v>78.020463340931983</v>
      </c>
      <c r="T18">
        <f>AVERAGE(O18:O25)</f>
        <v>0.37486250000000004</v>
      </c>
      <c r="U18" s="18">
        <f t="shared" si="5"/>
        <v>21.979536659068017</v>
      </c>
      <c r="V18" s="7">
        <f>AVERAGE(U18:U25)</f>
        <v>20.303361744541402</v>
      </c>
      <c r="W18">
        <f>STDEV(U18:U25)</f>
        <v>1.9160097361787076</v>
      </c>
      <c r="X18">
        <f>AVERAGE(S18:S25)</f>
        <v>79.696638255458609</v>
      </c>
      <c r="Y18">
        <f>STDEV(S18:S25)</f>
        <v>1.9160097361787038</v>
      </c>
    </row>
    <row r="19" spans="1:25" x14ac:dyDescent="0.25">
      <c r="A19" s="39" t="s">
        <v>62</v>
      </c>
      <c r="B19" s="39" t="s">
        <v>63</v>
      </c>
      <c r="C19" s="39" t="s">
        <v>15</v>
      </c>
      <c r="D19" s="39" t="s">
        <v>17</v>
      </c>
      <c r="E19" s="39">
        <v>2</v>
      </c>
      <c r="F19" s="39" t="s">
        <v>210</v>
      </c>
      <c r="G19" s="39">
        <v>2.1669</v>
      </c>
      <c r="H19" s="39">
        <v>2.0684999999999998</v>
      </c>
      <c r="I19" s="40">
        <f t="shared" si="0"/>
        <v>4.7570703408266999</v>
      </c>
      <c r="J19" s="53">
        <v>44375</v>
      </c>
      <c r="K19" s="41">
        <v>44411</v>
      </c>
      <c r="L19" s="39">
        <f t="shared" si="1"/>
        <v>36</v>
      </c>
      <c r="M19" s="39">
        <v>0.62409999999999999</v>
      </c>
      <c r="N19" s="42">
        <f t="shared" si="2"/>
        <v>1.4443999999999999</v>
      </c>
      <c r="O19" s="39">
        <v>0.44130000000000003</v>
      </c>
      <c r="P19" s="39">
        <v>0.13220000000000001</v>
      </c>
      <c r="Q19" s="39">
        <v>5.6800000000000003E-2</v>
      </c>
      <c r="R19" s="42">
        <f t="shared" si="3"/>
        <v>1.8794999999999997</v>
      </c>
      <c r="S19" s="39">
        <f t="shared" si="4"/>
        <v>76.520351157222663</v>
      </c>
      <c r="U19" s="18">
        <f t="shared" si="5"/>
        <v>23.47964884277734</v>
      </c>
    </row>
    <row r="20" spans="1:25" x14ac:dyDescent="0.25">
      <c r="A20" s="39" t="s">
        <v>62</v>
      </c>
      <c r="B20" s="39" t="s">
        <v>63</v>
      </c>
      <c r="C20" s="39" t="s">
        <v>15</v>
      </c>
      <c r="D20" s="39" t="s">
        <v>18</v>
      </c>
      <c r="E20" s="39">
        <v>1</v>
      </c>
      <c r="F20" s="39" t="s">
        <v>211</v>
      </c>
      <c r="G20" s="39">
        <v>2.1585000000000001</v>
      </c>
      <c r="H20" s="39">
        <v>2.0608</v>
      </c>
      <c r="I20" s="40">
        <f t="shared" si="0"/>
        <v>4.7408773291925526</v>
      </c>
      <c r="J20" s="53">
        <v>44375</v>
      </c>
      <c r="K20" s="41">
        <v>44411</v>
      </c>
      <c r="L20" s="39">
        <f t="shared" si="1"/>
        <v>36</v>
      </c>
      <c r="M20" s="39">
        <v>0.56359999999999999</v>
      </c>
      <c r="N20" s="42">
        <f t="shared" si="2"/>
        <v>1.4971999999999999</v>
      </c>
      <c r="O20" s="39">
        <v>0.3695</v>
      </c>
      <c r="P20" s="39">
        <v>0.14050000000000001</v>
      </c>
      <c r="Q20" s="39">
        <v>6.1100000000000002E-2</v>
      </c>
      <c r="R20" s="42">
        <f t="shared" si="3"/>
        <v>1.8592</v>
      </c>
      <c r="S20" s="39">
        <f t="shared" si="4"/>
        <v>80.125860585197941</v>
      </c>
      <c r="U20" s="18">
        <f t="shared" si="5"/>
        <v>19.874139414802066</v>
      </c>
    </row>
    <row r="21" spans="1:25" x14ac:dyDescent="0.25">
      <c r="A21" s="39" t="s">
        <v>62</v>
      </c>
      <c r="B21" s="39" t="s">
        <v>63</v>
      </c>
      <c r="C21" s="39" t="s">
        <v>15</v>
      </c>
      <c r="D21" s="39" t="s">
        <v>18</v>
      </c>
      <c r="E21" s="39">
        <v>2</v>
      </c>
      <c r="F21" s="39" t="s">
        <v>212</v>
      </c>
      <c r="G21" s="39">
        <v>2.1248</v>
      </c>
      <c r="H21" s="39">
        <v>2.0268999999999999</v>
      </c>
      <c r="I21" s="40">
        <f t="shared" si="0"/>
        <v>4.8300360155903155</v>
      </c>
      <c r="J21" s="53">
        <v>44375</v>
      </c>
      <c r="K21" s="41">
        <v>44411</v>
      </c>
      <c r="L21" s="39">
        <f t="shared" si="1"/>
        <v>36</v>
      </c>
      <c r="M21" s="39">
        <v>0.49940000000000001</v>
      </c>
      <c r="N21" s="42">
        <f t="shared" si="2"/>
        <v>1.5274999999999999</v>
      </c>
      <c r="O21" s="39">
        <v>0.31209999999999999</v>
      </c>
      <c r="P21" s="39">
        <v>0.13469999999999999</v>
      </c>
      <c r="Q21" s="39">
        <v>5.7299999999999997E-2</v>
      </c>
      <c r="R21" s="42">
        <f t="shared" si="3"/>
        <v>1.8349</v>
      </c>
      <c r="S21" s="39">
        <f t="shared" si="4"/>
        <v>82.990898686576912</v>
      </c>
      <c r="U21" s="18">
        <f t="shared" si="5"/>
        <v>17.009101313423074</v>
      </c>
    </row>
    <row r="22" spans="1:25" x14ac:dyDescent="0.25">
      <c r="A22" s="39" t="s">
        <v>62</v>
      </c>
      <c r="B22" s="39" t="s">
        <v>63</v>
      </c>
      <c r="C22" s="39" t="s">
        <v>15</v>
      </c>
      <c r="D22" s="39" t="s">
        <v>19</v>
      </c>
      <c r="E22" s="39">
        <v>1</v>
      </c>
      <c r="F22" s="39" t="s">
        <v>213</v>
      </c>
      <c r="G22" s="39">
        <v>2.0749</v>
      </c>
      <c r="H22" s="39">
        <v>1.9832000000000001</v>
      </c>
      <c r="I22" s="40">
        <f t="shared" si="0"/>
        <v>4.6238402581686104</v>
      </c>
      <c r="J22" s="53">
        <v>44375</v>
      </c>
      <c r="K22" s="41">
        <v>44411</v>
      </c>
      <c r="L22" s="39">
        <f t="shared" si="1"/>
        <v>36</v>
      </c>
      <c r="M22" s="39">
        <v>0.54530000000000001</v>
      </c>
      <c r="N22" s="42">
        <f t="shared" si="2"/>
        <v>1.4379</v>
      </c>
      <c r="O22" s="39">
        <v>0.34789999999999999</v>
      </c>
      <c r="P22" s="39">
        <v>0.14269999999999999</v>
      </c>
      <c r="Q22" s="39">
        <v>5.6500000000000002E-2</v>
      </c>
      <c r="R22" s="42">
        <f t="shared" si="3"/>
        <v>1.784</v>
      </c>
      <c r="S22" s="39">
        <f t="shared" si="4"/>
        <v>80.498878923766824</v>
      </c>
      <c r="U22" s="18">
        <f t="shared" si="5"/>
        <v>19.501121076233183</v>
      </c>
    </row>
    <row r="23" spans="1:25" x14ac:dyDescent="0.25">
      <c r="A23" s="39" t="s">
        <v>62</v>
      </c>
      <c r="B23" s="39" t="s">
        <v>63</v>
      </c>
      <c r="C23" s="39" t="s">
        <v>15</v>
      </c>
      <c r="D23" s="39" t="s">
        <v>19</v>
      </c>
      <c r="E23" s="39">
        <v>2</v>
      </c>
      <c r="F23" s="39" t="s">
        <v>214</v>
      </c>
      <c r="G23" s="39">
        <v>2.1433</v>
      </c>
      <c r="H23" s="39">
        <v>2.0541999999999998</v>
      </c>
      <c r="I23" s="40">
        <f t="shared" si="0"/>
        <v>4.3374549703047505</v>
      </c>
      <c r="J23" s="53">
        <v>44375</v>
      </c>
      <c r="K23" s="41">
        <v>44411</v>
      </c>
      <c r="L23" s="39">
        <f t="shared" si="1"/>
        <v>36</v>
      </c>
      <c r="M23" s="39">
        <v>0.56379999999999997</v>
      </c>
      <c r="N23" s="42">
        <f t="shared" si="2"/>
        <v>1.4903999999999997</v>
      </c>
      <c r="O23" s="39">
        <v>0.37040000000000001</v>
      </c>
      <c r="P23" s="39">
        <v>0.1426</v>
      </c>
      <c r="Q23" s="39">
        <v>5.6000000000000001E-2</v>
      </c>
      <c r="R23" s="42">
        <f t="shared" si="3"/>
        <v>1.8555999999999999</v>
      </c>
      <c r="S23" s="39">
        <f t="shared" si="4"/>
        <v>80.03880146583316</v>
      </c>
      <c r="U23" s="18">
        <f t="shared" si="5"/>
        <v>19.961198534166847</v>
      </c>
    </row>
    <row r="24" spans="1:25" x14ac:dyDescent="0.25">
      <c r="A24" s="39" t="s">
        <v>62</v>
      </c>
      <c r="B24" s="39" t="s">
        <v>63</v>
      </c>
      <c r="C24" s="39" t="s">
        <v>15</v>
      </c>
      <c r="D24" s="39" t="s">
        <v>20</v>
      </c>
      <c r="E24" s="39">
        <v>1</v>
      </c>
      <c r="F24" s="39" t="s">
        <v>215</v>
      </c>
      <c r="G24" s="39">
        <v>2.0859000000000001</v>
      </c>
      <c r="H24" s="39">
        <v>1.9898</v>
      </c>
      <c r="I24" s="40">
        <f t="shared" si="0"/>
        <v>4.8296311187054011</v>
      </c>
      <c r="J24" s="53">
        <v>44375</v>
      </c>
      <c r="K24" s="41">
        <v>44411</v>
      </c>
      <c r="L24" s="39">
        <f t="shared" si="1"/>
        <v>36</v>
      </c>
      <c r="M24" s="39">
        <v>0.56820000000000004</v>
      </c>
      <c r="N24" s="42">
        <f t="shared" si="2"/>
        <v>1.4216</v>
      </c>
      <c r="O24" s="39">
        <v>0.3775</v>
      </c>
      <c r="P24" s="39">
        <v>0.13769999999999999</v>
      </c>
      <c r="Q24" s="39">
        <v>5.6099999999999997E-2</v>
      </c>
      <c r="R24" s="42">
        <f t="shared" si="3"/>
        <v>1.796</v>
      </c>
      <c r="S24" s="39">
        <f t="shared" si="4"/>
        <v>78.981069042316264</v>
      </c>
      <c r="U24" s="18">
        <f t="shared" si="5"/>
        <v>21.01893095768374</v>
      </c>
    </row>
    <row r="25" spans="1:25" x14ac:dyDescent="0.25">
      <c r="A25" s="39" t="s">
        <v>62</v>
      </c>
      <c r="B25" s="39" t="s">
        <v>63</v>
      </c>
      <c r="C25" s="39" t="s">
        <v>15</v>
      </c>
      <c r="D25" s="39" t="s">
        <v>20</v>
      </c>
      <c r="E25" s="39">
        <v>2</v>
      </c>
      <c r="F25" s="39" t="s">
        <v>216</v>
      </c>
      <c r="G25" s="39">
        <v>2.1623999999999999</v>
      </c>
      <c r="H25" s="39">
        <v>2.0648</v>
      </c>
      <c r="I25" s="40">
        <f t="shared" si="0"/>
        <v>4.7268500581170052</v>
      </c>
      <c r="J25" s="53">
        <v>44375</v>
      </c>
      <c r="K25" s="41">
        <v>44411</v>
      </c>
      <c r="L25" s="39">
        <f t="shared" si="1"/>
        <v>36</v>
      </c>
      <c r="M25" s="39">
        <v>0.56340000000000001</v>
      </c>
      <c r="N25" s="42">
        <f t="shared" si="2"/>
        <v>1.5013999999999998</v>
      </c>
      <c r="O25" s="39">
        <v>0.36559999999999998</v>
      </c>
      <c r="P25" s="39">
        <v>0.14299999999999999</v>
      </c>
      <c r="Q25" s="39">
        <v>5.6800000000000003E-2</v>
      </c>
      <c r="R25" s="42">
        <f t="shared" si="3"/>
        <v>1.865</v>
      </c>
      <c r="S25" s="39">
        <f t="shared" si="4"/>
        <v>80.396782841823054</v>
      </c>
      <c r="U25" s="18">
        <f t="shared" si="5"/>
        <v>19.603217158176943</v>
      </c>
    </row>
    <row r="26" spans="1:25" x14ac:dyDescent="0.25">
      <c r="A26" s="43" t="s">
        <v>99</v>
      </c>
      <c r="B26" s="43" t="s">
        <v>100</v>
      </c>
      <c r="C26" s="43" t="s">
        <v>15</v>
      </c>
      <c r="D26" s="43" t="s">
        <v>17</v>
      </c>
      <c r="E26" s="43">
        <v>1</v>
      </c>
      <c r="F26" s="43" t="s">
        <v>217</v>
      </c>
      <c r="G26" s="43">
        <v>2.1398000000000001</v>
      </c>
      <c r="H26" s="43">
        <v>2.0324</v>
      </c>
      <c r="I26" s="44">
        <f t="shared" si="0"/>
        <v>5.2843928360559023</v>
      </c>
      <c r="J26" s="53">
        <v>44389</v>
      </c>
      <c r="K26" s="45">
        <v>44420</v>
      </c>
      <c r="L26" s="43">
        <f t="shared" si="1"/>
        <v>31</v>
      </c>
      <c r="M26" s="43">
        <v>0.57940000000000003</v>
      </c>
      <c r="N26" s="46">
        <f t="shared" si="2"/>
        <v>1.4529999999999998</v>
      </c>
      <c r="O26" s="43">
        <v>0.38729999999999998</v>
      </c>
      <c r="P26" s="43">
        <v>0.13869999999999999</v>
      </c>
      <c r="Q26" s="43">
        <v>5.4699999999999999E-2</v>
      </c>
      <c r="R26" s="46">
        <f t="shared" si="3"/>
        <v>1.839</v>
      </c>
      <c r="S26" s="43">
        <f t="shared" si="4"/>
        <v>78.939641109298535</v>
      </c>
      <c r="T26">
        <f>AVERAGE(O26:O33)</f>
        <v>0.3923875</v>
      </c>
      <c r="U26" s="18">
        <f t="shared" si="5"/>
        <v>21.060358890701465</v>
      </c>
      <c r="V26" s="7">
        <f>AVERAGE(U26:U33)</f>
        <v>21.672446825017772</v>
      </c>
      <c r="W26">
        <f>STDEV(U26:U33)</f>
        <v>3.4329397034975653</v>
      </c>
      <c r="X26">
        <f>AVERAGE(S26:S33)</f>
        <v>78.327553174982228</v>
      </c>
      <c r="Y26">
        <f>STDEV(S26:S33)</f>
        <v>3.43293970349754</v>
      </c>
    </row>
    <row r="27" spans="1:25" x14ac:dyDescent="0.25">
      <c r="A27" s="43" t="s">
        <v>99</v>
      </c>
      <c r="B27" s="43" t="s">
        <v>100</v>
      </c>
      <c r="C27" s="43" t="s">
        <v>15</v>
      </c>
      <c r="D27" s="43" t="s">
        <v>17</v>
      </c>
      <c r="E27" s="43">
        <v>2</v>
      </c>
      <c r="F27" s="43" t="s">
        <v>218</v>
      </c>
      <c r="G27" s="43">
        <v>2.0998000000000001</v>
      </c>
      <c r="H27" s="43">
        <v>1.9937</v>
      </c>
      <c r="I27" s="44">
        <f t="shared" si="0"/>
        <v>5.3217635551988804</v>
      </c>
      <c r="J27" s="53">
        <v>44389</v>
      </c>
      <c r="K27" s="45">
        <v>44420</v>
      </c>
      <c r="L27" s="43">
        <f t="shared" si="1"/>
        <v>31</v>
      </c>
      <c r="M27" s="43">
        <v>0.62070000000000003</v>
      </c>
      <c r="N27" s="46">
        <f t="shared" si="2"/>
        <v>1.373</v>
      </c>
      <c r="O27" s="43">
        <v>0.42780000000000001</v>
      </c>
      <c r="P27" s="43">
        <v>0.1396</v>
      </c>
      <c r="Q27" s="43">
        <v>5.5E-2</v>
      </c>
      <c r="R27" s="46">
        <f t="shared" si="3"/>
        <v>1.7991000000000001</v>
      </c>
      <c r="S27" s="43">
        <f t="shared" si="4"/>
        <v>76.221444055361019</v>
      </c>
      <c r="U27" s="18">
        <f t="shared" si="5"/>
        <v>23.778555944638985</v>
      </c>
    </row>
    <row r="28" spans="1:25" x14ac:dyDescent="0.25">
      <c r="A28" s="43" t="s">
        <v>99</v>
      </c>
      <c r="B28" s="43" t="s">
        <v>100</v>
      </c>
      <c r="C28" s="43" t="s">
        <v>15</v>
      </c>
      <c r="D28" s="43" t="s">
        <v>18</v>
      </c>
      <c r="E28" s="43">
        <v>1</v>
      </c>
      <c r="F28" s="43" t="s">
        <v>219</v>
      </c>
      <c r="G28" s="43">
        <v>2.0341999999999998</v>
      </c>
      <c r="H28" s="43">
        <v>1.9313</v>
      </c>
      <c r="I28" s="44">
        <f t="shared" si="0"/>
        <v>5.3280173976078169</v>
      </c>
      <c r="J28" s="53">
        <v>44389</v>
      </c>
      <c r="K28" s="45">
        <v>44420</v>
      </c>
      <c r="L28" s="43">
        <f t="shared" si="1"/>
        <v>31</v>
      </c>
      <c r="M28" s="43">
        <v>0.69520000000000004</v>
      </c>
      <c r="N28" s="46">
        <f t="shared" si="2"/>
        <v>1.2361</v>
      </c>
      <c r="O28" s="43">
        <v>0.49959999999999999</v>
      </c>
      <c r="P28" s="43">
        <v>0.1419</v>
      </c>
      <c r="Q28" s="43">
        <v>5.7200000000000001E-2</v>
      </c>
      <c r="R28" s="46">
        <f t="shared" si="3"/>
        <v>1.7322</v>
      </c>
      <c r="S28" s="43">
        <f t="shared" si="4"/>
        <v>71.158064888580995</v>
      </c>
      <c r="U28" s="18">
        <f t="shared" si="5"/>
        <v>28.841935111419005</v>
      </c>
    </row>
    <row r="29" spans="1:25" x14ac:dyDescent="0.25">
      <c r="A29" s="43" t="s">
        <v>99</v>
      </c>
      <c r="B29" s="43" t="s">
        <v>100</v>
      </c>
      <c r="C29" s="43" t="s">
        <v>15</v>
      </c>
      <c r="D29" s="43" t="s">
        <v>18</v>
      </c>
      <c r="E29" s="43">
        <v>2</v>
      </c>
      <c r="F29" s="43" t="s">
        <v>220</v>
      </c>
      <c r="G29" s="43">
        <v>2.1686000000000001</v>
      </c>
      <c r="H29" s="43">
        <v>2.0550999999999999</v>
      </c>
      <c r="I29" s="44">
        <f t="shared" si="0"/>
        <v>5.5228456036202696</v>
      </c>
      <c r="J29" s="53">
        <v>44389</v>
      </c>
      <c r="K29" s="45">
        <v>44420</v>
      </c>
      <c r="L29" s="43">
        <f t="shared" si="1"/>
        <v>31</v>
      </c>
      <c r="M29" s="43">
        <v>0.60370000000000001</v>
      </c>
      <c r="N29" s="46">
        <f t="shared" si="2"/>
        <v>1.4514</v>
      </c>
      <c r="O29" s="43">
        <v>0.40589999999999998</v>
      </c>
      <c r="P29" s="43">
        <v>0.1419</v>
      </c>
      <c r="Q29" s="43">
        <v>5.6899999999999999E-2</v>
      </c>
      <c r="R29" s="46">
        <f t="shared" si="3"/>
        <v>1.8562999999999998</v>
      </c>
      <c r="S29" s="43">
        <f t="shared" si="4"/>
        <v>78.133922318590749</v>
      </c>
      <c r="U29" s="18">
        <f t="shared" si="5"/>
        <v>21.866077681409259</v>
      </c>
    </row>
    <row r="30" spans="1:25" x14ac:dyDescent="0.25">
      <c r="A30" s="43" t="s">
        <v>99</v>
      </c>
      <c r="B30" s="43" t="s">
        <v>100</v>
      </c>
      <c r="C30" s="43" t="s">
        <v>15</v>
      </c>
      <c r="D30" s="43" t="s">
        <v>19</v>
      </c>
      <c r="E30" s="43">
        <v>1</v>
      </c>
      <c r="F30" s="43" t="s">
        <v>221</v>
      </c>
      <c r="G30" s="43">
        <v>2.0659000000000001</v>
      </c>
      <c r="H30" s="43">
        <v>1.9611000000000001</v>
      </c>
      <c r="I30" s="44">
        <f t="shared" si="0"/>
        <v>5.3439396257202594</v>
      </c>
      <c r="J30" s="53">
        <v>44389</v>
      </c>
      <c r="K30" s="45">
        <v>44420</v>
      </c>
      <c r="L30" s="43">
        <f t="shared" si="1"/>
        <v>31</v>
      </c>
      <c r="M30" s="43">
        <v>0.5302</v>
      </c>
      <c r="N30" s="46">
        <f t="shared" si="2"/>
        <v>1.4309000000000001</v>
      </c>
      <c r="O30" s="43">
        <v>0.34250000000000003</v>
      </c>
      <c r="P30" s="43">
        <v>0.13109999999999999</v>
      </c>
      <c r="Q30" s="43">
        <v>5.6800000000000003E-2</v>
      </c>
      <c r="R30" s="46">
        <f t="shared" si="3"/>
        <v>1.7732000000000001</v>
      </c>
      <c r="S30" s="43">
        <f t="shared" si="4"/>
        <v>80.684637942702466</v>
      </c>
      <c r="U30" s="18">
        <f t="shared" si="5"/>
        <v>19.315362057297541</v>
      </c>
    </row>
    <row r="31" spans="1:25" x14ac:dyDescent="0.25">
      <c r="A31" s="43" t="s">
        <v>99</v>
      </c>
      <c r="B31" s="43" t="s">
        <v>100</v>
      </c>
      <c r="C31" s="43" t="s">
        <v>15</v>
      </c>
      <c r="D31" s="43" t="s">
        <v>19</v>
      </c>
      <c r="E31" s="43">
        <v>2</v>
      </c>
      <c r="F31" s="43" t="s">
        <v>222</v>
      </c>
      <c r="G31" s="43">
        <v>2.1941000000000002</v>
      </c>
      <c r="H31" s="43">
        <v>2.0807000000000002</v>
      </c>
      <c r="I31" s="44">
        <f t="shared" si="0"/>
        <v>5.4500889123852518</v>
      </c>
      <c r="J31" s="53">
        <v>44389</v>
      </c>
      <c r="K31" s="45">
        <v>44420</v>
      </c>
      <c r="L31" s="43">
        <f t="shared" si="1"/>
        <v>31</v>
      </c>
      <c r="M31" s="43">
        <v>0.52110000000000001</v>
      </c>
      <c r="N31" s="46">
        <f t="shared" si="2"/>
        <v>1.5596000000000001</v>
      </c>
      <c r="O31" s="43">
        <v>0.32979999999999998</v>
      </c>
      <c r="P31" s="43">
        <v>0.1366</v>
      </c>
      <c r="Q31" s="43">
        <v>5.4399999999999997E-2</v>
      </c>
      <c r="R31" s="46">
        <f t="shared" si="3"/>
        <v>1.8897000000000002</v>
      </c>
      <c r="S31" s="43">
        <f t="shared" si="4"/>
        <v>82.547494311266348</v>
      </c>
      <c r="U31" s="18">
        <f t="shared" si="5"/>
        <v>17.452505688733659</v>
      </c>
    </row>
    <row r="32" spans="1:25" x14ac:dyDescent="0.25">
      <c r="A32" s="43" t="s">
        <v>99</v>
      </c>
      <c r="B32" s="43" t="s">
        <v>100</v>
      </c>
      <c r="C32" s="43" t="s">
        <v>15</v>
      </c>
      <c r="D32" s="43" t="s">
        <v>20</v>
      </c>
      <c r="E32" s="43">
        <v>1</v>
      </c>
      <c r="F32" s="43" t="s">
        <v>223</v>
      </c>
      <c r="G32" s="46">
        <v>2.0972</v>
      </c>
      <c r="H32" s="43">
        <v>1.9893000000000001</v>
      </c>
      <c r="I32" s="44">
        <f t="shared" si="0"/>
        <v>5.4240184989694811</v>
      </c>
      <c r="J32" s="53">
        <v>44389</v>
      </c>
      <c r="K32" s="45">
        <v>44420</v>
      </c>
      <c r="L32" s="43">
        <f t="shared" si="1"/>
        <v>31</v>
      </c>
      <c r="M32" s="43">
        <v>0.54810000000000003</v>
      </c>
      <c r="N32" s="46">
        <f t="shared" si="2"/>
        <v>1.4412</v>
      </c>
      <c r="O32" s="43">
        <v>0.36370000000000002</v>
      </c>
      <c r="P32" s="43">
        <v>0.13039999999999999</v>
      </c>
      <c r="Q32" s="43">
        <v>5.45E-2</v>
      </c>
      <c r="R32" s="46">
        <f t="shared" si="3"/>
        <v>1.8044</v>
      </c>
      <c r="S32" s="43">
        <f t="shared" si="4"/>
        <v>79.843715362447355</v>
      </c>
      <c r="U32" s="18">
        <f t="shared" si="5"/>
        <v>20.156284637552652</v>
      </c>
    </row>
    <row r="33" spans="1:25" x14ac:dyDescent="0.25">
      <c r="A33" s="43" t="s">
        <v>99</v>
      </c>
      <c r="B33" s="43" t="s">
        <v>100</v>
      </c>
      <c r="C33" s="43" t="s">
        <v>15</v>
      </c>
      <c r="D33" s="43" t="s">
        <v>20</v>
      </c>
      <c r="E33" s="43">
        <v>2</v>
      </c>
      <c r="F33" s="43" t="s">
        <v>224</v>
      </c>
      <c r="G33" s="43">
        <v>2.1267999999999998</v>
      </c>
      <c r="H33" s="43">
        <v>2.0139999999999998</v>
      </c>
      <c r="I33" s="44">
        <f t="shared" si="0"/>
        <v>5.6007944389275091</v>
      </c>
      <c r="J33" s="53">
        <v>44389</v>
      </c>
      <c r="K33" s="45">
        <v>44420</v>
      </c>
      <c r="L33" s="43">
        <f t="shared" si="1"/>
        <v>31</v>
      </c>
      <c r="M33" s="43">
        <v>0.56720000000000004</v>
      </c>
      <c r="N33" s="46">
        <f t="shared" si="2"/>
        <v>1.4467999999999996</v>
      </c>
      <c r="O33" s="43">
        <v>0.38250000000000001</v>
      </c>
      <c r="P33" s="43">
        <v>0.12989999999999999</v>
      </c>
      <c r="Q33" s="43">
        <v>5.4699999999999999E-2</v>
      </c>
      <c r="R33" s="46">
        <f t="shared" si="3"/>
        <v>1.8293999999999997</v>
      </c>
      <c r="S33" s="43">
        <f t="shared" si="4"/>
        <v>79.091505411610356</v>
      </c>
      <c r="U33" s="18">
        <f t="shared" si="5"/>
        <v>20.90849458838964</v>
      </c>
    </row>
    <row r="34" spans="1:25" x14ac:dyDescent="0.25">
      <c r="A34" s="47" t="s">
        <v>300</v>
      </c>
      <c r="B34" s="47" t="s">
        <v>80</v>
      </c>
      <c r="C34" s="47" t="s">
        <v>15</v>
      </c>
      <c r="D34" s="47" t="s">
        <v>17</v>
      </c>
      <c r="E34" s="47">
        <v>1</v>
      </c>
      <c r="F34" s="47" t="s">
        <v>225</v>
      </c>
      <c r="G34" s="48">
        <v>2.1865000000000001</v>
      </c>
      <c r="H34" s="48">
        <v>2.0611999999999999</v>
      </c>
      <c r="I34" s="49">
        <f t="shared" si="0"/>
        <v>6.0789831166310986</v>
      </c>
      <c r="J34" s="53">
        <v>44396</v>
      </c>
      <c r="K34" s="50">
        <v>44426</v>
      </c>
      <c r="L34" s="47">
        <f t="shared" si="1"/>
        <v>30</v>
      </c>
      <c r="M34" s="47">
        <v>0.53759999999999997</v>
      </c>
      <c r="N34" s="48">
        <f t="shared" si="2"/>
        <v>1.5236000000000001</v>
      </c>
      <c r="O34" s="47">
        <v>0.35149999999999998</v>
      </c>
      <c r="P34" s="47">
        <v>0.13039999999999999</v>
      </c>
      <c r="Q34" s="47">
        <v>5.6099999999999997E-2</v>
      </c>
      <c r="R34" s="48">
        <f t="shared" si="3"/>
        <v>1.8746999999999998</v>
      </c>
      <c r="S34" s="47">
        <f t="shared" si="4"/>
        <v>81.250333386675194</v>
      </c>
      <c r="T34">
        <f>AVERAGE(O34:O41)</f>
        <v>0.30875000000000002</v>
      </c>
      <c r="U34" s="18">
        <f t="shared" si="5"/>
        <v>18.749666613324798</v>
      </c>
      <c r="V34" s="7">
        <f>AVERAGE(U34:U41)</f>
        <v>16.766187117758296</v>
      </c>
      <c r="W34">
        <f>STDEV(U34:U41)</f>
        <v>4.3601843804269</v>
      </c>
      <c r="X34">
        <f>AVERAGE(S34:S41)</f>
        <v>83.233812882241693</v>
      </c>
      <c r="Y34">
        <f>STDEV(S34:S41)</f>
        <v>4.3601843804268938</v>
      </c>
    </row>
    <row r="35" spans="1:25" x14ac:dyDescent="0.25">
      <c r="A35" s="47" t="s">
        <v>300</v>
      </c>
      <c r="B35" s="47" t="s">
        <v>80</v>
      </c>
      <c r="C35" s="47" t="s">
        <v>15</v>
      </c>
      <c r="D35" s="47" t="s">
        <v>17</v>
      </c>
      <c r="E35" s="47">
        <v>2</v>
      </c>
      <c r="F35" s="47" t="s">
        <v>226</v>
      </c>
      <c r="G35" s="47">
        <v>2.1646999999999998</v>
      </c>
      <c r="H35" s="47">
        <v>2.0426000000000002</v>
      </c>
      <c r="I35" s="49">
        <f t="shared" si="0"/>
        <v>5.9776755116028415</v>
      </c>
      <c r="J35" s="53">
        <v>44396</v>
      </c>
      <c r="K35" s="50">
        <v>44426</v>
      </c>
      <c r="L35" s="47">
        <f t="shared" si="1"/>
        <v>30</v>
      </c>
      <c r="M35" s="47">
        <v>0.52190000000000003</v>
      </c>
      <c r="N35" s="48">
        <f t="shared" si="2"/>
        <v>1.5207000000000002</v>
      </c>
      <c r="O35" s="47">
        <v>0.33100000000000002</v>
      </c>
      <c r="P35" s="47">
        <v>0.1351</v>
      </c>
      <c r="Q35" s="47">
        <v>5.5399999999999998E-2</v>
      </c>
      <c r="R35" s="48">
        <f t="shared" si="3"/>
        <v>1.8521000000000001</v>
      </c>
      <c r="S35" s="47">
        <f t="shared" si="4"/>
        <v>82.128394795097464</v>
      </c>
      <c r="U35" s="18">
        <f t="shared" si="5"/>
        <v>17.871605204902544</v>
      </c>
    </row>
    <row r="36" spans="1:25" x14ac:dyDescent="0.25">
      <c r="A36" s="47" t="s">
        <v>300</v>
      </c>
      <c r="B36" s="47" t="s">
        <v>80</v>
      </c>
      <c r="C36" s="47" t="s">
        <v>15</v>
      </c>
      <c r="D36" s="47" t="s">
        <v>18</v>
      </c>
      <c r="E36" s="47">
        <v>1</v>
      </c>
      <c r="F36" s="47" t="s">
        <v>227</v>
      </c>
      <c r="G36" s="47">
        <v>2.1410999999999998</v>
      </c>
      <c r="H36" s="48">
        <v>2.0205000000000002</v>
      </c>
      <c r="I36" s="49">
        <f t="shared" si="0"/>
        <v>5.9688195991091115</v>
      </c>
      <c r="J36" s="53">
        <v>44396</v>
      </c>
      <c r="K36" s="50">
        <v>44426</v>
      </c>
      <c r="L36" s="47">
        <f t="shared" si="1"/>
        <v>30</v>
      </c>
      <c r="M36" s="47">
        <v>0.38369999999999999</v>
      </c>
      <c r="N36" s="48">
        <f t="shared" si="2"/>
        <v>1.6368000000000003</v>
      </c>
      <c r="O36" s="47">
        <v>0.20039999999999999</v>
      </c>
      <c r="P36" s="47">
        <v>0.127</v>
      </c>
      <c r="Q36" s="47">
        <v>5.5599999999999997E-2</v>
      </c>
      <c r="R36" s="48">
        <f t="shared" si="3"/>
        <v>1.8379000000000003</v>
      </c>
      <c r="S36" s="47">
        <f t="shared" si="4"/>
        <v>89.096251156210897</v>
      </c>
      <c r="U36" s="18">
        <f t="shared" si="5"/>
        <v>10.903748843789105</v>
      </c>
    </row>
    <row r="37" spans="1:25" x14ac:dyDescent="0.25">
      <c r="A37" s="47" t="s">
        <v>300</v>
      </c>
      <c r="B37" s="47" t="s">
        <v>80</v>
      </c>
      <c r="C37" s="47" t="s">
        <v>15</v>
      </c>
      <c r="D37" s="47" t="s">
        <v>18</v>
      </c>
      <c r="E37" s="47">
        <v>2</v>
      </c>
      <c r="F37" s="47" t="s">
        <v>228</v>
      </c>
      <c r="G37" s="47">
        <v>2.1663000000000001</v>
      </c>
      <c r="H37" s="47">
        <v>2.0442999999999998</v>
      </c>
      <c r="I37" s="49">
        <f t="shared" si="0"/>
        <v>5.9678129433057938</v>
      </c>
      <c r="J37" s="53">
        <v>44396</v>
      </c>
      <c r="K37" s="50">
        <v>44426</v>
      </c>
      <c r="L37" s="47">
        <f t="shared" si="1"/>
        <v>30</v>
      </c>
      <c r="M37" s="47">
        <v>0.59699999999999998</v>
      </c>
      <c r="N37" s="48">
        <f t="shared" si="2"/>
        <v>1.4472999999999998</v>
      </c>
      <c r="O37" s="47">
        <v>0.41</v>
      </c>
      <c r="P37" s="47">
        <v>0.13039999999999999</v>
      </c>
      <c r="Q37" s="47">
        <v>5.5599999999999997E-2</v>
      </c>
      <c r="R37" s="48">
        <f t="shared" si="3"/>
        <v>1.8582999999999998</v>
      </c>
      <c r="S37" s="47">
        <f t="shared" si="4"/>
        <v>77.936823978905451</v>
      </c>
      <c r="U37" s="18">
        <f t="shared" si="5"/>
        <v>22.063176021094549</v>
      </c>
    </row>
    <row r="38" spans="1:25" x14ac:dyDescent="0.25">
      <c r="A38" s="47" t="s">
        <v>300</v>
      </c>
      <c r="B38" s="47" t="s">
        <v>80</v>
      </c>
      <c r="C38" s="47" t="s">
        <v>15</v>
      </c>
      <c r="D38" s="47" t="s">
        <v>19</v>
      </c>
      <c r="E38" s="47">
        <v>1</v>
      </c>
      <c r="F38" s="47" t="s">
        <v>229</v>
      </c>
      <c r="G38" s="47">
        <v>2.1151</v>
      </c>
      <c r="H38" s="47">
        <v>1.9958</v>
      </c>
      <c r="I38" s="49">
        <f t="shared" si="0"/>
        <v>5.9775528610081157</v>
      </c>
      <c r="J38" s="53">
        <v>44396</v>
      </c>
      <c r="K38" s="50">
        <v>44426</v>
      </c>
      <c r="L38" s="47">
        <f t="shared" si="1"/>
        <v>30</v>
      </c>
      <c r="M38" s="47">
        <v>0.40739999999999998</v>
      </c>
      <c r="N38" s="48">
        <f t="shared" si="2"/>
        <v>1.5884</v>
      </c>
      <c r="O38" s="47">
        <v>0.2152</v>
      </c>
      <c r="P38" s="47">
        <v>0.1366</v>
      </c>
      <c r="Q38" s="47">
        <v>5.5500000000000001E-2</v>
      </c>
      <c r="R38" s="48">
        <f t="shared" si="3"/>
        <v>1.8037000000000001</v>
      </c>
      <c r="S38" s="47">
        <f t="shared" si="4"/>
        <v>88.06896934079947</v>
      </c>
      <c r="U38" s="18">
        <f t="shared" si="5"/>
        <v>11.931030659200532</v>
      </c>
    </row>
    <row r="39" spans="1:25" x14ac:dyDescent="0.25">
      <c r="A39" s="47" t="s">
        <v>300</v>
      </c>
      <c r="B39" s="47" t="s">
        <v>80</v>
      </c>
      <c r="C39" s="47" t="s">
        <v>15</v>
      </c>
      <c r="D39" s="47" t="s">
        <v>19</v>
      </c>
      <c r="E39" s="47">
        <v>2</v>
      </c>
      <c r="F39" s="47" t="s">
        <v>230</v>
      </c>
      <c r="G39" s="47">
        <v>2.0653000000000001</v>
      </c>
      <c r="H39" s="47">
        <v>1.9490000000000001</v>
      </c>
      <c r="I39" s="49">
        <f t="shared" si="0"/>
        <v>5.9671626475115485</v>
      </c>
      <c r="J39" s="53">
        <v>44396</v>
      </c>
      <c r="K39" s="50">
        <v>44426</v>
      </c>
      <c r="L39" s="47">
        <f t="shared" si="1"/>
        <v>30</v>
      </c>
      <c r="M39" s="47">
        <v>0.40500000000000003</v>
      </c>
      <c r="N39" s="48">
        <f t="shared" si="2"/>
        <v>1.544</v>
      </c>
      <c r="O39" s="47">
        <v>0.21940000000000001</v>
      </c>
      <c r="P39" s="47">
        <v>0.12939999999999999</v>
      </c>
      <c r="Q39" s="47">
        <v>5.57E-2</v>
      </c>
      <c r="R39" s="48">
        <f t="shared" si="3"/>
        <v>1.7639</v>
      </c>
      <c r="S39" s="47">
        <f t="shared" si="4"/>
        <v>87.561653154940757</v>
      </c>
      <c r="U39" s="18">
        <f t="shared" si="5"/>
        <v>12.438346845059243</v>
      </c>
    </row>
    <row r="40" spans="1:25" x14ac:dyDescent="0.25">
      <c r="A40" s="47" t="s">
        <v>300</v>
      </c>
      <c r="B40" s="47" t="s">
        <v>80</v>
      </c>
      <c r="C40" s="47" t="s">
        <v>15</v>
      </c>
      <c r="D40" s="47" t="s">
        <v>20</v>
      </c>
      <c r="E40" s="47">
        <v>1</v>
      </c>
      <c r="F40" s="47" t="s">
        <v>231</v>
      </c>
      <c r="G40" s="47">
        <v>2.1444999999999999</v>
      </c>
      <c r="H40" s="47">
        <v>2.0247999999999999</v>
      </c>
      <c r="I40" s="49">
        <f t="shared" si="0"/>
        <v>5.911694982220463</v>
      </c>
      <c r="J40" s="53">
        <v>44396</v>
      </c>
      <c r="K40" s="50">
        <v>44426</v>
      </c>
      <c r="L40" s="47">
        <f t="shared" si="1"/>
        <v>30</v>
      </c>
      <c r="M40" s="47">
        <v>0.57689999999999997</v>
      </c>
      <c r="N40" s="48">
        <f t="shared" si="2"/>
        <v>1.4479</v>
      </c>
      <c r="O40" s="47">
        <v>0.38300000000000001</v>
      </c>
      <c r="P40" s="47">
        <v>0.13639999999999999</v>
      </c>
      <c r="Q40" s="47">
        <v>5.6399999999999999E-2</v>
      </c>
      <c r="R40" s="48">
        <f t="shared" si="3"/>
        <v>1.8319999999999999</v>
      </c>
      <c r="S40" s="47">
        <f t="shared" si="4"/>
        <v>79.093886462882097</v>
      </c>
      <c r="U40" s="18">
        <f t="shared" si="5"/>
        <v>20.906113537117907</v>
      </c>
    </row>
    <row r="41" spans="1:25" x14ac:dyDescent="0.25">
      <c r="A41" s="47" t="s">
        <v>300</v>
      </c>
      <c r="B41" s="47" t="s">
        <v>80</v>
      </c>
      <c r="C41" s="47" t="s">
        <v>15</v>
      </c>
      <c r="D41" s="47" t="s">
        <v>20</v>
      </c>
      <c r="E41" s="47">
        <v>2</v>
      </c>
      <c r="F41" s="47" t="s">
        <v>232</v>
      </c>
      <c r="G41" s="47">
        <v>2.1814</v>
      </c>
      <c r="H41" s="47">
        <v>2.0577000000000001</v>
      </c>
      <c r="I41" s="49">
        <f t="shared" si="0"/>
        <v>6.0115663119016336</v>
      </c>
      <c r="J41" s="53">
        <v>44396</v>
      </c>
      <c r="K41" s="50">
        <v>44426</v>
      </c>
      <c r="L41" s="47">
        <f t="shared" si="1"/>
        <v>30</v>
      </c>
      <c r="M41" s="47">
        <v>0.5524</v>
      </c>
      <c r="N41" s="48">
        <f t="shared" si="2"/>
        <v>1.5053000000000001</v>
      </c>
      <c r="O41" s="47">
        <v>0.35949999999999999</v>
      </c>
      <c r="P41" s="47">
        <v>0.13439999999999999</v>
      </c>
      <c r="Q41" s="47">
        <v>5.7299999999999997E-2</v>
      </c>
      <c r="R41" s="48">
        <f t="shared" si="3"/>
        <v>1.8660000000000001</v>
      </c>
      <c r="S41" s="47">
        <f t="shared" si="4"/>
        <v>80.734190782422303</v>
      </c>
      <c r="U41" s="18">
        <f t="shared" si="5"/>
        <v>19.265809217577704</v>
      </c>
    </row>
    <row r="42" spans="1:25" x14ac:dyDescent="0.25">
      <c r="F42" s="13" t="s">
        <v>119</v>
      </c>
      <c r="G42" s="14">
        <f>AVERAGE(G2:G41)</f>
        <v>2.1292024999999994</v>
      </c>
      <c r="H42" s="14">
        <f>AVERAGE(H2:H41)</f>
        <v>2.0184799999999994</v>
      </c>
      <c r="I42" s="4"/>
      <c r="J42" s="5"/>
      <c r="K42" s="5"/>
      <c r="O42" s="15"/>
      <c r="P42" s="16"/>
      <c r="Q42" s="16"/>
    </row>
    <row r="43" spans="1:25" x14ac:dyDescent="0.25">
      <c r="F43" s="13" t="s">
        <v>120</v>
      </c>
      <c r="G43" s="14">
        <f>STDEV(G2:G42)</f>
        <v>5.1623107652968757E-2</v>
      </c>
      <c r="H43" s="14">
        <f>STDEV(H2:H41)</f>
        <v>4.766293082007203E-2</v>
      </c>
      <c r="I43" s="4"/>
      <c r="J43" s="5"/>
      <c r="K43" s="5"/>
      <c r="O43" s="15"/>
      <c r="P43" s="16"/>
      <c r="Q43" s="16"/>
    </row>
    <row r="44" spans="1:25" x14ac:dyDescent="0.25">
      <c r="F44" s="13" t="s">
        <v>121</v>
      </c>
      <c r="G44" s="14">
        <f>CONFIDENCE(0.05,G43,COUNT(G2:G41))</f>
        <v>1.5997872837716809E-2</v>
      </c>
      <c r="H44" s="14">
        <f>CONFIDENCE(0.05,H43,COUNT(H2:H41))</f>
        <v>1.477062387367831E-2</v>
      </c>
      <c r="I44" s="4"/>
      <c r="J44" s="5"/>
      <c r="K44" s="5"/>
      <c r="O44" s="15"/>
      <c r="P44" s="16"/>
      <c r="Q44" s="16"/>
    </row>
    <row r="45" spans="1:25" x14ac:dyDescent="0.25">
      <c r="F45" s="13" t="s">
        <v>122</v>
      </c>
      <c r="G45" s="14">
        <f>G42-G44</f>
        <v>2.1132046271622826</v>
      </c>
      <c r="H45" s="14">
        <f>H42-H44</f>
        <v>2.0037093761263209</v>
      </c>
      <c r="I45" s="4"/>
      <c r="J45" s="5"/>
      <c r="K45" s="5"/>
      <c r="O45" s="15"/>
      <c r="P45" s="16"/>
      <c r="Q45" s="16"/>
    </row>
    <row r="46" spans="1:25" x14ac:dyDescent="0.25">
      <c r="F46" s="13" t="s">
        <v>123</v>
      </c>
      <c r="G46" s="14">
        <f>G42+G45</f>
        <v>4.2424071271622825</v>
      </c>
      <c r="H46" s="14">
        <f>H42+H45</f>
        <v>4.0221893761263203</v>
      </c>
      <c r="I46" s="4"/>
      <c r="J46" s="5"/>
      <c r="K46" s="5"/>
      <c r="O46" s="15"/>
      <c r="P46" s="16"/>
      <c r="Q46" s="16"/>
    </row>
    <row r="47" spans="1:25" x14ac:dyDescent="0.25">
      <c r="F47" s="12"/>
    </row>
    <row r="48" spans="1:25" ht="60" x14ac:dyDescent="0.25">
      <c r="A48" t="s">
        <v>1</v>
      </c>
      <c r="B48" t="s">
        <v>39</v>
      </c>
      <c r="C48" t="s">
        <v>12</v>
      </c>
      <c r="D48" t="s">
        <v>13</v>
      </c>
      <c r="E48" t="s">
        <v>40</v>
      </c>
      <c r="F48" s="1" t="s">
        <v>0</v>
      </c>
      <c r="G48" s="2" t="s">
        <v>3</v>
      </c>
      <c r="H48" s="2" t="s">
        <v>11</v>
      </c>
      <c r="I48" s="2" t="s">
        <v>42</v>
      </c>
      <c r="J48" s="3" t="s">
        <v>2</v>
      </c>
      <c r="K48" s="1" t="s">
        <v>4</v>
      </c>
      <c r="L48" s="2" t="s">
        <v>5</v>
      </c>
      <c r="M48" s="3" t="s">
        <v>37</v>
      </c>
      <c r="N48" s="2" t="s">
        <v>6</v>
      </c>
      <c r="O48" s="3" t="s">
        <v>38</v>
      </c>
      <c r="P48" s="2" t="s">
        <v>7</v>
      </c>
      <c r="Q48" s="2" t="s">
        <v>8</v>
      </c>
      <c r="R48" s="2" t="s">
        <v>9</v>
      </c>
      <c r="S48" s="2" t="s">
        <v>10</v>
      </c>
      <c r="T48" s="51" t="s">
        <v>190</v>
      </c>
      <c r="U48" s="52" t="s">
        <v>191</v>
      </c>
      <c r="V48" s="52" t="s">
        <v>119</v>
      </c>
      <c r="W48" s="52" t="s">
        <v>192</v>
      </c>
      <c r="X48" s="52" t="s">
        <v>119</v>
      </c>
      <c r="Y48" s="52" t="s">
        <v>192</v>
      </c>
    </row>
    <row r="49" spans="1:25" x14ac:dyDescent="0.25">
      <c r="A49" s="27" t="s">
        <v>59</v>
      </c>
      <c r="B49" s="27" t="s">
        <v>41</v>
      </c>
      <c r="C49" s="27" t="s">
        <v>16</v>
      </c>
      <c r="D49" s="27" t="s">
        <v>17</v>
      </c>
      <c r="E49" s="27">
        <v>1</v>
      </c>
      <c r="F49" s="27" t="s">
        <v>233</v>
      </c>
      <c r="G49" s="27">
        <v>2.2477</v>
      </c>
      <c r="H49" s="27">
        <v>2.1284000000000001</v>
      </c>
      <c r="I49" s="28">
        <f t="shared" ref="I49:I88" si="6">((G49-H49)/H49)*100</f>
        <v>5.605149408006012</v>
      </c>
      <c r="J49" s="53">
        <v>44361</v>
      </c>
      <c r="K49" s="29">
        <v>44393</v>
      </c>
      <c r="L49" s="27">
        <f t="shared" ref="L49:L88" si="7">K49-J49</f>
        <v>32</v>
      </c>
      <c r="M49" s="27">
        <v>1.5528999999999999</v>
      </c>
      <c r="N49" s="27">
        <f>H49-M49</f>
        <v>0.57550000000000012</v>
      </c>
      <c r="O49" s="27">
        <v>1.3542000000000001</v>
      </c>
      <c r="P49" s="27">
        <v>0.1371</v>
      </c>
      <c r="Q49" s="27">
        <v>6.5000000000000002E-2</v>
      </c>
      <c r="R49" s="30">
        <f>H49-(P49+Q49)</f>
        <v>1.9263000000000001</v>
      </c>
      <c r="S49" s="27">
        <f>((R49-O49)/R49)*100</f>
        <v>29.699423765768572</v>
      </c>
      <c r="T49">
        <f>AVERAGE(O49:O56)</f>
        <v>1.3615625</v>
      </c>
      <c r="U49" s="18">
        <f>(O49/R49)*100</f>
        <v>70.300576234231428</v>
      </c>
      <c r="V49" s="7">
        <f>AVERAGE(U49:U56)</f>
        <v>69.061323238076284</v>
      </c>
      <c r="W49">
        <f>STDEV(U49:U56)</f>
        <v>1.3772617625765071</v>
      </c>
      <c r="X49">
        <f>AVERAGE(S49:S56)</f>
        <v>30.938676761923706</v>
      </c>
      <c r="Y49">
        <f>STDEV(S49:S56)</f>
        <v>1.3772617625765085</v>
      </c>
    </row>
    <row r="50" spans="1:25" x14ac:dyDescent="0.25">
      <c r="A50" s="27" t="s">
        <v>59</v>
      </c>
      <c r="B50" s="27" t="s">
        <v>41</v>
      </c>
      <c r="C50" s="27" t="s">
        <v>16</v>
      </c>
      <c r="D50" s="27" t="s">
        <v>17</v>
      </c>
      <c r="E50" s="27">
        <v>2</v>
      </c>
      <c r="F50" s="27" t="s">
        <v>234</v>
      </c>
      <c r="G50" s="27">
        <v>2.2890000000000001</v>
      </c>
      <c r="H50" s="27">
        <v>2.1684000000000001</v>
      </c>
      <c r="I50" s="28">
        <f t="shared" si="6"/>
        <v>5.5617044825677935</v>
      </c>
      <c r="J50" s="53">
        <v>44361</v>
      </c>
      <c r="K50" s="29">
        <v>44393</v>
      </c>
      <c r="L50" s="27">
        <f t="shared" si="7"/>
        <v>32</v>
      </c>
      <c r="M50" s="27">
        <v>1.5881000000000001</v>
      </c>
      <c r="N50" s="27">
        <f t="shared" ref="N50:N88" si="8">H50-M50</f>
        <v>0.58030000000000004</v>
      </c>
      <c r="O50" s="27">
        <v>1.3891</v>
      </c>
      <c r="P50" s="27">
        <v>0.13539999999999999</v>
      </c>
      <c r="Q50" s="27">
        <v>6.83E-2</v>
      </c>
      <c r="R50" s="30">
        <f t="shared" ref="R50:R88" si="9">H50-(P50+Q50)</f>
        <v>1.9647000000000001</v>
      </c>
      <c r="S50" s="27">
        <f t="shared" ref="S50:S88" si="10">((R50-O50)/R50)*100</f>
        <v>29.297093703873365</v>
      </c>
      <c r="U50" s="18">
        <f t="shared" ref="U50:U88" si="11">(O50/R50)*100</f>
        <v>70.702906296126628</v>
      </c>
    </row>
    <row r="51" spans="1:25" x14ac:dyDescent="0.25">
      <c r="A51" s="27" t="s">
        <v>59</v>
      </c>
      <c r="B51" s="27" t="s">
        <v>41</v>
      </c>
      <c r="C51" s="27" t="s">
        <v>16</v>
      </c>
      <c r="D51" s="27" t="s">
        <v>18</v>
      </c>
      <c r="E51" s="27">
        <v>1</v>
      </c>
      <c r="F51" s="27" t="s">
        <v>235</v>
      </c>
      <c r="G51" s="27">
        <v>2.2637999999999998</v>
      </c>
      <c r="H51" s="27">
        <v>2.1446000000000001</v>
      </c>
      <c r="I51" s="28">
        <f t="shared" si="6"/>
        <v>5.5581460412197963</v>
      </c>
      <c r="J51" s="53">
        <v>44361</v>
      </c>
      <c r="K51" s="29">
        <v>44393</v>
      </c>
      <c r="L51" s="27">
        <f t="shared" si="7"/>
        <v>32</v>
      </c>
      <c r="M51" s="27">
        <v>1.5014000000000001</v>
      </c>
      <c r="N51" s="27">
        <f t="shared" si="8"/>
        <v>0.64319999999999999</v>
      </c>
      <c r="O51" s="27">
        <v>1.3129999999999999</v>
      </c>
      <c r="P51" s="27">
        <v>0.13420000000000001</v>
      </c>
      <c r="Q51" s="27">
        <v>5.7200000000000001E-2</v>
      </c>
      <c r="R51" s="30">
        <f t="shared" si="9"/>
        <v>1.9532</v>
      </c>
      <c r="S51" s="27">
        <f t="shared" si="10"/>
        <v>32.776981363915631</v>
      </c>
      <c r="U51" s="18">
        <f t="shared" si="11"/>
        <v>67.223018636084376</v>
      </c>
    </row>
    <row r="52" spans="1:25" x14ac:dyDescent="0.25">
      <c r="A52" s="27" t="s">
        <v>59</v>
      </c>
      <c r="B52" s="27" t="s">
        <v>41</v>
      </c>
      <c r="C52" s="27" t="s">
        <v>16</v>
      </c>
      <c r="D52" s="27" t="s">
        <v>18</v>
      </c>
      <c r="E52" s="27">
        <v>2</v>
      </c>
      <c r="F52" s="27" t="s">
        <v>236</v>
      </c>
      <c r="G52" s="27">
        <v>2.3231999999999999</v>
      </c>
      <c r="H52" s="27">
        <v>2.1985999999999999</v>
      </c>
      <c r="I52" s="28">
        <f t="shared" si="6"/>
        <v>5.6672427908669176</v>
      </c>
      <c r="J52" s="53">
        <v>44361</v>
      </c>
      <c r="K52" s="29">
        <v>44393</v>
      </c>
      <c r="L52" s="27">
        <f t="shared" si="7"/>
        <v>32</v>
      </c>
      <c r="M52" s="27">
        <v>1.5599000000000001</v>
      </c>
      <c r="N52" s="27">
        <f t="shared" si="8"/>
        <v>0.63869999999999982</v>
      </c>
      <c r="O52" s="27">
        <v>1.3667</v>
      </c>
      <c r="P52" s="27">
        <v>0.14169999999999999</v>
      </c>
      <c r="Q52" s="27">
        <v>5.6899999999999999E-2</v>
      </c>
      <c r="R52" s="30">
        <f t="shared" si="9"/>
        <v>2</v>
      </c>
      <c r="S52" s="27">
        <f t="shared" si="10"/>
        <v>31.664999999999999</v>
      </c>
      <c r="U52" s="18">
        <f t="shared" si="11"/>
        <v>68.335000000000008</v>
      </c>
    </row>
    <row r="53" spans="1:25" x14ac:dyDescent="0.25">
      <c r="A53" s="27" t="s">
        <v>59</v>
      </c>
      <c r="B53" s="27" t="s">
        <v>41</v>
      </c>
      <c r="C53" s="27" t="s">
        <v>16</v>
      </c>
      <c r="D53" s="27" t="s">
        <v>19</v>
      </c>
      <c r="E53" s="27">
        <v>1</v>
      </c>
      <c r="F53" s="27" t="s">
        <v>237</v>
      </c>
      <c r="G53" s="27">
        <v>2.2822</v>
      </c>
      <c r="H53" s="27">
        <v>2.1608000000000001</v>
      </c>
      <c r="I53" s="28">
        <f t="shared" si="6"/>
        <v>5.6182895223991096</v>
      </c>
      <c r="J53" s="53">
        <v>44361</v>
      </c>
      <c r="K53" s="29">
        <v>44393</v>
      </c>
      <c r="L53" s="27">
        <f t="shared" si="7"/>
        <v>32</v>
      </c>
      <c r="M53" s="27">
        <v>1.5455000000000001</v>
      </c>
      <c r="N53" s="27">
        <f t="shared" si="8"/>
        <v>0.61529999999999996</v>
      </c>
      <c r="O53" s="27">
        <v>1.3577999999999999</v>
      </c>
      <c r="P53" s="27">
        <v>0.13439999999999999</v>
      </c>
      <c r="Q53" s="27">
        <v>5.57E-2</v>
      </c>
      <c r="R53" s="30">
        <f t="shared" si="9"/>
        <v>1.9707000000000001</v>
      </c>
      <c r="S53" s="27">
        <f t="shared" si="10"/>
        <v>31.100624143705289</v>
      </c>
      <c r="U53" s="18">
        <f t="shared" si="11"/>
        <v>68.899375856294711</v>
      </c>
    </row>
    <row r="54" spans="1:25" x14ac:dyDescent="0.25">
      <c r="A54" s="27" t="s">
        <v>59</v>
      </c>
      <c r="B54" s="27" t="s">
        <v>41</v>
      </c>
      <c r="C54" s="27" t="s">
        <v>16</v>
      </c>
      <c r="D54" s="27" t="s">
        <v>19</v>
      </c>
      <c r="E54" s="27">
        <v>2</v>
      </c>
      <c r="F54" s="27" t="s">
        <v>238</v>
      </c>
      <c r="G54" s="27">
        <v>2.3206000000000002</v>
      </c>
      <c r="H54" s="27">
        <v>2.198</v>
      </c>
      <c r="I54" s="28">
        <f t="shared" si="6"/>
        <v>5.5777979981801753</v>
      </c>
      <c r="J54" s="53">
        <v>44361</v>
      </c>
      <c r="K54" s="29">
        <v>44393</v>
      </c>
      <c r="L54" s="27">
        <f t="shared" si="7"/>
        <v>32</v>
      </c>
      <c r="M54" s="27">
        <v>1.5546</v>
      </c>
      <c r="N54" s="27">
        <f t="shared" si="8"/>
        <v>0.64339999999999997</v>
      </c>
      <c r="O54" s="27">
        <v>1.3736999999999999</v>
      </c>
      <c r="P54" s="27">
        <v>0.13009999999999999</v>
      </c>
      <c r="Q54" s="27">
        <v>5.5599999999999997E-2</v>
      </c>
      <c r="R54" s="30">
        <f t="shared" si="9"/>
        <v>2.0122999999999998</v>
      </c>
      <c r="S54" s="27">
        <f t="shared" si="10"/>
        <v>31.734830790637574</v>
      </c>
      <c r="U54" s="18">
        <f t="shared" si="11"/>
        <v>68.265169209362426</v>
      </c>
    </row>
    <row r="55" spans="1:25" x14ac:dyDescent="0.25">
      <c r="A55" s="27" t="s">
        <v>59</v>
      </c>
      <c r="B55" s="27" t="s">
        <v>41</v>
      </c>
      <c r="C55" s="27" t="s">
        <v>16</v>
      </c>
      <c r="D55" s="27" t="s">
        <v>20</v>
      </c>
      <c r="E55" s="27">
        <v>1</v>
      </c>
      <c r="F55" s="27" t="s">
        <v>239</v>
      </c>
      <c r="G55" s="27">
        <v>2.3024</v>
      </c>
      <c r="H55" s="27">
        <v>2.1718999999999999</v>
      </c>
      <c r="I55" s="28">
        <f t="shared" si="6"/>
        <v>6.0085639301993679</v>
      </c>
      <c r="J55" s="53">
        <v>44361</v>
      </c>
      <c r="K55" s="29">
        <v>44393</v>
      </c>
      <c r="L55" s="27">
        <f t="shared" si="7"/>
        <v>32</v>
      </c>
      <c r="M55" s="27">
        <v>1.5313000000000001</v>
      </c>
      <c r="N55" s="27">
        <f t="shared" si="8"/>
        <v>0.64059999999999984</v>
      </c>
      <c r="O55" s="27">
        <v>1.3508</v>
      </c>
      <c r="P55" s="27">
        <v>0.12429999999999999</v>
      </c>
      <c r="Q55" s="27">
        <v>5.8799999999999998E-2</v>
      </c>
      <c r="R55" s="30">
        <f t="shared" si="9"/>
        <v>1.9887999999999999</v>
      </c>
      <c r="S55" s="27">
        <f t="shared" si="10"/>
        <v>32.079646017699112</v>
      </c>
      <c r="U55" s="18">
        <f t="shared" si="11"/>
        <v>67.920353982300881</v>
      </c>
    </row>
    <row r="56" spans="1:25" x14ac:dyDescent="0.25">
      <c r="A56" s="27" t="s">
        <v>59</v>
      </c>
      <c r="B56" s="27" t="s">
        <v>41</v>
      </c>
      <c r="C56" s="27" t="s">
        <v>16</v>
      </c>
      <c r="D56" s="27" t="s">
        <v>20</v>
      </c>
      <c r="E56" s="27">
        <v>2</v>
      </c>
      <c r="F56" s="27" t="s">
        <v>240</v>
      </c>
      <c r="G56" s="27">
        <v>2.2749000000000001</v>
      </c>
      <c r="H56" s="27">
        <v>2.1463000000000001</v>
      </c>
      <c r="I56" s="28">
        <f t="shared" si="6"/>
        <v>5.9917066579695311</v>
      </c>
      <c r="J56" s="53">
        <v>44361</v>
      </c>
      <c r="K56" s="29">
        <v>44393</v>
      </c>
      <c r="L56" s="27">
        <f t="shared" si="7"/>
        <v>32</v>
      </c>
      <c r="M56" s="27">
        <v>1.5707</v>
      </c>
      <c r="N56" s="27">
        <f t="shared" si="8"/>
        <v>0.57560000000000011</v>
      </c>
      <c r="O56" s="27">
        <v>1.3872</v>
      </c>
      <c r="P56" s="27">
        <v>0.1258</v>
      </c>
      <c r="Q56" s="27">
        <v>6.2399999999999997E-2</v>
      </c>
      <c r="R56" s="30">
        <f t="shared" si="9"/>
        <v>1.9581000000000002</v>
      </c>
      <c r="S56" s="27">
        <f t="shared" si="10"/>
        <v>29.155814309790106</v>
      </c>
      <c r="U56" s="18">
        <f t="shared" si="11"/>
        <v>70.844185690209898</v>
      </c>
    </row>
    <row r="57" spans="1:25" x14ac:dyDescent="0.25">
      <c r="A57" s="31" t="s">
        <v>14</v>
      </c>
      <c r="B57" s="35" t="s">
        <v>60</v>
      </c>
      <c r="C57" s="35" t="s">
        <v>16</v>
      </c>
      <c r="D57" s="35" t="s">
        <v>17</v>
      </c>
      <c r="E57" s="35">
        <v>1</v>
      </c>
      <c r="F57" s="35" t="s">
        <v>241</v>
      </c>
      <c r="G57" s="35">
        <v>2.2982999999999998</v>
      </c>
      <c r="H57" s="35">
        <v>2.1240999999999999</v>
      </c>
      <c r="I57" s="36">
        <f t="shared" si="6"/>
        <v>8.2011204745539246</v>
      </c>
      <c r="J57" s="54">
        <v>44368</v>
      </c>
      <c r="K57" s="33">
        <v>44400</v>
      </c>
      <c r="L57" s="35">
        <f t="shared" si="7"/>
        <v>32</v>
      </c>
      <c r="M57" s="35">
        <v>1.5809</v>
      </c>
      <c r="N57" s="35">
        <f t="shared" si="8"/>
        <v>0.54319999999999991</v>
      </c>
      <c r="O57" s="35">
        <v>1.3794</v>
      </c>
      <c r="P57" s="35">
        <v>0.13600000000000001</v>
      </c>
      <c r="Q57" s="35">
        <v>6.7900000000000002E-2</v>
      </c>
      <c r="R57" s="38">
        <f t="shared" si="9"/>
        <v>1.9201999999999999</v>
      </c>
      <c r="S57" s="35">
        <f t="shared" si="10"/>
        <v>28.163732944484948</v>
      </c>
      <c r="T57">
        <f>AVERAGE(O57:O64)</f>
        <v>1.3790750000000001</v>
      </c>
      <c r="U57" s="18">
        <f t="shared" si="11"/>
        <v>71.836267055515052</v>
      </c>
      <c r="V57" s="7">
        <f>AVERAGE(U57:U64)</f>
        <v>73.077593657075411</v>
      </c>
      <c r="W57">
        <f>STDEV(U57:U64)</f>
        <v>1.0524927345925941</v>
      </c>
      <c r="X57">
        <f>AVERAGE(S57:S64)</f>
        <v>26.922406342924596</v>
      </c>
      <c r="Y57">
        <f>STDEV(S57:S64)</f>
        <v>1.0524927345925896</v>
      </c>
    </row>
    <row r="58" spans="1:25" x14ac:dyDescent="0.25">
      <c r="A58" s="31" t="s">
        <v>14</v>
      </c>
      <c r="B58" s="35" t="s">
        <v>60</v>
      </c>
      <c r="C58" s="35" t="s">
        <v>16</v>
      </c>
      <c r="D58" s="35" t="s">
        <v>17</v>
      </c>
      <c r="E58" s="35">
        <v>2</v>
      </c>
      <c r="F58" s="35" t="s">
        <v>242</v>
      </c>
      <c r="G58" s="35">
        <v>2.2783000000000002</v>
      </c>
      <c r="H58" s="35">
        <v>2.1048</v>
      </c>
      <c r="I58" s="36">
        <f t="shared" si="6"/>
        <v>8.2430634739642823</v>
      </c>
      <c r="J58" s="54">
        <v>44368</v>
      </c>
      <c r="K58" s="33">
        <v>44400</v>
      </c>
      <c r="L58" s="35">
        <f t="shared" si="7"/>
        <v>32</v>
      </c>
      <c r="M58" s="35">
        <v>1.5683</v>
      </c>
      <c r="N58" s="35">
        <f t="shared" si="8"/>
        <v>0.53649999999999998</v>
      </c>
      <c r="O58" s="35">
        <v>1.3669</v>
      </c>
      <c r="P58" s="35">
        <v>0.13539999999999999</v>
      </c>
      <c r="Q58" s="35">
        <v>6.7599999999999993E-2</v>
      </c>
      <c r="R58" s="38">
        <f t="shared" si="9"/>
        <v>1.9017999999999999</v>
      </c>
      <c r="S58" s="35">
        <f t="shared" si="10"/>
        <v>28.12598590808707</v>
      </c>
      <c r="U58" s="18">
        <f t="shared" si="11"/>
        <v>71.874014091912926</v>
      </c>
    </row>
    <row r="59" spans="1:25" x14ac:dyDescent="0.25">
      <c r="A59" s="31" t="s">
        <v>14</v>
      </c>
      <c r="B59" s="35" t="s">
        <v>60</v>
      </c>
      <c r="C59" s="35" t="s">
        <v>16</v>
      </c>
      <c r="D59" s="35" t="s">
        <v>18</v>
      </c>
      <c r="E59" s="35">
        <v>1</v>
      </c>
      <c r="F59" s="35" t="s">
        <v>243</v>
      </c>
      <c r="G59" s="35">
        <v>2.2776000000000001</v>
      </c>
      <c r="H59" s="35">
        <v>2.1063999999999998</v>
      </c>
      <c r="I59" s="36">
        <f t="shared" si="6"/>
        <v>8.1276110900114062</v>
      </c>
      <c r="J59" s="54">
        <v>44368</v>
      </c>
      <c r="K59" s="33">
        <v>44400</v>
      </c>
      <c r="L59" s="35">
        <f t="shared" si="7"/>
        <v>32</v>
      </c>
      <c r="M59" s="35">
        <v>1.5995999999999999</v>
      </c>
      <c r="N59" s="35">
        <f t="shared" si="8"/>
        <v>0.50679999999999992</v>
      </c>
      <c r="O59" s="35">
        <v>1.4</v>
      </c>
      <c r="P59" s="35">
        <v>0.1384</v>
      </c>
      <c r="Q59" s="35">
        <v>6.4399999999999999E-2</v>
      </c>
      <c r="R59" s="38">
        <f t="shared" si="9"/>
        <v>1.9036</v>
      </c>
      <c r="S59" s="35">
        <f t="shared" si="10"/>
        <v>26.455137633956717</v>
      </c>
      <c r="U59" s="18">
        <f t="shared" si="11"/>
        <v>73.54486236604329</v>
      </c>
    </row>
    <row r="60" spans="1:25" x14ac:dyDescent="0.25">
      <c r="A60" s="31" t="s">
        <v>14</v>
      </c>
      <c r="B60" s="35" t="s">
        <v>60</v>
      </c>
      <c r="C60" s="35" t="s">
        <v>16</v>
      </c>
      <c r="D60" s="35" t="s">
        <v>18</v>
      </c>
      <c r="E60" s="35">
        <v>2</v>
      </c>
      <c r="F60" s="35" t="s">
        <v>244</v>
      </c>
      <c r="G60" s="35">
        <v>2.2296999999999998</v>
      </c>
      <c r="H60" s="35">
        <v>2.0604</v>
      </c>
      <c r="I60" s="36">
        <f t="shared" si="6"/>
        <v>8.2168510968743824</v>
      </c>
      <c r="J60" s="54">
        <v>44368</v>
      </c>
      <c r="K60" s="33">
        <v>44400</v>
      </c>
      <c r="L60" s="35">
        <f t="shared" si="7"/>
        <v>32</v>
      </c>
      <c r="M60" s="35">
        <v>1.5530999999999999</v>
      </c>
      <c r="N60" s="35">
        <f t="shared" si="8"/>
        <v>0.50730000000000008</v>
      </c>
      <c r="O60" s="35">
        <v>1.3539000000000001</v>
      </c>
      <c r="P60" s="35">
        <v>0.1348</v>
      </c>
      <c r="Q60" s="35">
        <v>6.5699999999999995E-2</v>
      </c>
      <c r="R60" s="38">
        <f t="shared" si="9"/>
        <v>1.8599000000000001</v>
      </c>
      <c r="S60" s="35">
        <f t="shared" si="10"/>
        <v>27.205763750739287</v>
      </c>
      <c r="U60" s="18">
        <f t="shared" si="11"/>
        <v>72.794236249260706</v>
      </c>
    </row>
    <row r="61" spans="1:25" x14ac:dyDescent="0.25">
      <c r="A61" s="31" t="s">
        <v>14</v>
      </c>
      <c r="B61" s="35" t="s">
        <v>60</v>
      </c>
      <c r="C61" s="35" t="s">
        <v>16</v>
      </c>
      <c r="D61" s="35" t="s">
        <v>19</v>
      </c>
      <c r="E61" s="35">
        <v>1</v>
      </c>
      <c r="F61" s="35" t="s">
        <v>245</v>
      </c>
      <c r="G61" s="35">
        <v>2.2425999999999999</v>
      </c>
      <c r="H61" s="35">
        <v>2.0754999999999999</v>
      </c>
      <c r="I61" s="36">
        <f t="shared" si="6"/>
        <v>8.0510720308359449</v>
      </c>
      <c r="J61" s="54">
        <v>44368</v>
      </c>
      <c r="K61" s="33">
        <v>44400</v>
      </c>
      <c r="L61" s="35">
        <f t="shared" si="7"/>
        <v>32</v>
      </c>
      <c r="M61" s="35">
        <v>1.5746</v>
      </c>
      <c r="N61" s="35">
        <f t="shared" si="8"/>
        <v>0.5008999999999999</v>
      </c>
      <c r="O61" s="35">
        <v>1.3688</v>
      </c>
      <c r="P61" s="35">
        <v>0.13830000000000001</v>
      </c>
      <c r="Q61" s="35">
        <v>6.8500000000000005E-2</v>
      </c>
      <c r="R61" s="38">
        <f t="shared" si="9"/>
        <v>1.8686999999999998</v>
      </c>
      <c r="S61" s="35">
        <f t="shared" si="10"/>
        <v>26.751217423877556</v>
      </c>
      <c r="U61" s="18">
        <f t="shared" si="11"/>
        <v>73.248782576122451</v>
      </c>
    </row>
    <row r="62" spans="1:25" x14ac:dyDescent="0.25">
      <c r="A62" s="31" t="s">
        <v>14</v>
      </c>
      <c r="B62" s="35" t="s">
        <v>60</v>
      </c>
      <c r="C62" s="35" t="s">
        <v>16</v>
      </c>
      <c r="D62" s="35" t="s">
        <v>19</v>
      </c>
      <c r="E62" s="35">
        <v>2</v>
      </c>
      <c r="F62" s="35" t="s">
        <v>246</v>
      </c>
      <c r="G62" s="35">
        <v>2.2791000000000001</v>
      </c>
      <c r="H62" s="35">
        <v>2.1078000000000001</v>
      </c>
      <c r="I62" s="36">
        <f t="shared" si="6"/>
        <v>8.126957016794762</v>
      </c>
      <c r="J62" s="54">
        <v>44368</v>
      </c>
      <c r="K62" s="33">
        <v>44400</v>
      </c>
      <c r="L62" s="35">
        <f t="shared" si="7"/>
        <v>32</v>
      </c>
      <c r="M62" s="35">
        <v>1.5922000000000001</v>
      </c>
      <c r="N62" s="35">
        <f t="shared" si="8"/>
        <v>0.51560000000000006</v>
      </c>
      <c r="O62" s="35">
        <v>1.3924000000000001</v>
      </c>
      <c r="P62" s="35">
        <v>0.1366</v>
      </c>
      <c r="Q62" s="35">
        <v>6.6900000000000001E-2</v>
      </c>
      <c r="R62" s="38">
        <f t="shared" si="9"/>
        <v>1.9043000000000001</v>
      </c>
      <c r="S62" s="35">
        <f t="shared" si="10"/>
        <v>26.881268707661611</v>
      </c>
      <c r="U62" s="18">
        <f t="shared" si="11"/>
        <v>73.118731292338396</v>
      </c>
    </row>
    <row r="63" spans="1:25" x14ac:dyDescent="0.25">
      <c r="A63" s="31" t="s">
        <v>14</v>
      </c>
      <c r="B63" s="35" t="s">
        <v>60</v>
      </c>
      <c r="C63" s="35" t="s">
        <v>16</v>
      </c>
      <c r="D63" s="35" t="s">
        <v>20</v>
      </c>
      <c r="E63" s="35">
        <v>1</v>
      </c>
      <c r="F63" s="35" t="s">
        <v>247</v>
      </c>
      <c r="G63" s="35">
        <v>2.2372999999999998</v>
      </c>
      <c r="H63" s="35">
        <v>2.0703</v>
      </c>
      <c r="I63" s="36">
        <f t="shared" si="6"/>
        <v>8.0664637975172599</v>
      </c>
      <c r="J63" s="54">
        <v>44368</v>
      </c>
      <c r="K63" s="33">
        <v>44400</v>
      </c>
      <c r="L63" s="35">
        <f t="shared" si="7"/>
        <v>32</v>
      </c>
      <c r="M63" s="35">
        <v>1.5649999999999999</v>
      </c>
      <c r="N63" s="35">
        <f t="shared" si="8"/>
        <v>0.50530000000000008</v>
      </c>
      <c r="O63" s="35">
        <v>1.3625</v>
      </c>
      <c r="P63" s="35">
        <v>0.1366</v>
      </c>
      <c r="Q63" s="35">
        <v>6.7799999999999999E-2</v>
      </c>
      <c r="R63" s="38">
        <f t="shared" si="9"/>
        <v>1.8659000000000001</v>
      </c>
      <c r="S63" s="35">
        <f t="shared" si="10"/>
        <v>26.978937778015972</v>
      </c>
      <c r="U63" s="18">
        <f t="shared" si="11"/>
        <v>73.021062221984025</v>
      </c>
    </row>
    <row r="64" spans="1:25" x14ac:dyDescent="0.25">
      <c r="A64" s="31" t="s">
        <v>14</v>
      </c>
      <c r="B64" s="35" t="s">
        <v>60</v>
      </c>
      <c r="C64" s="35" t="s">
        <v>16</v>
      </c>
      <c r="D64" s="35" t="s">
        <v>20</v>
      </c>
      <c r="E64" s="35">
        <v>2</v>
      </c>
      <c r="F64" s="35" t="s">
        <v>248</v>
      </c>
      <c r="G64" s="35">
        <v>2.2498999999999998</v>
      </c>
      <c r="H64" s="38">
        <v>2.0844999999999998</v>
      </c>
      <c r="I64" s="36">
        <f t="shared" si="6"/>
        <v>7.9347565363396502</v>
      </c>
      <c r="J64" s="54">
        <v>44368</v>
      </c>
      <c r="K64" s="33">
        <v>44400</v>
      </c>
      <c r="L64" s="35">
        <f t="shared" si="7"/>
        <v>32</v>
      </c>
      <c r="M64" s="35">
        <v>1.6142000000000001</v>
      </c>
      <c r="N64" s="35">
        <f t="shared" si="8"/>
        <v>0.47029999999999972</v>
      </c>
      <c r="O64" s="35">
        <v>1.4087000000000001</v>
      </c>
      <c r="P64" s="35">
        <v>0.14380000000000001</v>
      </c>
      <c r="Q64" s="35">
        <v>6.7000000000000004E-2</v>
      </c>
      <c r="R64" s="38">
        <f t="shared" si="9"/>
        <v>1.8736999999999997</v>
      </c>
      <c r="S64" s="35">
        <f t="shared" si="10"/>
        <v>24.817206596573609</v>
      </c>
      <c r="U64" s="18">
        <f t="shared" si="11"/>
        <v>75.182793403426402</v>
      </c>
    </row>
    <row r="65" spans="1:25" x14ac:dyDescent="0.25">
      <c r="A65" s="39" t="s">
        <v>62</v>
      </c>
      <c r="B65" s="39" t="s">
        <v>63</v>
      </c>
      <c r="C65" s="39" t="s">
        <v>16</v>
      </c>
      <c r="D65" s="39" t="s">
        <v>17</v>
      </c>
      <c r="E65" s="39">
        <v>1</v>
      </c>
      <c r="F65" s="39" t="s">
        <v>249</v>
      </c>
      <c r="G65" s="39">
        <v>2.3357999999999999</v>
      </c>
      <c r="H65" s="39">
        <v>2.2170999999999998</v>
      </c>
      <c r="I65" s="40">
        <f t="shared" si="6"/>
        <v>5.3538406025889689</v>
      </c>
      <c r="J65" s="53">
        <v>44375</v>
      </c>
      <c r="K65" s="41">
        <v>44411</v>
      </c>
      <c r="L65" s="39">
        <f t="shared" si="7"/>
        <v>36</v>
      </c>
      <c r="M65" s="39">
        <v>1.6205000000000001</v>
      </c>
      <c r="N65" s="39">
        <f t="shared" si="8"/>
        <v>0.5965999999999998</v>
      </c>
      <c r="O65" s="39">
        <v>1.4201999999999999</v>
      </c>
      <c r="P65" s="39">
        <v>0.13689999999999999</v>
      </c>
      <c r="Q65" s="39">
        <v>6.9599999999999995E-2</v>
      </c>
      <c r="R65" s="42">
        <f t="shared" si="9"/>
        <v>2.0105999999999997</v>
      </c>
      <c r="S65" s="39">
        <f t="shared" si="10"/>
        <v>29.364368845120854</v>
      </c>
      <c r="T65">
        <f>AVERAGE(O65:O72)</f>
        <v>1.3899499999999998</v>
      </c>
      <c r="U65" s="18">
        <f t="shared" si="11"/>
        <v>70.635631154879135</v>
      </c>
      <c r="V65" s="7">
        <f>AVERAGE(U65:U72)</f>
        <v>71.244314200076829</v>
      </c>
      <c r="W65">
        <f>STDEV(U65:U72)</f>
        <v>0.96207745734963512</v>
      </c>
      <c r="X65">
        <f>AVERAGE(S65:S72)</f>
        <v>28.75568579992316</v>
      </c>
      <c r="Y65">
        <f>STDEV(S65:S72)</f>
        <v>0.96207745734963479</v>
      </c>
    </row>
    <row r="66" spans="1:25" x14ac:dyDescent="0.25">
      <c r="A66" s="39" t="s">
        <v>62</v>
      </c>
      <c r="B66" s="39" t="s">
        <v>63</v>
      </c>
      <c r="C66" s="39" t="s">
        <v>16</v>
      </c>
      <c r="D66" s="39" t="s">
        <v>17</v>
      </c>
      <c r="E66" s="39">
        <v>2</v>
      </c>
      <c r="F66" s="39" t="s">
        <v>250</v>
      </c>
      <c r="G66" s="39">
        <v>2.3319999999999999</v>
      </c>
      <c r="H66" s="39">
        <v>2.1998000000000002</v>
      </c>
      <c r="I66" s="40">
        <f t="shared" si="6"/>
        <v>6.0096372397490514</v>
      </c>
      <c r="J66" s="53">
        <v>44375</v>
      </c>
      <c r="K66" s="41">
        <v>44411</v>
      </c>
      <c r="L66" s="39">
        <f t="shared" si="7"/>
        <v>36</v>
      </c>
      <c r="M66" s="39">
        <v>1.6095999999999999</v>
      </c>
      <c r="N66" s="39">
        <f t="shared" si="8"/>
        <v>0.59020000000000028</v>
      </c>
      <c r="O66" s="39">
        <v>1.4173</v>
      </c>
      <c r="P66" s="39">
        <v>0.13819999999999999</v>
      </c>
      <c r="Q66" s="39">
        <v>5.9400000000000001E-2</v>
      </c>
      <c r="R66" s="42">
        <f t="shared" si="9"/>
        <v>2.0022000000000002</v>
      </c>
      <c r="S66" s="39">
        <f t="shared" si="10"/>
        <v>29.212865847567681</v>
      </c>
      <c r="U66" s="18">
        <f t="shared" si="11"/>
        <v>70.787134152432316</v>
      </c>
    </row>
    <row r="67" spans="1:25" x14ac:dyDescent="0.25">
      <c r="A67" s="39" t="s">
        <v>62</v>
      </c>
      <c r="B67" s="39" t="s">
        <v>63</v>
      </c>
      <c r="C67" s="39" t="s">
        <v>16</v>
      </c>
      <c r="D67" s="39" t="s">
        <v>18</v>
      </c>
      <c r="E67" s="39">
        <v>1</v>
      </c>
      <c r="F67" s="39" t="s">
        <v>251</v>
      </c>
      <c r="G67" s="39">
        <v>2.2766000000000002</v>
      </c>
      <c r="H67" s="39">
        <v>2.1438999999999999</v>
      </c>
      <c r="I67" s="40">
        <f t="shared" si="6"/>
        <v>6.1896543682074849</v>
      </c>
      <c r="J67" s="53">
        <v>44375</v>
      </c>
      <c r="K67" s="41">
        <v>44411</v>
      </c>
      <c r="L67" s="39">
        <f t="shared" si="7"/>
        <v>36</v>
      </c>
      <c r="M67" s="39">
        <v>1.5518000000000001</v>
      </c>
      <c r="N67" s="39">
        <f t="shared" si="8"/>
        <v>0.59209999999999985</v>
      </c>
      <c r="O67" s="39">
        <v>1.3433999999999999</v>
      </c>
      <c r="P67" s="39">
        <v>0.15129999999999999</v>
      </c>
      <c r="Q67" s="39">
        <v>6.2899999999999998E-2</v>
      </c>
      <c r="R67" s="42">
        <f t="shared" si="9"/>
        <v>1.9297</v>
      </c>
      <c r="S67" s="39">
        <f t="shared" si="10"/>
        <v>30.382961082033479</v>
      </c>
      <c r="U67" s="18">
        <f t="shared" si="11"/>
        <v>69.617038917966525</v>
      </c>
    </row>
    <row r="68" spans="1:25" x14ac:dyDescent="0.25">
      <c r="A68" s="39" t="s">
        <v>62</v>
      </c>
      <c r="B68" s="39" t="s">
        <v>63</v>
      </c>
      <c r="C68" s="39" t="s">
        <v>16</v>
      </c>
      <c r="D68" s="39" t="s">
        <v>18</v>
      </c>
      <c r="E68" s="39">
        <v>2</v>
      </c>
      <c r="F68" s="39" t="s">
        <v>252</v>
      </c>
      <c r="G68" s="39">
        <v>2.2006999999999999</v>
      </c>
      <c r="H68" s="39">
        <v>2.0874000000000001</v>
      </c>
      <c r="I68" s="40">
        <f t="shared" si="6"/>
        <v>5.4278049247868037</v>
      </c>
      <c r="J68" s="53">
        <v>44375</v>
      </c>
      <c r="K68" s="41">
        <v>44411</v>
      </c>
      <c r="L68" s="39">
        <f t="shared" si="7"/>
        <v>36</v>
      </c>
      <c r="M68" s="39">
        <v>1.5528999999999999</v>
      </c>
      <c r="N68" s="39">
        <f t="shared" si="8"/>
        <v>0.5345000000000002</v>
      </c>
      <c r="O68" s="39">
        <v>1.3574999999999999</v>
      </c>
      <c r="P68" s="39">
        <v>0.14330000000000001</v>
      </c>
      <c r="Q68" s="39">
        <v>5.8200000000000002E-2</v>
      </c>
      <c r="R68" s="42">
        <f t="shared" si="9"/>
        <v>1.8859000000000001</v>
      </c>
      <c r="S68" s="39">
        <f t="shared" si="10"/>
        <v>28.018452728140421</v>
      </c>
      <c r="U68" s="18">
        <f t="shared" si="11"/>
        <v>71.981547271859583</v>
      </c>
    </row>
    <row r="69" spans="1:25" x14ac:dyDescent="0.25">
      <c r="A69" s="39" t="s">
        <v>62</v>
      </c>
      <c r="B69" s="39" t="s">
        <v>63</v>
      </c>
      <c r="C69" s="39" t="s">
        <v>16</v>
      </c>
      <c r="D69" s="39" t="s">
        <v>19</v>
      </c>
      <c r="E69" s="39">
        <v>1</v>
      </c>
      <c r="F69" s="39" t="s">
        <v>253</v>
      </c>
      <c r="G69" s="39">
        <v>2.2444999999999999</v>
      </c>
      <c r="H69" s="39">
        <v>2.1114999999999999</v>
      </c>
      <c r="I69" s="40">
        <f t="shared" si="6"/>
        <v>6.2988396874260015</v>
      </c>
      <c r="J69" s="53">
        <v>44375</v>
      </c>
      <c r="K69" s="41">
        <v>44411</v>
      </c>
      <c r="L69" s="39">
        <f t="shared" si="7"/>
        <v>36</v>
      </c>
      <c r="M69" s="39">
        <v>1.5894999999999999</v>
      </c>
      <c r="N69" s="39">
        <f t="shared" si="8"/>
        <v>0.52200000000000002</v>
      </c>
      <c r="O69" s="39">
        <v>1.3932</v>
      </c>
      <c r="P69" s="39">
        <v>0.14299999999999999</v>
      </c>
      <c r="Q69" s="39">
        <v>5.67E-2</v>
      </c>
      <c r="R69" s="42">
        <f t="shared" si="9"/>
        <v>1.9117999999999999</v>
      </c>
      <c r="S69" s="39">
        <f t="shared" si="10"/>
        <v>27.126268438121144</v>
      </c>
      <c r="U69" s="18">
        <f t="shared" si="11"/>
        <v>72.873731561878856</v>
      </c>
    </row>
    <row r="70" spans="1:25" x14ac:dyDescent="0.25">
      <c r="A70" s="39" t="s">
        <v>62</v>
      </c>
      <c r="B70" s="39" t="s">
        <v>63</v>
      </c>
      <c r="C70" s="39" t="s">
        <v>16</v>
      </c>
      <c r="D70" s="39" t="s">
        <v>19</v>
      </c>
      <c r="E70" s="39">
        <v>2</v>
      </c>
      <c r="F70" s="39" t="s">
        <v>254</v>
      </c>
      <c r="G70" s="39">
        <v>2.2757000000000001</v>
      </c>
      <c r="H70" s="39">
        <v>2.1627999999999998</v>
      </c>
      <c r="I70" s="40">
        <f t="shared" si="6"/>
        <v>5.2200850749029142</v>
      </c>
      <c r="J70" s="53">
        <v>44375</v>
      </c>
      <c r="K70" s="41">
        <v>44411</v>
      </c>
      <c r="L70" s="39">
        <f t="shared" si="7"/>
        <v>36</v>
      </c>
      <c r="M70" s="39">
        <v>1.5946</v>
      </c>
      <c r="N70" s="39">
        <f t="shared" si="8"/>
        <v>0.56819999999999982</v>
      </c>
      <c r="O70" s="39">
        <v>1.4056999999999999</v>
      </c>
      <c r="P70" s="39">
        <v>0.1353</v>
      </c>
      <c r="Q70" s="39">
        <v>6.0299999999999999E-2</v>
      </c>
      <c r="R70" s="42">
        <f t="shared" si="9"/>
        <v>1.9671999999999998</v>
      </c>
      <c r="S70" s="39">
        <f t="shared" si="10"/>
        <v>28.543106954046355</v>
      </c>
      <c r="U70" s="18">
        <f t="shared" si="11"/>
        <v>71.456893045953635</v>
      </c>
    </row>
    <row r="71" spans="1:25" x14ac:dyDescent="0.25">
      <c r="A71" s="39" t="s">
        <v>62</v>
      </c>
      <c r="B71" s="39" t="s">
        <v>63</v>
      </c>
      <c r="C71" s="39" t="s">
        <v>16</v>
      </c>
      <c r="D71" s="39" t="s">
        <v>20</v>
      </c>
      <c r="E71" s="39">
        <v>1</v>
      </c>
      <c r="F71" s="39" t="s">
        <v>255</v>
      </c>
      <c r="G71" s="39">
        <v>2.2307000000000001</v>
      </c>
      <c r="H71" s="39">
        <v>2.1175000000000002</v>
      </c>
      <c r="I71" s="40">
        <f t="shared" si="6"/>
        <v>5.3459268004722533</v>
      </c>
      <c r="J71" s="53">
        <v>44375</v>
      </c>
      <c r="K71" s="41">
        <v>44411</v>
      </c>
      <c r="L71" s="39">
        <f t="shared" si="7"/>
        <v>36</v>
      </c>
      <c r="M71" s="39">
        <v>1.5658000000000001</v>
      </c>
      <c r="N71" s="39">
        <f t="shared" si="8"/>
        <v>0.55170000000000008</v>
      </c>
      <c r="O71" s="39">
        <v>1.3674999999999999</v>
      </c>
      <c r="P71" s="39">
        <v>0.14560000000000001</v>
      </c>
      <c r="Q71" s="39">
        <v>5.4699999999999999E-2</v>
      </c>
      <c r="R71" s="42">
        <f t="shared" si="9"/>
        <v>1.9172000000000002</v>
      </c>
      <c r="S71" s="39">
        <f t="shared" si="10"/>
        <v>28.672021698310047</v>
      </c>
      <c r="U71" s="18">
        <f t="shared" si="11"/>
        <v>71.327978301689953</v>
      </c>
    </row>
    <row r="72" spans="1:25" x14ac:dyDescent="0.25">
      <c r="A72" s="39" t="s">
        <v>62</v>
      </c>
      <c r="B72" s="39" t="s">
        <v>63</v>
      </c>
      <c r="C72" s="39" t="s">
        <v>16</v>
      </c>
      <c r="D72" s="39" t="s">
        <v>20</v>
      </c>
      <c r="E72" s="39">
        <v>2</v>
      </c>
      <c r="F72" s="39" t="s">
        <v>256</v>
      </c>
      <c r="G72" s="39">
        <v>2.2858000000000001</v>
      </c>
      <c r="H72" s="39">
        <v>2.1734</v>
      </c>
      <c r="I72" s="40">
        <f t="shared" si="6"/>
        <v>5.1716205024385777</v>
      </c>
      <c r="J72" s="53">
        <v>44375</v>
      </c>
      <c r="K72" s="41">
        <v>44411</v>
      </c>
      <c r="L72" s="39">
        <f t="shared" si="7"/>
        <v>36</v>
      </c>
      <c r="M72" s="39">
        <v>1.5991</v>
      </c>
      <c r="N72" s="39">
        <f t="shared" si="8"/>
        <v>0.57430000000000003</v>
      </c>
      <c r="O72" s="39">
        <v>1.4148000000000001</v>
      </c>
      <c r="P72" s="39">
        <v>0.13059999999999999</v>
      </c>
      <c r="Q72" s="39">
        <v>5.7799999999999997E-2</v>
      </c>
      <c r="R72" s="42">
        <f t="shared" si="9"/>
        <v>1.9850000000000001</v>
      </c>
      <c r="S72" s="39">
        <f t="shared" si="10"/>
        <v>28.725440806045338</v>
      </c>
      <c r="U72" s="18">
        <f t="shared" si="11"/>
        <v>71.274559193954659</v>
      </c>
    </row>
    <row r="73" spans="1:25" x14ac:dyDescent="0.25">
      <c r="A73" s="43" t="s">
        <v>99</v>
      </c>
      <c r="B73" s="43" t="s">
        <v>100</v>
      </c>
      <c r="C73" s="43" t="s">
        <v>16</v>
      </c>
      <c r="D73" s="43" t="s">
        <v>17</v>
      </c>
      <c r="E73" s="43">
        <v>1</v>
      </c>
      <c r="F73" s="43" t="s">
        <v>257</v>
      </c>
      <c r="G73" s="43">
        <v>2.3479999999999999</v>
      </c>
      <c r="H73" s="43">
        <v>2.1991000000000001</v>
      </c>
      <c r="I73" s="44">
        <f t="shared" si="6"/>
        <v>6.7709517529898511</v>
      </c>
      <c r="J73" s="53">
        <v>44389</v>
      </c>
      <c r="K73" s="45">
        <v>44420</v>
      </c>
      <c r="L73" s="43">
        <f t="shared" si="7"/>
        <v>31</v>
      </c>
      <c r="M73" s="43">
        <v>1.6183000000000001</v>
      </c>
      <c r="N73" s="43">
        <f t="shared" si="8"/>
        <v>0.58079999999999998</v>
      </c>
      <c r="O73" s="43">
        <v>1.4288000000000001</v>
      </c>
      <c r="P73" s="43">
        <v>0.12720000000000001</v>
      </c>
      <c r="Q73" s="43">
        <v>6.2199999999999998E-2</v>
      </c>
      <c r="R73" s="46">
        <f t="shared" si="9"/>
        <v>2.0097</v>
      </c>
      <c r="S73" s="43">
        <f t="shared" si="10"/>
        <v>28.904811663432351</v>
      </c>
      <c r="T73">
        <f>AVERAGE(O73:O80)</f>
        <v>1.3916124999999999</v>
      </c>
      <c r="U73" s="18">
        <f t="shared" si="11"/>
        <v>71.095188336567645</v>
      </c>
      <c r="V73" s="7">
        <f>AVERAGE(U73:U80)</f>
        <v>69.758321863239942</v>
      </c>
      <c r="W73">
        <f>STDEV(U73:U80)</f>
        <v>3.2758897768823734</v>
      </c>
      <c r="X73">
        <f>AVERAGE(S73:S80)</f>
        <v>30.241678136760061</v>
      </c>
      <c r="Y73">
        <f>STDEV(S73:S80)</f>
        <v>3.2758897768823556</v>
      </c>
    </row>
    <row r="74" spans="1:25" x14ac:dyDescent="0.25">
      <c r="A74" s="43" t="s">
        <v>99</v>
      </c>
      <c r="B74" s="43" t="s">
        <v>100</v>
      </c>
      <c r="C74" s="43" t="s">
        <v>16</v>
      </c>
      <c r="D74" s="43" t="s">
        <v>17</v>
      </c>
      <c r="E74" s="43">
        <v>2</v>
      </c>
      <c r="F74" s="43" t="s">
        <v>258</v>
      </c>
      <c r="G74" s="43">
        <v>2.3115999999999999</v>
      </c>
      <c r="H74" s="43">
        <v>2.1699000000000002</v>
      </c>
      <c r="I74" s="44">
        <f t="shared" si="6"/>
        <v>6.5302548504539244</v>
      </c>
      <c r="J74" s="53">
        <v>44389</v>
      </c>
      <c r="K74" s="45">
        <v>44420</v>
      </c>
      <c r="L74" s="43">
        <f t="shared" si="7"/>
        <v>31</v>
      </c>
      <c r="M74" s="43">
        <v>1.5843</v>
      </c>
      <c r="N74" s="43">
        <f t="shared" si="8"/>
        <v>0.58560000000000012</v>
      </c>
      <c r="O74" s="43">
        <v>1.3967000000000001</v>
      </c>
      <c r="P74" s="43">
        <v>0.13039999999999999</v>
      </c>
      <c r="Q74" s="43">
        <v>5.9400000000000001E-2</v>
      </c>
      <c r="R74" s="46">
        <f t="shared" si="9"/>
        <v>1.9801000000000002</v>
      </c>
      <c r="S74" s="43">
        <f t="shared" si="10"/>
        <v>29.463158426342105</v>
      </c>
      <c r="U74" s="18">
        <f t="shared" si="11"/>
        <v>70.536841573657895</v>
      </c>
    </row>
    <row r="75" spans="1:25" x14ac:dyDescent="0.25">
      <c r="A75" s="43" t="s">
        <v>99</v>
      </c>
      <c r="B75" s="43" t="s">
        <v>100</v>
      </c>
      <c r="C75" s="43" t="s">
        <v>16</v>
      </c>
      <c r="D75" s="43" t="s">
        <v>18</v>
      </c>
      <c r="E75" s="43">
        <v>1</v>
      </c>
      <c r="F75" s="43" t="s">
        <v>259</v>
      </c>
      <c r="G75" s="46">
        <v>2.3803000000000001</v>
      </c>
      <c r="H75" s="43">
        <v>2.2315</v>
      </c>
      <c r="I75" s="44">
        <f t="shared" si="6"/>
        <v>6.6681604302039013</v>
      </c>
      <c r="J75" s="53">
        <v>44389</v>
      </c>
      <c r="K75" s="45">
        <v>44420</v>
      </c>
      <c r="L75" s="43">
        <f t="shared" si="7"/>
        <v>31</v>
      </c>
      <c r="M75" s="43">
        <v>1.5242</v>
      </c>
      <c r="N75" s="43">
        <f t="shared" si="8"/>
        <v>0.70730000000000004</v>
      </c>
      <c r="O75" s="43">
        <v>1.3416999999999999</v>
      </c>
      <c r="P75" s="43">
        <v>0.127</v>
      </c>
      <c r="Q75" s="43">
        <v>5.8400000000000001E-2</v>
      </c>
      <c r="R75" s="46">
        <f t="shared" si="9"/>
        <v>2.0461</v>
      </c>
      <c r="S75" s="43">
        <f t="shared" si="10"/>
        <v>34.426469869507855</v>
      </c>
      <c r="U75" s="18">
        <f t="shared" si="11"/>
        <v>65.573530130492159</v>
      </c>
    </row>
    <row r="76" spans="1:25" x14ac:dyDescent="0.25">
      <c r="A76" s="43" t="s">
        <v>99</v>
      </c>
      <c r="B76" s="43" t="s">
        <v>100</v>
      </c>
      <c r="C76" s="43" t="s">
        <v>16</v>
      </c>
      <c r="D76" s="43" t="s">
        <v>18</v>
      </c>
      <c r="E76" s="43">
        <v>2</v>
      </c>
      <c r="F76" s="43" t="s">
        <v>260</v>
      </c>
      <c r="G76" s="46">
        <v>2.2559999999999998</v>
      </c>
      <c r="H76" s="43">
        <v>2.1175999999999999</v>
      </c>
      <c r="I76" s="44">
        <f t="shared" si="6"/>
        <v>6.5357007933509568</v>
      </c>
      <c r="J76" s="53">
        <v>44389</v>
      </c>
      <c r="K76" s="45">
        <v>44420</v>
      </c>
      <c r="L76" s="43">
        <f t="shared" si="7"/>
        <v>31</v>
      </c>
      <c r="M76" s="43">
        <v>1.5734999999999999</v>
      </c>
      <c r="N76" s="43">
        <f t="shared" si="8"/>
        <v>0.54410000000000003</v>
      </c>
      <c r="O76" s="43">
        <v>1.3917999999999999</v>
      </c>
      <c r="P76" s="43">
        <v>0.1273</v>
      </c>
      <c r="Q76" s="43">
        <v>5.8599999999999999E-2</v>
      </c>
      <c r="R76" s="46">
        <f t="shared" si="9"/>
        <v>1.9317</v>
      </c>
      <c r="S76" s="43">
        <f t="shared" si="10"/>
        <v>27.949474556090493</v>
      </c>
      <c r="U76" s="18">
        <f t="shared" si="11"/>
        <v>72.050525443909507</v>
      </c>
    </row>
    <row r="77" spans="1:25" x14ac:dyDescent="0.25">
      <c r="A77" s="43" t="s">
        <v>99</v>
      </c>
      <c r="B77" s="43" t="s">
        <v>100</v>
      </c>
      <c r="C77" s="43" t="s">
        <v>16</v>
      </c>
      <c r="D77" s="43" t="s">
        <v>19</v>
      </c>
      <c r="E77" s="43">
        <v>1</v>
      </c>
      <c r="F77" s="43" t="s">
        <v>261</v>
      </c>
      <c r="G77" s="43">
        <v>2.3134000000000001</v>
      </c>
      <c r="H77" s="43">
        <v>2.169</v>
      </c>
      <c r="I77" s="44">
        <f t="shared" si="6"/>
        <v>6.6574458275703128</v>
      </c>
      <c r="J77" s="53">
        <v>44389</v>
      </c>
      <c r="K77" s="45">
        <v>44420</v>
      </c>
      <c r="L77" s="43">
        <f t="shared" si="7"/>
        <v>31</v>
      </c>
      <c r="M77" s="43">
        <v>1.5106999999999999</v>
      </c>
      <c r="N77" s="43">
        <f t="shared" si="8"/>
        <v>0.65830000000000011</v>
      </c>
      <c r="O77" s="43">
        <v>1.3161</v>
      </c>
      <c r="P77" s="43">
        <v>0.12939999999999999</v>
      </c>
      <c r="Q77" s="43">
        <v>6.6900000000000001E-2</v>
      </c>
      <c r="R77" s="46">
        <f t="shared" si="9"/>
        <v>1.9727000000000001</v>
      </c>
      <c r="S77" s="43">
        <f t="shared" si="10"/>
        <v>33.284331119785065</v>
      </c>
      <c r="U77" s="18">
        <f t="shared" si="11"/>
        <v>66.715668880214935</v>
      </c>
    </row>
    <row r="78" spans="1:25" x14ac:dyDescent="0.25">
      <c r="A78" s="43" t="s">
        <v>99</v>
      </c>
      <c r="B78" s="43" t="s">
        <v>100</v>
      </c>
      <c r="C78" s="43" t="s">
        <v>16</v>
      </c>
      <c r="D78" s="43" t="s">
        <v>19</v>
      </c>
      <c r="E78" s="43">
        <v>2</v>
      </c>
      <c r="F78" s="43" t="s">
        <v>262</v>
      </c>
      <c r="G78" s="43">
        <v>2.3469000000000002</v>
      </c>
      <c r="H78" s="43">
        <v>2.1983999999999999</v>
      </c>
      <c r="I78" s="44">
        <f t="shared" si="6"/>
        <v>6.7549126637554719</v>
      </c>
      <c r="J78" s="53">
        <v>44389</v>
      </c>
      <c r="K78" s="45">
        <v>44420</v>
      </c>
      <c r="L78" s="43">
        <f t="shared" si="7"/>
        <v>31</v>
      </c>
      <c r="M78" s="43">
        <v>1.5503</v>
      </c>
      <c r="N78" s="43">
        <f t="shared" si="8"/>
        <v>0.6480999999999999</v>
      </c>
      <c r="O78" s="43">
        <v>1.3678999999999999</v>
      </c>
      <c r="P78" s="43">
        <v>0.12859999999999999</v>
      </c>
      <c r="Q78" s="43">
        <v>5.7099999999999998E-2</v>
      </c>
      <c r="R78" s="46">
        <f t="shared" si="9"/>
        <v>2.0126999999999997</v>
      </c>
      <c r="S78" s="43">
        <f t="shared" si="10"/>
        <v>32.03656779450489</v>
      </c>
      <c r="U78" s="18">
        <f t="shared" si="11"/>
        <v>67.96343220549511</v>
      </c>
    </row>
    <row r="79" spans="1:25" x14ac:dyDescent="0.25">
      <c r="A79" s="43" t="s">
        <v>99</v>
      </c>
      <c r="B79" s="43" t="s">
        <v>100</v>
      </c>
      <c r="C79" s="43" t="s">
        <v>16</v>
      </c>
      <c r="D79" s="43" t="s">
        <v>20</v>
      </c>
      <c r="E79" s="43">
        <v>1</v>
      </c>
      <c r="F79" s="43" t="s">
        <v>263</v>
      </c>
      <c r="G79" s="43">
        <v>2.3382000000000001</v>
      </c>
      <c r="H79" s="46">
        <v>2.1955</v>
      </c>
      <c r="I79" s="44">
        <f t="shared" si="6"/>
        <v>6.4996583921657951</v>
      </c>
      <c r="J79" s="53">
        <v>44389</v>
      </c>
      <c r="K79" s="45">
        <v>44420</v>
      </c>
      <c r="L79" s="43">
        <f t="shared" si="7"/>
        <v>31</v>
      </c>
      <c r="M79" s="43">
        <v>1.6056999999999999</v>
      </c>
      <c r="N79" s="46">
        <f t="shared" si="8"/>
        <v>0.5898000000000001</v>
      </c>
      <c r="O79" s="43">
        <v>1.5254000000000001</v>
      </c>
      <c r="P79" s="43">
        <v>0.12479999999999999</v>
      </c>
      <c r="Q79" s="43">
        <v>5.6399999999999999E-2</v>
      </c>
      <c r="R79" s="46">
        <f t="shared" si="9"/>
        <v>2.0143</v>
      </c>
      <c r="S79" s="43">
        <f t="shared" si="10"/>
        <v>24.271459067666182</v>
      </c>
      <c r="U79" s="18">
        <f t="shared" si="11"/>
        <v>75.728540932333814</v>
      </c>
    </row>
    <row r="80" spans="1:25" x14ac:dyDescent="0.25">
      <c r="A80" s="43" t="s">
        <v>99</v>
      </c>
      <c r="B80" s="43" t="s">
        <v>100</v>
      </c>
      <c r="C80" s="43" t="s">
        <v>16</v>
      </c>
      <c r="D80" s="43" t="s">
        <v>20</v>
      </c>
      <c r="E80" s="43">
        <v>2</v>
      </c>
      <c r="F80" s="43" t="s">
        <v>264</v>
      </c>
      <c r="G80" s="43">
        <v>2.323</v>
      </c>
      <c r="H80" s="43">
        <v>2.1789999999999998</v>
      </c>
      <c r="I80" s="44">
        <f t="shared" si="6"/>
        <v>6.608536025699868</v>
      </c>
      <c r="J80" s="53">
        <v>44389</v>
      </c>
      <c r="K80" s="45">
        <v>44420</v>
      </c>
      <c r="L80" s="43">
        <f t="shared" si="7"/>
        <v>31</v>
      </c>
      <c r="M80" s="43">
        <v>1.5469999999999999</v>
      </c>
      <c r="N80" s="43">
        <f t="shared" si="8"/>
        <v>0.6319999999999999</v>
      </c>
      <c r="O80" s="43">
        <v>1.3645</v>
      </c>
      <c r="P80" s="43">
        <v>0.12559999999999999</v>
      </c>
      <c r="Q80" s="43">
        <v>5.8599999999999999E-2</v>
      </c>
      <c r="R80" s="46">
        <f t="shared" si="9"/>
        <v>1.9947999999999999</v>
      </c>
      <c r="S80" s="43">
        <f t="shared" si="10"/>
        <v>31.597152596751549</v>
      </c>
      <c r="U80" s="18">
        <f t="shared" si="11"/>
        <v>68.402847403248458</v>
      </c>
    </row>
    <row r="81" spans="1:25" x14ac:dyDescent="0.25">
      <c r="A81" s="47" t="s">
        <v>300</v>
      </c>
      <c r="B81" s="47" t="s">
        <v>80</v>
      </c>
      <c r="C81" s="47" t="s">
        <v>16</v>
      </c>
      <c r="D81" s="47" t="s">
        <v>17</v>
      </c>
      <c r="E81" s="47">
        <v>1</v>
      </c>
      <c r="F81" s="47" t="s">
        <v>265</v>
      </c>
      <c r="G81" s="47">
        <v>2.3376000000000001</v>
      </c>
      <c r="H81" s="47">
        <v>2.2090000000000001</v>
      </c>
      <c r="I81" s="49">
        <f t="shared" si="6"/>
        <v>5.8216387505658691</v>
      </c>
      <c r="J81" s="53">
        <v>44396</v>
      </c>
      <c r="K81" s="50">
        <v>44426</v>
      </c>
      <c r="L81" s="47">
        <f t="shared" si="7"/>
        <v>30</v>
      </c>
      <c r="M81" s="47">
        <v>1.6161000000000001</v>
      </c>
      <c r="N81" s="47">
        <f t="shared" si="8"/>
        <v>0.59289999999999998</v>
      </c>
      <c r="O81" s="47">
        <v>1.4355</v>
      </c>
      <c r="P81" s="47">
        <v>0.12509999999999999</v>
      </c>
      <c r="Q81" s="47">
        <v>5.6399999999999999E-2</v>
      </c>
      <c r="R81" s="48">
        <f t="shared" si="9"/>
        <v>2.0274999999999999</v>
      </c>
      <c r="S81" s="47">
        <f t="shared" si="10"/>
        <v>29.198520345252771</v>
      </c>
      <c r="T81">
        <f>AVERAGE(O81:O88)</f>
        <v>1.3627000000000002</v>
      </c>
      <c r="U81" s="18">
        <f t="shared" si="11"/>
        <v>70.80147965474724</v>
      </c>
      <c r="V81" s="7">
        <f>AVERAGE(U81:U88)</f>
        <v>68.241557185818053</v>
      </c>
      <c r="W81">
        <f>STDEV(U81:U88)</f>
        <v>2.2715593369717775</v>
      </c>
      <c r="X81">
        <f>AVERAGE(S81:S88)</f>
        <v>31.758442814181951</v>
      </c>
      <c r="Y81">
        <f>STDEV(S81:S88)</f>
        <v>2.2715593369717717</v>
      </c>
    </row>
    <row r="82" spans="1:25" x14ac:dyDescent="0.25">
      <c r="A82" s="47" t="s">
        <v>300</v>
      </c>
      <c r="B82" s="47" t="s">
        <v>80</v>
      </c>
      <c r="C82" s="47" t="s">
        <v>16</v>
      </c>
      <c r="D82" s="47" t="s">
        <v>17</v>
      </c>
      <c r="E82" s="47">
        <v>2</v>
      </c>
      <c r="F82" s="47" t="s">
        <v>266</v>
      </c>
      <c r="G82" s="47">
        <v>2.2784</v>
      </c>
      <c r="H82" s="47">
        <v>2.1528</v>
      </c>
      <c r="I82" s="49">
        <f t="shared" si="6"/>
        <v>5.8342623560014832</v>
      </c>
      <c r="J82" s="53">
        <v>44396</v>
      </c>
      <c r="K82" s="50">
        <v>44426</v>
      </c>
      <c r="L82" s="47">
        <f t="shared" si="7"/>
        <v>30</v>
      </c>
      <c r="M82" s="47">
        <v>1.5696000000000001</v>
      </c>
      <c r="N82" s="47">
        <f t="shared" si="8"/>
        <v>0.58319999999999994</v>
      </c>
      <c r="O82" s="47">
        <v>1.3833</v>
      </c>
      <c r="P82" s="47">
        <v>0.13239999999999999</v>
      </c>
      <c r="Q82" s="47">
        <v>5.5800000000000002E-2</v>
      </c>
      <c r="R82" s="48">
        <f t="shared" si="9"/>
        <v>1.9646000000000001</v>
      </c>
      <c r="S82" s="47">
        <f t="shared" si="10"/>
        <v>29.588720350198521</v>
      </c>
      <c r="U82" s="18">
        <f t="shared" si="11"/>
        <v>70.411279649801486</v>
      </c>
    </row>
    <row r="83" spans="1:25" x14ac:dyDescent="0.25">
      <c r="A83" s="47" t="s">
        <v>300</v>
      </c>
      <c r="B83" s="47" t="s">
        <v>80</v>
      </c>
      <c r="C83" s="47" t="s">
        <v>16</v>
      </c>
      <c r="D83" s="47" t="s">
        <v>18</v>
      </c>
      <c r="E83" s="47">
        <v>1</v>
      </c>
      <c r="F83" s="47" t="s">
        <v>267</v>
      </c>
      <c r="G83" s="47">
        <v>2.2734999999999999</v>
      </c>
      <c r="H83" s="47">
        <v>2.1503000000000001</v>
      </c>
      <c r="I83" s="49">
        <f t="shared" si="6"/>
        <v>5.7294331023577989</v>
      </c>
      <c r="J83" s="53">
        <v>44396</v>
      </c>
      <c r="K83" s="50">
        <v>44426</v>
      </c>
      <c r="L83" s="47">
        <f t="shared" si="7"/>
        <v>30</v>
      </c>
      <c r="M83" s="47">
        <v>1.4965999999999999</v>
      </c>
      <c r="N83" s="47">
        <f t="shared" si="8"/>
        <v>0.65370000000000017</v>
      </c>
      <c r="O83" s="47">
        <v>1.3106</v>
      </c>
      <c r="P83" s="47">
        <v>0.1293</v>
      </c>
      <c r="Q83" s="47">
        <v>5.91E-2</v>
      </c>
      <c r="R83" s="48">
        <f t="shared" si="9"/>
        <v>1.9619</v>
      </c>
      <c r="S83" s="47">
        <f t="shared" si="10"/>
        <v>33.197410673326878</v>
      </c>
      <c r="U83" s="18">
        <f t="shared" si="11"/>
        <v>66.802589326673129</v>
      </c>
    </row>
    <row r="84" spans="1:25" x14ac:dyDescent="0.25">
      <c r="A84" s="47" t="s">
        <v>300</v>
      </c>
      <c r="B84" s="47" t="s">
        <v>80</v>
      </c>
      <c r="C84" s="47" t="s">
        <v>16</v>
      </c>
      <c r="D84" s="47" t="s">
        <v>18</v>
      </c>
      <c r="E84" s="47">
        <v>2</v>
      </c>
      <c r="F84" s="47" t="s">
        <v>268</v>
      </c>
      <c r="G84" s="48">
        <v>2.3067000000000002</v>
      </c>
      <c r="H84" s="47">
        <v>2.1825000000000001</v>
      </c>
      <c r="I84" s="49">
        <f t="shared" si="6"/>
        <v>5.6907216494845398</v>
      </c>
      <c r="J84" s="53">
        <v>44396</v>
      </c>
      <c r="K84" s="50">
        <v>44426</v>
      </c>
      <c r="L84" s="47">
        <f t="shared" si="7"/>
        <v>30</v>
      </c>
      <c r="M84" s="47">
        <v>1.6053999999999999</v>
      </c>
      <c r="N84" s="47">
        <f t="shared" si="8"/>
        <v>0.57710000000000017</v>
      </c>
      <c r="O84" s="47">
        <v>1.421</v>
      </c>
      <c r="P84" s="47">
        <v>0.12859999999999999</v>
      </c>
      <c r="Q84" s="47">
        <v>5.7099999999999998E-2</v>
      </c>
      <c r="R84" s="48">
        <f t="shared" si="9"/>
        <v>1.9968000000000001</v>
      </c>
      <c r="S84" s="47">
        <f t="shared" si="10"/>
        <v>28.836137820512825</v>
      </c>
      <c r="U84" s="18">
        <f t="shared" si="11"/>
        <v>71.163862179487182</v>
      </c>
    </row>
    <row r="85" spans="1:25" x14ac:dyDescent="0.25">
      <c r="A85" s="47" t="s">
        <v>300</v>
      </c>
      <c r="B85" s="47" t="s">
        <v>80</v>
      </c>
      <c r="C85" s="47" t="s">
        <v>16</v>
      </c>
      <c r="D85" s="47" t="s">
        <v>19</v>
      </c>
      <c r="E85" s="47">
        <v>1</v>
      </c>
      <c r="F85" s="47" t="s">
        <v>269</v>
      </c>
      <c r="G85" s="47">
        <v>2.3119000000000001</v>
      </c>
      <c r="H85" s="47">
        <v>2.1873</v>
      </c>
      <c r="I85" s="49">
        <f t="shared" si="6"/>
        <v>5.696520824761123</v>
      </c>
      <c r="J85" s="53">
        <v>44396</v>
      </c>
      <c r="K85" s="50">
        <v>44426</v>
      </c>
      <c r="L85" s="47">
        <f t="shared" si="7"/>
        <v>30</v>
      </c>
      <c r="M85" s="47">
        <v>1.5125999999999999</v>
      </c>
      <c r="N85" s="47">
        <f t="shared" si="8"/>
        <v>0.67470000000000008</v>
      </c>
      <c r="O85" s="47">
        <v>1.3314999999999999</v>
      </c>
      <c r="P85" s="47">
        <v>0.12570000000000001</v>
      </c>
      <c r="Q85" s="47">
        <v>5.5899999999999998E-2</v>
      </c>
      <c r="R85" s="48">
        <f t="shared" si="9"/>
        <v>2.0057</v>
      </c>
      <c r="S85" s="47">
        <f t="shared" si="10"/>
        <v>33.6141995313357</v>
      </c>
      <c r="U85" s="18">
        <f t="shared" si="11"/>
        <v>66.3858004686643</v>
      </c>
    </row>
    <row r="86" spans="1:25" x14ac:dyDescent="0.25">
      <c r="A86" s="47" t="s">
        <v>300</v>
      </c>
      <c r="B86" s="47" t="s">
        <v>80</v>
      </c>
      <c r="C86" s="47" t="s">
        <v>16</v>
      </c>
      <c r="D86" s="47" t="s">
        <v>19</v>
      </c>
      <c r="E86" s="47">
        <v>2</v>
      </c>
      <c r="F86" s="47" t="s">
        <v>270</v>
      </c>
      <c r="G86" s="47">
        <v>2.3426999999999998</v>
      </c>
      <c r="H86" s="47">
        <v>2.2153</v>
      </c>
      <c r="I86" s="49">
        <f t="shared" si="6"/>
        <v>5.750914097413431</v>
      </c>
      <c r="J86" s="53">
        <v>44396</v>
      </c>
      <c r="K86" s="50">
        <v>44426</v>
      </c>
      <c r="L86" s="47">
        <f t="shared" si="7"/>
        <v>30</v>
      </c>
      <c r="M86" s="47">
        <v>1.5139</v>
      </c>
      <c r="N86" s="47">
        <f t="shared" si="8"/>
        <v>0.70140000000000002</v>
      </c>
      <c r="O86" s="47">
        <v>1.3337000000000001</v>
      </c>
      <c r="P86" s="47">
        <v>0.1241</v>
      </c>
      <c r="Q86" s="47">
        <v>5.6399999999999999E-2</v>
      </c>
      <c r="R86" s="48">
        <f t="shared" si="9"/>
        <v>2.0348000000000002</v>
      </c>
      <c r="S86" s="47">
        <f t="shared" si="10"/>
        <v>34.455474739532136</v>
      </c>
      <c r="U86" s="18">
        <f t="shared" si="11"/>
        <v>65.54452526046785</v>
      </c>
    </row>
    <row r="87" spans="1:25" x14ac:dyDescent="0.25">
      <c r="A87" s="47" t="s">
        <v>300</v>
      </c>
      <c r="B87" s="47" t="s">
        <v>80</v>
      </c>
      <c r="C87" s="47" t="s">
        <v>16</v>
      </c>
      <c r="D87" s="47" t="s">
        <v>20</v>
      </c>
      <c r="E87" s="47">
        <v>1</v>
      </c>
      <c r="F87" s="47" t="s">
        <v>271</v>
      </c>
      <c r="G87" s="47">
        <v>2.2536999999999998</v>
      </c>
      <c r="H87" s="47">
        <v>2.1331000000000002</v>
      </c>
      <c r="I87" s="49">
        <f t="shared" si="6"/>
        <v>5.6537433781819688</v>
      </c>
      <c r="J87" s="53">
        <v>44396</v>
      </c>
      <c r="K87" s="50">
        <v>44426</v>
      </c>
      <c r="L87" s="47">
        <f t="shared" si="7"/>
        <v>30</v>
      </c>
      <c r="M87" s="47">
        <v>1.5189999999999999</v>
      </c>
      <c r="N87" s="47">
        <f t="shared" si="8"/>
        <v>0.61410000000000031</v>
      </c>
      <c r="O87" s="47">
        <v>1.3327</v>
      </c>
      <c r="P87" s="47">
        <v>0.1288</v>
      </c>
      <c r="Q87" s="47">
        <v>5.7299999999999997E-2</v>
      </c>
      <c r="R87" s="48">
        <f t="shared" si="9"/>
        <v>1.9470000000000003</v>
      </c>
      <c r="S87" s="47">
        <f t="shared" si="10"/>
        <v>31.551104262968682</v>
      </c>
      <c r="U87" s="18">
        <f t="shared" si="11"/>
        <v>68.448895737031322</v>
      </c>
    </row>
    <row r="88" spans="1:25" x14ac:dyDescent="0.25">
      <c r="A88" s="47" t="s">
        <v>300</v>
      </c>
      <c r="B88" s="47" t="s">
        <v>80</v>
      </c>
      <c r="C88" s="47" t="s">
        <v>16</v>
      </c>
      <c r="D88" s="47" t="s">
        <v>20</v>
      </c>
      <c r="E88" s="47">
        <v>2</v>
      </c>
      <c r="F88" s="47" t="s">
        <v>272</v>
      </c>
      <c r="G88" s="47">
        <v>2.3498000000000001</v>
      </c>
      <c r="H88" s="47">
        <v>2.2263999999999999</v>
      </c>
      <c r="I88" s="49">
        <f t="shared" si="6"/>
        <v>5.5425799496945825</v>
      </c>
      <c r="J88" s="53">
        <v>44396</v>
      </c>
      <c r="K88" s="50">
        <v>44426</v>
      </c>
      <c r="L88" s="47">
        <f t="shared" si="7"/>
        <v>30</v>
      </c>
      <c r="M88" s="47">
        <v>1.5416000000000001</v>
      </c>
      <c r="N88" s="47">
        <f t="shared" si="8"/>
        <v>0.68479999999999985</v>
      </c>
      <c r="O88" s="47">
        <v>1.3532999999999999</v>
      </c>
      <c r="P88" s="47">
        <v>0.13020000000000001</v>
      </c>
      <c r="Q88" s="47">
        <v>5.7299999999999997E-2</v>
      </c>
      <c r="R88" s="48">
        <f t="shared" si="9"/>
        <v>2.0388999999999999</v>
      </c>
      <c r="S88" s="47">
        <f t="shared" si="10"/>
        <v>33.625974790328115</v>
      </c>
      <c r="U88" s="18">
        <f t="shared" si="11"/>
        <v>66.374025209671885</v>
      </c>
    </row>
    <row r="89" spans="1:25" x14ac:dyDescent="0.25">
      <c r="F89" s="13" t="s">
        <v>119</v>
      </c>
      <c r="G89" s="14">
        <f>AVERAGE(G49:G88)</f>
        <v>2.2912524999999997</v>
      </c>
      <c r="H89" s="14">
        <f>AVERAGE(H49:H88)</f>
        <v>2.1545225000000001</v>
      </c>
      <c r="O89" s="15"/>
      <c r="P89" s="16"/>
      <c r="Q89" s="16"/>
    </row>
    <row r="90" spans="1:25" x14ac:dyDescent="0.25">
      <c r="F90" s="13" t="s">
        <v>120</v>
      </c>
      <c r="G90" s="14">
        <f>STDEV(G49:G88)</f>
        <v>4.0795424501485621E-2</v>
      </c>
      <c r="H90" s="14">
        <f>STDEV(H49:H88)</f>
        <v>4.6002661503271911E-2</v>
      </c>
      <c r="O90" s="15"/>
      <c r="P90" s="16"/>
      <c r="Q90" s="16"/>
    </row>
    <row r="91" spans="1:25" x14ac:dyDescent="0.25">
      <c r="F91" s="13" t="s">
        <v>121</v>
      </c>
      <c r="G91" s="14">
        <f>CONFIDENCE(0.05,G90,COUNT(G49:G88))</f>
        <v>1.2642400723388287E-2</v>
      </c>
      <c r="H91" s="14">
        <f>CONFIDENCE(0.05,H90,COUNT(H49:H88))</f>
        <v>1.4256110536258108E-2</v>
      </c>
      <c r="O91" s="15"/>
      <c r="P91" s="16"/>
      <c r="Q91" s="16"/>
    </row>
    <row r="92" spans="1:25" x14ac:dyDescent="0.25">
      <c r="F92" s="13" t="s">
        <v>122</v>
      </c>
      <c r="G92" s="14">
        <f>G89-G91</f>
        <v>2.2786100992766114</v>
      </c>
      <c r="H92" s="14">
        <f>H89-H91</f>
        <v>2.1402663894637421</v>
      </c>
      <c r="O92" s="15"/>
      <c r="P92" s="16"/>
      <c r="Q92" s="16"/>
    </row>
    <row r="93" spans="1:25" x14ac:dyDescent="0.25">
      <c r="F93" s="13" t="s">
        <v>123</v>
      </c>
      <c r="G93" s="14">
        <f>G89+G92</f>
        <v>4.5698625992766111</v>
      </c>
      <c r="H93" s="14">
        <f>H89+H92</f>
        <v>4.2947888894637423</v>
      </c>
      <c r="O93" s="15"/>
      <c r="P93" s="16"/>
      <c r="Q93" s="16"/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8" workbookViewId="0">
      <selection activeCell="I41" sqref="I41"/>
    </sheetView>
  </sheetViews>
  <sheetFormatPr baseColWidth="10" defaultRowHeight="15" x14ac:dyDescent="0.25"/>
  <cols>
    <col min="1" max="2" width="11.28515625" customWidth="1"/>
    <col min="3" max="3" width="12.140625" customWidth="1"/>
    <col min="4" max="5" width="14.7109375" style="6" customWidth="1"/>
    <col min="8" max="8" width="16.85546875" customWidth="1"/>
  </cols>
  <sheetData>
    <row r="1" spans="1:8" ht="45" x14ac:dyDescent="0.25">
      <c r="A1" s="9" t="s">
        <v>1</v>
      </c>
      <c r="B1" s="9" t="s">
        <v>39</v>
      </c>
      <c r="C1" s="10" t="s">
        <v>0</v>
      </c>
      <c r="D1" s="11" t="s">
        <v>97</v>
      </c>
      <c r="E1" s="11" t="s">
        <v>98</v>
      </c>
      <c r="F1" s="11" t="s">
        <v>117</v>
      </c>
      <c r="G1" s="11" t="s">
        <v>118</v>
      </c>
      <c r="H1" s="11" t="s">
        <v>318</v>
      </c>
    </row>
    <row r="2" spans="1:8" x14ac:dyDescent="0.25">
      <c r="A2" t="s">
        <v>59</v>
      </c>
      <c r="B2" t="s">
        <v>41</v>
      </c>
      <c r="C2" s="9" t="s">
        <v>275</v>
      </c>
      <c r="D2" s="8" t="s">
        <v>61</v>
      </c>
      <c r="E2" s="8">
        <f>24.1*2.54</f>
        <v>61.214000000000006</v>
      </c>
      <c r="F2">
        <f>29.9*2.54</f>
        <v>75.945999999999998</v>
      </c>
      <c r="G2">
        <f t="shared" ref="G2:G42" si="0">(F2+10)-E2</f>
        <v>24.731999999999992</v>
      </c>
      <c r="H2">
        <f>AVERAGE(G2:G9)</f>
        <v>21.937999999999999</v>
      </c>
    </row>
    <row r="3" spans="1:8" x14ac:dyDescent="0.25">
      <c r="A3" t="s">
        <v>59</v>
      </c>
      <c r="B3" t="s">
        <v>41</v>
      </c>
      <c r="C3" s="9" t="s">
        <v>276</v>
      </c>
      <c r="D3" s="8" t="s">
        <v>61</v>
      </c>
      <c r="E3" s="8">
        <f>23.7*2.54</f>
        <v>60.198</v>
      </c>
      <c r="F3">
        <f>30*2.54</f>
        <v>76.2</v>
      </c>
      <c r="G3">
        <f t="shared" si="0"/>
        <v>26.002000000000002</v>
      </c>
    </row>
    <row r="4" spans="1:8" x14ac:dyDescent="0.25">
      <c r="A4" t="s">
        <v>59</v>
      </c>
      <c r="B4" t="s">
        <v>41</v>
      </c>
      <c r="C4" s="9" t="s">
        <v>277</v>
      </c>
      <c r="D4" s="8" t="s">
        <v>61</v>
      </c>
      <c r="E4" s="8">
        <f>23.2*2.54</f>
        <v>58.927999999999997</v>
      </c>
      <c r="F4">
        <f>31*2.54</f>
        <v>78.739999999999995</v>
      </c>
      <c r="G4">
        <f t="shared" si="0"/>
        <v>29.811999999999998</v>
      </c>
    </row>
    <row r="5" spans="1:8" x14ac:dyDescent="0.25">
      <c r="A5" t="s">
        <v>59</v>
      </c>
      <c r="B5" t="s">
        <v>41</v>
      </c>
      <c r="C5" s="9" t="s">
        <v>278</v>
      </c>
      <c r="D5" s="8" t="s">
        <v>61</v>
      </c>
      <c r="E5" s="8">
        <f>23.4*2.54</f>
        <v>59.436</v>
      </c>
      <c r="F5">
        <f>29*2.54</f>
        <v>73.66</v>
      </c>
      <c r="G5">
        <f t="shared" si="0"/>
        <v>24.223999999999997</v>
      </c>
    </row>
    <row r="6" spans="1:8" x14ac:dyDescent="0.25">
      <c r="A6" t="s">
        <v>59</v>
      </c>
      <c r="B6" t="s">
        <v>41</v>
      </c>
      <c r="C6" s="9" t="s">
        <v>279</v>
      </c>
      <c r="D6" s="8" t="s">
        <v>61</v>
      </c>
      <c r="E6" s="8">
        <f>25.5*2.54</f>
        <v>64.77</v>
      </c>
      <c r="F6">
        <f>27*2.54</f>
        <v>68.58</v>
      </c>
      <c r="G6">
        <f t="shared" si="0"/>
        <v>13.810000000000002</v>
      </c>
    </row>
    <row r="7" spans="1:8" x14ac:dyDescent="0.25">
      <c r="A7" t="s">
        <v>59</v>
      </c>
      <c r="B7" t="s">
        <v>41</v>
      </c>
      <c r="C7" s="9" t="s">
        <v>280</v>
      </c>
      <c r="D7" s="8" t="s">
        <v>61</v>
      </c>
      <c r="E7" s="8">
        <f>26.7*2.54</f>
        <v>67.817999999999998</v>
      </c>
      <c r="F7">
        <f>31*2.54</f>
        <v>78.739999999999995</v>
      </c>
      <c r="G7">
        <f t="shared" si="0"/>
        <v>20.921999999999997</v>
      </c>
    </row>
    <row r="8" spans="1:8" x14ac:dyDescent="0.25">
      <c r="A8" t="s">
        <v>59</v>
      </c>
      <c r="B8" t="s">
        <v>41</v>
      </c>
      <c r="C8" s="9" t="s">
        <v>281</v>
      </c>
      <c r="D8" s="8" t="s">
        <v>61</v>
      </c>
      <c r="E8" s="8">
        <f>25.2*2.54</f>
        <v>64.007999999999996</v>
      </c>
      <c r="F8">
        <f>29*2.54</f>
        <v>73.66</v>
      </c>
      <c r="G8">
        <f t="shared" si="0"/>
        <v>19.652000000000001</v>
      </c>
    </row>
    <row r="9" spans="1:8" x14ac:dyDescent="0.25">
      <c r="A9" t="s">
        <v>59</v>
      </c>
      <c r="B9" t="s">
        <v>41</v>
      </c>
      <c r="C9" s="9" t="s">
        <v>282</v>
      </c>
      <c r="D9" s="8" t="s">
        <v>61</v>
      </c>
      <c r="E9" s="8">
        <f>26.5*2.54</f>
        <v>67.31</v>
      </c>
      <c r="F9">
        <f>29*2.54</f>
        <v>73.66</v>
      </c>
      <c r="G9">
        <f t="shared" si="0"/>
        <v>16.349999999999994</v>
      </c>
    </row>
    <row r="10" spans="1:8" x14ac:dyDescent="0.25">
      <c r="A10" t="s">
        <v>59</v>
      </c>
      <c r="B10" t="s">
        <v>41</v>
      </c>
      <c r="C10" s="9" t="s">
        <v>283</v>
      </c>
      <c r="D10" s="8" t="s">
        <v>61</v>
      </c>
      <c r="E10" s="8">
        <f>26.1*2.54</f>
        <v>66.294000000000011</v>
      </c>
      <c r="F10">
        <f>30*2.54</f>
        <v>76.2</v>
      </c>
      <c r="G10">
        <f t="shared" si="0"/>
        <v>19.905999999999992</v>
      </c>
    </row>
    <row r="11" spans="1:8" x14ac:dyDescent="0.25">
      <c r="A11" t="s">
        <v>14</v>
      </c>
      <c r="B11" t="s">
        <v>60</v>
      </c>
      <c r="C11" s="9" t="s">
        <v>284</v>
      </c>
      <c r="D11" s="8">
        <f>15.8*2.54</f>
        <v>40.132000000000005</v>
      </c>
      <c r="E11" s="8">
        <f>24.6*2.54</f>
        <v>62.484000000000002</v>
      </c>
      <c r="F11">
        <f>29.9*2.54</f>
        <v>75.945999999999998</v>
      </c>
      <c r="G11">
        <f t="shared" si="0"/>
        <v>23.461999999999996</v>
      </c>
      <c r="H11">
        <f>AVERAGE(G11:G18)</f>
        <v>21.52525</v>
      </c>
    </row>
    <row r="12" spans="1:8" x14ac:dyDescent="0.25">
      <c r="A12" t="s">
        <v>14</v>
      </c>
      <c r="B12" t="s">
        <v>60</v>
      </c>
      <c r="C12" s="9" t="s">
        <v>285</v>
      </c>
      <c r="D12" s="8">
        <f>16.6*2.54</f>
        <v>42.164000000000001</v>
      </c>
      <c r="E12" s="8">
        <f>24.2*2.54</f>
        <v>61.467999999999996</v>
      </c>
      <c r="F12">
        <f>30.8*2.54</f>
        <v>78.231999999999999</v>
      </c>
      <c r="G12">
        <f t="shared" si="0"/>
        <v>26.764000000000003</v>
      </c>
    </row>
    <row r="13" spans="1:8" x14ac:dyDescent="0.25">
      <c r="A13" t="s">
        <v>14</v>
      </c>
      <c r="B13" t="s">
        <v>60</v>
      </c>
      <c r="C13" s="9" t="s">
        <v>286</v>
      </c>
      <c r="D13" s="8">
        <f>18.1*2.54</f>
        <v>45.974000000000004</v>
      </c>
      <c r="E13" s="8">
        <f>29.3*2.54</f>
        <v>74.421999999999997</v>
      </c>
      <c r="F13">
        <f>30.3*2.54</f>
        <v>76.962000000000003</v>
      </c>
      <c r="G13">
        <f t="shared" si="0"/>
        <v>12.540000000000006</v>
      </c>
    </row>
    <row r="14" spans="1:8" x14ac:dyDescent="0.25">
      <c r="A14" t="s">
        <v>14</v>
      </c>
      <c r="B14" t="s">
        <v>60</v>
      </c>
      <c r="C14" s="9" t="s">
        <v>287</v>
      </c>
      <c r="D14" s="8">
        <f>12.6*2.54</f>
        <v>32.003999999999998</v>
      </c>
      <c r="E14" s="8">
        <f>26.9*2.54</f>
        <v>68.325999999999993</v>
      </c>
      <c r="F14">
        <f>30.8*2.54</f>
        <v>78.231999999999999</v>
      </c>
      <c r="G14">
        <f t="shared" si="0"/>
        <v>19.906000000000006</v>
      </c>
    </row>
    <row r="15" spans="1:8" x14ac:dyDescent="0.25">
      <c r="A15" t="s">
        <v>14</v>
      </c>
      <c r="B15" t="s">
        <v>60</v>
      </c>
      <c r="C15" s="9" t="s">
        <v>288</v>
      </c>
      <c r="D15" s="8">
        <f>18.4*2.54</f>
        <v>46.735999999999997</v>
      </c>
      <c r="E15" s="8">
        <f>26.5*2.54</f>
        <v>67.31</v>
      </c>
      <c r="F15">
        <f>29.9*2.54</f>
        <v>75.945999999999998</v>
      </c>
      <c r="G15">
        <f t="shared" si="0"/>
        <v>18.635999999999996</v>
      </c>
    </row>
    <row r="16" spans="1:8" x14ac:dyDescent="0.25">
      <c r="A16" t="s">
        <v>14</v>
      </c>
      <c r="B16" t="s">
        <v>60</v>
      </c>
      <c r="C16" s="9" t="s">
        <v>289</v>
      </c>
      <c r="D16" s="8">
        <f>20.6*2.54</f>
        <v>52.324000000000005</v>
      </c>
      <c r="E16" s="8">
        <f>28.7*2.54</f>
        <v>72.897999999999996</v>
      </c>
      <c r="F16">
        <f>29.8*2.54</f>
        <v>75.692000000000007</v>
      </c>
      <c r="G16">
        <f t="shared" si="0"/>
        <v>12.794000000000011</v>
      </c>
    </row>
    <row r="17" spans="1:8" x14ac:dyDescent="0.25">
      <c r="A17" t="s">
        <v>14</v>
      </c>
      <c r="B17" t="s">
        <v>60</v>
      </c>
      <c r="C17" s="9" t="s">
        <v>290</v>
      </c>
      <c r="D17" s="8">
        <f>7.3*2.54</f>
        <v>18.541999999999998</v>
      </c>
      <c r="E17" s="8">
        <f>22.3*2.54</f>
        <v>56.642000000000003</v>
      </c>
      <c r="F17">
        <f>29.9*2.54</f>
        <v>75.945999999999998</v>
      </c>
      <c r="G17">
        <f t="shared" si="0"/>
        <v>29.303999999999995</v>
      </c>
    </row>
    <row r="18" spans="1:8" x14ac:dyDescent="0.25">
      <c r="A18" t="s">
        <v>14</v>
      </c>
      <c r="B18" t="s">
        <v>60</v>
      </c>
      <c r="C18" s="9" t="s">
        <v>291</v>
      </c>
      <c r="D18" s="8">
        <f>8.5*2.54</f>
        <v>21.59</v>
      </c>
      <c r="E18" s="8">
        <f>22.3*2.54</f>
        <v>56.642000000000003</v>
      </c>
      <c r="F18">
        <f>29.7*2.54</f>
        <v>75.438000000000002</v>
      </c>
      <c r="G18">
        <f t="shared" si="0"/>
        <v>28.795999999999999</v>
      </c>
    </row>
    <row r="19" spans="1:8" x14ac:dyDescent="0.25">
      <c r="A19" t="s">
        <v>62</v>
      </c>
      <c r="B19" t="s">
        <v>63</v>
      </c>
      <c r="C19" s="9" t="s">
        <v>292</v>
      </c>
      <c r="D19" s="8">
        <f>17.7*2.54</f>
        <v>44.957999999999998</v>
      </c>
      <c r="E19" s="8">
        <f>25*2.54</f>
        <v>63.5</v>
      </c>
      <c r="F19">
        <f>30.8*2.54</f>
        <v>78.231999999999999</v>
      </c>
      <c r="G19">
        <f t="shared" si="0"/>
        <v>24.731999999999999</v>
      </c>
      <c r="H19">
        <f>AVERAGE(G19:G26)</f>
        <v>24.414500000000004</v>
      </c>
    </row>
    <row r="20" spans="1:8" x14ac:dyDescent="0.25">
      <c r="A20" t="s">
        <v>62</v>
      </c>
      <c r="B20" t="s">
        <v>63</v>
      </c>
      <c r="C20" s="9" t="s">
        <v>293</v>
      </c>
      <c r="D20" s="8">
        <f>18.7*2.54</f>
        <v>47.497999999999998</v>
      </c>
      <c r="E20" s="8">
        <f>27.5*2.54</f>
        <v>69.849999999999994</v>
      </c>
      <c r="F20">
        <f>30.6*2.54</f>
        <v>77.724000000000004</v>
      </c>
      <c r="G20">
        <f t="shared" si="0"/>
        <v>17.874000000000009</v>
      </c>
    </row>
    <row r="21" spans="1:8" x14ac:dyDescent="0.25">
      <c r="A21" t="s">
        <v>62</v>
      </c>
      <c r="B21" t="s">
        <v>63</v>
      </c>
      <c r="C21" s="9" t="s">
        <v>294</v>
      </c>
      <c r="D21" s="8">
        <f>8.1*2.54</f>
        <v>20.573999999999998</v>
      </c>
      <c r="E21" s="8">
        <f>21*2.54</f>
        <v>53.34</v>
      </c>
      <c r="F21">
        <f>28.6*2.54</f>
        <v>72.644000000000005</v>
      </c>
      <c r="G21">
        <f t="shared" si="0"/>
        <v>29.304000000000002</v>
      </c>
    </row>
    <row r="22" spans="1:8" x14ac:dyDescent="0.25">
      <c r="A22" t="s">
        <v>62</v>
      </c>
      <c r="B22" t="s">
        <v>63</v>
      </c>
      <c r="C22" s="9" t="s">
        <v>295</v>
      </c>
      <c r="D22" s="8">
        <f>11.2*2.54</f>
        <v>28.447999999999997</v>
      </c>
      <c r="E22" s="8">
        <f>25*2.54</f>
        <v>63.5</v>
      </c>
      <c r="F22">
        <f>30.5*2.54</f>
        <v>77.47</v>
      </c>
      <c r="G22">
        <f t="shared" si="0"/>
        <v>23.97</v>
      </c>
    </row>
    <row r="23" spans="1:8" x14ac:dyDescent="0.25">
      <c r="A23" t="s">
        <v>62</v>
      </c>
      <c r="B23" t="s">
        <v>63</v>
      </c>
      <c r="C23" s="9" t="s">
        <v>296</v>
      </c>
      <c r="D23" s="8">
        <f>16.5*2.54</f>
        <v>41.910000000000004</v>
      </c>
      <c r="E23" s="8">
        <f>25.4*2.54</f>
        <v>64.515999999999991</v>
      </c>
      <c r="F23">
        <f>31.4*2.54</f>
        <v>79.756</v>
      </c>
      <c r="G23">
        <f t="shared" si="0"/>
        <v>25.240000000000009</v>
      </c>
    </row>
    <row r="24" spans="1:8" x14ac:dyDescent="0.25">
      <c r="A24" t="s">
        <v>62</v>
      </c>
      <c r="B24" t="s">
        <v>63</v>
      </c>
      <c r="C24" s="9" t="s">
        <v>297</v>
      </c>
      <c r="D24" s="8">
        <f>15.7*2.54</f>
        <v>39.878</v>
      </c>
      <c r="E24" s="8">
        <f>25*2.54</f>
        <v>63.5</v>
      </c>
      <c r="F24">
        <f>30.2*2.54</f>
        <v>76.707999999999998</v>
      </c>
      <c r="G24">
        <f t="shared" si="0"/>
        <v>23.207999999999998</v>
      </c>
    </row>
    <row r="25" spans="1:8" x14ac:dyDescent="0.25">
      <c r="A25" t="s">
        <v>62</v>
      </c>
      <c r="B25" t="s">
        <v>63</v>
      </c>
      <c r="C25" s="9" t="s">
        <v>298</v>
      </c>
      <c r="D25" s="8">
        <f>17*2.54</f>
        <v>43.18</v>
      </c>
      <c r="E25" s="8">
        <f>24.5*2.54</f>
        <v>62.230000000000004</v>
      </c>
      <c r="F25">
        <f>30*2.54</f>
        <v>76.2</v>
      </c>
      <c r="G25">
        <f t="shared" si="0"/>
        <v>23.97</v>
      </c>
    </row>
    <row r="26" spans="1:8" x14ac:dyDescent="0.25">
      <c r="A26" t="s">
        <v>62</v>
      </c>
      <c r="B26" t="s">
        <v>63</v>
      </c>
      <c r="C26" s="9" t="s">
        <v>299</v>
      </c>
      <c r="D26" s="8">
        <f>18.3*2.54</f>
        <v>46.481999999999999</v>
      </c>
      <c r="E26" s="8">
        <f>23.2*2.54</f>
        <v>58.927999999999997</v>
      </c>
      <c r="F26">
        <f>29.9*2.54</f>
        <v>75.945999999999998</v>
      </c>
      <c r="G26">
        <f t="shared" si="0"/>
        <v>27.018000000000001</v>
      </c>
    </row>
    <row r="27" spans="1:8" x14ac:dyDescent="0.25">
      <c r="A27" t="s">
        <v>99</v>
      </c>
      <c r="B27" t="s">
        <v>100</v>
      </c>
      <c r="C27" s="9" t="s">
        <v>301</v>
      </c>
      <c r="D27" s="8">
        <f>22*2.54</f>
        <v>55.88</v>
      </c>
      <c r="E27" s="8">
        <f>27.3*2.54</f>
        <v>69.341999999999999</v>
      </c>
      <c r="F27">
        <f>31.5*2.54</f>
        <v>80.010000000000005</v>
      </c>
      <c r="G27">
        <f t="shared" si="0"/>
        <v>20.668000000000006</v>
      </c>
      <c r="H27">
        <f>AVERAGE(G27:G34)</f>
        <v>21.969750000000001</v>
      </c>
    </row>
    <row r="28" spans="1:8" x14ac:dyDescent="0.25">
      <c r="A28" t="s">
        <v>99</v>
      </c>
      <c r="B28" t="s">
        <v>100</v>
      </c>
      <c r="C28" s="9" t="s">
        <v>302</v>
      </c>
      <c r="D28" s="8">
        <f>19.9*2.54</f>
        <v>50.545999999999999</v>
      </c>
      <c r="E28" s="8">
        <f>25*2.54</f>
        <v>63.5</v>
      </c>
      <c r="F28">
        <f>29.9*2.54</f>
        <v>75.945999999999998</v>
      </c>
      <c r="G28">
        <f t="shared" si="0"/>
        <v>22.445999999999998</v>
      </c>
    </row>
    <row r="29" spans="1:8" x14ac:dyDescent="0.25">
      <c r="A29" t="s">
        <v>99</v>
      </c>
      <c r="B29" t="s">
        <v>100</v>
      </c>
      <c r="C29" s="9" t="s">
        <v>303</v>
      </c>
      <c r="D29" s="8">
        <f>18*2.54</f>
        <v>45.72</v>
      </c>
      <c r="E29" s="8">
        <f>24*2.54</f>
        <v>60.96</v>
      </c>
      <c r="F29">
        <f>29.9*2.54</f>
        <v>75.945999999999998</v>
      </c>
      <c r="G29">
        <f t="shared" si="0"/>
        <v>24.985999999999997</v>
      </c>
    </row>
    <row r="30" spans="1:8" x14ac:dyDescent="0.25">
      <c r="A30" t="s">
        <v>99</v>
      </c>
      <c r="B30" t="s">
        <v>100</v>
      </c>
      <c r="C30" s="9" t="s">
        <v>304</v>
      </c>
      <c r="D30" s="8">
        <f>16.3*2.54</f>
        <v>41.402000000000001</v>
      </c>
      <c r="E30" s="8">
        <f>23*2.54</f>
        <v>58.42</v>
      </c>
      <c r="F30">
        <f>30.2*2.54</f>
        <v>76.707999999999998</v>
      </c>
      <c r="G30">
        <f t="shared" si="0"/>
        <v>28.287999999999997</v>
      </c>
    </row>
    <row r="31" spans="1:8" x14ac:dyDescent="0.25">
      <c r="A31" t="s">
        <v>99</v>
      </c>
      <c r="B31" t="s">
        <v>100</v>
      </c>
      <c r="C31" s="9" t="s">
        <v>305</v>
      </c>
      <c r="D31" s="8">
        <f>23.5*2.54</f>
        <v>59.69</v>
      </c>
      <c r="E31" s="8">
        <f>29.2*2.54</f>
        <v>74.167999999999992</v>
      </c>
      <c r="F31">
        <f>30.4*2.54</f>
        <v>77.215999999999994</v>
      </c>
      <c r="G31">
        <f t="shared" si="0"/>
        <v>13.048000000000002</v>
      </c>
    </row>
    <row r="32" spans="1:8" x14ac:dyDescent="0.25">
      <c r="A32" t="s">
        <v>99</v>
      </c>
      <c r="B32" t="s">
        <v>100</v>
      </c>
      <c r="C32" s="9" t="s">
        <v>306</v>
      </c>
      <c r="D32" s="8">
        <f>21.8*2.54</f>
        <v>55.372</v>
      </c>
      <c r="E32" s="8">
        <f>24.3*2.54</f>
        <v>61.722000000000001</v>
      </c>
      <c r="F32">
        <f>30.2*2.54</f>
        <v>76.707999999999998</v>
      </c>
      <c r="G32">
        <f t="shared" si="0"/>
        <v>24.985999999999997</v>
      </c>
    </row>
    <row r="33" spans="1:8" x14ac:dyDescent="0.25">
      <c r="A33" t="s">
        <v>99</v>
      </c>
      <c r="B33" t="s">
        <v>100</v>
      </c>
      <c r="C33" s="9" t="s">
        <v>307</v>
      </c>
      <c r="D33" s="8">
        <f>22*2.54</f>
        <v>55.88</v>
      </c>
      <c r="E33" s="8">
        <f>27*2.54</f>
        <v>68.58</v>
      </c>
      <c r="F33">
        <f>30.6*2.54</f>
        <v>77.724000000000004</v>
      </c>
      <c r="G33">
        <f t="shared" si="0"/>
        <v>19.144000000000005</v>
      </c>
    </row>
    <row r="34" spans="1:8" x14ac:dyDescent="0.25">
      <c r="A34" t="s">
        <v>99</v>
      </c>
      <c r="B34" t="s">
        <v>100</v>
      </c>
      <c r="C34" s="9" t="s">
        <v>308</v>
      </c>
      <c r="D34" s="8">
        <f>20.5*2.54</f>
        <v>52.07</v>
      </c>
      <c r="E34" s="8">
        <f>25*2.54</f>
        <v>63.5</v>
      </c>
      <c r="F34">
        <f>29.8*2.54</f>
        <v>75.692000000000007</v>
      </c>
      <c r="G34">
        <f t="shared" si="0"/>
        <v>22.192000000000007</v>
      </c>
    </row>
    <row r="35" spans="1:8" x14ac:dyDescent="0.25">
      <c r="A35" t="s">
        <v>300</v>
      </c>
      <c r="B35" t="s">
        <v>80</v>
      </c>
      <c r="C35" s="9" t="s">
        <v>309</v>
      </c>
      <c r="D35" s="8" t="s">
        <v>61</v>
      </c>
      <c r="E35" s="8">
        <f>26.5*2.54</f>
        <v>67.31</v>
      </c>
      <c r="F35">
        <f>30*2.54</f>
        <v>76.2</v>
      </c>
      <c r="G35">
        <f t="shared" si="0"/>
        <v>18.89</v>
      </c>
      <c r="H35">
        <f>AVERAGE(G35:G42)</f>
        <v>21.52525</v>
      </c>
    </row>
    <row r="36" spans="1:8" x14ac:dyDescent="0.25">
      <c r="A36" t="s">
        <v>300</v>
      </c>
      <c r="B36" t="s">
        <v>80</v>
      </c>
      <c r="C36" s="9" t="s">
        <v>310</v>
      </c>
      <c r="D36" s="8" t="s">
        <v>61</v>
      </c>
      <c r="E36" s="8">
        <f>25.7*2.54</f>
        <v>65.278000000000006</v>
      </c>
      <c r="F36">
        <f>30*2.54</f>
        <v>76.2</v>
      </c>
      <c r="G36">
        <f t="shared" si="0"/>
        <v>20.921999999999997</v>
      </c>
    </row>
    <row r="37" spans="1:8" x14ac:dyDescent="0.25">
      <c r="A37" t="s">
        <v>300</v>
      </c>
      <c r="B37" t="s">
        <v>80</v>
      </c>
      <c r="C37" s="9" t="s">
        <v>311</v>
      </c>
      <c r="D37" s="8" t="s">
        <v>61</v>
      </c>
      <c r="E37" s="8">
        <f>26*2.54</f>
        <v>66.040000000000006</v>
      </c>
      <c r="F37">
        <f>29.9*2.54</f>
        <v>75.945999999999998</v>
      </c>
      <c r="G37">
        <f t="shared" si="0"/>
        <v>19.905999999999992</v>
      </c>
    </row>
    <row r="38" spans="1:8" x14ac:dyDescent="0.25">
      <c r="A38" t="s">
        <v>300</v>
      </c>
      <c r="B38" t="s">
        <v>80</v>
      </c>
      <c r="C38" s="9" t="s">
        <v>312</v>
      </c>
      <c r="D38" s="8" t="s">
        <v>61</v>
      </c>
      <c r="E38" s="8">
        <f>25.4*2.54</f>
        <v>64.515999999999991</v>
      </c>
      <c r="F38">
        <f>30.1*2.54</f>
        <v>76.454000000000008</v>
      </c>
      <c r="G38">
        <f t="shared" si="0"/>
        <v>21.938000000000017</v>
      </c>
    </row>
    <row r="39" spans="1:8" x14ac:dyDescent="0.25">
      <c r="A39" t="s">
        <v>300</v>
      </c>
      <c r="B39" t="s">
        <v>80</v>
      </c>
      <c r="C39" s="9" t="s">
        <v>313</v>
      </c>
      <c r="D39" s="8" t="s">
        <v>61</v>
      </c>
      <c r="E39" s="8">
        <f>24*2.54</f>
        <v>60.96</v>
      </c>
      <c r="F39">
        <f>29.9*2.54</f>
        <v>75.945999999999998</v>
      </c>
      <c r="G39">
        <f t="shared" si="0"/>
        <v>24.985999999999997</v>
      </c>
    </row>
    <row r="40" spans="1:8" x14ac:dyDescent="0.25">
      <c r="A40" t="s">
        <v>300</v>
      </c>
      <c r="B40" t="s">
        <v>80</v>
      </c>
      <c r="C40" s="9" t="s">
        <v>314</v>
      </c>
      <c r="D40" s="8" t="s">
        <v>61</v>
      </c>
      <c r="E40" s="8">
        <f>25*2.54</f>
        <v>63.5</v>
      </c>
      <c r="F40">
        <f>29.8*2.54</f>
        <v>75.692000000000007</v>
      </c>
      <c r="G40">
        <f t="shared" si="0"/>
        <v>22.192000000000007</v>
      </c>
    </row>
    <row r="41" spans="1:8" x14ac:dyDescent="0.25">
      <c r="A41" t="s">
        <v>300</v>
      </c>
      <c r="B41" t="s">
        <v>80</v>
      </c>
      <c r="C41" s="9" t="s">
        <v>315</v>
      </c>
      <c r="D41" s="8" t="s">
        <v>61</v>
      </c>
      <c r="E41" s="8">
        <f>25.3*2.54</f>
        <v>64.262</v>
      </c>
      <c r="F41">
        <f>29.8*2.54</f>
        <v>75.692000000000007</v>
      </c>
      <c r="G41">
        <f t="shared" si="0"/>
        <v>21.430000000000007</v>
      </c>
    </row>
    <row r="42" spans="1:8" x14ac:dyDescent="0.25">
      <c r="A42" t="s">
        <v>300</v>
      </c>
      <c r="B42" t="s">
        <v>80</v>
      </c>
      <c r="C42" s="9" t="s">
        <v>316</v>
      </c>
      <c r="D42" s="8" t="s">
        <v>61</v>
      </c>
      <c r="E42" s="8">
        <f>25.2*2.54</f>
        <v>64.007999999999996</v>
      </c>
      <c r="F42">
        <f>29.9*2.54</f>
        <v>75.945999999999998</v>
      </c>
      <c r="G42">
        <f t="shared" si="0"/>
        <v>21.938000000000002</v>
      </c>
    </row>
    <row r="43" spans="1:8" x14ac:dyDescent="0.25">
      <c r="D43" s="8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workbookViewId="0">
      <selection activeCell="P14" sqref="P14"/>
    </sheetView>
  </sheetViews>
  <sheetFormatPr baseColWidth="10" defaultRowHeight="15" x14ac:dyDescent="0.25"/>
  <sheetData>
    <row r="1" spans="1:14" ht="75" x14ac:dyDescent="0.25">
      <c r="A1" s="1" t="s">
        <v>0</v>
      </c>
      <c r="B1" s="2" t="s">
        <v>3</v>
      </c>
      <c r="C1" s="2" t="s">
        <v>11</v>
      </c>
      <c r="D1" s="2" t="s">
        <v>42</v>
      </c>
      <c r="E1" s="3" t="s">
        <v>2</v>
      </c>
      <c r="F1" s="1" t="s">
        <v>4</v>
      </c>
      <c r="G1" s="2" t="s">
        <v>5</v>
      </c>
      <c r="H1" s="3" t="s">
        <v>37</v>
      </c>
      <c r="I1" s="2" t="s">
        <v>6</v>
      </c>
      <c r="J1" s="3" t="s">
        <v>38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x14ac:dyDescent="0.25">
      <c r="A2" s="27" t="s">
        <v>273</v>
      </c>
      <c r="B2" s="27">
        <v>2.1882999999999999</v>
      </c>
      <c r="C2" s="30">
        <v>2.0777999999999999</v>
      </c>
      <c r="D2" s="28">
        <f t="shared" ref="D2:D6" si="0">((B2-C2)/C2)*100</f>
        <v>5.3181249398402182</v>
      </c>
      <c r="E2" s="60">
        <v>44361</v>
      </c>
      <c r="F2" s="29">
        <v>44393</v>
      </c>
      <c r="G2" s="27">
        <f t="shared" ref="G2:G6" si="1">F2-E2</f>
        <v>32</v>
      </c>
      <c r="H2" s="27">
        <v>0.57940000000000003</v>
      </c>
      <c r="I2" s="30">
        <f>C2-H2</f>
        <v>1.4983999999999997</v>
      </c>
      <c r="J2" s="27">
        <v>0.39489999999999997</v>
      </c>
      <c r="K2" s="27">
        <v>0.1305</v>
      </c>
      <c r="L2" s="27">
        <v>5.8299999999999998E-2</v>
      </c>
      <c r="M2" s="30">
        <f>C2-(K2+L2)</f>
        <v>1.8889999999999998</v>
      </c>
      <c r="N2" s="27">
        <f>((M2-J2)/M2)*100</f>
        <v>79.094759131815778</v>
      </c>
    </row>
    <row r="3" spans="1:14" x14ac:dyDescent="0.25">
      <c r="A3" s="27" t="s">
        <v>273</v>
      </c>
      <c r="B3" s="27">
        <v>2.1884000000000001</v>
      </c>
      <c r="C3" s="27">
        <v>2.0781000000000001</v>
      </c>
      <c r="D3" s="28">
        <f t="shared" si="0"/>
        <v>5.3077330253597061</v>
      </c>
      <c r="E3" s="60">
        <v>44361</v>
      </c>
      <c r="F3" s="29">
        <v>44393</v>
      </c>
      <c r="G3" s="27">
        <f t="shared" si="1"/>
        <v>32</v>
      </c>
      <c r="H3" s="27">
        <v>0.58030000000000004</v>
      </c>
      <c r="I3" s="30">
        <f t="shared" ref="I3:I6" si="2">C3-H3</f>
        <v>1.4978</v>
      </c>
      <c r="J3" s="27">
        <v>0.39560000000000001</v>
      </c>
      <c r="K3" s="27">
        <v>0.1308</v>
      </c>
      <c r="L3" s="27">
        <v>5.8400000000000001E-2</v>
      </c>
      <c r="M3" s="30">
        <f t="shared" ref="M3:M6" si="3">C3-(K3+L3)</f>
        <v>1.8889</v>
      </c>
      <c r="N3" s="27">
        <f t="shared" ref="N3:N6" si="4">((M3-J3)/M3)*100</f>
        <v>79.056593784742446</v>
      </c>
    </row>
    <row r="4" spans="1:14" x14ac:dyDescent="0.25">
      <c r="A4" s="27" t="s">
        <v>273</v>
      </c>
      <c r="B4" s="27">
        <v>2.1884999999999999</v>
      </c>
      <c r="C4" s="30">
        <v>2.0781999999999998</v>
      </c>
      <c r="D4" s="28">
        <f t="shared" si="0"/>
        <v>5.307477624867678</v>
      </c>
      <c r="E4" s="60">
        <v>44361</v>
      </c>
      <c r="F4" s="29">
        <v>44393</v>
      </c>
      <c r="G4" s="27">
        <f t="shared" si="1"/>
        <v>32</v>
      </c>
      <c r="H4" s="27">
        <v>0.58069999999999999</v>
      </c>
      <c r="I4" s="30">
        <f t="shared" si="2"/>
        <v>1.4974999999999998</v>
      </c>
      <c r="J4" s="27">
        <v>0.3962</v>
      </c>
      <c r="K4" s="27">
        <v>0.1308</v>
      </c>
      <c r="L4" s="27">
        <v>5.8400000000000001E-2</v>
      </c>
      <c r="M4" s="30">
        <f t="shared" si="3"/>
        <v>1.8889999999999998</v>
      </c>
      <c r="N4" s="27">
        <f t="shared" si="4"/>
        <v>79.025939650608791</v>
      </c>
    </row>
    <row r="5" spans="1:14" x14ac:dyDescent="0.25">
      <c r="A5" s="27" t="s">
        <v>273</v>
      </c>
      <c r="B5" s="27">
        <v>2.1884999999999999</v>
      </c>
      <c r="C5" s="30">
        <v>2.0785</v>
      </c>
      <c r="D5" s="28">
        <f t="shared" si="0"/>
        <v>5.2922780851575597</v>
      </c>
      <c r="E5" s="60">
        <v>44361</v>
      </c>
      <c r="F5" s="29">
        <v>44393</v>
      </c>
      <c r="G5" s="27">
        <f t="shared" si="1"/>
        <v>32</v>
      </c>
      <c r="H5" s="27">
        <v>0.58109999999999995</v>
      </c>
      <c r="I5" s="30">
        <f t="shared" si="2"/>
        <v>1.4974000000000001</v>
      </c>
      <c r="J5" s="27">
        <v>0.39650000000000002</v>
      </c>
      <c r="K5" s="27">
        <v>0.1308</v>
      </c>
      <c r="L5" s="27">
        <v>5.8299999999999998E-2</v>
      </c>
      <c r="M5" s="30">
        <f t="shared" si="3"/>
        <v>1.8894</v>
      </c>
      <c r="N5" s="27">
        <f t="shared" si="4"/>
        <v>79.014501958293636</v>
      </c>
    </row>
    <row r="6" spans="1:14" x14ac:dyDescent="0.25">
      <c r="A6" s="27" t="s">
        <v>273</v>
      </c>
      <c r="B6" s="27">
        <v>2.1884000000000001</v>
      </c>
      <c r="C6" s="27">
        <v>2.0785999999999998</v>
      </c>
      <c r="D6" s="28">
        <f t="shared" si="0"/>
        <v>5.2824016164726428</v>
      </c>
      <c r="E6" s="60">
        <v>44361</v>
      </c>
      <c r="F6" s="29">
        <v>44393</v>
      </c>
      <c r="G6" s="27">
        <f t="shared" si="1"/>
        <v>32</v>
      </c>
      <c r="H6" s="27">
        <v>0.58160000000000001</v>
      </c>
      <c r="I6" s="30">
        <f t="shared" si="2"/>
        <v>1.4969999999999999</v>
      </c>
      <c r="J6" s="27">
        <v>0.39679999999999999</v>
      </c>
      <c r="K6" s="27">
        <v>0.1308</v>
      </c>
      <c r="L6" s="27">
        <v>5.8599999999999999E-2</v>
      </c>
      <c r="M6" s="30">
        <f t="shared" si="3"/>
        <v>1.8891999999999998</v>
      </c>
      <c r="N6" s="27">
        <f t="shared" si="4"/>
        <v>78.996400592843528</v>
      </c>
    </row>
    <row r="7" spans="1:14" x14ac:dyDescent="0.25">
      <c r="B7">
        <f>AVERAGE(B2:B6)</f>
        <v>2.1884199999999998</v>
      </c>
      <c r="C7" s="7">
        <f>AVERAGE(C2:C6)</f>
        <v>2.0782400000000001</v>
      </c>
      <c r="D7" s="4">
        <f>AVERAGE(D2:D6)</f>
        <v>5.3016030583395608</v>
      </c>
      <c r="H7">
        <f>AVERAGE(H2:H6)</f>
        <v>0.58061999999999991</v>
      </c>
      <c r="I7" s="7">
        <f>AVERAGE(I2:I6)</f>
        <v>1.49762</v>
      </c>
      <c r="J7" s="7">
        <f t="shared" ref="J7:N7" si="5">AVERAGE(J2:J6)</f>
        <v>0.39600000000000002</v>
      </c>
      <c r="K7" s="7">
        <f t="shared" si="5"/>
        <v>0.13074000000000002</v>
      </c>
      <c r="L7" s="7">
        <f t="shared" si="5"/>
        <v>5.8399999999999994E-2</v>
      </c>
      <c r="M7" s="7">
        <f t="shared" si="5"/>
        <v>1.8890999999999998</v>
      </c>
      <c r="N7" s="7">
        <f t="shared" si="5"/>
        <v>79.03763902366083</v>
      </c>
    </row>
    <row r="11" spans="1:14" ht="75" x14ac:dyDescent="0.25">
      <c r="A11" s="1" t="s">
        <v>0</v>
      </c>
      <c r="B11" s="2" t="s">
        <v>3</v>
      </c>
      <c r="C11" s="2" t="s">
        <v>11</v>
      </c>
      <c r="D11" s="2" t="s">
        <v>42</v>
      </c>
      <c r="E11" s="3" t="s">
        <v>2</v>
      </c>
      <c r="F11" s="1" t="s">
        <v>4</v>
      </c>
      <c r="G11" s="2" t="s">
        <v>5</v>
      </c>
      <c r="H11" s="3" t="s">
        <v>37</v>
      </c>
      <c r="I11" s="2" t="s">
        <v>6</v>
      </c>
      <c r="J11" s="3" t="s">
        <v>38</v>
      </c>
      <c r="K11" s="2" t="s">
        <v>7</v>
      </c>
      <c r="L11" s="2" t="s">
        <v>8</v>
      </c>
      <c r="M11" s="2" t="s">
        <v>9</v>
      </c>
      <c r="N11" s="2" t="s">
        <v>10</v>
      </c>
    </row>
    <row r="12" spans="1:14" x14ac:dyDescent="0.25">
      <c r="A12" s="55" t="s">
        <v>274</v>
      </c>
      <c r="B12" s="55">
        <v>2.2612999999999999</v>
      </c>
      <c r="C12" s="55">
        <v>2.1339000000000001</v>
      </c>
      <c r="D12" s="56">
        <f t="shared" ref="D12:D16" si="6">((B12-C12)/C12)*100</f>
        <v>5.9702891419466573</v>
      </c>
      <c r="E12" s="59">
        <v>44361</v>
      </c>
      <c r="F12" s="57">
        <v>44393</v>
      </c>
      <c r="G12" s="55">
        <f t="shared" ref="G12:G16" si="7">F12-E12</f>
        <v>32</v>
      </c>
      <c r="H12" s="55">
        <v>1.5255000000000001</v>
      </c>
      <c r="I12" s="55">
        <f>C12-H12</f>
        <v>0.60840000000000005</v>
      </c>
      <c r="J12" s="55">
        <v>1.3499000000000001</v>
      </c>
      <c r="K12" s="55">
        <v>0.1242</v>
      </c>
      <c r="L12" s="55">
        <v>6.1699999999999998E-2</v>
      </c>
      <c r="M12" s="58">
        <f>C12-(K12+L12)</f>
        <v>1.9480000000000002</v>
      </c>
      <c r="N12" s="55">
        <f>((M12-J12)/M12)*100</f>
        <v>30.70328542094456</v>
      </c>
    </row>
    <row r="13" spans="1:14" x14ac:dyDescent="0.25">
      <c r="A13" s="55" t="s">
        <v>274</v>
      </c>
      <c r="B13" s="55">
        <v>2.2612000000000001</v>
      </c>
      <c r="C13" s="55">
        <v>2.1349</v>
      </c>
      <c r="D13" s="56">
        <f t="shared" si="6"/>
        <v>5.9159679610286231</v>
      </c>
      <c r="E13" s="59">
        <v>44361</v>
      </c>
      <c r="F13" s="57">
        <v>44393</v>
      </c>
      <c r="G13" s="55">
        <f t="shared" si="7"/>
        <v>32</v>
      </c>
      <c r="H13" s="55">
        <v>1.5269999999999999</v>
      </c>
      <c r="I13" s="55">
        <f t="shared" ref="I13:I16" si="8">C13-H13</f>
        <v>0.60790000000000011</v>
      </c>
      <c r="J13" s="55">
        <v>1.3507</v>
      </c>
      <c r="K13" s="55">
        <v>0.1246</v>
      </c>
      <c r="L13" s="55">
        <v>6.1600000000000002E-2</v>
      </c>
      <c r="M13" s="58">
        <f t="shared" ref="M13:M16" si="9">C13-(K13+L13)</f>
        <v>1.9487000000000001</v>
      </c>
      <c r="N13" s="55">
        <f t="shared" ref="N13:N16" si="10">((M13-J13)/M13)*100</f>
        <v>30.687124749833227</v>
      </c>
    </row>
    <row r="14" spans="1:14" x14ac:dyDescent="0.25">
      <c r="A14" s="55" t="s">
        <v>274</v>
      </c>
      <c r="B14" s="55">
        <v>2.2612999999999999</v>
      </c>
      <c r="C14" s="55">
        <v>2.1358999999999999</v>
      </c>
      <c r="D14" s="56">
        <f t="shared" si="6"/>
        <v>5.8710613792780544</v>
      </c>
      <c r="E14" s="59">
        <v>44361</v>
      </c>
      <c r="F14" s="57">
        <v>44393</v>
      </c>
      <c r="G14" s="55">
        <f t="shared" si="7"/>
        <v>32</v>
      </c>
      <c r="H14" s="55">
        <v>1.5277000000000001</v>
      </c>
      <c r="I14" s="55">
        <f t="shared" si="8"/>
        <v>0.60819999999999985</v>
      </c>
      <c r="J14" s="55">
        <v>1.3515999999999999</v>
      </c>
      <c r="K14" s="55">
        <v>0.1244</v>
      </c>
      <c r="L14" s="55">
        <v>6.1699999999999998E-2</v>
      </c>
      <c r="M14" s="58">
        <f t="shared" si="9"/>
        <v>1.9498</v>
      </c>
      <c r="N14" s="55">
        <f t="shared" si="10"/>
        <v>30.680069750743673</v>
      </c>
    </row>
    <row r="15" spans="1:14" x14ac:dyDescent="0.25">
      <c r="A15" s="55" t="s">
        <v>274</v>
      </c>
      <c r="B15" s="55">
        <v>2.2612000000000001</v>
      </c>
      <c r="C15" s="55">
        <v>2.1368</v>
      </c>
      <c r="D15" s="56">
        <f t="shared" si="6"/>
        <v>5.8217895919131442</v>
      </c>
      <c r="E15" s="59">
        <v>44361</v>
      </c>
      <c r="F15" s="57">
        <v>44393</v>
      </c>
      <c r="G15" s="55">
        <f t="shared" si="7"/>
        <v>32</v>
      </c>
      <c r="H15" s="55">
        <v>1.5286</v>
      </c>
      <c r="I15" s="55">
        <f t="shared" si="8"/>
        <v>0.60820000000000007</v>
      </c>
      <c r="J15" s="55">
        <v>1.3523000000000001</v>
      </c>
      <c r="K15" s="55">
        <v>0.1245</v>
      </c>
      <c r="L15" s="55">
        <v>6.1600000000000002E-2</v>
      </c>
      <c r="M15" s="58">
        <f t="shared" si="9"/>
        <v>1.9507000000000001</v>
      </c>
      <c r="N15" s="55">
        <f t="shared" si="10"/>
        <v>30.676167529604758</v>
      </c>
    </row>
    <row r="16" spans="1:14" x14ac:dyDescent="0.25">
      <c r="A16" s="55" t="s">
        <v>274</v>
      </c>
      <c r="B16" s="55">
        <v>2.2614000000000001</v>
      </c>
      <c r="C16" s="55">
        <v>2.1377000000000002</v>
      </c>
      <c r="D16" s="56">
        <f t="shared" si="6"/>
        <v>5.7865930673153345</v>
      </c>
      <c r="E16" s="59">
        <v>44361</v>
      </c>
      <c r="F16" s="57">
        <v>44393</v>
      </c>
      <c r="G16" s="55">
        <f t="shared" si="7"/>
        <v>32</v>
      </c>
      <c r="H16" s="55">
        <v>1.5293000000000001</v>
      </c>
      <c r="I16" s="55">
        <f t="shared" si="8"/>
        <v>0.60840000000000005</v>
      </c>
      <c r="J16" s="55">
        <v>1.3528</v>
      </c>
      <c r="K16" s="55">
        <v>0.1244</v>
      </c>
      <c r="L16" s="55">
        <v>6.1699999999999998E-2</v>
      </c>
      <c r="M16" s="58">
        <f t="shared" si="9"/>
        <v>1.9516000000000002</v>
      </c>
      <c r="N16" s="55">
        <f t="shared" si="10"/>
        <v>30.682516909202711</v>
      </c>
    </row>
    <row r="17" spans="2:14" x14ac:dyDescent="0.25">
      <c r="B17">
        <f>AVERAGE(B12:B16)</f>
        <v>2.2612800000000002</v>
      </c>
      <c r="C17">
        <f t="shared" ref="C17:D17" si="11">AVERAGE(C12:C16)</f>
        <v>2.13584</v>
      </c>
      <c r="D17">
        <f t="shared" si="11"/>
        <v>5.8731402282963625</v>
      </c>
      <c r="H17" s="7">
        <f>AVERAGE(H12:H16)</f>
        <v>1.5276200000000002</v>
      </c>
      <c r="I17" s="7">
        <f t="shared" ref="I17:N17" si="12">AVERAGE(I12:I16)</f>
        <v>0.60821999999999998</v>
      </c>
      <c r="J17" s="7">
        <f t="shared" si="12"/>
        <v>1.3514600000000001</v>
      </c>
      <c r="K17" s="7">
        <f t="shared" si="12"/>
        <v>0.12442</v>
      </c>
      <c r="L17" s="7">
        <f t="shared" si="12"/>
        <v>6.1659999999999993E-2</v>
      </c>
      <c r="M17" s="7">
        <f t="shared" si="12"/>
        <v>1.9497600000000002</v>
      </c>
      <c r="N17" s="7">
        <f t="shared" si="12"/>
        <v>30.685832872065781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7"/>
  <sheetViews>
    <sheetView topLeftCell="I1" zoomScale="80" zoomScaleNormal="80" zoomScaleSheetLayoutView="80" workbookViewId="0">
      <selection activeCell="G7" sqref="G7"/>
    </sheetView>
  </sheetViews>
  <sheetFormatPr baseColWidth="10" defaultColWidth="9.140625" defaultRowHeight="15" x14ac:dyDescent="0.25"/>
  <cols>
    <col min="1" max="1" width="11.28515625" customWidth="1"/>
    <col min="2" max="2" width="17" customWidth="1"/>
    <col min="3" max="4" width="11.28515625" customWidth="1"/>
    <col min="5" max="5" width="14.7109375" customWidth="1"/>
    <col min="6" max="6" width="12.140625" customWidth="1"/>
    <col min="7" max="7" width="19.42578125" customWidth="1"/>
    <col min="8" max="9" width="20.140625" customWidth="1"/>
    <col min="10" max="10" width="14.7109375" customWidth="1"/>
    <col min="11" max="11" width="12.7109375" customWidth="1"/>
    <col min="12" max="12" width="13.7109375" customWidth="1"/>
    <col min="13" max="13" width="15.140625" customWidth="1"/>
    <col min="14" max="14" width="13.85546875" customWidth="1"/>
    <col min="15" max="15" width="17.85546875" customWidth="1"/>
    <col min="16" max="16" width="14.28515625" customWidth="1"/>
    <col min="17" max="17" width="13.5703125" customWidth="1"/>
    <col min="18" max="18" width="13.28515625" customWidth="1"/>
    <col min="20" max="20" width="18.140625" customWidth="1"/>
    <col min="21" max="21" width="13.42578125" customWidth="1"/>
  </cols>
  <sheetData>
    <row r="1" spans="1:25" ht="60" x14ac:dyDescent="0.25">
      <c r="A1" t="s">
        <v>1</v>
      </c>
      <c r="B1" t="s">
        <v>39</v>
      </c>
      <c r="C1" t="s">
        <v>12</v>
      </c>
      <c r="D1" t="s">
        <v>13</v>
      </c>
      <c r="E1" t="s">
        <v>40</v>
      </c>
      <c r="F1" s="1" t="s">
        <v>0</v>
      </c>
      <c r="G1" s="2" t="s">
        <v>3</v>
      </c>
      <c r="H1" s="2" t="s">
        <v>11</v>
      </c>
      <c r="I1" s="2" t="s">
        <v>42</v>
      </c>
      <c r="J1" s="3" t="s">
        <v>2</v>
      </c>
      <c r="K1" s="1" t="s">
        <v>4</v>
      </c>
      <c r="L1" s="2" t="s">
        <v>5</v>
      </c>
      <c r="M1" s="3" t="s">
        <v>37</v>
      </c>
      <c r="N1" s="2" t="s">
        <v>6</v>
      </c>
      <c r="O1" s="3" t="s">
        <v>38</v>
      </c>
      <c r="P1" s="2" t="s">
        <v>7</v>
      </c>
      <c r="Q1" s="2" t="s">
        <v>8</v>
      </c>
      <c r="R1" s="2" t="s">
        <v>9</v>
      </c>
      <c r="S1" s="2" t="s">
        <v>10</v>
      </c>
      <c r="T1" s="51" t="s">
        <v>190</v>
      </c>
      <c r="U1" s="52" t="s">
        <v>191</v>
      </c>
      <c r="V1" s="52" t="s">
        <v>119</v>
      </c>
      <c r="W1" s="52" t="s">
        <v>192</v>
      </c>
      <c r="X1" s="52" t="s">
        <v>119</v>
      </c>
      <c r="Y1" s="52" t="s">
        <v>192</v>
      </c>
    </row>
    <row r="2" spans="1:25" x14ac:dyDescent="0.25">
      <c r="A2" s="27" t="s">
        <v>475</v>
      </c>
      <c r="B2" s="27" t="s">
        <v>327</v>
      </c>
      <c r="C2" s="27" t="s">
        <v>15</v>
      </c>
      <c r="D2" s="27" t="s">
        <v>17</v>
      </c>
      <c r="E2" s="27">
        <v>1</v>
      </c>
      <c r="F2" s="80" t="s">
        <v>332</v>
      </c>
      <c r="G2" s="27">
        <v>2.0470999999999999</v>
      </c>
      <c r="H2" s="30">
        <v>1.9349000000000001</v>
      </c>
      <c r="I2" s="28">
        <f t="shared" ref="I2:I48" si="0">((G2-H2)/H2)*100</f>
        <v>5.7987492893689518</v>
      </c>
      <c r="J2" s="54">
        <v>44452</v>
      </c>
      <c r="K2" s="29">
        <v>44515</v>
      </c>
      <c r="L2" s="27">
        <f t="shared" ref="L2:L48" si="1">K2-J2</f>
        <v>63</v>
      </c>
      <c r="M2" s="27">
        <v>0.34699999999999998</v>
      </c>
      <c r="N2" s="30">
        <f>H2-M2</f>
        <v>1.5879000000000001</v>
      </c>
      <c r="O2" s="27">
        <v>0.15970000000000001</v>
      </c>
      <c r="P2" s="27">
        <v>0.126</v>
      </c>
      <c r="Q2" s="27">
        <v>5.9799999999999999E-2</v>
      </c>
      <c r="R2" s="30">
        <f>H2-(P2+Q2)</f>
        <v>1.7491000000000001</v>
      </c>
      <c r="S2" s="27">
        <f>((R2-O2)/R2)*100</f>
        <v>90.869590074895669</v>
      </c>
      <c r="T2">
        <f>AVERAGE(O2:O8)</f>
        <v>0.26750000000000002</v>
      </c>
      <c r="U2" s="18">
        <f>(O2/R2)*100</f>
        <v>9.13040992510434</v>
      </c>
      <c r="V2" s="7">
        <f>AVERAGE(U2:U8)</f>
        <v>14.716467201815817</v>
      </c>
      <c r="W2">
        <f>STDEV(U2:U8)</f>
        <v>3.4105431298610718</v>
      </c>
      <c r="X2">
        <f>AVERAGE(S2:S8)</f>
        <v>85.283532798184197</v>
      </c>
      <c r="Y2">
        <f>STDEV(S2:S8)</f>
        <v>3.4105431298610842</v>
      </c>
    </row>
    <row r="3" spans="1:25" x14ac:dyDescent="0.25">
      <c r="A3" s="27" t="s">
        <v>475</v>
      </c>
      <c r="B3" s="27" t="s">
        <v>327</v>
      </c>
      <c r="C3" s="27" t="s">
        <v>15</v>
      </c>
      <c r="D3" s="27" t="s">
        <v>17</v>
      </c>
      <c r="E3" s="27">
        <v>2</v>
      </c>
      <c r="F3" s="80" t="s">
        <v>333</v>
      </c>
      <c r="G3" s="27">
        <v>2.0405000000000002</v>
      </c>
      <c r="H3" s="27">
        <v>1.9308000000000001</v>
      </c>
      <c r="I3" s="28">
        <f t="shared" si="0"/>
        <v>5.6815827636213037</v>
      </c>
      <c r="J3" s="54">
        <v>44452</v>
      </c>
      <c r="K3" s="29">
        <v>44515</v>
      </c>
      <c r="L3" s="27">
        <f t="shared" si="1"/>
        <v>63</v>
      </c>
      <c r="M3" s="27">
        <v>0.47660000000000002</v>
      </c>
      <c r="N3" s="30">
        <f t="shared" ref="N3:N48" si="2">H3-M3</f>
        <v>1.4542000000000002</v>
      </c>
      <c r="O3" s="27">
        <v>0.2848</v>
      </c>
      <c r="P3" s="27">
        <v>0.12939999999999999</v>
      </c>
      <c r="Q3" s="27">
        <v>6.1899999999999997E-2</v>
      </c>
      <c r="R3" s="30">
        <f t="shared" ref="R3:R48" si="3">H3-(P3+Q3)</f>
        <v>1.7395</v>
      </c>
      <c r="S3" s="27">
        <f t="shared" ref="S3:S48" si="4">((R3-O3)/R3)*100</f>
        <v>83.627479160678362</v>
      </c>
      <c r="U3" s="18">
        <f t="shared" ref="U3:U48" si="5">(O3/R3)*100</f>
        <v>16.372520839321645</v>
      </c>
    </row>
    <row r="4" spans="1:25" x14ac:dyDescent="0.25">
      <c r="A4" s="27" t="s">
        <v>475</v>
      </c>
      <c r="B4" s="27" t="s">
        <v>327</v>
      </c>
      <c r="C4" s="27" t="s">
        <v>15</v>
      </c>
      <c r="D4" s="27" t="s">
        <v>18</v>
      </c>
      <c r="E4" s="27">
        <v>1</v>
      </c>
      <c r="F4" s="80" t="s">
        <v>334</v>
      </c>
      <c r="G4" s="27">
        <v>2.1107</v>
      </c>
      <c r="H4" s="30">
        <v>1.9964999999999999</v>
      </c>
      <c r="I4" s="28">
        <f t="shared" si="0"/>
        <v>5.7200100175306829</v>
      </c>
      <c r="J4" s="54">
        <v>44452</v>
      </c>
      <c r="K4" s="29">
        <v>44515</v>
      </c>
      <c r="L4" s="27">
        <f t="shared" si="1"/>
        <v>63</v>
      </c>
      <c r="M4" s="27">
        <v>0.49299999999999999</v>
      </c>
      <c r="N4" s="30">
        <f t="shared" si="2"/>
        <v>1.5034999999999998</v>
      </c>
      <c r="O4" s="27">
        <v>0.30620000000000003</v>
      </c>
      <c r="P4" s="27">
        <v>0.1275</v>
      </c>
      <c r="Q4" s="27">
        <v>5.8099999999999999E-2</v>
      </c>
      <c r="R4" s="30">
        <f t="shared" si="3"/>
        <v>1.8109</v>
      </c>
      <c r="S4" s="27">
        <f t="shared" si="4"/>
        <v>83.091280578717758</v>
      </c>
      <c r="U4" s="18">
        <f t="shared" si="5"/>
        <v>16.908719421282235</v>
      </c>
    </row>
    <row r="5" spans="1:25" x14ac:dyDescent="0.25">
      <c r="A5" s="27" t="s">
        <v>475</v>
      </c>
      <c r="B5" s="27" t="s">
        <v>327</v>
      </c>
      <c r="C5" s="27" t="s">
        <v>15</v>
      </c>
      <c r="D5" s="27" t="s">
        <v>18</v>
      </c>
      <c r="E5" s="27">
        <v>2</v>
      </c>
      <c r="F5" s="80" t="s">
        <v>335</v>
      </c>
      <c r="G5" s="27">
        <v>2.1856</v>
      </c>
      <c r="H5" s="30">
        <v>2.0666000000000002</v>
      </c>
      <c r="I5" s="28">
        <f t="shared" si="0"/>
        <v>5.7582502661376056</v>
      </c>
      <c r="J5" s="54">
        <v>44452</v>
      </c>
      <c r="K5" s="29">
        <v>44515</v>
      </c>
      <c r="L5" s="27">
        <f t="shared" si="1"/>
        <v>63</v>
      </c>
      <c r="M5" s="27">
        <v>0.40379999999999999</v>
      </c>
      <c r="N5" s="30">
        <f t="shared" si="2"/>
        <v>1.6628000000000003</v>
      </c>
      <c r="O5" s="27">
        <v>0.2077</v>
      </c>
      <c r="P5" s="27">
        <v>0.13</v>
      </c>
      <c r="Q5" s="27">
        <v>6.3700000000000007E-2</v>
      </c>
      <c r="R5" s="30">
        <f t="shared" si="3"/>
        <v>1.8729000000000002</v>
      </c>
      <c r="S5" s="27">
        <f t="shared" si="4"/>
        <v>88.910246142346097</v>
      </c>
      <c r="U5" s="18">
        <f t="shared" si="5"/>
        <v>11.089753857653903</v>
      </c>
    </row>
    <row r="6" spans="1:25" x14ac:dyDescent="0.25">
      <c r="A6" s="27" t="s">
        <v>475</v>
      </c>
      <c r="B6" s="27" t="s">
        <v>327</v>
      </c>
      <c r="C6" s="27" t="s">
        <v>15</v>
      </c>
      <c r="D6" s="27" t="s">
        <v>19</v>
      </c>
      <c r="E6" s="27">
        <v>1</v>
      </c>
      <c r="F6" s="80" t="s">
        <v>336</v>
      </c>
      <c r="G6" s="27">
        <v>2.2118000000000002</v>
      </c>
      <c r="H6" s="27">
        <v>2.0905</v>
      </c>
      <c r="I6" s="28">
        <f t="shared" si="0"/>
        <v>5.802439607749351</v>
      </c>
      <c r="J6" s="54">
        <v>44452</v>
      </c>
      <c r="K6" s="29">
        <v>44515</v>
      </c>
      <c r="L6" s="27">
        <f t="shared" si="1"/>
        <v>63</v>
      </c>
      <c r="M6" s="27">
        <v>0.54449999999999998</v>
      </c>
      <c r="N6" s="30">
        <f t="shared" si="2"/>
        <v>1.546</v>
      </c>
      <c r="O6" s="27">
        <v>0.35820000000000002</v>
      </c>
      <c r="P6" s="27">
        <v>0.12790000000000001</v>
      </c>
      <c r="Q6" s="27">
        <v>5.8500000000000003E-2</v>
      </c>
      <c r="R6" s="30">
        <f t="shared" si="3"/>
        <v>1.9041000000000001</v>
      </c>
      <c r="S6" s="27">
        <f t="shared" si="4"/>
        <v>81.187962817078926</v>
      </c>
      <c r="U6" s="18">
        <f t="shared" si="5"/>
        <v>18.812037182921067</v>
      </c>
    </row>
    <row r="7" spans="1:25" x14ac:dyDescent="0.25">
      <c r="A7" s="27" t="s">
        <v>475</v>
      </c>
      <c r="B7" s="27" t="s">
        <v>327</v>
      </c>
      <c r="C7" s="27" t="s">
        <v>15</v>
      </c>
      <c r="D7" s="27" t="s">
        <v>19</v>
      </c>
      <c r="E7" s="27">
        <v>2</v>
      </c>
      <c r="F7" s="80" t="s">
        <v>337</v>
      </c>
      <c r="G7" s="27">
        <v>2.1457999999999999</v>
      </c>
      <c r="H7" s="30">
        <v>2.0282</v>
      </c>
      <c r="I7" s="28">
        <f t="shared" si="0"/>
        <v>5.7982447490385534</v>
      </c>
      <c r="J7" s="54">
        <v>44452</v>
      </c>
      <c r="K7" s="29">
        <v>44515</v>
      </c>
      <c r="L7" s="27">
        <f t="shared" si="1"/>
        <v>63</v>
      </c>
      <c r="M7" s="27">
        <v>0.47210000000000002</v>
      </c>
      <c r="N7" s="30">
        <f t="shared" si="2"/>
        <v>1.5561</v>
      </c>
      <c r="O7" s="27">
        <v>0.29039999999999999</v>
      </c>
      <c r="P7" s="27">
        <v>0.125</v>
      </c>
      <c r="Q7" s="27">
        <v>5.8500000000000003E-2</v>
      </c>
      <c r="R7" s="30">
        <f t="shared" si="3"/>
        <v>1.8447</v>
      </c>
      <c r="S7" s="27">
        <f t="shared" si="4"/>
        <v>84.257602862254018</v>
      </c>
      <c r="U7" s="18">
        <f t="shared" si="5"/>
        <v>15.742397137745975</v>
      </c>
    </row>
    <row r="8" spans="1:25" x14ac:dyDescent="0.25">
      <c r="A8" s="27" t="s">
        <v>475</v>
      </c>
      <c r="B8" s="27" t="s">
        <v>327</v>
      </c>
      <c r="C8" s="27" t="s">
        <v>15</v>
      </c>
      <c r="D8" s="27" t="s">
        <v>20</v>
      </c>
      <c r="E8" s="27">
        <v>2</v>
      </c>
      <c r="F8" s="80" t="s">
        <v>338</v>
      </c>
      <c r="G8" s="27">
        <v>2.0674000000000001</v>
      </c>
      <c r="H8" s="27">
        <v>1.9671000000000001</v>
      </c>
      <c r="I8" s="28">
        <f t="shared" si="0"/>
        <v>5.0988765187331637</v>
      </c>
      <c r="J8" s="54">
        <v>44452</v>
      </c>
      <c r="K8" s="29">
        <v>44515</v>
      </c>
      <c r="L8" s="27">
        <f t="shared" si="1"/>
        <v>63</v>
      </c>
      <c r="M8" s="27">
        <v>0.45800000000000002</v>
      </c>
      <c r="N8" s="30">
        <f t="shared" si="2"/>
        <v>1.5091000000000001</v>
      </c>
      <c r="O8" s="27">
        <v>0.26550000000000001</v>
      </c>
      <c r="P8" s="27">
        <v>0.13320000000000001</v>
      </c>
      <c r="Q8" s="27">
        <v>5.91E-2</v>
      </c>
      <c r="R8" s="30">
        <f t="shared" si="3"/>
        <v>1.7747999999999999</v>
      </c>
      <c r="S8" s="27">
        <f t="shared" si="4"/>
        <v>85.040567951318451</v>
      </c>
      <c r="U8" s="18">
        <f t="shared" si="5"/>
        <v>14.959432048681542</v>
      </c>
    </row>
    <row r="9" spans="1:25" x14ac:dyDescent="0.25">
      <c r="A9" s="31" t="s">
        <v>476</v>
      </c>
      <c r="B9" s="31" t="s">
        <v>328</v>
      </c>
      <c r="C9" s="31" t="s">
        <v>15</v>
      </c>
      <c r="D9" s="31" t="s">
        <v>17</v>
      </c>
      <c r="E9" s="31">
        <v>1</v>
      </c>
      <c r="F9" s="85" t="s">
        <v>339</v>
      </c>
      <c r="G9" s="31">
        <v>2.0924</v>
      </c>
      <c r="H9" s="31">
        <v>1.9664999999999999</v>
      </c>
      <c r="I9" s="32">
        <f t="shared" si="0"/>
        <v>6.4022374777523581</v>
      </c>
      <c r="J9" s="53">
        <v>44459</v>
      </c>
      <c r="K9" s="33">
        <v>44515</v>
      </c>
      <c r="L9" s="31">
        <f t="shared" si="1"/>
        <v>56</v>
      </c>
      <c r="M9" s="31">
        <v>0.4486</v>
      </c>
      <c r="N9" s="34">
        <f t="shared" si="2"/>
        <v>1.5179</v>
      </c>
      <c r="O9" s="31">
        <v>0.25569999999999998</v>
      </c>
      <c r="P9" s="31">
        <v>0.1288</v>
      </c>
      <c r="Q9" s="31">
        <v>6.4399999999999999E-2</v>
      </c>
      <c r="R9" s="34">
        <f t="shared" si="3"/>
        <v>1.7732999999999999</v>
      </c>
      <c r="S9" s="31">
        <f t="shared" si="4"/>
        <v>85.580556025489201</v>
      </c>
      <c r="T9">
        <f>AVERAGE(O9:O16)</f>
        <v>0.27190000000000003</v>
      </c>
      <c r="U9" s="18">
        <f t="shared" si="5"/>
        <v>14.419443974510799</v>
      </c>
      <c r="V9" s="7">
        <f>AVERAGE(U9:U16)</f>
        <v>15.385386024849502</v>
      </c>
      <c r="W9">
        <f>STDEV(U9:U16)</f>
        <v>1.4175592157974137</v>
      </c>
      <c r="X9">
        <f>AVERAGE(S9:S16)</f>
        <v>84.61461397515049</v>
      </c>
      <c r="Y9">
        <f>STDEV(S9:S16)</f>
        <v>1.4175592157974115</v>
      </c>
    </row>
    <row r="10" spans="1:25" x14ac:dyDescent="0.25">
      <c r="A10" s="31" t="s">
        <v>476</v>
      </c>
      <c r="B10" s="31" t="s">
        <v>328</v>
      </c>
      <c r="C10" s="31" t="s">
        <v>15</v>
      </c>
      <c r="D10" s="31" t="s">
        <v>17</v>
      </c>
      <c r="E10" s="31">
        <v>2</v>
      </c>
      <c r="F10" s="85" t="s">
        <v>340</v>
      </c>
      <c r="G10" s="31">
        <v>2.0169000000000001</v>
      </c>
      <c r="H10" s="31">
        <v>1.8947000000000001</v>
      </c>
      <c r="I10" s="32">
        <f t="shared" si="0"/>
        <v>6.4495698527471417</v>
      </c>
      <c r="J10" s="53">
        <v>44459</v>
      </c>
      <c r="K10" s="33">
        <v>44515</v>
      </c>
      <c r="L10" s="31">
        <f t="shared" si="1"/>
        <v>56</v>
      </c>
      <c r="M10" s="31">
        <v>0.45490000000000003</v>
      </c>
      <c r="N10" s="34">
        <f t="shared" si="2"/>
        <v>1.4398</v>
      </c>
      <c r="O10" s="31">
        <v>0.26229999999999998</v>
      </c>
      <c r="P10" s="31">
        <v>0.12859999999999999</v>
      </c>
      <c r="Q10" s="31">
        <v>6.6299999999999998E-2</v>
      </c>
      <c r="R10" s="34">
        <f t="shared" si="3"/>
        <v>1.6998</v>
      </c>
      <c r="S10" s="31">
        <f t="shared" si="4"/>
        <v>84.568772796799635</v>
      </c>
      <c r="U10" s="18">
        <f t="shared" si="5"/>
        <v>15.431227203200375</v>
      </c>
    </row>
    <row r="11" spans="1:25" x14ac:dyDescent="0.25">
      <c r="A11" s="31" t="s">
        <v>476</v>
      </c>
      <c r="B11" s="31" t="s">
        <v>328</v>
      </c>
      <c r="C11" s="31" t="s">
        <v>15</v>
      </c>
      <c r="D11" s="31" t="s">
        <v>18</v>
      </c>
      <c r="E11" s="31">
        <v>1</v>
      </c>
      <c r="F11" s="85" t="s">
        <v>341</v>
      </c>
      <c r="G11" s="31">
        <v>2.0728</v>
      </c>
      <c r="H11" s="34">
        <v>1.9502999999999999</v>
      </c>
      <c r="I11" s="32">
        <f t="shared" si="0"/>
        <v>6.28108496128801</v>
      </c>
      <c r="J11" s="53">
        <v>44459</v>
      </c>
      <c r="K11" s="33">
        <v>44515</v>
      </c>
      <c r="L11" s="31">
        <f t="shared" si="1"/>
        <v>56</v>
      </c>
      <c r="M11" s="31">
        <v>0.44900000000000001</v>
      </c>
      <c r="N11" s="34">
        <f t="shared" si="2"/>
        <v>1.5012999999999999</v>
      </c>
      <c r="O11" s="31">
        <v>0.25219999999999998</v>
      </c>
      <c r="P11" s="31">
        <v>0.1361</v>
      </c>
      <c r="Q11" s="34">
        <v>6.5600000000000006E-2</v>
      </c>
      <c r="R11" s="34">
        <f t="shared" si="3"/>
        <v>1.7485999999999999</v>
      </c>
      <c r="S11" s="31">
        <f t="shared" si="4"/>
        <v>85.577033055015434</v>
      </c>
      <c r="U11" s="18">
        <f t="shared" si="5"/>
        <v>14.422966944984559</v>
      </c>
    </row>
    <row r="12" spans="1:25" x14ac:dyDescent="0.25">
      <c r="A12" s="31" t="s">
        <v>476</v>
      </c>
      <c r="B12" s="31" t="s">
        <v>328</v>
      </c>
      <c r="C12" s="31" t="s">
        <v>15</v>
      </c>
      <c r="D12" s="31" t="s">
        <v>18</v>
      </c>
      <c r="E12" s="31">
        <v>2</v>
      </c>
      <c r="F12" s="85" t="s">
        <v>342</v>
      </c>
      <c r="G12" s="31">
        <v>2.944</v>
      </c>
      <c r="H12" s="31">
        <v>1.8281000000000001</v>
      </c>
      <c r="I12" s="32">
        <f t="shared" si="0"/>
        <v>61.041518516492523</v>
      </c>
      <c r="J12" s="53">
        <v>44459</v>
      </c>
      <c r="K12" s="33">
        <v>44515</v>
      </c>
      <c r="L12" s="31">
        <f t="shared" si="1"/>
        <v>56</v>
      </c>
      <c r="M12" s="31">
        <v>0.45800000000000002</v>
      </c>
      <c r="N12" s="34">
        <f t="shared" si="2"/>
        <v>1.3701000000000001</v>
      </c>
      <c r="O12" s="31">
        <v>0.26229999999999998</v>
      </c>
      <c r="P12" s="31">
        <v>0.13</v>
      </c>
      <c r="Q12" s="31">
        <v>6.5699999999999995E-2</v>
      </c>
      <c r="R12" s="34">
        <f t="shared" si="3"/>
        <v>1.6324000000000001</v>
      </c>
      <c r="S12" s="31">
        <f t="shared" si="4"/>
        <v>83.931634403332524</v>
      </c>
      <c r="U12" s="18">
        <f t="shared" si="5"/>
        <v>16.06836559666748</v>
      </c>
    </row>
    <row r="13" spans="1:25" x14ac:dyDescent="0.25">
      <c r="A13" s="31" t="s">
        <v>476</v>
      </c>
      <c r="B13" s="31" t="s">
        <v>328</v>
      </c>
      <c r="C13" s="31" t="s">
        <v>15</v>
      </c>
      <c r="D13" s="31" t="s">
        <v>19</v>
      </c>
      <c r="E13" s="31">
        <v>1</v>
      </c>
      <c r="F13" s="85" t="s">
        <v>343</v>
      </c>
      <c r="G13" s="34">
        <v>2.2480000000000002</v>
      </c>
      <c r="H13" s="31">
        <v>2.1091000000000002</v>
      </c>
      <c r="I13" s="32">
        <f t="shared" si="0"/>
        <v>6.5857474752264</v>
      </c>
      <c r="J13" s="53">
        <v>44459</v>
      </c>
      <c r="K13" s="33">
        <v>44515</v>
      </c>
      <c r="L13" s="31">
        <f t="shared" si="1"/>
        <v>56</v>
      </c>
      <c r="M13" s="31">
        <v>0.45929999999999999</v>
      </c>
      <c r="N13" s="34">
        <f t="shared" si="2"/>
        <v>1.6498000000000002</v>
      </c>
      <c r="O13" s="31">
        <v>0.2611</v>
      </c>
      <c r="P13" s="31">
        <v>0.1331</v>
      </c>
      <c r="Q13" s="31">
        <v>6.6100000000000006E-2</v>
      </c>
      <c r="R13" s="34">
        <f t="shared" si="3"/>
        <v>1.9099000000000002</v>
      </c>
      <c r="S13" s="31">
        <f t="shared" si="4"/>
        <v>86.32912717943347</v>
      </c>
      <c r="U13" s="18">
        <f t="shared" si="5"/>
        <v>13.670872820566521</v>
      </c>
    </row>
    <row r="14" spans="1:25" x14ac:dyDescent="0.25">
      <c r="A14" s="31" t="s">
        <v>476</v>
      </c>
      <c r="B14" s="31" t="s">
        <v>328</v>
      </c>
      <c r="C14" s="31" t="s">
        <v>15</v>
      </c>
      <c r="D14" s="31" t="s">
        <v>19</v>
      </c>
      <c r="E14" s="31">
        <v>2</v>
      </c>
      <c r="F14" s="85" t="s">
        <v>344</v>
      </c>
      <c r="G14" s="31">
        <v>2.1459000000000001</v>
      </c>
      <c r="H14" s="31">
        <v>2.0144000000000002</v>
      </c>
      <c r="I14" s="32">
        <f t="shared" si="0"/>
        <v>6.527998411437645</v>
      </c>
      <c r="J14" s="53">
        <v>44459</v>
      </c>
      <c r="K14" s="33">
        <v>44515</v>
      </c>
      <c r="L14" s="31">
        <f t="shared" si="1"/>
        <v>56</v>
      </c>
      <c r="M14" s="31">
        <v>0.52569999999999995</v>
      </c>
      <c r="N14" s="34">
        <f t="shared" si="2"/>
        <v>1.4887000000000001</v>
      </c>
      <c r="O14" s="31">
        <v>0.33339999999999997</v>
      </c>
      <c r="P14" s="31">
        <v>0.12989999999999999</v>
      </c>
      <c r="Q14" s="31">
        <v>6.25E-2</v>
      </c>
      <c r="R14" s="34">
        <f t="shared" si="3"/>
        <v>1.8220000000000003</v>
      </c>
      <c r="S14" s="31">
        <f t="shared" si="4"/>
        <v>81.701427003293091</v>
      </c>
      <c r="U14" s="18">
        <f t="shared" si="5"/>
        <v>18.298572996706909</v>
      </c>
    </row>
    <row r="15" spans="1:25" x14ac:dyDescent="0.25">
      <c r="A15" s="31" t="s">
        <v>476</v>
      </c>
      <c r="B15" s="31" t="s">
        <v>328</v>
      </c>
      <c r="C15" s="31" t="s">
        <v>15</v>
      </c>
      <c r="D15" s="31" t="s">
        <v>20</v>
      </c>
      <c r="E15" s="31">
        <v>1</v>
      </c>
      <c r="F15" s="85" t="s">
        <v>345</v>
      </c>
      <c r="G15" s="31">
        <v>2.0981999999999998</v>
      </c>
      <c r="H15" s="31">
        <v>1.9737</v>
      </c>
      <c r="I15" s="32">
        <f t="shared" si="0"/>
        <v>6.3079495364037008</v>
      </c>
      <c r="J15" s="53">
        <v>44459</v>
      </c>
      <c r="K15" s="33">
        <v>44515</v>
      </c>
      <c r="L15" s="31">
        <f t="shared" si="1"/>
        <v>56</v>
      </c>
      <c r="M15" s="31">
        <v>0.46479999999999999</v>
      </c>
      <c r="N15" s="34">
        <f t="shared" si="2"/>
        <v>1.5089000000000001</v>
      </c>
      <c r="O15" s="31">
        <v>0.26579999999999998</v>
      </c>
      <c r="P15" s="31">
        <v>0.1368</v>
      </c>
      <c r="Q15" s="31">
        <v>6.3799999999999996E-2</v>
      </c>
      <c r="R15" s="34">
        <f t="shared" si="3"/>
        <v>1.7730999999999999</v>
      </c>
      <c r="S15" s="31">
        <f t="shared" si="4"/>
        <v>85.009305735717106</v>
      </c>
      <c r="U15" s="18">
        <f t="shared" si="5"/>
        <v>14.990694264282894</v>
      </c>
    </row>
    <row r="16" spans="1:25" x14ac:dyDescent="0.25">
      <c r="A16" s="31" t="s">
        <v>476</v>
      </c>
      <c r="B16" s="31" t="s">
        <v>328</v>
      </c>
      <c r="C16" s="31" t="s">
        <v>15</v>
      </c>
      <c r="D16" s="31" t="s">
        <v>20</v>
      </c>
      <c r="E16" s="31">
        <v>2</v>
      </c>
      <c r="F16" s="85" t="s">
        <v>346</v>
      </c>
      <c r="G16" s="31">
        <v>2.1158999999999999</v>
      </c>
      <c r="H16" s="31">
        <v>1.9907999999999999</v>
      </c>
      <c r="I16" s="32">
        <f t="shared" si="0"/>
        <v>6.2839059674502709</v>
      </c>
      <c r="J16" s="53">
        <v>44459</v>
      </c>
      <c r="K16" s="33">
        <v>44515</v>
      </c>
      <c r="L16" s="31">
        <f t="shared" si="1"/>
        <v>56</v>
      </c>
      <c r="M16" s="31">
        <v>0.48209999999999997</v>
      </c>
      <c r="N16" s="34">
        <f t="shared" si="2"/>
        <v>1.5086999999999999</v>
      </c>
      <c r="O16" s="31">
        <v>0.28239999999999998</v>
      </c>
      <c r="P16" s="31">
        <v>0.13619999999999999</v>
      </c>
      <c r="Q16" s="31">
        <v>6.5100000000000005E-2</v>
      </c>
      <c r="R16" s="34">
        <f t="shared" si="3"/>
        <v>1.7894999999999999</v>
      </c>
      <c r="S16" s="31">
        <f t="shared" si="4"/>
        <v>84.21905560212349</v>
      </c>
      <c r="U16" s="18">
        <f t="shared" si="5"/>
        <v>15.780944397876501</v>
      </c>
    </row>
    <row r="17" spans="1:25" x14ac:dyDescent="0.25">
      <c r="A17" s="39" t="s">
        <v>478</v>
      </c>
      <c r="B17" s="39" t="s">
        <v>329</v>
      </c>
      <c r="C17" s="39" t="s">
        <v>15</v>
      </c>
      <c r="D17" s="39" t="s">
        <v>17</v>
      </c>
      <c r="E17" s="39">
        <v>1</v>
      </c>
      <c r="F17" s="81" t="s">
        <v>347</v>
      </c>
      <c r="G17" s="39">
        <v>2.1448999999999998</v>
      </c>
      <c r="H17" s="39">
        <v>2.0246</v>
      </c>
      <c r="I17" s="40">
        <f t="shared" si="0"/>
        <v>5.9419144522374721</v>
      </c>
      <c r="J17" s="53">
        <v>44466</v>
      </c>
      <c r="K17" s="41">
        <v>44524</v>
      </c>
      <c r="L17" s="39">
        <f t="shared" si="1"/>
        <v>58</v>
      </c>
      <c r="M17" s="39">
        <v>0.49869999999999998</v>
      </c>
      <c r="N17" s="42">
        <f t="shared" si="2"/>
        <v>1.5259</v>
      </c>
      <c r="O17" s="39">
        <v>0.30320000000000003</v>
      </c>
      <c r="P17" s="39">
        <v>0.13689999999999999</v>
      </c>
      <c r="Q17" s="39">
        <v>5.6099999999999997E-2</v>
      </c>
      <c r="R17" s="42">
        <f t="shared" si="3"/>
        <v>1.8315999999999999</v>
      </c>
      <c r="S17" s="39">
        <f t="shared" si="4"/>
        <v>83.446167285433503</v>
      </c>
      <c r="T17">
        <f>AVERAGE(O17:O24)</f>
        <v>0.30076250000000004</v>
      </c>
      <c r="U17" s="18">
        <f t="shared" si="5"/>
        <v>16.553832714566504</v>
      </c>
      <c r="V17" s="7">
        <f>AVERAGE(U17:U24)</f>
        <v>16.811042581473256</v>
      </c>
      <c r="W17">
        <f>STDEV(U17:U24)</f>
        <v>1.3388205742184733</v>
      </c>
      <c r="X17">
        <f>AVERAGE(S17:S24)</f>
        <v>83.188957418526755</v>
      </c>
      <c r="Y17">
        <f>STDEV(S17:S24)</f>
        <v>1.3388205742184751</v>
      </c>
    </row>
    <row r="18" spans="1:25" x14ac:dyDescent="0.25">
      <c r="A18" s="39" t="s">
        <v>478</v>
      </c>
      <c r="B18" s="39" t="s">
        <v>329</v>
      </c>
      <c r="C18" s="39" t="s">
        <v>15</v>
      </c>
      <c r="D18" s="39" t="s">
        <v>17</v>
      </c>
      <c r="E18" s="39">
        <v>2</v>
      </c>
      <c r="F18" s="81" t="s">
        <v>348</v>
      </c>
      <c r="G18" s="39">
        <v>2.1335000000000002</v>
      </c>
      <c r="H18" s="39">
        <v>2.0158</v>
      </c>
      <c r="I18" s="40">
        <f t="shared" si="0"/>
        <v>5.8388729040579488</v>
      </c>
      <c r="J18" s="53">
        <v>44466</v>
      </c>
      <c r="K18" s="41">
        <v>44524</v>
      </c>
      <c r="L18" s="39">
        <f t="shared" si="1"/>
        <v>58</v>
      </c>
      <c r="M18" s="39">
        <v>0.4486</v>
      </c>
      <c r="N18" s="42">
        <f t="shared" si="2"/>
        <v>1.5672000000000001</v>
      </c>
      <c r="O18" s="39">
        <v>0.26450000000000001</v>
      </c>
      <c r="P18" s="39">
        <v>0.12839999999999999</v>
      </c>
      <c r="Q18" s="39">
        <v>5.4899999999999997E-2</v>
      </c>
      <c r="R18" s="42">
        <f t="shared" si="3"/>
        <v>1.8325</v>
      </c>
      <c r="S18" s="39">
        <f t="shared" si="4"/>
        <v>85.566166439290598</v>
      </c>
      <c r="U18" s="18">
        <f t="shared" si="5"/>
        <v>14.433833560709413</v>
      </c>
    </row>
    <row r="19" spans="1:25" x14ac:dyDescent="0.25">
      <c r="A19" s="39" t="s">
        <v>478</v>
      </c>
      <c r="B19" s="39" t="s">
        <v>329</v>
      </c>
      <c r="C19" s="39" t="s">
        <v>15</v>
      </c>
      <c r="D19" s="39" t="s">
        <v>18</v>
      </c>
      <c r="E19" s="39">
        <v>1</v>
      </c>
      <c r="F19" s="81" t="s">
        <v>349</v>
      </c>
      <c r="G19" s="39">
        <v>2.0569999999999999</v>
      </c>
      <c r="H19" s="39">
        <v>1.962</v>
      </c>
      <c r="I19" s="40">
        <f t="shared" si="0"/>
        <v>4.8419979612640152</v>
      </c>
      <c r="J19" s="53">
        <v>44466</v>
      </c>
      <c r="K19" s="41">
        <v>44524</v>
      </c>
      <c r="L19" s="39">
        <f t="shared" si="1"/>
        <v>58</v>
      </c>
      <c r="M19" s="39">
        <v>0.49299999999999999</v>
      </c>
      <c r="N19" s="42">
        <f t="shared" si="2"/>
        <v>1.4689999999999999</v>
      </c>
      <c r="O19" s="39">
        <v>0.30259999999999998</v>
      </c>
      <c r="P19" s="39">
        <v>0.1331</v>
      </c>
      <c r="Q19" s="39">
        <v>5.6000000000000001E-2</v>
      </c>
      <c r="R19" s="42">
        <f t="shared" si="3"/>
        <v>1.7728999999999999</v>
      </c>
      <c r="S19" s="39">
        <f t="shared" si="4"/>
        <v>82.931919454001928</v>
      </c>
      <c r="U19" s="18">
        <f t="shared" si="5"/>
        <v>17.068080545998082</v>
      </c>
    </row>
    <row r="20" spans="1:25" x14ac:dyDescent="0.25">
      <c r="A20" s="39" t="s">
        <v>478</v>
      </c>
      <c r="B20" s="39" t="s">
        <v>329</v>
      </c>
      <c r="C20" s="39" t="s">
        <v>15</v>
      </c>
      <c r="D20" s="39" t="s">
        <v>18</v>
      </c>
      <c r="E20" s="39">
        <v>2</v>
      </c>
      <c r="F20" s="81" t="s">
        <v>350</v>
      </c>
      <c r="G20" s="39">
        <v>2.1758999999999999</v>
      </c>
      <c r="H20" s="39">
        <v>2.0543</v>
      </c>
      <c r="I20" s="40">
        <f t="shared" si="0"/>
        <v>5.9192912427590869</v>
      </c>
      <c r="J20" s="53">
        <v>44466</v>
      </c>
      <c r="K20" s="41">
        <v>44524</v>
      </c>
      <c r="L20" s="39">
        <f t="shared" si="1"/>
        <v>58</v>
      </c>
      <c r="M20" s="39">
        <v>0.50129999999999997</v>
      </c>
      <c r="N20" s="42">
        <f t="shared" si="2"/>
        <v>1.5529999999999999</v>
      </c>
      <c r="O20" s="39">
        <v>0.3085</v>
      </c>
      <c r="P20" s="39">
        <v>0.1298</v>
      </c>
      <c r="Q20" s="39">
        <v>5.7500000000000002E-2</v>
      </c>
      <c r="R20" s="42">
        <f t="shared" si="3"/>
        <v>1.867</v>
      </c>
      <c r="S20" s="39">
        <f t="shared" si="4"/>
        <v>83.476164970540978</v>
      </c>
      <c r="U20" s="18">
        <f t="shared" si="5"/>
        <v>16.523835029459025</v>
      </c>
    </row>
    <row r="21" spans="1:25" x14ac:dyDescent="0.25">
      <c r="A21" s="39" t="s">
        <v>478</v>
      </c>
      <c r="B21" s="39" t="s">
        <v>329</v>
      </c>
      <c r="C21" s="39" t="s">
        <v>15</v>
      </c>
      <c r="D21" s="39" t="s">
        <v>19</v>
      </c>
      <c r="E21" s="39">
        <v>1</v>
      </c>
      <c r="F21" s="81" t="s">
        <v>351</v>
      </c>
      <c r="G21" s="39">
        <v>2.0318999999999998</v>
      </c>
      <c r="H21" s="39">
        <v>1.9429000000000001</v>
      </c>
      <c r="I21" s="40">
        <f t="shared" si="0"/>
        <v>4.5807813062947016</v>
      </c>
      <c r="J21" s="53">
        <v>44466</v>
      </c>
      <c r="K21" s="41">
        <v>44524</v>
      </c>
      <c r="L21" s="39">
        <f t="shared" si="1"/>
        <v>58</v>
      </c>
      <c r="M21" s="39">
        <v>0.49280000000000002</v>
      </c>
      <c r="N21" s="42">
        <f t="shared" si="2"/>
        <v>1.4500999999999999</v>
      </c>
      <c r="O21" s="39">
        <v>0.28560000000000002</v>
      </c>
      <c r="P21" s="39">
        <v>0.14330000000000001</v>
      </c>
      <c r="Q21" s="39">
        <v>5.9400000000000001E-2</v>
      </c>
      <c r="R21" s="42">
        <f t="shared" si="3"/>
        <v>1.7402</v>
      </c>
      <c r="S21" s="39">
        <f t="shared" si="4"/>
        <v>83.588093322606596</v>
      </c>
      <c r="U21" s="18">
        <f t="shared" si="5"/>
        <v>16.411906677393404</v>
      </c>
    </row>
    <row r="22" spans="1:25" x14ac:dyDescent="0.25">
      <c r="A22" s="39" t="s">
        <v>478</v>
      </c>
      <c r="B22" s="39" t="s">
        <v>329</v>
      </c>
      <c r="C22" s="39" t="s">
        <v>15</v>
      </c>
      <c r="D22" s="39" t="s">
        <v>19</v>
      </c>
      <c r="E22" s="39">
        <v>2</v>
      </c>
      <c r="F22" s="81" t="s">
        <v>352</v>
      </c>
      <c r="G22" s="39">
        <v>2.0882000000000001</v>
      </c>
      <c r="H22" s="39">
        <v>1.9973000000000001</v>
      </c>
      <c r="I22" s="40">
        <f t="shared" si="0"/>
        <v>4.5511440444600195</v>
      </c>
      <c r="J22" s="53">
        <v>44466</v>
      </c>
      <c r="K22" s="41">
        <v>44524</v>
      </c>
      <c r="L22" s="39">
        <f t="shared" si="1"/>
        <v>58</v>
      </c>
      <c r="M22" s="39">
        <v>0.54610000000000003</v>
      </c>
      <c r="N22" s="42">
        <f t="shared" si="2"/>
        <v>1.4512</v>
      </c>
      <c r="O22" s="39">
        <v>0.3483</v>
      </c>
      <c r="P22" s="39">
        <v>0.1371</v>
      </c>
      <c r="Q22" s="39">
        <v>5.8500000000000003E-2</v>
      </c>
      <c r="R22" s="42">
        <f t="shared" si="3"/>
        <v>1.8017000000000001</v>
      </c>
      <c r="S22" s="39">
        <f t="shared" si="4"/>
        <v>80.66825775656325</v>
      </c>
      <c r="U22" s="18">
        <f t="shared" si="5"/>
        <v>19.331742243436754</v>
      </c>
    </row>
    <row r="23" spans="1:25" x14ac:dyDescent="0.25">
      <c r="A23" s="39" t="s">
        <v>478</v>
      </c>
      <c r="B23" s="39" t="s">
        <v>329</v>
      </c>
      <c r="C23" s="39" t="s">
        <v>15</v>
      </c>
      <c r="D23" s="39" t="s">
        <v>20</v>
      </c>
      <c r="E23" s="39">
        <v>1</v>
      </c>
      <c r="F23" s="81" t="s">
        <v>353</v>
      </c>
      <c r="G23" s="39">
        <v>2.0363000000000002</v>
      </c>
      <c r="H23" s="39">
        <v>1.9273</v>
      </c>
      <c r="I23" s="40">
        <f t="shared" si="0"/>
        <v>5.6555803455611589</v>
      </c>
      <c r="J23" s="53">
        <v>44466</v>
      </c>
      <c r="K23" s="41">
        <v>44524</v>
      </c>
      <c r="L23" s="39">
        <f t="shared" si="1"/>
        <v>58</v>
      </c>
      <c r="M23" s="39">
        <v>0.49740000000000001</v>
      </c>
      <c r="N23" s="42">
        <f t="shared" si="2"/>
        <v>1.4298999999999999</v>
      </c>
      <c r="O23" s="39">
        <v>0.29730000000000001</v>
      </c>
      <c r="P23" s="39">
        <v>0.13730000000000001</v>
      </c>
      <c r="Q23" s="39">
        <v>5.9900000000000002E-2</v>
      </c>
      <c r="R23" s="42">
        <f t="shared" si="3"/>
        <v>1.7301</v>
      </c>
      <c r="S23" s="39">
        <f t="shared" si="4"/>
        <v>82.81602219524882</v>
      </c>
      <c r="U23" s="18">
        <f t="shared" si="5"/>
        <v>17.183977804751173</v>
      </c>
    </row>
    <row r="24" spans="1:25" x14ac:dyDescent="0.25">
      <c r="A24" s="39" t="s">
        <v>478</v>
      </c>
      <c r="B24" s="39" t="s">
        <v>329</v>
      </c>
      <c r="C24" s="39" t="s">
        <v>15</v>
      </c>
      <c r="D24" s="39" t="s">
        <v>20</v>
      </c>
      <c r="E24" s="39">
        <v>2</v>
      </c>
      <c r="F24" s="81" t="s">
        <v>354</v>
      </c>
      <c r="G24" s="39">
        <v>2.0531000000000001</v>
      </c>
      <c r="H24" s="39">
        <v>1.9374</v>
      </c>
      <c r="I24" s="40">
        <f t="shared" si="0"/>
        <v>5.9719211314132412</v>
      </c>
      <c r="J24" s="53">
        <v>44466</v>
      </c>
      <c r="K24" s="41">
        <v>44524</v>
      </c>
      <c r="L24" s="39">
        <f t="shared" si="1"/>
        <v>58</v>
      </c>
      <c r="M24" s="39">
        <v>0.49490000000000001</v>
      </c>
      <c r="N24" s="42">
        <f t="shared" si="2"/>
        <v>1.4424999999999999</v>
      </c>
      <c r="O24" s="39">
        <v>0.29609999999999997</v>
      </c>
      <c r="P24" s="39">
        <v>0.13980000000000001</v>
      </c>
      <c r="Q24" s="39">
        <v>5.3900000000000003E-2</v>
      </c>
      <c r="R24" s="42">
        <f t="shared" si="3"/>
        <v>1.7437</v>
      </c>
      <c r="S24" s="39">
        <f t="shared" si="4"/>
        <v>83.018867924528308</v>
      </c>
      <c r="U24" s="18">
        <f t="shared" si="5"/>
        <v>16.981132075471699</v>
      </c>
    </row>
    <row r="25" spans="1:25" x14ac:dyDescent="0.25">
      <c r="A25" s="43" t="s">
        <v>477</v>
      </c>
      <c r="B25" s="43" t="s">
        <v>330</v>
      </c>
      <c r="C25" s="43" t="s">
        <v>15</v>
      </c>
      <c r="D25" s="43" t="s">
        <v>17</v>
      </c>
      <c r="E25" s="43">
        <v>1</v>
      </c>
      <c r="F25" s="82" t="s">
        <v>355</v>
      </c>
      <c r="G25" s="43">
        <v>2.1160999999999999</v>
      </c>
      <c r="H25" s="43">
        <v>1.9941</v>
      </c>
      <c r="I25" s="44">
        <f t="shared" si="0"/>
        <v>6.1180482423148232</v>
      </c>
      <c r="J25" s="53">
        <v>44473</v>
      </c>
      <c r="K25" s="45">
        <v>44524</v>
      </c>
      <c r="L25" s="43">
        <f t="shared" si="1"/>
        <v>51</v>
      </c>
      <c r="M25" s="43">
        <v>0.53820000000000001</v>
      </c>
      <c r="N25" s="46">
        <f t="shared" si="2"/>
        <v>1.4559</v>
      </c>
      <c r="O25" s="43">
        <v>0.3377</v>
      </c>
      <c r="P25" s="43">
        <v>0.13389999999999999</v>
      </c>
      <c r="Q25" s="43">
        <v>6.7699999999999996E-2</v>
      </c>
      <c r="R25" s="46">
        <f t="shared" si="3"/>
        <v>1.7925</v>
      </c>
      <c r="S25" s="43">
        <f t="shared" si="4"/>
        <v>81.160390516039058</v>
      </c>
      <c r="T25">
        <f>AVERAGE(O25:O32)</f>
        <v>0.33166249999999997</v>
      </c>
      <c r="U25" s="18">
        <f t="shared" si="5"/>
        <v>18.839609483960949</v>
      </c>
      <c r="V25" s="7">
        <f>AVERAGE(U25:U32)</f>
        <v>18.507537738716245</v>
      </c>
      <c r="W25">
        <f>STDEV(U25:U32)</f>
        <v>1.5923226352742079</v>
      </c>
      <c r="X25">
        <f>AVERAGE(S25:S32)</f>
        <v>81.492462261283762</v>
      </c>
      <c r="Y25">
        <f>STDEV(S25:S32)</f>
        <v>1.5923226352742079</v>
      </c>
    </row>
    <row r="26" spans="1:25" x14ac:dyDescent="0.25">
      <c r="A26" s="43" t="s">
        <v>477</v>
      </c>
      <c r="B26" s="43" t="s">
        <v>330</v>
      </c>
      <c r="C26" s="43" t="s">
        <v>15</v>
      </c>
      <c r="D26" s="43" t="s">
        <v>17</v>
      </c>
      <c r="E26" s="43">
        <v>2</v>
      </c>
      <c r="F26" s="82" t="s">
        <v>356</v>
      </c>
      <c r="G26" s="43">
        <v>2.1364999999999998</v>
      </c>
      <c r="H26" s="43">
        <v>2.0085000000000002</v>
      </c>
      <c r="I26" s="44">
        <f t="shared" si="0"/>
        <v>6.3729151107791715</v>
      </c>
      <c r="J26" s="53">
        <v>44473</v>
      </c>
      <c r="K26" s="45">
        <v>44524</v>
      </c>
      <c r="L26" s="43">
        <f t="shared" si="1"/>
        <v>51</v>
      </c>
      <c r="M26" s="43">
        <v>0.51329999999999998</v>
      </c>
      <c r="N26" s="46">
        <f t="shared" si="2"/>
        <v>1.4952000000000001</v>
      </c>
      <c r="O26" s="43">
        <v>0.31230000000000002</v>
      </c>
      <c r="P26" s="43">
        <v>0.1338</v>
      </c>
      <c r="Q26" s="43">
        <v>6.4899999999999999E-2</v>
      </c>
      <c r="R26" s="46">
        <f t="shared" si="3"/>
        <v>1.8098000000000001</v>
      </c>
      <c r="S26" s="43">
        <f t="shared" si="4"/>
        <v>82.743949607691462</v>
      </c>
      <c r="U26" s="18">
        <f t="shared" si="5"/>
        <v>17.256050392308541</v>
      </c>
    </row>
    <row r="27" spans="1:25" x14ac:dyDescent="0.25">
      <c r="A27" s="43" t="s">
        <v>477</v>
      </c>
      <c r="B27" s="43" t="s">
        <v>330</v>
      </c>
      <c r="C27" s="43" t="s">
        <v>15</v>
      </c>
      <c r="D27" s="43" t="s">
        <v>18</v>
      </c>
      <c r="E27" s="43">
        <v>1</v>
      </c>
      <c r="F27" s="82" t="s">
        <v>357</v>
      </c>
      <c r="G27" s="43">
        <v>2.1953</v>
      </c>
      <c r="H27" s="43">
        <v>2.0680000000000001</v>
      </c>
      <c r="I27" s="44">
        <f t="shared" si="0"/>
        <v>6.1557059961315259</v>
      </c>
      <c r="J27" s="53">
        <v>44473</v>
      </c>
      <c r="K27" s="45">
        <v>44524</v>
      </c>
      <c r="L27" s="43">
        <f t="shared" si="1"/>
        <v>51</v>
      </c>
      <c r="M27" s="43">
        <v>0.50770000000000004</v>
      </c>
      <c r="N27" s="46">
        <f t="shared" si="2"/>
        <v>1.5603</v>
      </c>
      <c r="O27" s="43">
        <v>0.30309999999999998</v>
      </c>
      <c r="P27" s="43">
        <v>0.13850000000000001</v>
      </c>
      <c r="Q27" s="43">
        <v>6.5199999999999994E-2</v>
      </c>
      <c r="R27" s="46">
        <f t="shared" si="3"/>
        <v>1.8643000000000001</v>
      </c>
      <c r="S27" s="43">
        <f t="shared" si="4"/>
        <v>83.741887035348398</v>
      </c>
      <c r="U27" s="18">
        <f t="shared" si="5"/>
        <v>16.258112964651612</v>
      </c>
    </row>
    <row r="28" spans="1:25" x14ac:dyDescent="0.25">
      <c r="A28" s="43" t="s">
        <v>477</v>
      </c>
      <c r="B28" s="43" t="s">
        <v>330</v>
      </c>
      <c r="C28" s="43" t="s">
        <v>15</v>
      </c>
      <c r="D28" s="43" t="s">
        <v>18</v>
      </c>
      <c r="E28" s="43">
        <v>2</v>
      </c>
      <c r="F28" s="82" t="s">
        <v>358</v>
      </c>
      <c r="G28" s="43">
        <v>2.0779999999999998</v>
      </c>
      <c r="H28" s="43">
        <v>1.9531000000000001</v>
      </c>
      <c r="I28" s="44">
        <f t="shared" si="0"/>
        <v>6.39496185551174</v>
      </c>
      <c r="J28" s="53">
        <v>44473</v>
      </c>
      <c r="K28" s="45">
        <v>44524</v>
      </c>
      <c r="L28" s="43">
        <f t="shared" si="1"/>
        <v>51</v>
      </c>
      <c r="M28" s="43">
        <v>0.52929999999999999</v>
      </c>
      <c r="N28" s="46">
        <f t="shared" si="2"/>
        <v>1.4238</v>
      </c>
      <c r="O28" s="43">
        <v>0.32840000000000003</v>
      </c>
      <c r="P28" s="43">
        <v>0.13619999999999999</v>
      </c>
      <c r="Q28" s="43">
        <v>6.4299999999999996E-2</v>
      </c>
      <c r="R28" s="46">
        <f t="shared" si="3"/>
        <v>1.7526000000000002</v>
      </c>
      <c r="S28" s="43">
        <f t="shared" si="4"/>
        <v>81.262124843090263</v>
      </c>
      <c r="U28" s="18">
        <f t="shared" si="5"/>
        <v>18.737875156909734</v>
      </c>
    </row>
    <row r="29" spans="1:25" x14ac:dyDescent="0.25">
      <c r="A29" s="43" t="s">
        <v>477</v>
      </c>
      <c r="B29" s="43" t="s">
        <v>330</v>
      </c>
      <c r="C29" s="43" t="s">
        <v>15</v>
      </c>
      <c r="D29" s="43" t="s">
        <v>19</v>
      </c>
      <c r="E29" s="43">
        <v>1</v>
      </c>
      <c r="F29" s="82" t="s">
        <v>359</v>
      </c>
      <c r="G29" s="43">
        <v>2.0346000000000002</v>
      </c>
      <c r="H29" s="43">
        <v>1.9184000000000001</v>
      </c>
      <c r="I29" s="44">
        <f t="shared" si="0"/>
        <v>6.057130942452047</v>
      </c>
      <c r="J29" s="53">
        <v>44473</v>
      </c>
      <c r="K29" s="45">
        <v>44524</v>
      </c>
      <c r="L29" s="43">
        <f t="shared" si="1"/>
        <v>51</v>
      </c>
      <c r="M29" s="43">
        <v>0.51490000000000002</v>
      </c>
      <c r="N29" s="46">
        <f t="shared" si="2"/>
        <v>1.4035000000000002</v>
      </c>
      <c r="O29" s="43">
        <v>0.30769999999999997</v>
      </c>
      <c r="P29" s="43">
        <v>0.1371</v>
      </c>
      <c r="Q29" s="43">
        <v>6.6900000000000001E-2</v>
      </c>
      <c r="R29" s="46">
        <f t="shared" si="3"/>
        <v>1.7144000000000001</v>
      </c>
      <c r="S29" s="43">
        <f t="shared" si="4"/>
        <v>82.052029864675703</v>
      </c>
      <c r="U29" s="18">
        <f t="shared" si="5"/>
        <v>17.947970135324308</v>
      </c>
    </row>
    <row r="30" spans="1:25" x14ac:dyDescent="0.25">
      <c r="A30" s="43" t="s">
        <v>477</v>
      </c>
      <c r="B30" s="43" t="s">
        <v>330</v>
      </c>
      <c r="C30" s="43" t="s">
        <v>15</v>
      </c>
      <c r="D30" s="43" t="s">
        <v>19</v>
      </c>
      <c r="E30" s="43">
        <v>2</v>
      </c>
      <c r="F30" s="82" t="s">
        <v>360</v>
      </c>
      <c r="G30" s="43">
        <v>2.0989</v>
      </c>
      <c r="H30" s="43">
        <v>1.9754</v>
      </c>
      <c r="I30" s="44">
        <f t="shared" si="0"/>
        <v>6.2518983497013236</v>
      </c>
      <c r="J30" s="53">
        <v>44473</v>
      </c>
      <c r="K30" s="45">
        <v>44524</v>
      </c>
      <c r="L30" s="43">
        <f t="shared" si="1"/>
        <v>51</v>
      </c>
      <c r="M30" s="43">
        <v>0.51770000000000005</v>
      </c>
      <c r="N30" s="46">
        <f t="shared" si="2"/>
        <v>1.4577</v>
      </c>
      <c r="O30" s="43">
        <v>0.31140000000000001</v>
      </c>
      <c r="P30" s="43">
        <v>0.13780000000000001</v>
      </c>
      <c r="Q30" s="43">
        <v>6.7900000000000002E-2</v>
      </c>
      <c r="R30" s="46">
        <f t="shared" si="3"/>
        <v>1.7697000000000001</v>
      </c>
      <c r="S30" s="43">
        <f t="shared" si="4"/>
        <v>82.403797253771813</v>
      </c>
      <c r="U30" s="18">
        <f t="shared" si="5"/>
        <v>17.596202746228172</v>
      </c>
    </row>
    <row r="31" spans="1:25" x14ac:dyDescent="0.25">
      <c r="A31" s="43" t="s">
        <v>477</v>
      </c>
      <c r="B31" s="43" t="s">
        <v>330</v>
      </c>
      <c r="C31" s="43" t="s">
        <v>15</v>
      </c>
      <c r="D31" s="43" t="s">
        <v>20</v>
      </c>
      <c r="E31" s="43">
        <v>1</v>
      </c>
      <c r="F31" s="82" t="s">
        <v>361</v>
      </c>
      <c r="G31" s="46">
        <v>2.1869999999999998</v>
      </c>
      <c r="H31" s="43">
        <v>2.0577000000000001</v>
      </c>
      <c r="I31" s="44">
        <f t="shared" si="0"/>
        <v>6.2837148272342782</v>
      </c>
      <c r="J31" s="53">
        <v>44473</v>
      </c>
      <c r="K31" s="45">
        <v>44524</v>
      </c>
      <c r="L31" s="43">
        <f t="shared" si="1"/>
        <v>51</v>
      </c>
      <c r="M31" s="43">
        <v>0.58279999999999998</v>
      </c>
      <c r="N31" s="46">
        <f t="shared" si="2"/>
        <v>1.4749000000000001</v>
      </c>
      <c r="O31" s="43">
        <v>0.3805</v>
      </c>
      <c r="P31" s="43">
        <v>0.13439999999999999</v>
      </c>
      <c r="Q31" s="43">
        <v>6.6799999999999998E-2</v>
      </c>
      <c r="R31" s="46">
        <f t="shared" si="3"/>
        <v>1.8565</v>
      </c>
      <c r="S31" s="43">
        <f t="shared" si="4"/>
        <v>79.504443845946668</v>
      </c>
      <c r="U31" s="18">
        <f t="shared" si="5"/>
        <v>20.495556154053325</v>
      </c>
    </row>
    <row r="32" spans="1:25" x14ac:dyDescent="0.25">
      <c r="A32" s="43" t="s">
        <v>477</v>
      </c>
      <c r="B32" s="43" t="s">
        <v>330</v>
      </c>
      <c r="C32" s="43" t="s">
        <v>15</v>
      </c>
      <c r="D32" s="43" t="s">
        <v>20</v>
      </c>
      <c r="E32" s="43">
        <v>2</v>
      </c>
      <c r="F32" s="82" t="s">
        <v>362</v>
      </c>
      <c r="G32" s="43">
        <v>2.1202999999999999</v>
      </c>
      <c r="H32" s="43">
        <v>1.9891000000000001</v>
      </c>
      <c r="I32" s="44">
        <f t="shared" si="0"/>
        <v>6.5959479161429666</v>
      </c>
      <c r="J32" s="53">
        <v>44473</v>
      </c>
      <c r="K32" s="45">
        <v>44524</v>
      </c>
      <c r="L32" s="43">
        <f t="shared" si="1"/>
        <v>51</v>
      </c>
      <c r="M32" s="43">
        <v>0.58450000000000002</v>
      </c>
      <c r="N32" s="46">
        <f t="shared" si="2"/>
        <v>1.4046000000000001</v>
      </c>
      <c r="O32" s="43">
        <v>0.37219999999999998</v>
      </c>
      <c r="P32" s="43">
        <v>0.1447</v>
      </c>
      <c r="Q32" s="43">
        <v>6.6000000000000003E-2</v>
      </c>
      <c r="R32" s="46">
        <f t="shared" si="3"/>
        <v>1.7784</v>
      </c>
      <c r="S32" s="43">
        <f t="shared" si="4"/>
        <v>79.07107512370672</v>
      </c>
      <c r="U32" s="18">
        <f t="shared" si="5"/>
        <v>20.928924876293294</v>
      </c>
    </row>
    <row r="33" spans="1:25" x14ac:dyDescent="0.25">
      <c r="A33" s="47" t="s">
        <v>479</v>
      </c>
      <c r="B33" s="47" t="s">
        <v>331</v>
      </c>
      <c r="C33" s="47" t="s">
        <v>15</v>
      </c>
      <c r="D33" s="47" t="s">
        <v>17</v>
      </c>
      <c r="E33" s="47">
        <v>1</v>
      </c>
      <c r="F33" s="83" t="s">
        <v>363</v>
      </c>
      <c r="G33" s="48">
        <v>2.1549999999999998</v>
      </c>
      <c r="H33" s="48">
        <v>2.0198</v>
      </c>
      <c r="I33" s="49">
        <f t="shared" si="0"/>
        <v>6.6937320526784712</v>
      </c>
      <c r="J33" s="53">
        <v>44480</v>
      </c>
      <c r="K33" s="50"/>
      <c r="L33" s="47">
        <f t="shared" si="1"/>
        <v>-44480</v>
      </c>
      <c r="M33" s="47"/>
      <c r="N33" s="48">
        <f t="shared" si="2"/>
        <v>2.0198</v>
      </c>
      <c r="O33" s="47"/>
      <c r="P33" s="47"/>
      <c r="Q33" s="47"/>
      <c r="R33" s="48">
        <f t="shared" si="3"/>
        <v>2.0198</v>
      </c>
      <c r="S33" s="47">
        <f t="shared" si="4"/>
        <v>100</v>
      </c>
      <c r="T33" t="e">
        <f>AVERAGE(O33:O40)</f>
        <v>#DIV/0!</v>
      </c>
      <c r="U33" s="18">
        <f t="shared" si="5"/>
        <v>0</v>
      </c>
      <c r="V33" s="7">
        <f>AVERAGE(U33:U40)</f>
        <v>0</v>
      </c>
      <c r="W33">
        <f>STDEV(U33:U40)</f>
        <v>0</v>
      </c>
      <c r="X33">
        <f>AVERAGE(S33:S40)</f>
        <v>100</v>
      </c>
      <c r="Y33">
        <f>STDEV(S33:S40)</f>
        <v>0</v>
      </c>
    </row>
    <row r="34" spans="1:25" x14ac:dyDescent="0.25">
      <c r="A34" s="47" t="s">
        <v>479</v>
      </c>
      <c r="B34" s="47" t="s">
        <v>331</v>
      </c>
      <c r="C34" s="47" t="s">
        <v>15</v>
      </c>
      <c r="D34" s="47" t="s">
        <v>17</v>
      </c>
      <c r="E34" s="47">
        <v>2</v>
      </c>
      <c r="F34" s="83" t="s">
        <v>364</v>
      </c>
      <c r="G34" s="47">
        <v>2.0956999999999999</v>
      </c>
      <c r="H34" s="47">
        <v>1.9639</v>
      </c>
      <c r="I34" s="49">
        <f t="shared" si="0"/>
        <v>6.7111360048882283</v>
      </c>
      <c r="J34" s="53">
        <v>44480</v>
      </c>
      <c r="K34" s="50"/>
      <c r="L34" s="47">
        <f t="shared" si="1"/>
        <v>-44480</v>
      </c>
      <c r="M34" s="47"/>
      <c r="N34" s="48">
        <f t="shared" si="2"/>
        <v>1.9639</v>
      </c>
      <c r="O34" s="47"/>
      <c r="P34" s="47"/>
      <c r="Q34" s="47"/>
      <c r="R34" s="48">
        <f t="shared" si="3"/>
        <v>1.9639</v>
      </c>
      <c r="S34" s="47">
        <f t="shared" si="4"/>
        <v>100</v>
      </c>
      <c r="U34" s="18">
        <f t="shared" si="5"/>
        <v>0</v>
      </c>
    </row>
    <row r="35" spans="1:25" x14ac:dyDescent="0.25">
      <c r="A35" s="47" t="s">
        <v>479</v>
      </c>
      <c r="B35" s="47" t="s">
        <v>331</v>
      </c>
      <c r="C35" s="47" t="s">
        <v>15</v>
      </c>
      <c r="D35" s="47" t="s">
        <v>18</v>
      </c>
      <c r="E35" s="47">
        <v>1</v>
      </c>
      <c r="F35" s="83" t="s">
        <v>365</v>
      </c>
      <c r="G35" s="47">
        <v>2.2025999999999999</v>
      </c>
      <c r="H35" s="48">
        <v>2.0644999999999998</v>
      </c>
      <c r="I35" s="49">
        <f t="shared" si="0"/>
        <v>6.6892710099297714</v>
      </c>
      <c r="J35" s="53">
        <v>44480</v>
      </c>
      <c r="K35" s="50"/>
      <c r="L35" s="47">
        <f t="shared" si="1"/>
        <v>-44480</v>
      </c>
      <c r="M35" s="47"/>
      <c r="N35" s="48">
        <f t="shared" si="2"/>
        <v>2.0644999999999998</v>
      </c>
      <c r="O35" s="47"/>
      <c r="P35" s="47"/>
      <c r="Q35" s="47"/>
      <c r="R35" s="48">
        <f t="shared" si="3"/>
        <v>2.0644999999999998</v>
      </c>
      <c r="S35" s="47">
        <f t="shared" si="4"/>
        <v>100</v>
      </c>
      <c r="U35" s="18">
        <f t="shared" si="5"/>
        <v>0</v>
      </c>
    </row>
    <row r="36" spans="1:25" x14ac:dyDescent="0.25">
      <c r="A36" s="47" t="s">
        <v>479</v>
      </c>
      <c r="B36" s="47" t="s">
        <v>331</v>
      </c>
      <c r="C36" s="47" t="s">
        <v>15</v>
      </c>
      <c r="D36" s="47" t="s">
        <v>18</v>
      </c>
      <c r="E36" s="47">
        <v>2</v>
      </c>
      <c r="F36" s="83" t="s">
        <v>366</v>
      </c>
      <c r="G36" s="47">
        <v>2.1459000000000001</v>
      </c>
      <c r="H36" s="47">
        <v>2.012</v>
      </c>
      <c r="I36" s="49">
        <f t="shared" si="0"/>
        <v>6.6550695825049768</v>
      </c>
      <c r="J36" s="53">
        <v>44480</v>
      </c>
      <c r="K36" s="50"/>
      <c r="L36" s="47">
        <f t="shared" si="1"/>
        <v>-44480</v>
      </c>
      <c r="M36" s="47"/>
      <c r="N36" s="48">
        <f t="shared" si="2"/>
        <v>2.012</v>
      </c>
      <c r="O36" s="47"/>
      <c r="P36" s="47"/>
      <c r="Q36" s="47"/>
      <c r="R36" s="48">
        <f t="shared" si="3"/>
        <v>2.012</v>
      </c>
      <c r="S36" s="47">
        <f t="shared" si="4"/>
        <v>100</v>
      </c>
      <c r="U36" s="18">
        <f t="shared" si="5"/>
        <v>0</v>
      </c>
    </row>
    <row r="37" spans="1:25" x14ac:dyDescent="0.25">
      <c r="A37" s="47" t="s">
        <v>479</v>
      </c>
      <c r="B37" s="47" t="s">
        <v>331</v>
      </c>
      <c r="C37" s="47" t="s">
        <v>15</v>
      </c>
      <c r="D37" s="47" t="s">
        <v>19</v>
      </c>
      <c r="E37" s="47">
        <v>1</v>
      </c>
      <c r="F37" s="83" t="s">
        <v>367</v>
      </c>
      <c r="G37" s="47">
        <v>2.0693999999999999</v>
      </c>
      <c r="H37" s="47">
        <v>1.9411</v>
      </c>
      <c r="I37" s="49">
        <f t="shared" si="0"/>
        <v>6.6096543197156175</v>
      </c>
      <c r="J37" s="53">
        <v>44480</v>
      </c>
      <c r="K37" s="50"/>
      <c r="L37" s="47">
        <f t="shared" si="1"/>
        <v>-44480</v>
      </c>
      <c r="M37" s="47"/>
      <c r="N37" s="48">
        <f t="shared" si="2"/>
        <v>1.9411</v>
      </c>
      <c r="O37" s="47"/>
      <c r="P37" s="47"/>
      <c r="Q37" s="47"/>
      <c r="R37" s="48">
        <f t="shared" si="3"/>
        <v>1.9411</v>
      </c>
      <c r="S37" s="47">
        <f t="shared" si="4"/>
        <v>100</v>
      </c>
      <c r="U37" s="18">
        <f t="shared" si="5"/>
        <v>0</v>
      </c>
    </row>
    <row r="38" spans="1:25" x14ac:dyDescent="0.25">
      <c r="A38" s="47" t="s">
        <v>479</v>
      </c>
      <c r="B38" s="47" t="s">
        <v>331</v>
      </c>
      <c r="C38" s="47" t="s">
        <v>15</v>
      </c>
      <c r="D38" s="47" t="s">
        <v>19</v>
      </c>
      <c r="E38" s="47">
        <v>2</v>
      </c>
      <c r="F38" s="83" t="s">
        <v>368</v>
      </c>
      <c r="G38" s="47">
        <v>2.2627000000000002</v>
      </c>
      <c r="H38" s="47">
        <v>2.1200999999999999</v>
      </c>
      <c r="I38" s="49">
        <f t="shared" si="0"/>
        <v>6.7260978255742785</v>
      </c>
      <c r="J38" s="53">
        <v>44480</v>
      </c>
      <c r="K38" s="50"/>
      <c r="L38" s="47">
        <f t="shared" si="1"/>
        <v>-44480</v>
      </c>
      <c r="M38" s="47"/>
      <c r="N38" s="48">
        <f t="shared" si="2"/>
        <v>2.1200999999999999</v>
      </c>
      <c r="O38" s="47"/>
      <c r="P38" s="47"/>
      <c r="Q38" s="47"/>
      <c r="R38" s="48">
        <f t="shared" si="3"/>
        <v>2.1200999999999999</v>
      </c>
      <c r="S38" s="47">
        <f t="shared" si="4"/>
        <v>100</v>
      </c>
      <c r="U38" s="18">
        <f t="shared" si="5"/>
        <v>0</v>
      </c>
    </row>
    <row r="39" spans="1:25" x14ac:dyDescent="0.25">
      <c r="A39" s="47" t="s">
        <v>479</v>
      </c>
      <c r="B39" s="47" t="s">
        <v>331</v>
      </c>
      <c r="C39" s="47" t="s">
        <v>15</v>
      </c>
      <c r="D39" s="47" t="s">
        <v>20</v>
      </c>
      <c r="E39" s="47">
        <v>1</v>
      </c>
      <c r="F39" s="83" t="s">
        <v>369</v>
      </c>
      <c r="G39" s="47">
        <v>1.9672000000000001</v>
      </c>
      <c r="H39" s="47">
        <v>1.847</v>
      </c>
      <c r="I39" s="49">
        <f t="shared" si="0"/>
        <v>6.507850568489447</v>
      </c>
      <c r="J39" s="53">
        <v>44480</v>
      </c>
      <c r="K39" s="50"/>
      <c r="L39" s="47">
        <f t="shared" si="1"/>
        <v>-44480</v>
      </c>
      <c r="M39" s="47"/>
      <c r="N39" s="48">
        <f t="shared" si="2"/>
        <v>1.847</v>
      </c>
      <c r="O39" s="47"/>
      <c r="P39" s="47"/>
      <c r="Q39" s="47"/>
      <c r="R39" s="48">
        <f t="shared" si="3"/>
        <v>1.847</v>
      </c>
      <c r="S39" s="47">
        <f t="shared" si="4"/>
        <v>100</v>
      </c>
      <c r="U39" s="18">
        <f t="shared" si="5"/>
        <v>0</v>
      </c>
    </row>
    <row r="40" spans="1:25" x14ac:dyDescent="0.25">
      <c r="A40" s="47" t="s">
        <v>479</v>
      </c>
      <c r="B40" s="47" t="s">
        <v>331</v>
      </c>
      <c r="C40" s="47" t="s">
        <v>15</v>
      </c>
      <c r="D40" s="47" t="s">
        <v>20</v>
      </c>
      <c r="E40" s="47">
        <v>2</v>
      </c>
      <c r="F40" s="83" t="s">
        <v>370</v>
      </c>
      <c r="G40" s="47">
        <v>2.1168</v>
      </c>
      <c r="H40" s="47">
        <v>1.9830000000000001</v>
      </c>
      <c r="I40" s="49">
        <f t="shared" si="0"/>
        <v>6.7473524962178466</v>
      </c>
      <c r="J40" s="53">
        <v>44480</v>
      </c>
      <c r="K40" s="50"/>
      <c r="L40" s="47">
        <f t="shared" si="1"/>
        <v>-44480</v>
      </c>
      <c r="M40" s="47"/>
      <c r="N40" s="48">
        <f t="shared" si="2"/>
        <v>1.9830000000000001</v>
      </c>
      <c r="O40" s="47"/>
      <c r="P40" s="47"/>
      <c r="Q40" s="47"/>
      <c r="R40" s="48">
        <f t="shared" si="3"/>
        <v>1.9830000000000001</v>
      </c>
      <c r="S40" s="47">
        <f t="shared" si="4"/>
        <v>100</v>
      </c>
      <c r="U40" s="18">
        <f t="shared" si="5"/>
        <v>0</v>
      </c>
    </row>
    <row r="41" spans="1:25" x14ac:dyDescent="0.25">
      <c r="A41" s="76" t="s">
        <v>474</v>
      </c>
      <c r="B41" s="76" t="s">
        <v>100</v>
      </c>
      <c r="C41" s="76" t="s">
        <v>15</v>
      </c>
      <c r="D41" s="76" t="s">
        <v>17</v>
      </c>
      <c r="E41" s="76">
        <v>1</v>
      </c>
      <c r="F41" s="84" t="s">
        <v>371</v>
      </c>
      <c r="G41" s="76">
        <v>2.0977000000000001</v>
      </c>
      <c r="H41" s="76">
        <v>1.9802</v>
      </c>
      <c r="I41" s="77">
        <f t="shared" si="0"/>
        <v>5.933744066255942</v>
      </c>
      <c r="J41" s="53">
        <v>44496</v>
      </c>
      <c r="K41" s="78">
        <v>44545</v>
      </c>
      <c r="L41" s="76">
        <f t="shared" si="1"/>
        <v>49</v>
      </c>
      <c r="M41" s="76">
        <v>0.53959999999999997</v>
      </c>
      <c r="N41" s="79">
        <f t="shared" si="2"/>
        <v>1.4405999999999999</v>
      </c>
      <c r="O41" s="76">
        <v>0.33650000000000002</v>
      </c>
      <c r="P41" s="76">
        <v>0.1444</v>
      </c>
      <c r="Q41" s="76">
        <v>5.7799999999999997E-2</v>
      </c>
      <c r="R41" s="79">
        <f t="shared" si="3"/>
        <v>1.778</v>
      </c>
      <c r="S41" s="76">
        <f t="shared" si="4"/>
        <v>81.074240719910009</v>
      </c>
      <c r="T41">
        <f>AVERAGE(O41:O48)</f>
        <v>0.322575</v>
      </c>
      <c r="U41" s="18">
        <f t="shared" si="5"/>
        <v>18.925759280089991</v>
      </c>
      <c r="V41" s="7">
        <f>AVERAGE(U41:U48)</f>
        <v>18.133220429508818</v>
      </c>
      <c r="W41">
        <f>STDEV(U41:U48)</f>
        <v>1.6072001768861204</v>
      </c>
      <c r="X41">
        <f>AVERAGE(S41:S48)</f>
        <v>81.866779570491175</v>
      </c>
      <c r="Y41">
        <f>STDEV(S41:S48)</f>
        <v>1.6072001768861144</v>
      </c>
    </row>
    <row r="42" spans="1:25" x14ac:dyDescent="0.25">
      <c r="A42" s="76" t="s">
        <v>474</v>
      </c>
      <c r="B42" s="76" t="s">
        <v>100</v>
      </c>
      <c r="C42" s="76" t="s">
        <v>15</v>
      </c>
      <c r="D42" s="76" t="s">
        <v>17</v>
      </c>
      <c r="E42" s="76">
        <v>2</v>
      </c>
      <c r="F42" s="84" t="s">
        <v>372</v>
      </c>
      <c r="G42" s="76">
        <v>2.0194999999999999</v>
      </c>
      <c r="H42" s="76">
        <v>1.9052</v>
      </c>
      <c r="I42" s="77">
        <f t="shared" si="0"/>
        <v>5.9993701448666723</v>
      </c>
      <c r="J42" s="53">
        <v>44496</v>
      </c>
      <c r="K42" s="78">
        <v>44545</v>
      </c>
      <c r="L42" s="76">
        <f t="shared" si="1"/>
        <v>49</v>
      </c>
      <c r="M42" s="76">
        <v>0.50819999999999999</v>
      </c>
      <c r="N42" s="79">
        <f t="shared" si="2"/>
        <v>1.397</v>
      </c>
      <c r="O42" s="76">
        <v>0.3024</v>
      </c>
      <c r="P42" s="76">
        <v>0.14630000000000001</v>
      </c>
      <c r="Q42" s="76">
        <v>5.7200000000000001E-2</v>
      </c>
      <c r="R42" s="79">
        <f t="shared" si="3"/>
        <v>1.7017</v>
      </c>
      <c r="S42" s="76">
        <f t="shared" si="4"/>
        <v>82.229535170711642</v>
      </c>
      <c r="U42" s="18">
        <f t="shared" si="5"/>
        <v>17.770464829288361</v>
      </c>
    </row>
    <row r="43" spans="1:25" x14ac:dyDescent="0.25">
      <c r="A43" s="76" t="s">
        <v>474</v>
      </c>
      <c r="B43" s="76" t="s">
        <v>100</v>
      </c>
      <c r="C43" s="76" t="s">
        <v>15</v>
      </c>
      <c r="D43" s="76" t="s">
        <v>18</v>
      </c>
      <c r="E43" s="76">
        <v>1</v>
      </c>
      <c r="F43" s="84" t="s">
        <v>373</v>
      </c>
      <c r="G43" s="76">
        <v>2.1223999999999998</v>
      </c>
      <c r="H43" s="76">
        <v>2.0024999999999999</v>
      </c>
      <c r="I43" s="77">
        <f t="shared" si="0"/>
        <v>5.9875156054931287</v>
      </c>
      <c r="J43" s="53">
        <v>44496</v>
      </c>
      <c r="K43" s="78">
        <v>44545</v>
      </c>
      <c r="L43" s="76">
        <f t="shared" si="1"/>
        <v>49</v>
      </c>
      <c r="M43" s="76">
        <v>0.53459999999999996</v>
      </c>
      <c r="N43" s="79">
        <f t="shared" si="2"/>
        <v>1.4679</v>
      </c>
      <c r="O43" s="76">
        <v>0.31630000000000003</v>
      </c>
      <c r="P43" s="76">
        <v>0.1537</v>
      </c>
      <c r="Q43" s="76">
        <v>5.8400000000000001E-2</v>
      </c>
      <c r="R43" s="79">
        <f t="shared" si="3"/>
        <v>1.7904</v>
      </c>
      <c r="S43" s="76">
        <f t="shared" si="4"/>
        <v>82.333556747095614</v>
      </c>
      <c r="U43" s="18">
        <f t="shared" si="5"/>
        <v>17.666443252904379</v>
      </c>
    </row>
    <row r="44" spans="1:25" x14ac:dyDescent="0.25">
      <c r="A44" s="76" t="s">
        <v>474</v>
      </c>
      <c r="B44" s="76" t="s">
        <v>100</v>
      </c>
      <c r="C44" s="76" t="s">
        <v>15</v>
      </c>
      <c r="D44" s="76" t="s">
        <v>18</v>
      </c>
      <c r="E44" s="76">
        <v>2</v>
      </c>
      <c r="F44" s="84" t="s">
        <v>374</v>
      </c>
      <c r="G44" s="76">
        <v>2.0371000000000001</v>
      </c>
      <c r="H44" s="76">
        <v>1.8955</v>
      </c>
      <c r="I44" s="77">
        <f t="shared" si="0"/>
        <v>7.470324452651024</v>
      </c>
      <c r="J44" s="53">
        <v>44496</v>
      </c>
      <c r="K44" s="78">
        <v>44545</v>
      </c>
      <c r="L44" s="76">
        <f t="shared" si="1"/>
        <v>49</v>
      </c>
      <c r="M44" s="76">
        <v>0.51780000000000004</v>
      </c>
      <c r="N44" s="79">
        <f t="shared" si="2"/>
        <v>1.3776999999999999</v>
      </c>
      <c r="O44" s="76">
        <v>0.33410000000000001</v>
      </c>
      <c r="P44" s="76">
        <v>0.12889999999999999</v>
      </c>
      <c r="Q44" s="76">
        <v>5.4300000000000001E-2</v>
      </c>
      <c r="R44" s="79">
        <f t="shared" si="3"/>
        <v>1.7122999999999999</v>
      </c>
      <c r="S44" s="76">
        <f t="shared" si="4"/>
        <v>80.488232202300992</v>
      </c>
      <c r="U44" s="18">
        <f t="shared" si="5"/>
        <v>19.511767797699004</v>
      </c>
    </row>
    <row r="45" spans="1:25" x14ac:dyDescent="0.25">
      <c r="A45" s="76" t="s">
        <v>474</v>
      </c>
      <c r="B45" s="76" t="s">
        <v>100</v>
      </c>
      <c r="C45" s="76" t="s">
        <v>15</v>
      </c>
      <c r="D45" s="76" t="s">
        <v>19</v>
      </c>
      <c r="E45" s="76">
        <v>1</v>
      </c>
      <c r="F45" s="84" t="s">
        <v>375</v>
      </c>
      <c r="G45" s="76">
        <v>2.2073999999999998</v>
      </c>
      <c r="H45" s="76">
        <v>2.0817999999999999</v>
      </c>
      <c r="I45" s="77">
        <f t="shared" si="0"/>
        <v>6.0332404649822244</v>
      </c>
      <c r="J45" s="53">
        <v>44496</v>
      </c>
      <c r="K45" s="78">
        <v>44545</v>
      </c>
      <c r="L45" s="76">
        <f t="shared" si="1"/>
        <v>49</v>
      </c>
      <c r="M45" s="76">
        <v>0.55249999999999999</v>
      </c>
      <c r="N45" s="79">
        <f t="shared" si="2"/>
        <v>1.5292999999999999</v>
      </c>
      <c r="O45" s="76">
        <v>0.3231</v>
      </c>
      <c r="P45" s="76">
        <v>0.16650000000000001</v>
      </c>
      <c r="Q45" s="76">
        <v>5.8200000000000002E-2</v>
      </c>
      <c r="R45" s="79">
        <f t="shared" si="3"/>
        <v>1.8571</v>
      </c>
      <c r="S45" s="76">
        <f t="shared" si="4"/>
        <v>82.601906197835334</v>
      </c>
      <c r="U45" s="18">
        <f t="shared" si="5"/>
        <v>17.398093802164666</v>
      </c>
    </row>
    <row r="46" spans="1:25" x14ac:dyDescent="0.25">
      <c r="A46" s="76" t="s">
        <v>474</v>
      </c>
      <c r="B46" s="76" t="s">
        <v>100</v>
      </c>
      <c r="C46" s="76" t="s">
        <v>15</v>
      </c>
      <c r="D46" s="76" t="s">
        <v>19</v>
      </c>
      <c r="E46" s="76">
        <v>2</v>
      </c>
      <c r="F46" s="84" t="s">
        <v>376</v>
      </c>
      <c r="G46" s="76">
        <v>2.1543000000000001</v>
      </c>
      <c r="H46" s="76">
        <v>2.0325000000000002</v>
      </c>
      <c r="I46" s="77">
        <f t="shared" si="0"/>
        <v>5.9926199261992563</v>
      </c>
      <c r="J46" s="53">
        <v>44496</v>
      </c>
      <c r="K46" s="78">
        <v>44545</v>
      </c>
      <c r="L46" s="76">
        <f t="shared" si="1"/>
        <v>49</v>
      </c>
      <c r="M46" s="76">
        <v>0.47870000000000001</v>
      </c>
      <c r="N46" s="79">
        <f t="shared" si="2"/>
        <v>1.5538000000000003</v>
      </c>
      <c r="O46" s="76">
        <v>0.27560000000000001</v>
      </c>
      <c r="P46" s="76">
        <v>0.14480000000000001</v>
      </c>
      <c r="Q46" s="76">
        <v>5.6399999999999999E-2</v>
      </c>
      <c r="R46" s="79">
        <f t="shared" si="3"/>
        <v>1.8313000000000001</v>
      </c>
      <c r="S46" s="76">
        <f t="shared" si="4"/>
        <v>84.95058155408725</v>
      </c>
      <c r="U46" s="18">
        <f t="shared" si="5"/>
        <v>15.049418445912737</v>
      </c>
    </row>
    <row r="47" spans="1:25" x14ac:dyDescent="0.25">
      <c r="A47" s="76" t="s">
        <v>474</v>
      </c>
      <c r="B47" s="76" t="s">
        <v>100</v>
      </c>
      <c r="C47" s="76" t="s">
        <v>15</v>
      </c>
      <c r="D47" s="76" t="s">
        <v>20</v>
      </c>
      <c r="E47" s="76">
        <v>1</v>
      </c>
      <c r="F47" s="84" t="s">
        <v>377</v>
      </c>
      <c r="G47" s="76">
        <v>2.1352000000000002</v>
      </c>
      <c r="H47" s="76">
        <v>2.0154999999999998</v>
      </c>
      <c r="I47" s="77">
        <f t="shared" si="0"/>
        <v>5.9389729595634027</v>
      </c>
      <c r="J47" s="53">
        <v>44496</v>
      </c>
      <c r="K47" s="78">
        <v>44545</v>
      </c>
      <c r="L47" s="76">
        <f t="shared" si="1"/>
        <v>49</v>
      </c>
      <c r="M47" s="76">
        <v>0.53320000000000001</v>
      </c>
      <c r="N47" s="79">
        <f t="shared" si="2"/>
        <v>1.4823</v>
      </c>
      <c r="O47" s="76">
        <v>0.33339999999999997</v>
      </c>
      <c r="P47" s="76">
        <v>0.1414</v>
      </c>
      <c r="Q47" s="76">
        <v>5.7299999999999997E-2</v>
      </c>
      <c r="R47" s="79">
        <f t="shared" si="3"/>
        <v>1.8167999999999997</v>
      </c>
      <c r="S47" s="76">
        <f t="shared" si="4"/>
        <v>81.649053280493177</v>
      </c>
      <c r="U47" s="18">
        <f t="shared" si="5"/>
        <v>18.350946719506826</v>
      </c>
    </row>
    <row r="48" spans="1:25" x14ac:dyDescent="0.25">
      <c r="A48" s="76" t="s">
        <v>474</v>
      </c>
      <c r="B48" s="76" t="s">
        <v>100</v>
      </c>
      <c r="C48" s="76" t="s">
        <v>15</v>
      </c>
      <c r="D48" s="76" t="s">
        <v>20</v>
      </c>
      <c r="E48" s="76">
        <v>2</v>
      </c>
      <c r="F48" s="84" t="s">
        <v>378</v>
      </c>
      <c r="G48" s="76">
        <v>2.0747</v>
      </c>
      <c r="H48" s="76">
        <v>1.9589000000000001</v>
      </c>
      <c r="I48" s="77">
        <f t="shared" si="0"/>
        <v>5.9114809331767777</v>
      </c>
      <c r="J48" s="53">
        <v>44496</v>
      </c>
      <c r="K48" s="78">
        <v>44545</v>
      </c>
      <c r="L48" s="76">
        <f t="shared" si="1"/>
        <v>49</v>
      </c>
      <c r="M48" s="76">
        <v>0.55930000000000002</v>
      </c>
      <c r="N48" s="79">
        <f t="shared" si="2"/>
        <v>1.3996</v>
      </c>
      <c r="O48" s="76">
        <v>0.35920000000000002</v>
      </c>
      <c r="P48" s="76">
        <v>0.1401</v>
      </c>
      <c r="Q48" s="76">
        <v>5.74E-2</v>
      </c>
      <c r="R48" s="79">
        <f t="shared" si="3"/>
        <v>1.7614000000000001</v>
      </c>
      <c r="S48" s="76">
        <f t="shared" si="4"/>
        <v>79.607130691495414</v>
      </c>
      <c r="U48" s="18">
        <f t="shared" si="5"/>
        <v>20.392869308504601</v>
      </c>
    </row>
    <row r="49" spans="1:25" x14ac:dyDescent="0.25">
      <c r="F49" s="13" t="s">
        <v>119</v>
      </c>
      <c r="G49" s="14">
        <f>AVERAGE(G2:G48)</f>
        <v>2.1296617021276596</v>
      </c>
      <c r="H49" s="14">
        <f>AVERAGE(H2:H48)</f>
        <v>1.9870553191489357</v>
      </c>
      <c r="I49" s="4"/>
      <c r="J49" s="5"/>
      <c r="K49" s="5"/>
      <c r="O49" s="15"/>
      <c r="P49" s="16"/>
      <c r="Q49" s="16"/>
    </row>
    <row r="50" spans="1:25" x14ac:dyDescent="0.25">
      <c r="F50" s="13" t="s">
        <v>120</v>
      </c>
      <c r="G50" s="14">
        <f>STDEV(G2:G48)</f>
        <v>0.13720049998830097</v>
      </c>
      <c r="H50" s="14">
        <f>STDEV(H2:H48)</f>
        <v>6.3540150978015256E-2</v>
      </c>
      <c r="I50" s="4"/>
      <c r="J50" s="5"/>
      <c r="K50" s="5"/>
      <c r="O50" s="15"/>
      <c r="P50" s="16"/>
      <c r="Q50" s="16"/>
    </row>
    <row r="51" spans="1:25" x14ac:dyDescent="0.25">
      <c r="F51" s="13" t="s">
        <v>121</v>
      </c>
      <c r="G51" s="14">
        <f>CONFIDENCE(0.05,G50,COUNT(G2:G48))</f>
        <v>3.9224268769641239E-2</v>
      </c>
      <c r="H51" s="14">
        <f>CONFIDENCE(0.05,H50,COUNT(H2:H40))</f>
        <v>1.9941785012755196E-2</v>
      </c>
      <c r="I51" s="4"/>
      <c r="J51" s="5"/>
      <c r="K51" s="5"/>
      <c r="O51" s="15"/>
      <c r="P51" s="16"/>
      <c r="Q51" s="16"/>
    </row>
    <row r="52" spans="1:25" x14ac:dyDescent="0.25">
      <c r="F52" s="13" t="s">
        <v>122</v>
      </c>
      <c r="G52" s="14">
        <f>G49-G51</f>
        <v>2.0904374333580185</v>
      </c>
      <c r="H52" s="14">
        <f>H49-H51</f>
        <v>1.9671135341361805</v>
      </c>
      <c r="I52" s="4"/>
      <c r="J52" s="5"/>
      <c r="K52" s="5"/>
      <c r="O52" s="15"/>
      <c r="P52" s="16"/>
      <c r="Q52" s="16"/>
    </row>
    <row r="53" spans="1:25" x14ac:dyDescent="0.25">
      <c r="F53" s="13" t="s">
        <v>123</v>
      </c>
      <c r="G53" s="14">
        <f>G49+G52</f>
        <v>4.2200991354856781</v>
      </c>
      <c r="H53" s="14">
        <f>H49+H52</f>
        <v>3.9541688532851165</v>
      </c>
      <c r="I53" s="4"/>
      <c r="J53" s="5"/>
      <c r="K53" s="5"/>
      <c r="O53" s="15"/>
      <c r="P53" s="16"/>
      <c r="Q53" s="16"/>
    </row>
    <row r="54" spans="1:25" x14ac:dyDescent="0.25">
      <c r="F54" s="12"/>
    </row>
    <row r="55" spans="1:25" ht="60" x14ac:dyDescent="0.25">
      <c r="A55" t="s">
        <v>1</v>
      </c>
      <c r="B55" t="s">
        <v>39</v>
      </c>
      <c r="C55" t="s">
        <v>12</v>
      </c>
      <c r="D55" t="s">
        <v>13</v>
      </c>
      <c r="E55" t="s">
        <v>40</v>
      </c>
      <c r="F55" s="1" t="s">
        <v>0</v>
      </c>
      <c r="G55" s="2" t="s">
        <v>3</v>
      </c>
      <c r="H55" s="2" t="s">
        <v>11</v>
      </c>
      <c r="I55" s="2" t="s">
        <v>42</v>
      </c>
      <c r="J55" s="3" t="s">
        <v>2</v>
      </c>
      <c r="K55" s="1" t="s">
        <v>4</v>
      </c>
      <c r="L55" s="2" t="s">
        <v>5</v>
      </c>
      <c r="M55" s="3" t="s">
        <v>37</v>
      </c>
      <c r="N55" s="2" t="s">
        <v>6</v>
      </c>
      <c r="O55" s="3" t="s">
        <v>38</v>
      </c>
      <c r="P55" s="2" t="s">
        <v>7</v>
      </c>
      <c r="Q55" s="2" t="s">
        <v>8</v>
      </c>
      <c r="R55" s="2" t="s">
        <v>9</v>
      </c>
      <c r="S55" s="2" t="s">
        <v>10</v>
      </c>
      <c r="T55" s="51" t="s">
        <v>190</v>
      </c>
      <c r="U55" s="52" t="s">
        <v>191</v>
      </c>
      <c r="V55" s="52" t="s">
        <v>119</v>
      </c>
      <c r="W55" s="52" t="s">
        <v>192</v>
      </c>
      <c r="X55" s="52" t="s">
        <v>119</v>
      </c>
      <c r="Y55" s="52" t="s">
        <v>192</v>
      </c>
    </row>
    <row r="56" spans="1:25" x14ac:dyDescent="0.25">
      <c r="A56" s="27" t="s">
        <v>475</v>
      </c>
      <c r="B56" s="27" t="s">
        <v>327</v>
      </c>
      <c r="C56" s="27" t="s">
        <v>16</v>
      </c>
      <c r="D56" s="27" t="s">
        <v>17</v>
      </c>
      <c r="E56" s="27">
        <v>1</v>
      </c>
      <c r="F56" s="80" t="s">
        <v>379</v>
      </c>
      <c r="G56" s="27">
        <v>2.2660999999999998</v>
      </c>
      <c r="H56" s="27">
        <v>2.1193</v>
      </c>
      <c r="I56" s="28">
        <f t="shared" ref="I56:I102" si="6">((G56-H56)/H56)*100</f>
        <v>6.9268154579342154</v>
      </c>
      <c r="J56" s="54">
        <v>44452</v>
      </c>
      <c r="K56" s="29">
        <v>44515</v>
      </c>
      <c r="L56" s="27">
        <f t="shared" ref="L56:L102" si="7">K56-J56</f>
        <v>63</v>
      </c>
      <c r="M56" s="27">
        <v>1.5081</v>
      </c>
      <c r="N56" s="27">
        <f>H56-M56</f>
        <v>0.61119999999999997</v>
      </c>
      <c r="O56" s="27">
        <v>1.3090999999999999</v>
      </c>
      <c r="P56" s="27">
        <v>0.13420000000000001</v>
      </c>
      <c r="Q56" s="27">
        <v>6.25E-2</v>
      </c>
      <c r="R56" s="30">
        <f>H56-(P56+Q56)</f>
        <v>1.9225999999999999</v>
      </c>
      <c r="S56" s="27">
        <f>((R56-O56)/R56)*100</f>
        <v>31.909913658587328</v>
      </c>
      <c r="T56">
        <f>AVERAGE(O56:O63)</f>
        <v>1.3162749999999999</v>
      </c>
      <c r="U56" s="18">
        <f>(O56/R56)*100</f>
        <v>68.090086341412672</v>
      </c>
      <c r="V56" s="7">
        <f>AVERAGE(U56:U63)</f>
        <v>67.028920268262922</v>
      </c>
      <c r="W56">
        <f>STDEV(U56:U63)</f>
        <v>2.113508468376188</v>
      </c>
      <c r="X56">
        <f>AVERAGE(S56:S63)</f>
        <v>32.971079731737078</v>
      </c>
      <c r="Y56">
        <f>STDEV(S56:S63)</f>
        <v>2.1135084683761867</v>
      </c>
    </row>
    <row r="57" spans="1:25" x14ac:dyDescent="0.25">
      <c r="A57" s="27" t="s">
        <v>475</v>
      </c>
      <c r="B57" s="27" t="s">
        <v>327</v>
      </c>
      <c r="C57" s="27" t="s">
        <v>16</v>
      </c>
      <c r="D57" s="27" t="s">
        <v>17</v>
      </c>
      <c r="E57" s="27">
        <v>2</v>
      </c>
      <c r="F57" s="80" t="s">
        <v>380</v>
      </c>
      <c r="G57" s="27">
        <v>2.3328000000000002</v>
      </c>
      <c r="H57" s="27">
        <v>2.1726000000000001</v>
      </c>
      <c r="I57" s="28">
        <f t="shared" si="6"/>
        <v>7.3736536868268487</v>
      </c>
      <c r="J57" s="54">
        <v>44452</v>
      </c>
      <c r="K57" s="29">
        <v>44515</v>
      </c>
      <c r="L57" s="27">
        <f t="shared" si="7"/>
        <v>63</v>
      </c>
      <c r="M57" s="27">
        <v>1.5316000000000001</v>
      </c>
      <c r="N57" s="27">
        <f t="shared" ref="N57:N102" si="8">H57-M57</f>
        <v>0.64100000000000001</v>
      </c>
      <c r="O57" s="27">
        <v>1.3349</v>
      </c>
      <c r="P57" s="27">
        <v>0.14000000000000001</v>
      </c>
      <c r="Q57" s="27">
        <v>5.96E-2</v>
      </c>
      <c r="R57" s="30">
        <f t="shared" ref="R57:R102" si="9">H57-(P57+Q57)</f>
        <v>1.9730000000000001</v>
      </c>
      <c r="S57" s="27">
        <f t="shared" ref="S57:S102" si="10">((R57-O57)/R57)*100</f>
        <v>32.341611758743035</v>
      </c>
      <c r="U57" s="18">
        <f t="shared" ref="U57:U102" si="11">(O57/R57)*100</f>
        <v>67.658388241256958</v>
      </c>
    </row>
    <row r="58" spans="1:25" x14ac:dyDescent="0.25">
      <c r="A58" s="27" t="s">
        <v>475</v>
      </c>
      <c r="B58" s="27" t="s">
        <v>327</v>
      </c>
      <c r="C58" s="27" t="s">
        <v>16</v>
      </c>
      <c r="D58" s="27" t="s">
        <v>18</v>
      </c>
      <c r="E58" s="27">
        <v>1</v>
      </c>
      <c r="F58" s="80" t="s">
        <v>381</v>
      </c>
      <c r="G58" s="27">
        <v>2.3471000000000002</v>
      </c>
      <c r="H58" s="27">
        <v>2.1825999999999999</v>
      </c>
      <c r="I58" s="28">
        <f t="shared" si="6"/>
        <v>7.5368826170622336</v>
      </c>
      <c r="J58" s="54">
        <v>44452</v>
      </c>
      <c r="K58" s="29">
        <v>44515</v>
      </c>
      <c r="L58" s="27">
        <f t="shared" si="7"/>
        <v>63</v>
      </c>
      <c r="M58" s="27">
        <v>1.5198</v>
      </c>
      <c r="N58" s="27">
        <f t="shared" si="8"/>
        <v>0.66279999999999983</v>
      </c>
      <c r="O58" s="27">
        <v>1.3228</v>
      </c>
      <c r="P58" s="27">
        <v>0.13750000000000001</v>
      </c>
      <c r="Q58" s="27">
        <v>5.9900000000000002E-2</v>
      </c>
      <c r="R58" s="30">
        <f t="shared" si="9"/>
        <v>1.9851999999999999</v>
      </c>
      <c r="S58" s="27">
        <f t="shared" si="10"/>
        <v>33.36691517227483</v>
      </c>
      <c r="U58" s="18">
        <f t="shared" si="11"/>
        <v>66.63308482772517</v>
      </c>
    </row>
    <row r="59" spans="1:25" x14ac:dyDescent="0.25">
      <c r="A59" s="27" t="s">
        <v>475</v>
      </c>
      <c r="B59" s="27" t="s">
        <v>327</v>
      </c>
      <c r="C59" s="27" t="s">
        <v>16</v>
      </c>
      <c r="D59" s="27" t="s">
        <v>18</v>
      </c>
      <c r="E59" s="27">
        <v>2</v>
      </c>
      <c r="F59" s="80" t="s">
        <v>382</v>
      </c>
      <c r="G59" s="27">
        <v>2.3437999999999999</v>
      </c>
      <c r="H59" s="27">
        <v>2.1795</v>
      </c>
      <c r="I59" s="28">
        <f t="shared" si="6"/>
        <v>7.5384262445514976</v>
      </c>
      <c r="J59" s="54">
        <v>44452</v>
      </c>
      <c r="K59" s="29">
        <v>44515</v>
      </c>
      <c r="L59" s="27">
        <f t="shared" si="7"/>
        <v>63</v>
      </c>
      <c r="M59" s="27">
        <v>1.6012</v>
      </c>
      <c r="N59" s="27">
        <f t="shared" si="8"/>
        <v>0.57830000000000004</v>
      </c>
      <c r="O59" s="27">
        <v>1.3976</v>
      </c>
      <c r="P59" s="27">
        <v>0.13900000000000001</v>
      </c>
      <c r="Q59" s="27">
        <v>6.2399999999999997E-2</v>
      </c>
      <c r="R59" s="30">
        <f t="shared" si="9"/>
        <v>1.9781</v>
      </c>
      <c r="S59" s="27">
        <f t="shared" si="10"/>
        <v>29.346342449825592</v>
      </c>
      <c r="U59" s="18">
        <f t="shared" si="11"/>
        <v>70.653657550174415</v>
      </c>
    </row>
    <row r="60" spans="1:25" x14ac:dyDescent="0.25">
      <c r="A60" s="27" t="s">
        <v>475</v>
      </c>
      <c r="B60" s="27" t="s">
        <v>327</v>
      </c>
      <c r="C60" s="27" t="s">
        <v>16</v>
      </c>
      <c r="D60" s="27" t="s">
        <v>19</v>
      </c>
      <c r="E60" s="27">
        <v>1</v>
      </c>
      <c r="F60" s="80" t="s">
        <v>383</v>
      </c>
      <c r="G60" s="27">
        <v>2.2683</v>
      </c>
      <c r="H60" s="27">
        <v>2.1206999999999998</v>
      </c>
      <c r="I60" s="28">
        <f t="shared" si="6"/>
        <v>6.9599660489461117</v>
      </c>
      <c r="J60" s="54">
        <v>44452</v>
      </c>
      <c r="K60" s="29">
        <v>44515</v>
      </c>
      <c r="L60" s="27">
        <f t="shared" si="7"/>
        <v>63</v>
      </c>
      <c r="M60" s="27">
        <v>1.4941</v>
      </c>
      <c r="N60" s="27">
        <f t="shared" si="8"/>
        <v>0.62659999999999982</v>
      </c>
      <c r="O60" s="27">
        <v>1.3066</v>
      </c>
      <c r="P60" s="27">
        <v>0.12820000000000001</v>
      </c>
      <c r="Q60" s="27">
        <v>5.8500000000000003E-2</v>
      </c>
      <c r="R60" s="30">
        <f t="shared" si="9"/>
        <v>1.9339999999999997</v>
      </c>
      <c r="S60" s="27">
        <f t="shared" si="10"/>
        <v>32.440537745604949</v>
      </c>
      <c r="U60" s="18">
        <f t="shared" si="11"/>
        <v>67.559462254395044</v>
      </c>
    </row>
    <row r="61" spans="1:25" x14ac:dyDescent="0.25">
      <c r="A61" s="27" t="s">
        <v>475</v>
      </c>
      <c r="B61" s="27" t="s">
        <v>327</v>
      </c>
      <c r="C61" s="27" t="s">
        <v>16</v>
      </c>
      <c r="D61" s="27" t="s">
        <v>19</v>
      </c>
      <c r="E61" s="27">
        <v>2</v>
      </c>
      <c r="F61" s="80" t="s">
        <v>384</v>
      </c>
      <c r="G61" s="27">
        <v>2.3395000000000001</v>
      </c>
      <c r="H61" s="27">
        <v>2.1768000000000001</v>
      </c>
      <c r="I61" s="28">
        <f t="shared" si="6"/>
        <v>7.4742741639103301</v>
      </c>
      <c r="J61" s="54">
        <v>44452</v>
      </c>
      <c r="K61" s="29">
        <v>44515</v>
      </c>
      <c r="L61" s="27">
        <f t="shared" si="7"/>
        <v>63</v>
      </c>
      <c r="M61" s="27">
        <v>1.4824999999999999</v>
      </c>
      <c r="N61" s="27">
        <f t="shared" si="8"/>
        <v>0.69430000000000014</v>
      </c>
      <c r="O61" s="27">
        <v>1.2863</v>
      </c>
      <c r="P61" s="27">
        <v>0.1419</v>
      </c>
      <c r="Q61" s="27">
        <v>5.7099999999999998E-2</v>
      </c>
      <c r="R61" s="30">
        <f t="shared" si="9"/>
        <v>1.9778</v>
      </c>
      <c r="S61" s="27">
        <f t="shared" si="10"/>
        <v>34.96309030235615</v>
      </c>
      <c r="U61" s="18">
        <f t="shared" si="11"/>
        <v>65.03690969764385</v>
      </c>
    </row>
    <row r="62" spans="1:25" x14ac:dyDescent="0.25">
      <c r="A62" s="27" t="s">
        <v>475</v>
      </c>
      <c r="B62" s="27" t="s">
        <v>327</v>
      </c>
      <c r="C62" s="27" t="s">
        <v>16</v>
      </c>
      <c r="D62" s="27" t="s">
        <v>20</v>
      </c>
      <c r="E62" s="27">
        <v>1</v>
      </c>
      <c r="F62" s="80" t="s">
        <v>385</v>
      </c>
      <c r="G62" s="27">
        <v>2.3376999999999999</v>
      </c>
      <c r="H62" s="27">
        <v>2.1753999999999998</v>
      </c>
      <c r="I62" s="28">
        <f t="shared" si="6"/>
        <v>7.4606968833318064</v>
      </c>
      <c r="J62" s="54">
        <v>44452</v>
      </c>
      <c r="K62" s="29">
        <v>44515</v>
      </c>
      <c r="L62" s="27">
        <f t="shared" si="7"/>
        <v>63</v>
      </c>
      <c r="M62" s="27">
        <v>1.5205</v>
      </c>
      <c r="N62" s="27">
        <f t="shared" si="8"/>
        <v>0.65489999999999982</v>
      </c>
      <c r="O62" s="27">
        <v>1.3288</v>
      </c>
      <c r="P62" s="27">
        <v>0.1321</v>
      </c>
      <c r="Q62" s="27">
        <v>6.1899999999999997E-2</v>
      </c>
      <c r="R62" s="30">
        <f t="shared" si="9"/>
        <v>1.9813999999999998</v>
      </c>
      <c r="S62" s="27">
        <f t="shared" si="10"/>
        <v>32.936307661249614</v>
      </c>
      <c r="U62" s="18">
        <f t="shared" si="11"/>
        <v>67.063692338750386</v>
      </c>
    </row>
    <row r="63" spans="1:25" x14ac:dyDescent="0.25">
      <c r="A63" s="27" t="s">
        <v>475</v>
      </c>
      <c r="B63" s="27" t="s">
        <v>327</v>
      </c>
      <c r="C63" s="27" t="s">
        <v>16</v>
      </c>
      <c r="D63" s="27" t="s">
        <v>20</v>
      </c>
      <c r="E63" s="27">
        <v>2</v>
      </c>
      <c r="F63" s="80" t="s">
        <v>386</v>
      </c>
      <c r="G63" s="27">
        <v>2.3172999999999999</v>
      </c>
      <c r="H63" s="27">
        <v>2.1539000000000001</v>
      </c>
      <c r="I63" s="28">
        <f t="shared" si="6"/>
        <v>7.5862389154556729</v>
      </c>
      <c r="J63" s="54">
        <v>44452</v>
      </c>
      <c r="K63" s="29">
        <v>44515</v>
      </c>
      <c r="L63" s="27">
        <f t="shared" si="7"/>
        <v>63</v>
      </c>
      <c r="M63" s="27">
        <v>1.4411</v>
      </c>
      <c r="N63" s="27">
        <f t="shared" si="8"/>
        <v>0.7128000000000001</v>
      </c>
      <c r="O63" s="27">
        <v>1.2441</v>
      </c>
      <c r="P63" s="27">
        <v>0.13420000000000001</v>
      </c>
      <c r="Q63" s="27">
        <v>6.1600000000000002E-2</v>
      </c>
      <c r="R63" s="30">
        <f t="shared" si="9"/>
        <v>1.9581000000000002</v>
      </c>
      <c r="S63" s="27">
        <f t="shared" si="10"/>
        <v>36.463919105255101</v>
      </c>
      <c r="U63" s="18">
        <f t="shared" si="11"/>
        <v>63.536080894744899</v>
      </c>
    </row>
    <row r="64" spans="1:25" x14ac:dyDescent="0.25">
      <c r="A64" s="31" t="s">
        <v>476</v>
      </c>
      <c r="B64" s="31" t="s">
        <v>328</v>
      </c>
      <c r="C64" s="35" t="s">
        <v>16</v>
      </c>
      <c r="D64" s="35" t="s">
        <v>17</v>
      </c>
      <c r="E64" s="35">
        <v>1</v>
      </c>
      <c r="F64" s="86" t="s">
        <v>387</v>
      </c>
      <c r="G64" s="35">
        <v>2.2898000000000001</v>
      </c>
      <c r="H64" s="35">
        <v>2.1212</v>
      </c>
      <c r="I64" s="36">
        <f t="shared" si="6"/>
        <v>7.9483311333207656</v>
      </c>
      <c r="J64" s="53">
        <v>44459</v>
      </c>
      <c r="K64" s="33">
        <v>44515</v>
      </c>
      <c r="L64" s="35">
        <f t="shared" si="7"/>
        <v>56</v>
      </c>
      <c r="M64" s="35">
        <v>1.4653</v>
      </c>
      <c r="N64" s="35">
        <f t="shared" si="8"/>
        <v>0.65589999999999993</v>
      </c>
      <c r="O64" s="35">
        <v>1.2656000000000001</v>
      </c>
      <c r="P64" s="35">
        <v>0.1348</v>
      </c>
      <c r="Q64" s="35">
        <v>6.7599999999999993E-2</v>
      </c>
      <c r="R64" s="38">
        <f t="shared" si="9"/>
        <v>1.9188000000000001</v>
      </c>
      <c r="S64" s="35">
        <f t="shared" si="10"/>
        <v>34.042109651865751</v>
      </c>
      <c r="T64">
        <f>AVERAGE(O64:O71)</f>
        <v>1.3565749999999999</v>
      </c>
      <c r="U64" s="18">
        <f t="shared" si="11"/>
        <v>65.957890348134256</v>
      </c>
      <c r="V64" s="7">
        <f>AVERAGE(U64:U71)</f>
        <v>69.471523235233946</v>
      </c>
      <c r="W64">
        <f>STDEV(U64:U71)</f>
        <v>2.1599977975310845</v>
      </c>
      <c r="X64">
        <f>AVERAGE(S64:S71)</f>
        <v>30.528476764766054</v>
      </c>
      <c r="Y64">
        <f>STDEV(S64:S71)</f>
        <v>2.1599977975310858</v>
      </c>
    </row>
    <row r="65" spans="1:25" x14ac:dyDescent="0.25">
      <c r="A65" s="31" t="s">
        <v>476</v>
      </c>
      <c r="B65" s="31" t="s">
        <v>328</v>
      </c>
      <c r="C65" s="35" t="s">
        <v>16</v>
      </c>
      <c r="D65" s="35" t="s">
        <v>17</v>
      </c>
      <c r="E65" s="35">
        <v>2</v>
      </c>
      <c r="F65" s="86" t="s">
        <v>388</v>
      </c>
      <c r="G65" s="35">
        <v>2.2645</v>
      </c>
      <c r="H65" s="35">
        <v>2.0958999999999999</v>
      </c>
      <c r="I65" s="36">
        <f t="shared" si="6"/>
        <v>8.0442769216088603</v>
      </c>
      <c r="J65" s="53">
        <v>44459</v>
      </c>
      <c r="K65" s="33">
        <v>44515</v>
      </c>
      <c r="L65" s="35">
        <f t="shared" si="7"/>
        <v>56</v>
      </c>
      <c r="M65" s="35">
        <v>1.4824999999999999</v>
      </c>
      <c r="N65" s="35">
        <f t="shared" si="8"/>
        <v>0.61339999999999995</v>
      </c>
      <c r="O65" s="35">
        <v>1.2758</v>
      </c>
      <c r="P65" s="35">
        <v>0.14280000000000001</v>
      </c>
      <c r="Q65" s="35">
        <v>6.7000000000000004E-2</v>
      </c>
      <c r="R65" s="38">
        <f t="shared" si="9"/>
        <v>1.8860999999999999</v>
      </c>
      <c r="S65" s="35">
        <f t="shared" si="10"/>
        <v>32.357775303536393</v>
      </c>
      <c r="U65" s="18">
        <f t="shared" si="11"/>
        <v>67.6422246964636</v>
      </c>
    </row>
    <row r="66" spans="1:25" x14ac:dyDescent="0.25">
      <c r="A66" s="31" t="s">
        <v>476</v>
      </c>
      <c r="B66" s="31" t="s">
        <v>328</v>
      </c>
      <c r="C66" s="35" t="s">
        <v>16</v>
      </c>
      <c r="D66" s="35" t="s">
        <v>18</v>
      </c>
      <c r="E66" s="35">
        <v>1</v>
      </c>
      <c r="F66" s="86" t="s">
        <v>389</v>
      </c>
      <c r="G66" s="35">
        <v>2.2782</v>
      </c>
      <c r="H66" s="35">
        <v>2.1114999999999999</v>
      </c>
      <c r="I66" s="36">
        <f t="shared" si="6"/>
        <v>7.8948614728865776</v>
      </c>
      <c r="J66" s="53">
        <v>44459</v>
      </c>
      <c r="K66" s="33">
        <v>44515</v>
      </c>
      <c r="L66" s="35">
        <f t="shared" si="7"/>
        <v>56</v>
      </c>
      <c r="M66" s="35">
        <v>1.5851999999999999</v>
      </c>
      <c r="N66" s="35">
        <f t="shared" si="8"/>
        <v>0.52629999999999999</v>
      </c>
      <c r="O66" s="35">
        <v>1.3693</v>
      </c>
      <c r="P66" s="35">
        <v>0.14169999999999999</v>
      </c>
      <c r="Q66" s="35">
        <v>7.0900000000000005E-2</v>
      </c>
      <c r="R66" s="38">
        <f t="shared" si="9"/>
        <v>1.8988999999999998</v>
      </c>
      <c r="S66" s="35">
        <f t="shared" si="10"/>
        <v>27.88983095476328</v>
      </c>
      <c r="U66" s="18">
        <f t="shared" si="11"/>
        <v>72.110169045236717</v>
      </c>
    </row>
    <row r="67" spans="1:25" x14ac:dyDescent="0.25">
      <c r="A67" s="31" t="s">
        <v>476</v>
      </c>
      <c r="B67" s="31" t="s">
        <v>328</v>
      </c>
      <c r="C67" s="35" t="s">
        <v>16</v>
      </c>
      <c r="D67" s="35" t="s">
        <v>18</v>
      </c>
      <c r="E67" s="35">
        <v>2</v>
      </c>
      <c r="F67" s="86" t="s">
        <v>390</v>
      </c>
      <c r="G67" s="35">
        <v>2.3371</v>
      </c>
      <c r="H67" s="35">
        <v>2.1642000000000001</v>
      </c>
      <c r="I67" s="36">
        <f t="shared" si="6"/>
        <v>7.9890952777007582</v>
      </c>
      <c r="J67" s="53">
        <v>44459</v>
      </c>
      <c r="K67" s="33">
        <v>44515</v>
      </c>
      <c r="L67" s="35">
        <f t="shared" si="7"/>
        <v>56</v>
      </c>
      <c r="M67" s="35">
        <v>1.6138999999999999</v>
      </c>
      <c r="N67" s="35">
        <f t="shared" si="8"/>
        <v>0.55030000000000023</v>
      </c>
      <c r="O67" s="35">
        <v>1.4054</v>
      </c>
      <c r="P67" s="35">
        <v>0.14169999999999999</v>
      </c>
      <c r="Q67" s="35">
        <v>6.6799999999999998E-2</v>
      </c>
      <c r="R67" s="38">
        <f t="shared" si="9"/>
        <v>1.9557000000000002</v>
      </c>
      <c r="S67" s="35">
        <f t="shared" si="10"/>
        <v>28.138262514700628</v>
      </c>
      <c r="U67" s="18">
        <f t="shared" si="11"/>
        <v>71.861737485299372</v>
      </c>
    </row>
    <row r="68" spans="1:25" x14ac:dyDescent="0.25">
      <c r="A68" s="31" t="s">
        <v>476</v>
      </c>
      <c r="B68" s="31" t="s">
        <v>328</v>
      </c>
      <c r="C68" s="35" t="s">
        <v>16</v>
      </c>
      <c r="D68" s="35" t="s">
        <v>19</v>
      </c>
      <c r="E68" s="35">
        <v>1</v>
      </c>
      <c r="F68" s="86" t="s">
        <v>391</v>
      </c>
      <c r="G68" s="35">
        <v>2.2642000000000002</v>
      </c>
      <c r="H68" s="35">
        <v>2.1006999999999998</v>
      </c>
      <c r="I68" s="36">
        <f t="shared" si="6"/>
        <v>7.7831199124101706</v>
      </c>
      <c r="J68" s="53">
        <v>44459</v>
      </c>
      <c r="K68" s="33">
        <v>44515</v>
      </c>
      <c r="L68" s="35">
        <f t="shared" si="7"/>
        <v>56</v>
      </c>
      <c r="M68" s="35">
        <v>1.4871000000000001</v>
      </c>
      <c r="N68" s="35">
        <f t="shared" si="8"/>
        <v>0.6135999999999997</v>
      </c>
      <c r="O68" s="35">
        <v>1.2857000000000001</v>
      </c>
      <c r="P68" s="35">
        <v>0.13789999999999999</v>
      </c>
      <c r="Q68" s="35">
        <v>6.9199999999999998E-2</v>
      </c>
      <c r="R68" s="38">
        <f t="shared" si="9"/>
        <v>1.8935999999999997</v>
      </c>
      <c r="S68" s="35">
        <f t="shared" si="10"/>
        <v>32.102872834811983</v>
      </c>
      <c r="U68" s="18">
        <f t="shared" si="11"/>
        <v>67.897127165188024</v>
      </c>
    </row>
    <row r="69" spans="1:25" x14ac:dyDescent="0.25">
      <c r="A69" s="31" t="s">
        <v>476</v>
      </c>
      <c r="B69" s="31" t="s">
        <v>328</v>
      </c>
      <c r="C69" s="35" t="s">
        <v>16</v>
      </c>
      <c r="D69" s="35" t="s">
        <v>19</v>
      </c>
      <c r="E69" s="35">
        <v>2</v>
      </c>
      <c r="F69" s="86" t="s">
        <v>392</v>
      </c>
      <c r="G69" s="35">
        <v>2.4355000000000002</v>
      </c>
      <c r="H69" s="35">
        <v>2.2534999999999998</v>
      </c>
      <c r="I69" s="36">
        <f t="shared" si="6"/>
        <v>8.076325715553601</v>
      </c>
      <c r="J69" s="53">
        <v>44459</v>
      </c>
      <c r="K69" s="33">
        <v>44515</v>
      </c>
      <c r="L69" s="35">
        <f t="shared" si="7"/>
        <v>56</v>
      </c>
      <c r="M69" s="35">
        <v>1.6463000000000001</v>
      </c>
      <c r="N69" s="35">
        <f t="shared" si="8"/>
        <v>0.60719999999999974</v>
      </c>
      <c r="O69" s="35">
        <v>1.446</v>
      </c>
      <c r="P69" s="35">
        <v>0.13950000000000001</v>
      </c>
      <c r="Q69" s="35">
        <v>6.3600000000000004E-2</v>
      </c>
      <c r="R69" s="38">
        <f t="shared" si="9"/>
        <v>2.0503999999999998</v>
      </c>
      <c r="S69" s="35">
        <f t="shared" si="10"/>
        <v>29.477175185329685</v>
      </c>
      <c r="U69" s="18">
        <f t="shared" si="11"/>
        <v>70.522824814670315</v>
      </c>
    </row>
    <row r="70" spans="1:25" x14ac:dyDescent="0.25">
      <c r="A70" s="31" t="s">
        <v>476</v>
      </c>
      <c r="B70" s="31" t="s">
        <v>328</v>
      </c>
      <c r="C70" s="35" t="s">
        <v>16</v>
      </c>
      <c r="D70" s="35" t="s">
        <v>20</v>
      </c>
      <c r="E70" s="35">
        <v>1</v>
      </c>
      <c r="F70" s="86" t="s">
        <v>393</v>
      </c>
      <c r="G70" s="35">
        <v>2.3953000000000002</v>
      </c>
      <c r="H70" s="35">
        <v>2.2172999999999998</v>
      </c>
      <c r="I70" s="36">
        <f t="shared" si="6"/>
        <v>8.0277815361024842</v>
      </c>
      <c r="J70" s="53">
        <v>44459</v>
      </c>
      <c r="K70" s="33">
        <v>44515</v>
      </c>
      <c r="L70" s="35">
        <f t="shared" si="7"/>
        <v>56</v>
      </c>
      <c r="M70" s="35">
        <v>1.6176999999999999</v>
      </c>
      <c r="N70" s="35">
        <f t="shared" si="8"/>
        <v>0.59959999999999991</v>
      </c>
      <c r="O70" s="35">
        <v>1.4141999999999999</v>
      </c>
      <c r="P70" s="35">
        <v>0.13969999999999999</v>
      </c>
      <c r="Q70" s="35">
        <v>6.6299999999999998E-2</v>
      </c>
      <c r="R70" s="38">
        <f t="shared" si="9"/>
        <v>2.0112999999999999</v>
      </c>
      <c r="S70" s="35">
        <f t="shared" si="10"/>
        <v>29.687266941778951</v>
      </c>
      <c r="U70" s="18">
        <f t="shared" si="11"/>
        <v>70.312733058221056</v>
      </c>
    </row>
    <row r="71" spans="1:25" x14ac:dyDescent="0.25">
      <c r="A71" s="31" t="s">
        <v>476</v>
      </c>
      <c r="B71" s="31" t="s">
        <v>328</v>
      </c>
      <c r="C71" s="35" t="s">
        <v>16</v>
      </c>
      <c r="D71" s="35" t="s">
        <v>20</v>
      </c>
      <c r="E71" s="35">
        <v>2</v>
      </c>
      <c r="F71" s="86" t="s">
        <v>394</v>
      </c>
      <c r="G71" s="35">
        <v>2.3795000000000002</v>
      </c>
      <c r="H71" s="38">
        <v>2.2023999999999999</v>
      </c>
      <c r="I71" s="36">
        <f t="shared" si="6"/>
        <v>8.0412277515437829</v>
      </c>
      <c r="J71" s="53">
        <v>44459</v>
      </c>
      <c r="K71" s="33">
        <v>44515</v>
      </c>
      <c r="L71" s="35">
        <f t="shared" si="7"/>
        <v>56</v>
      </c>
      <c r="M71" s="35">
        <v>1.5872999999999999</v>
      </c>
      <c r="N71" s="35">
        <f t="shared" si="8"/>
        <v>0.61509999999999998</v>
      </c>
      <c r="O71" s="35">
        <v>1.3906000000000001</v>
      </c>
      <c r="P71" s="35">
        <v>0.1336</v>
      </c>
      <c r="Q71" s="35">
        <v>6.7000000000000004E-2</v>
      </c>
      <c r="R71" s="38">
        <f t="shared" si="9"/>
        <v>2.0017999999999998</v>
      </c>
      <c r="S71" s="35">
        <f t="shared" si="10"/>
        <v>30.532520731341783</v>
      </c>
      <c r="U71" s="18">
        <f t="shared" si="11"/>
        <v>69.467479268658224</v>
      </c>
    </row>
    <row r="72" spans="1:25" x14ac:dyDescent="0.25">
      <c r="A72" s="39" t="s">
        <v>478</v>
      </c>
      <c r="B72" s="39" t="s">
        <v>329</v>
      </c>
      <c r="C72" s="39" t="s">
        <v>16</v>
      </c>
      <c r="D72" s="39" t="s">
        <v>17</v>
      </c>
      <c r="E72" s="39">
        <v>1</v>
      </c>
      <c r="F72" s="81" t="s">
        <v>395</v>
      </c>
      <c r="G72" s="39">
        <v>2.1349</v>
      </c>
      <c r="H72" s="39">
        <v>2.0419</v>
      </c>
      <c r="I72" s="40">
        <f t="shared" si="6"/>
        <v>4.5545815172143573</v>
      </c>
      <c r="J72" s="53">
        <v>44466</v>
      </c>
      <c r="K72" s="41">
        <v>44524</v>
      </c>
      <c r="L72" s="39">
        <f t="shared" si="7"/>
        <v>58</v>
      </c>
      <c r="M72" s="39">
        <v>1.3371999999999999</v>
      </c>
      <c r="N72" s="39">
        <f t="shared" si="8"/>
        <v>0.7047000000000001</v>
      </c>
      <c r="O72" s="39">
        <v>1.1406000000000001</v>
      </c>
      <c r="P72" s="39">
        <v>0.14050000000000001</v>
      </c>
      <c r="Q72" s="39">
        <v>5.7700000000000001E-2</v>
      </c>
      <c r="R72" s="42">
        <f t="shared" si="9"/>
        <v>1.8437000000000001</v>
      </c>
      <c r="S72" s="39">
        <f t="shared" si="10"/>
        <v>38.135271464988882</v>
      </c>
      <c r="T72">
        <f>AVERAGE(O72:O79)</f>
        <v>1.2359125</v>
      </c>
      <c r="U72" s="18">
        <f t="shared" si="11"/>
        <v>61.864728535011118</v>
      </c>
      <c r="V72" s="7">
        <f>AVERAGE(U72:U79)</f>
        <v>62.939343678453483</v>
      </c>
      <c r="W72">
        <f>STDEV(U72:U79)</f>
        <v>2.7972527883409053</v>
      </c>
      <c r="X72">
        <f>AVERAGE(S72:S79)</f>
        <v>37.06065632154651</v>
      </c>
      <c r="Y72">
        <f>STDEV(S72:S79)</f>
        <v>2.7972527883409022</v>
      </c>
    </row>
    <row r="73" spans="1:25" x14ac:dyDescent="0.25">
      <c r="A73" s="39" t="s">
        <v>478</v>
      </c>
      <c r="B73" s="39" t="s">
        <v>329</v>
      </c>
      <c r="C73" s="39" t="s">
        <v>16</v>
      </c>
      <c r="D73" s="39" t="s">
        <v>17</v>
      </c>
      <c r="E73" s="39">
        <v>2</v>
      </c>
      <c r="F73" s="81" t="s">
        <v>396</v>
      </c>
      <c r="G73" s="39">
        <v>2.3546</v>
      </c>
      <c r="H73" s="39">
        <v>2.2448999999999999</v>
      </c>
      <c r="I73" s="40">
        <f t="shared" si="6"/>
        <v>4.8866319212437146</v>
      </c>
      <c r="J73" s="53">
        <v>44466</v>
      </c>
      <c r="K73" s="41">
        <v>44524</v>
      </c>
      <c r="L73" s="39">
        <f t="shared" si="7"/>
        <v>58</v>
      </c>
      <c r="M73" s="39">
        <v>1.3684000000000001</v>
      </c>
      <c r="N73" s="39">
        <f t="shared" si="8"/>
        <v>0.87649999999999983</v>
      </c>
      <c r="O73" s="39">
        <v>1.1749000000000001</v>
      </c>
      <c r="P73" s="39">
        <v>0.1368</v>
      </c>
      <c r="Q73" s="39">
        <v>5.6899999999999999E-2</v>
      </c>
      <c r="R73" s="42">
        <f t="shared" si="9"/>
        <v>2.0511999999999997</v>
      </c>
      <c r="S73" s="39">
        <f t="shared" si="10"/>
        <v>42.721333853354118</v>
      </c>
      <c r="U73" s="18">
        <f t="shared" si="11"/>
        <v>57.278666146645875</v>
      </c>
    </row>
    <row r="74" spans="1:25" x14ac:dyDescent="0.25">
      <c r="A74" s="39" t="s">
        <v>478</v>
      </c>
      <c r="B74" s="39" t="s">
        <v>329</v>
      </c>
      <c r="C74" s="39" t="s">
        <v>16</v>
      </c>
      <c r="D74" s="39" t="s">
        <v>18</v>
      </c>
      <c r="E74" s="39">
        <v>1</v>
      </c>
      <c r="F74" s="81" t="s">
        <v>397</v>
      </c>
      <c r="G74" s="39">
        <v>2.3115000000000001</v>
      </c>
      <c r="H74" s="39">
        <v>2.2109000000000001</v>
      </c>
      <c r="I74" s="40">
        <f t="shared" si="6"/>
        <v>4.5501831833190112</v>
      </c>
      <c r="J74" s="53">
        <v>44466</v>
      </c>
      <c r="K74" s="41">
        <v>44524</v>
      </c>
      <c r="L74" s="39">
        <f t="shared" si="7"/>
        <v>58</v>
      </c>
      <c r="M74" s="39">
        <v>1.5190999999999999</v>
      </c>
      <c r="N74" s="39">
        <f t="shared" si="8"/>
        <v>0.69180000000000019</v>
      </c>
      <c r="O74" s="39">
        <v>1.3104</v>
      </c>
      <c r="P74" s="39">
        <v>0.13589999999999999</v>
      </c>
      <c r="Q74" s="39">
        <v>6.6799999999999998E-2</v>
      </c>
      <c r="R74" s="42">
        <f t="shared" si="9"/>
        <v>2.0082</v>
      </c>
      <c r="S74" s="39">
        <f t="shared" si="10"/>
        <v>34.747535106065129</v>
      </c>
      <c r="U74" s="18">
        <f t="shared" si="11"/>
        <v>65.252464893934871</v>
      </c>
    </row>
    <row r="75" spans="1:25" x14ac:dyDescent="0.25">
      <c r="A75" s="39" t="s">
        <v>478</v>
      </c>
      <c r="B75" s="39" t="s">
        <v>329</v>
      </c>
      <c r="C75" s="39" t="s">
        <v>16</v>
      </c>
      <c r="D75" s="39" t="s">
        <v>18</v>
      </c>
      <c r="E75" s="39">
        <v>2</v>
      </c>
      <c r="F75" s="81" t="s">
        <v>398</v>
      </c>
      <c r="G75" s="39">
        <v>2.3315000000000001</v>
      </c>
      <c r="H75" s="39">
        <v>2.2219000000000002</v>
      </c>
      <c r="I75" s="40">
        <f t="shared" si="6"/>
        <v>4.9327152437103337</v>
      </c>
      <c r="J75" s="53">
        <v>44466</v>
      </c>
      <c r="K75" s="41">
        <v>44524</v>
      </c>
      <c r="L75" s="39">
        <f t="shared" si="7"/>
        <v>58</v>
      </c>
      <c r="M75" s="39">
        <v>1.4882</v>
      </c>
      <c r="N75" s="39">
        <f t="shared" si="8"/>
        <v>0.73370000000000024</v>
      </c>
      <c r="O75" s="39">
        <v>1.2626999999999999</v>
      </c>
      <c r="P75" s="39">
        <v>0.15279999999999999</v>
      </c>
      <c r="Q75" s="39">
        <v>6.3299999999999995E-2</v>
      </c>
      <c r="R75" s="42">
        <f t="shared" si="9"/>
        <v>2.0058000000000002</v>
      </c>
      <c r="S75" s="39">
        <f t="shared" si="10"/>
        <v>37.047562069997021</v>
      </c>
      <c r="U75" s="18">
        <f t="shared" si="11"/>
        <v>62.952437930002979</v>
      </c>
    </row>
    <row r="76" spans="1:25" x14ac:dyDescent="0.25">
      <c r="A76" s="39" t="s">
        <v>478</v>
      </c>
      <c r="B76" s="39" t="s">
        <v>329</v>
      </c>
      <c r="C76" s="39" t="s">
        <v>16</v>
      </c>
      <c r="D76" s="39" t="s">
        <v>19</v>
      </c>
      <c r="E76" s="39">
        <v>1</v>
      </c>
      <c r="F76" s="81" t="s">
        <v>399</v>
      </c>
      <c r="G76" s="39">
        <v>2.2498</v>
      </c>
      <c r="H76" s="39">
        <v>2.1629</v>
      </c>
      <c r="I76" s="40">
        <f t="shared" si="6"/>
        <v>4.0177539414674728</v>
      </c>
      <c r="J76" s="53">
        <v>44466</v>
      </c>
      <c r="K76" s="41">
        <v>44524</v>
      </c>
      <c r="L76" s="39">
        <f t="shared" si="7"/>
        <v>58</v>
      </c>
      <c r="M76" s="39">
        <v>1.4863999999999999</v>
      </c>
      <c r="N76" s="39">
        <f t="shared" si="8"/>
        <v>0.6765000000000001</v>
      </c>
      <c r="O76" s="39">
        <v>1.2785</v>
      </c>
      <c r="P76" s="39">
        <v>0.13600000000000001</v>
      </c>
      <c r="Q76" s="39">
        <v>6.8400000000000002E-2</v>
      </c>
      <c r="R76" s="42">
        <f t="shared" si="9"/>
        <v>1.9584999999999999</v>
      </c>
      <c r="S76" s="39">
        <f t="shared" si="10"/>
        <v>34.720449323461835</v>
      </c>
      <c r="U76" s="18">
        <f t="shared" si="11"/>
        <v>65.279550676538165</v>
      </c>
    </row>
    <row r="77" spans="1:25" x14ac:dyDescent="0.25">
      <c r="A77" s="39" t="s">
        <v>478</v>
      </c>
      <c r="B77" s="39" t="s">
        <v>329</v>
      </c>
      <c r="C77" s="39" t="s">
        <v>16</v>
      </c>
      <c r="D77" s="39" t="s">
        <v>19</v>
      </c>
      <c r="E77" s="39">
        <v>2</v>
      </c>
      <c r="F77" s="81" t="s">
        <v>400</v>
      </c>
      <c r="G77" s="39">
        <v>2.3012999999999999</v>
      </c>
      <c r="H77" s="39">
        <v>2.1928999999999998</v>
      </c>
      <c r="I77" s="40">
        <f t="shared" si="6"/>
        <v>4.943225865292538</v>
      </c>
      <c r="J77" s="53">
        <v>44466</v>
      </c>
      <c r="K77" s="41">
        <v>44524</v>
      </c>
      <c r="L77" s="39">
        <f t="shared" si="7"/>
        <v>58</v>
      </c>
      <c r="M77" s="39">
        <v>1.4418</v>
      </c>
      <c r="N77" s="39">
        <f t="shared" si="8"/>
        <v>0.75109999999999988</v>
      </c>
      <c r="O77" s="39">
        <v>1.2336</v>
      </c>
      <c r="P77" s="39">
        <v>0.14560000000000001</v>
      </c>
      <c r="Q77" s="39">
        <v>6.3E-2</v>
      </c>
      <c r="R77" s="42">
        <f t="shared" si="9"/>
        <v>1.9842999999999997</v>
      </c>
      <c r="S77" s="39">
        <f t="shared" si="10"/>
        <v>37.83198105125232</v>
      </c>
      <c r="U77" s="18">
        <f t="shared" si="11"/>
        <v>62.168018948747687</v>
      </c>
    </row>
    <row r="78" spans="1:25" x14ac:dyDescent="0.25">
      <c r="A78" s="39" t="s">
        <v>478</v>
      </c>
      <c r="B78" s="39" t="s">
        <v>329</v>
      </c>
      <c r="C78" s="39" t="s">
        <v>16</v>
      </c>
      <c r="D78" s="39" t="s">
        <v>20</v>
      </c>
      <c r="E78" s="39">
        <v>1</v>
      </c>
      <c r="F78" s="81" t="s">
        <v>401</v>
      </c>
      <c r="G78" s="39">
        <v>2.1939000000000002</v>
      </c>
      <c r="H78" s="39">
        <v>2.0971000000000002</v>
      </c>
      <c r="I78" s="40">
        <f t="shared" si="6"/>
        <v>4.6158981450574599</v>
      </c>
      <c r="J78" s="53">
        <v>44466</v>
      </c>
      <c r="K78" s="41">
        <v>44524</v>
      </c>
      <c r="L78" s="39">
        <f t="shared" si="7"/>
        <v>58</v>
      </c>
      <c r="M78" s="39">
        <v>1.4533</v>
      </c>
      <c r="N78" s="39">
        <f t="shared" si="8"/>
        <v>0.64380000000000015</v>
      </c>
      <c r="O78" s="39">
        <v>1.2595000000000001</v>
      </c>
      <c r="P78" s="39">
        <v>0.1371</v>
      </c>
      <c r="Q78" s="39">
        <v>5.4800000000000001E-2</v>
      </c>
      <c r="R78" s="42">
        <f t="shared" si="9"/>
        <v>1.9052000000000002</v>
      </c>
      <c r="S78" s="39">
        <f t="shared" si="10"/>
        <v>33.891454965357973</v>
      </c>
      <c r="U78" s="18">
        <f t="shared" si="11"/>
        <v>66.108545034642034</v>
      </c>
    </row>
    <row r="79" spans="1:25" x14ac:dyDescent="0.25">
      <c r="A79" s="39" t="s">
        <v>478</v>
      </c>
      <c r="B79" s="39" t="s">
        <v>329</v>
      </c>
      <c r="C79" s="39" t="s">
        <v>16</v>
      </c>
      <c r="D79" s="39" t="s">
        <v>20</v>
      </c>
      <c r="E79" s="39">
        <v>2</v>
      </c>
      <c r="F79" s="81" t="s">
        <v>402</v>
      </c>
      <c r="G79" s="39">
        <v>2.258</v>
      </c>
      <c r="H79" s="39">
        <v>2.157</v>
      </c>
      <c r="I79" s="40">
        <f t="shared" si="6"/>
        <v>4.6824292999536379</v>
      </c>
      <c r="J79" s="53">
        <v>44466</v>
      </c>
      <c r="K79" s="41">
        <v>44524</v>
      </c>
      <c r="L79" s="39">
        <f t="shared" si="7"/>
        <v>58</v>
      </c>
      <c r="M79" s="39">
        <v>1.4257</v>
      </c>
      <c r="N79" s="39">
        <f t="shared" si="8"/>
        <v>0.73130000000000006</v>
      </c>
      <c r="O79" s="39">
        <v>1.2271000000000001</v>
      </c>
      <c r="P79" s="39">
        <v>0.14000000000000001</v>
      </c>
      <c r="Q79" s="39">
        <v>5.7099999999999998E-2</v>
      </c>
      <c r="R79" s="42">
        <f t="shared" si="9"/>
        <v>1.9599</v>
      </c>
      <c r="S79" s="39">
        <f t="shared" si="10"/>
        <v>37.389662737894788</v>
      </c>
      <c r="U79" s="18">
        <f t="shared" si="11"/>
        <v>62.610337262105212</v>
      </c>
    </row>
    <row r="80" spans="1:25" x14ac:dyDescent="0.25">
      <c r="A80" s="43" t="s">
        <v>477</v>
      </c>
      <c r="B80" s="43" t="s">
        <v>330</v>
      </c>
      <c r="C80" s="43" t="s">
        <v>16</v>
      </c>
      <c r="D80" s="43" t="s">
        <v>17</v>
      </c>
      <c r="E80" s="43">
        <v>1</v>
      </c>
      <c r="F80" s="82" t="s">
        <v>403</v>
      </c>
      <c r="G80" s="43">
        <v>2.2722000000000002</v>
      </c>
      <c r="H80" s="43">
        <v>2.1172</v>
      </c>
      <c r="I80" s="44">
        <f t="shared" si="6"/>
        <v>7.3209899867749977</v>
      </c>
      <c r="J80" s="53">
        <v>44473</v>
      </c>
      <c r="K80" s="45">
        <v>44524</v>
      </c>
      <c r="L80" s="43">
        <f t="shared" si="7"/>
        <v>51</v>
      </c>
      <c r="M80" s="43">
        <v>1.4380999999999999</v>
      </c>
      <c r="N80" s="43">
        <f t="shared" si="8"/>
        <v>0.67910000000000004</v>
      </c>
      <c r="O80" s="43">
        <v>1.2243999999999999</v>
      </c>
      <c r="P80" s="43">
        <v>0.13239999999999999</v>
      </c>
      <c r="Q80" s="43">
        <v>7.0099999999999996E-2</v>
      </c>
      <c r="R80" s="46">
        <f t="shared" si="9"/>
        <v>1.9147000000000001</v>
      </c>
      <c r="S80" s="43">
        <f t="shared" si="10"/>
        <v>36.052645323027107</v>
      </c>
      <c r="T80">
        <f>AVERAGE(O80:O87)</f>
        <v>1.249825</v>
      </c>
      <c r="U80" s="18">
        <f t="shared" si="11"/>
        <v>63.947354676972893</v>
      </c>
      <c r="V80" s="7">
        <f>AVERAGE(U80:U87)</f>
        <v>65.638589052040118</v>
      </c>
      <c r="W80">
        <f>STDEV(U80:U87)</f>
        <v>1.5830097380477042</v>
      </c>
      <c r="X80">
        <f>AVERAGE(S80:S87)</f>
        <v>34.361410947959875</v>
      </c>
      <c r="Y80">
        <f>STDEV(S80:S87)</f>
        <v>1.5830097380477066</v>
      </c>
    </row>
    <row r="81" spans="1:25" x14ac:dyDescent="0.25">
      <c r="A81" s="43" t="s">
        <v>477</v>
      </c>
      <c r="B81" s="43" t="s">
        <v>330</v>
      </c>
      <c r="C81" s="43" t="s">
        <v>16</v>
      </c>
      <c r="D81" s="43" t="s">
        <v>17</v>
      </c>
      <c r="E81" s="43">
        <v>2</v>
      </c>
      <c r="F81" s="82" t="s">
        <v>404</v>
      </c>
      <c r="G81" s="43">
        <v>2.2726000000000002</v>
      </c>
      <c r="H81" s="43">
        <v>2.1206</v>
      </c>
      <c r="I81" s="44">
        <f t="shared" si="6"/>
        <v>7.167782703008589</v>
      </c>
      <c r="J81" s="53">
        <v>44473</v>
      </c>
      <c r="K81" s="45">
        <v>44524</v>
      </c>
      <c r="L81" s="43">
        <f t="shared" si="7"/>
        <v>51</v>
      </c>
      <c r="M81" s="43">
        <v>1.4222999999999999</v>
      </c>
      <c r="N81" s="43">
        <f t="shared" si="8"/>
        <v>0.69830000000000014</v>
      </c>
      <c r="O81" s="43">
        <v>1.2203999999999999</v>
      </c>
      <c r="P81" s="43">
        <v>0.13439999999999999</v>
      </c>
      <c r="Q81" s="43">
        <v>6.6600000000000006E-2</v>
      </c>
      <c r="R81" s="46">
        <f t="shared" si="9"/>
        <v>1.9196</v>
      </c>
      <c r="S81" s="43">
        <f t="shared" si="10"/>
        <v>36.424255053136072</v>
      </c>
      <c r="U81" s="18">
        <f t="shared" si="11"/>
        <v>63.575744946863935</v>
      </c>
    </row>
    <row r="82" spans="1:25" x14ac:dyDescent="0.25">
      <c r="A82" s="43" t="s">
        <v>477</v>
      </c>
      <c r="B82" s="43" t="s">
        <v>330</v>
      </c>
      <c r="C82" s="43" t="s">
        <v>16</v>
      </c>
      <c r="D82" s="43" t="s">
        <v>18</v>
      </c>
      <c r="E82" s="43">
        <v>1</v>
      </c>
      <c r="F82" s="82" t="s">
        <v>405</v>
      </c>
      <c r="G82" s="46">
        <v>2.3473999999999999</v>
      </c>
      <c r="H82" s="43">
        <v>2.1867000000000001</v>
      </c>
      <c r="I82" s="44">
        <f t="shared" si="6"/>
        <v>7.3489733388210468</v>
      </c>
      <c r="J82" s="53">
        <v>44473</v>
      </c>
      <c r="K82" s="45">
        <v>44524</v>
      </c>
      <c r="L82" s="43">
        <f t="shared" si="7"/>
        <v>51</v>
      </c>
      <c r="M82" s="43">
        <v>1.4941</v>
      </c>
      <c r="N82" s="43">
        <f t="shared" si="8"/>
        <v>0.6926000000000001</v>
      </c>
      <c r="O82" s="43">
        <v>1.2911999999999999</v>
      </c>
      <c r="P82" s="43">
        <v>0.13689999999999999</v>
      </c>
      <c r="Q82" s="43">
        <v>6.7299999999999999E-2</v>
      </c>
      <c r="R82" s="46">
        <f t="shared" si="9"/>
        <v>1.9825000000000002</v>
      </c>
      <c r="S82" s="43">
        <f t="shared" si="10"/>
        <v>34.870113493064324</v>
      </c>
      <c r="U82" s="18">
        <f t="shared" si="11"/>
        <v>65.129886506935676</v>
      </c>
    </row>
    <row r="83" spans="1:25" x14ac:dyDescent="0.25">
      <c r="A83" s="43" t="s">
        <v>477</v>
      </c>
      <c r="B83" s="43" t="s">
        <v>330</v>
      </c>
      <c r="C83" s="43" t="s">
        <v>16</v>
      </c>
      <c r="D83" s="43" t="s">
        <v>18</v>
      </c>
      <c r="E83" s="43">
        <v>2</v>
      </c>
      <c r="F83" s="82" t="s">
        <v>406</v>
      </c>
      <c r="G83" s="46">
        <v>2.2623000000000002</v>
      </c>
      <c r="H83" s="43">
        <v>2.11</v>
      </c>
      <c r="I83" s="44">
        <f t="shared" si="6"/>
        <v>7.2180094786730011</v>
      </c>
      <c r="J83" s="53">
        <v>44473</v>
      </c>
      <c r="K83" s="45">
        <v>44524</v>
      </c>
      <c r="L83" s="43">
        <f t="shared" si="7"/>
        <v>51</v>
      </c>
      <c r="M83" s="43">
        <v>1.45</v>
      </c>
      <c r="N83" s="43">
        <f t="shared" si="8"/>
        <v>0.65999999999999992</v>
      </c>
      <c r="O83" s="43">
        <v>1.2437</v>
      </c>
      <c r="P83" s="43">
        <v>0.1391</v>
      </c>
      <c r="Q83" s="43">
        <v>6.8400000000000002E-2</v>
      </c>
      <c r="R83" s="46">
        <f t="shared" si="9"/>
        <v>1.9024999999999999</v>
      </c>
      <c r="S83" s="43">
        <f t="shared" si="10"/>
        <v>34.628120893561096</v>
      </c>
      <c r="U83" s="18">
        <f t="shared" si="11"/>
        <v>65.371879106438897</v>
      </c>
    </row>
    <row r="84" spans="1:25" x14ac:dyDescent="0.25">
      <c r="A84" s="43" t="s">
        <v>477</v>
      </c>
      <c r="B84" s="43" t="s">
        <v>330</v>
      </c>
      <c r="C84" s="43" t="s">
        <v>16</v>
      </c>
      <c r="D84" s="43" t="s">
        <v>19</v>
      </c>
      <c r="E84" s="43">
        <v>1</v>
      </c>
      <c r="F84" s="82" t="s">
        <v>407</v>
      </c>
      <c r="G84" s="43">
        <v>2.2073</v>
      </c>
      <c r="H84" s="43">
        <v>2.0617000000000001</v>
      </c>
      <c r="I84" s="44">
        <f t="shared" si="6"/>
        <v>7.0621331910559224</v>
      </c>
      <c r="J84" s="53">
        <v>44473</v>
      </c>
      <c r="K84" s="45">
        <v>44524</v>
      </c>
      <c r="L84" s="43">
        <f t="shared" si="7"/>
        <v>51</v>
      </c>
      <c r="M84" s="43">
        <v>1.4507000000000001</v>
      </c>
      <c r="N84" s="43">
        <f t="shared" si="8"/>
        <v>0.61099999999999999</v>
      </c>
      <c r="O84" s="43">
        <v>1.2407999999999999</v>
      </c>
      <c r="P84" s="43">
        <v>0.13700000000000001</v>
      </c>
      <c r="Q84" s="43">
        <v>6.9000000000000006E-2</v>
      </c>
      <c r="R84" s="46">
        <f t="shared" si="9"/>
        <v>1.8557000000000001</v>
      </c>
      <c r="S84" s="43">
        <f t="shared" si="10"/>
        <v>33.135743924125677</v>
      </c>
      <c r="U84" s="18">
        <f t="shared" si="11"/>
        <v>66.864256075874323</v>
      </c>
    </row>
    <row r="85" spans="1:25" x14ac:dyDescent="0.25">
      <c r="A85" s="43" t="s">
        <v>477</v>
      </c>
      <c r="B85" s="43" t="s">
        <v>330</v>
      </c>
      <c r="C85" s="43" t="s">
        <v>16</v>
      </c>
      <c r="D85" s="43" t="s">
        <v>19</v>
      </c>
      <c r="E85" s="43">
        <v>2</v>
      </c>
      <c r="F85" s="82" t="s">
        <v>408</v>
      </c>
      <c r="G85" s="43">
        <v>2.2884000000000002</v>
      </c>
      <c r="H85" s="43">
        <v>2.1335999999999999</v>
      </c>
      <c r="I85" s="44">
        <f t="shared" si="6"/>
        <v>7.2553430821147487</v>
      </c>
      <c r="J85" s="53">
        <v>44473</v>
      </c>
      <c r="K85" s="45">
        <v>44524</v>
      </c>
      <c r="L85" s="43">
        <f t="shared" si="7"/>
        <v>51</v>
      </c>
      <c r="M85" s="43">
        <v>1.5261</v>
      </c>
      <c r="N85" s="43">
        <f t="shared" si="8"/>
        <v>0.60749999999999993</v>
      </c>
      <c r="O85" s="43">
        <v>1.3153999999999999</v>
      </c>
      <c r="P85" s="43">
        <v>0.13930000000000001</v>
      </c>
      <c r="Q85" s="43">
        <v>7.0699999999999999E-2</v>
      </c>
      <c r="R85" s="46">
        <f t="shared" si="9"/>
        <v>1.9236</v>
      </c>
      <c r="S85" s="43">
        <f t="shared" si="10"/>
        <v>31.617799958411318</v>
      </c>
      <c r="U85" s="18">
        <f t="shared" si="11"/>
        <v>68.382200041588675</v>
      </c>
    </row>
    <row r="86" spans="1:25" x14ac:dyDescent="0.25">
      <c r="A86" s="43" t="s">
        <v>477</v>
      </c>
      <c r="B86" s="43" t="s">
        <v>330</v>
      </c>
      <c r="C86" s="43" t="s">
        <v>16</v>
      </c>
      <c r="D86" s="43" t="s">
        <v>20</v>
      </c>
      <c r="E86" s="43">
        <v>1</v>
      </c>
      <c r="F86" s="82" t="s">
        <v>409</v>
      </c>
      <c r="G86" s="43">
        <v>2.2572000000000001</v>
      </c>
      <c r="H86" s="46">
        <v>2.1027999999999998</v>
      </c>
      <c r="I86" s="44">
        <f t="shared" si="6"/>
        <v>7.3425908312726049</v>
      </c>
      <c r="J86" s="53">
        <v>44473</v>
      </c>
      <c r="K86" s="45">
        <v>44524</v>
      </c>
      <c r="L86" s="43">
        <f t="shared" si="7"/>
        <v>51</v>
      </c>
      <c r="M86" s="43">
        <v>1.4684999999999999</v>
      </c>
      <c r="N86" s="46">
        <f t="shared" si="8"/>
        <v>0.63429999999999986</v>
      </c>
      <c r="O86" s="43">
        <v>1.2654000000000001</v>
      </c>
      <c r="P86" s="43">
        <v>0.13420000000000001</v>
      </c>
      <c r="Q86" s="43">
        <v>6.8400000000000002E-2</v>
      </c>
      <c r="R86" s="46">
        <f t="shared" si="9"/>
        <v>1.9001999999999999</v>
      </c>
      <c r="S86" s="43">
        <f t="shared" si="10"/>
        <v>33.407009788443318</v>
      </c>
      <c r="U86" s="18">
        <f t="shared" si="11"/>
        <v>66.592990211556696</v>
      </c>
    </row>
    <row r="87" spans="1:25" x14ac:dyDescent="0.25">
      <c r="A87" s="43" t="s">
        <v>477</v>
      </c>
      <c r="B87" s="43" t="s">
        <v>330</v>
      </c>
      <c r="C87" s="43" t="s">
        <v>16</v>
      </c>
      <c r="D87" s="43" t="s">
        <v>20</v>
      </c>
      <c r="E87" s="43">
        <v>2</v>
      </c>
      <c r="F87" s="82" t="s">
        <v>410</v>
      </c>
      <c r="G87" s="43">
        <v>2.1960000000000002</v>
      </c>
      <c r="H87" s="43">
        <v>2.0497000000000001</v>
      </c>
      <c r="I87" s="44">
        <f t="shared" si="6"/>
        <v>7.1376298970581109</v>
      </c>
      <c r="J87" s="53">
        <v>44473</v>
      </c>
      <c r="K87" s="45">
        <v>44524</v>
      </c>
      <c r="L87" s="43">
        <f t="shared" si="7"/>
        <v>51</v>
      </c>
      <c r="M87" s="43">
        <v>1.4149</v>
      </c>
      <c r="N87" s="43">
        <f t="shared" si="8"/>
        <v>0.63480000000000003</v>
      </c>
      <c r="O87" s="43">
        <v>1.1973</v>
      </c>
      <c r="P87" s="43">
        <v>0.14560000000000001</v>
      </c>
      <c r="Q87" s="43">
        <v>6.9000000000000006E-2</v>
      </c>
      <c r="R87" s="46">
        <f t="shared" si="9"/>
        <v>1.8351000000000002</v>
      </c>
      <c r="S87" s="43">
        <f t="shared" si="10"/>
        <v>34.755599149910097</v>
      </c>
      <c r="U87" s="18">
        <f t="shared" si="11"/>
        <v>65.244400850089917</v>
      </c>
    </row>
    <row r="88" spans="1:25" x14ac:dyDescent="0.25">
      <c r="A88" s="47" t="s">
        <v>479</v>
      </c>
      <c r="B88" s="47" t="s">
        <v>331</v>
      </c>
      <c r="C88" s="47" t="s">
        <v>16</v>
      </c>
      <c r="D88" s="47" t="s">
        <v>17</v>
      </c>
      <c r="E88" s="47">
        <v>1</v>
      </c>
      <c r="F88" s="83" t="s">
        <v>411</v>
      </c>
      <c r="G88" s="47">
        <v>2.2547999999999999</v>
      </c>
      <c r="H88" s="47">
        <v>2.1156000000000001</v>
      </c>
      <c r="I88" s="49">
        <f t="shared" si="6"/>
        <v>6.5796937039137724</v>
      </c>
      <c r="J88" s="53">
        <v>44480</v>
      </c>
      <c r="K88" s="50"/>
      <c r="L88" s="47">
        <f t="shared" si="7"/>
        <v>-44480</v>
      </c>
      <c r="M88" s="47"/>
      <c r="N88" s="47">
        <f t="shared" si="8"/>
        <v>2.1156000000000001</v>
      </c>
      <c r="O88" s="47"/>
      <c r="P88" s="47"/>
      <c r="Q88" s="47"/>
      <c r="R88" s="48">
        <f t="shared" si="9"/>
        <v>2.1156000000000001</v>
      </c>
      <c r="S88" s="47">
        <f t="shared" si="10"/>
        <v>100</v>
      </c>
      <c r="T88" t="e">
        <f>AVERAGE(O88:O95)</f>
        <v>#DIV/0!</v>
      </c>
      <c r="U88" s="18">
        <f t="shared" si="11"/>
        <v>0</v>
      </c>
      <c r="V88" s="7">
        <f>AVERAGE(U88:U95)</f>
        <v>0</v>
      </c>
      <c r="W88">
        <f>STDEV(U88:U95)</f>
        <v>0</v>
      </c>
      <c r="X88">
        <f>AVERAGE(S88:S95)</f>
        <v>100</v>
      </c>
      <c r="Y88">
        <f>STDEV(S88:S95)</f>
        <v>0</v>
      </c>
    </row>
    <row r="89" spans="1:25" x14ac:dyDescent="0.25">
      <c r="A89" s="47" t="s">
        <v>479</v>
      </c>
      <c r="B89" s="47" t="s">
        <v>331</v>
      </c>
      <c r="C89" s="47" t="s">
        <v>16</v>
      </c>
      <c r="D89" s="47" t="s">
        <v>17</v>
      </c>
      <c r="E89" s="47">
        <v>2</v>
      </c>
      <c r="F89" s="83" t="s">
        <v>412</v>
      </c>
      <c r="G89" s="47">
        <v>2.1855000000000002</v>
      </c>
      <c r="H89" s="47">
        <v>2.0449999999999999</v>
      </c>
      <c r="I89" s="49">
        <f t="shared" si="6"/>
        <v>6.8704156479217753</v>
      </c>
      <c r="J89" s="53">
        <v>44480</v>
      </c>
      <c r="K89" s="50"/>
      <c r="L89" s="47">
        <f t="shared" si="7"/>
        <v>-44480</v>
      </c>
      <c r="M89" s="47"/>
      <c r="N89" s="47">
        <f t="shared" si="8"/>
        <v>2.0449999999999999</v>
      </c>
      <c r="O89" s="47"/>
      <c r="P89" s="47"/>
      <c r="Q89" s="47"/>
      <c r="R89" s="48">
        <f t="shared" si="9"/>
        <v>2.0449999999999999</v>
      </c>
      <c r="S89" s="47">
        <f t="shared" si="10"/>
        <v>100</v>
      </c>
      <c r="U89" s="18">
        <f t="shared" si="11"/>
        <v>0</v>
      </c>
    </row>
    <row r="90" spans="1:25" x14ac:dyDescent="0.25">
      <c r="A90" s="47" t="s">
        <v>479</v>
      </c>
      <c r="B90" s="47" t="s">
        <v>331</v>
      </c>
      <c r="C90" s="47" t="s">
        <v>16</v>
      </c>
      <c r="D90" s="47" t="s">
        <v>18</v>
      </c>
      <c r="E90" s="47">
        <v>1</v>
      </c>
      <c r="F90" s="83" t="s">
        <v>413</v>
      </c>
      <c r="G90" s="47">
        <v>2.2541000000000002</v>
      </c>
      <c r="H90" s="47">
        <v>2.1124000000000001</v>
      </c>
      <c r="I90" s="49">
        <f t="shared" si="6"/>
        <v>6.7080098466199649</v>
      </c>
      <c r="J90" s="53">
        <v>44480</v>
      </c>
      <c r="K90" s="50"/>
      <c r="L90" s="47">
        <f t="shared" si="7"/>
        <v>-44480</v>
      </c>
      <c r="M90" s="47"/>
      <c r="N90" s="47">
        <f t="shared" si="8"/>
        <v>2.1124000000000001</v>
      </c>
      <c r="O90" s="47"/>
      <c r="P90" s="47"/>
      <c r="Q90" s="47"/>
      <c r="R90" s="48">
        <f t="shared" si="9"/>
        <v>2.1124000000000001</v>
      </c>
      <c r="S90" s="47">
        <f t="shared" si="10"/>
        <v>100</v>
      </c>
      <c r="U90" s="18">
        <f t="shared" si="11"/>
        <v>0</v>
      </c>
    </row>
    <row r="91" spans="1:25" x14ac:dyDescent="0.25">
      <c r="A91" s="47" t="s">
        <v>479</v>
      </c>
      <c r="B91" s="47" t="s">
        <v>331</v>
      </c>
      <c r="C91" s="47" t="s">
        <v>16</v>
      </c>
      <c r="D91" s="47" t="s">
        <v>18</v>
      </c>
      <c r="E91" s="47">
        <v>2</v>
      </c>
      <c r="F91" s="83" t="s">
        <v>414</v>
      </c>
      <c r="G91" s="48">
        <v>2.2700999999999998</v>
      </c>
      <c r="H91" s="47">
        <v>2.1211000000000002</v>
      </c>
      <c r="I91" s="49">
        <f t="shared" si="6"/>
        <v>7.024657017585195</v>
      </c>
      <c r="J91" s="53">
        <v>44480</v>
      </c>
      <c r="K91" s="50"/>
      <c r="L91" s="47">
        <f t="shared" si="7"/>
        <v>-44480</v>
      </c>
      <c r="M91" s="47"/>
      <c r="N91" s="47">
        <f t="shared" si="8"/>
        <v>2.1211000000000002</v>
      </c>
      <c r="O91" s="47"/>
      <c r="P91" s="47"/>
      <c r="Q91" s="47"/>
      <c r="R91" s="48">
        <f t="shared" si="9"/>
        <v>2.1211000000000002</v>
      </c>
      <c r="S91" s="47">
        <f t="shared" si="10"/>
        <v>100</v>
      </c>
      <c r="U91" s="18">
        <f t="shared" si="11"/>
        <v>0</v>
      </c>
    </row>
    <row r="92" spans="1:25" x14ac:dyDescent="0.25">
      <c r="A92" s="47" t="s">
        <v>479</v>
      </c>
      <c r="B92" s="47" t="s">
        <v>331</v>
      </c>
      <c r="C92" s="47" t="s">
        <v>16</v>
      </c>
      <c r="D92" s="47" t="s">
        <v>19</v>
      </c>
      <c r="E92" s="47">
        <v>1</v>
      </c>
      <c r="F92" s="83" t="s">
        <v>415</v>
      </c>
      <c r="G92" s="47">
        <v>2.165</v>
      </c>
      <c r="H92" s="47">
        <v>2.0331000000000001</v>
      </c>
      <c r="I92" s="49">
        <f t="shared" si="6"/>
        <v>6.4876297280015693</v>
      </c>
      <c r="J92" s="53">
        <v>44480</v>
      </c>
      <c r="K92" s="50"/>
      <c r="L92" s="47">
        <f t="shared" si="7"/>
        <v>-44480</v>
      </c>
      <c r="M92" s="47"/>
      <c r="N92" s="47">
        <f t="shared" si="8"/>
        <v>2.0331000000000001</v>
      </c>
      <c r="O92" s="47"/>
      <c r="P92" s="47"/>
      <c r="Q92" s="47"/>
      <c r="R92" s="48">
        <f t="shared" si="9"/>
        <v>2.0331000000000001</v>
      </c>
      <c r="S92" s="47">
        <f t="shared" si="10"/>
        <v>100</v>
      </c>
      <c r="U92" s="18">
        <f t="shared" si="11"/>
        <v>0</v>
      </c>
    </row>
    <row r="93" spans="1:25" x14ac:dyDescent="0.25">
      <c r="A93" s="47" t="s">
        <v>479</v>
      </c>
      <c r="B93" s="47" t="s">
        <v>331</v>
      </c>
      <c r="C93" s="47" t="s">
        <v>16</v>
      </c>
      <c r="D93" s="47" t="s">
        <v>19</v>
      </c>
      <c r="E93" s="47">
        <v>2</v>
      </c>
      <c r="F93" s="83" t="s">
        <v>416</v>
      </c>
      <c r="G93" s="47">
        <v>2.2604000000000002</v>
      </c>
      <c r="H93" s="47">
        <v>2.1166</v>
      </c>
      <c r="I93" s="49">
        <f t="shared" si="6"/>
        <v>6.7939147689691088</v>
      </c>
      <c r="J93" s="53">
        <v>44480</v>
      </c>
      <c r="K93" s="50"/>
      <c r="L93" s="47">
        <f t="shared" si="7"/>
        <v>-44480</v>
      </c>
      <c r="M93" s="47"/>
      <c r="N93" s="47">
        <f t="shared" si="8"/>
        <v>2.1166</v>
      </c>
      <c r="O93" s="47"/>
      <c r="P93" s="47"/>
      <c r="Q93" s="47"/>
      <c r="R93" s="48">
        <f t="shared" si="9"/>
        <v>2.1166</v>
      </c>
      <c r="S93" s="47">
        <f t="shared" si="10"/>
        <v>100</v>
      </c>
      <c r="U93" s="18">
        <f t="shared" si="11"/>
        <v>0</v>
      </c>
    </row>
    <row r="94" spans="1:25" x14ac:dyDescent="0.25">
      <c r="A94" s="47" t="s">
        <v>479</v>
      </c>
      <c r="B94" s="47" t="s">
        <v>331</v>
      </c>
      <c r="C94" s="47" t="s">
        <v>16</v>
      </c>
      <c r="D94" s="47" t="s">
        <v>20</v>
      </c>
      <c r="E94" s="47">
        <v>1</v>
      </c>
      <c r="F94" s="83" t="s">
        <v>417</v>
      </c>
      <c r="G94" s="47">
        <v>2.2862</v>
      </c>
      <c r="H94" s="47">
        <v>2.1408999999999998</v>
      </c>
      <c r="I94" s="49">
        <f t="shared" si="6"/>
        <v>6.7868653370078107</v>
      </c>
      <c r="J94" s="53">
        <v>44480</v>
      </c>
      <c r="K94" s="50"/>
      <c r="L94" s="47">
        <f t="shared" si="7"/>
        <v>-44480</v>
      </c>
      <c r="M94" s="47"/>
      <c r="N94" s="47">
        <f t="shared" si="8"/>
        <v>2.1408999999999998</v>
      </c>
      <c r="O94" s="47"/>
      <c r="P94" s="47"/>
      <c r="Q94" s="47"/>
      <c r="R94" s="48">
        <f t="shared" si="9"/>
        <v>2.1408999999999998</v>
      </c>
      <c r="S94" s="47">
        <f t="shared" si="10"/>
        <v>100</v>
      </c>
      <c r="U94" s="18">
        <f t="shared" si="11"/>
        <v>0</v>
      </c>
    </row>
    <row r="95" spans="1:25" x14ac:dyDescent="0.25">
      <c r="A95" s="47" t="s">
        <v>479</v>
      </c>
      <c r="B95" s="47" t="s">
        <v>331</v>
      </c>
      <c r="C95" s="47" t="s">
        <v>16</v>
      </c>
      <c r="D95" s="47" t="s">
        <v>20</v>
      </c>
      <c r="E95" s="47">
        <v>2</v>
      </c>
      <c r="F95" s="83" t="s">
        <v>418</v>
      </c>
      <c r="G95" s="47">
        <v>2.2099000000000002</v>
      </c>
      <c r="H95" s="47">
        <v>2.0663999999999998</v>
      </c>
      <c r="I95" s="49">
        <f t="shared" si="6"/>
        <v>6.9444444444444642</v>
      </c>
      <c r="J95" s="53">
        <v>44480</v>
      </c>
      <c r="K95" s="50"/>
      <c r="L95" s="47">
        <f t="shared" si="7"/>
        <v>-44480</v>
      </c>
      <c r="M95" s="47"/>
      <c r="N95" s="47">
        <f t="shared" si="8"/>
        <v>2.0663999999999998</v>
      </c>
      <c r="O95" s="47"/>
      <c r="P95" s="47"/>
      <c r="Q95" s="47"/>
      <c r="R95" s="48">
        <f t="shared" si="9"/>
        <v>2.0663999999999998</v>
      </c>
      <c r="S95" s="47">
        <f t="shared" si="10"/>
        <v>100</v>
      </c>
      <c r="U95" s="18">
        <f t="shared" si="11"/>
        <v>0</v>
      </c>
    </row>
    <row r="96" spans="1:25" x14ac:dyDescent="0.25">
      <c r="A96" s="76" t="s">
        <v>474</v>
      </c>
      <c r="B96" s="76" t="s">
        <v>100</v>
      </c>
      <c r="C96" s="76" t="s">
        <v>16</v>
      </c>
      <c r="D96" s="76" t="s">
        <v>17</v>
      </c>
      <c r="E96" s="76">
        <v>1</v>
      </c>
      <c r="F96" s="84" t="s">
        <v>419</v>
      </c>
      <c r="G96" s="76">
        <v>2.3180999999999998</v>
      </c>
      <c r="H96" s="76">
        <v>2.1453000000000002</v>
      </c>
      <c r="I96" s="77">
        <f t="shared" si="6"/>
        <v>8.0548175080408146</v>
      </c>
      <c r="J96" s="53">
        <v>44496</v>
      </c>
      <c r="K96" s="78">
        <v>44545</v>
      </c>
      <c r="L96" s="76">
        <f t="shared" si="7"/>
        <v>49</v>
      </c>
      <c r="M96" s="76">
        <v>1.4784999999999999</v>
      </c>
      <c r="N96" s="76">
        <f t="shared" si="8"/>
        <v>0.66680000000000028</v>
      </c>
      <c r="O96" s="76">
        <v>1.2869999999999999</v>
      </c>
      <c r="P96" s="76">
        <v>0.1343</v>
      </c>
      <c r="Q96" s="76">
        <v>5.5E-2</v>
      </c>
      <c r="R96" s="79">
        <f t="shared" si="9"/>
        <v>1.9560000000000002</v>
      </c>
      <c r="S96" s="76">
        <f t="shared" si="10"/>
        <v>34.202453987730067</v>
      </c>
      <c r="T96">
        <f>AVERAGE(O96:O102)</f>
        <v>1.2907</v>
      </c>
      <c r="U96" s="18">
        <f t="shared" si="11"/>
        <v>65.797546012269919</v>
      </c>
      <c r="V96" s="7">
        <f>AVERAGE(U96:U102)</f>
        <v>67.092055102437413</v>
      </c>
      <c r="W96">
        <f>STDEV(U96:U102)</f>
        <v>2.267404501345716</v>
      </c>
      <c r="X96">
        <f>AVERAGE(S96:S102)</f>
        <v>32.907944897562565</v>
      </c>
      <c r="Y96">
        <f>STDEV(S96:S102)</f>
        <v>2.2674045013457111</v>
      </c>
    </row>
    <row r="97" spans="1:21" x14ac:dyDescent="0.25">
      <c r="A97" s="76" t="s">
        <v>474</v>
      </c>
      <c r="B97" s="76" t="s">
        <v>100</v>
      </c>
      <c r="C97" s="76" t="s">
        <v>16</v>
      </c>
      <c r="D97" s="76" t="s">
        <v>17</v>
      </c>
      <c r="E97" s="76">
        <v>2</v>
      </c>
      <c r="F97" s="84" t="s">
        <v>420</v>
      </c>
      <c r="G97" s="76">
        <v>2.3370000000000002</v>
      </c>
      <c r="H97" s="76">
        <v>2.1661999999999999</v>
      </c>
      <c r="I97" s="77">
        <f t="shared" si="6"/>
        <v>7.8847751823469796</v>
      </c>
      <c r="J97" s="53">
        <v>44496</v>
      </c>
      <c r="K97" s="78">
        <v>44545</v>
      </c>
      <c r="L97" s="76">
        <f t="shared" si="7"/>
        <v>49</v>
      </c>
      <c r="M97" s="76">
        <v>1.4859</v>
      </c>
      <c r="N97" s="76">
        <f t="shared" si="8"/>
        <v>0.6802999999999999</v>
      </c>
      <c r="O97" s="76">
        <v>1.298</v>
      </c>
      <c r="P97" s="76">
        <v>0.13220000000000001</v>
      </c>
      <c r="Q97" s="76">
        <v>5.3800000000000001E-2</v>
      </c>
      <c r="R97" s="79">
        <f t="shared" si="9"/>
        <v>1.9802</v>
      </c>
      <c r="S97" s="76">
        <f t="shared" si="10"/>
        <v>34.451065548934444</v>
      </c>
      <c r="U97" s="18">
        <f t="shared" si="11"/>
        <v>65.548934451065549</v>
      </c>
    </row>
    <row r="98" spans="1:21" x14ac:dyDescent="0.25">
      <c r="A98" s="76" t="s">
        <v>474</v>
      </c>
      <c r="B98" s="76" t="s">
        <v>100</v>
      </c>
      <c r="C98" s="76" t="s">
        <v>16</v>
      </c>
      <c r="D98" s="76" t="s">
        <v>18</v>
      </c>
      <c r="E98" s="76">
        <v>1</v>
      </c>
      <c r="F98" s="84" t="s">
        <v>421</v>
      </c>
      <c r="G98" s="76">
        <v>2.2324999999999999</v>
      </c>
      <c r="H98" s="76">
        <v>2.069</v>
      </c>
      <c r="I98" s="77">
        <f t="shared" si="6"/>
        <v>7.9023682938617679</v>
      </c>
      <c r="J98" s="53">
        <v>44496</v>
      </c>
      <c r="K98" s="78">
        <v>44545</v>
      </c>
      <c r="L98" s="76">
        <f t="shared" si="7"/>
        <v>49</v>
      </c>
      <c r="M98" s="76">
        <v>1.4381999999999999</v>
      </c>
      <c r="N98" s="76">
        <f t="shared" si="8"/>
        <v>0.63080000000000003</v>
      </c>
      <c r="O98" s="76">
        <v>1.2464</v>
      </c>
      <c r="P98" s="76">
        <v>0.13650000000000001</v>
      </c>
      <c r="Q98" s="76">
        <v>5.4899999999999997E-2</v>
      </c>
      <c r="R98" s="79">
        <f t="shared" si="9"/>
        <v>1.8775999999999999</v>
      </c>
      <c r="S98" s="76">
        <f t="shared" si="10"/>
        <v>33.617383894333194</v>
      </c>
      <c r="U98" s="18">
        <f t="shared" si="11"/>
        <v>66.382616105666798</v>
      </c>
    </row>
    <row r="99" spans="1:21" x14ac:dyDescent="0.25">
      <c r="A99" s="76" t="s">
        <v>474</v>
      </c>
      <c r="B99" s="76" t="s">
        <v>100</v>
      </c>
      <c r="C99" s="76" t="s">
        <v>16</v>
      </c>
      <c r="D99" s="76" t="s">
        <v>19</v>
      </c>
      <c r="E99" s="76">
        <v>1</v>
      </c>
      <c r="F99" s="84" t="s">
        <v>422</v>
      </c>
      <c r="G99" s="76">
        <v>2.3249</v>
      </c>
      <c r="H99" s="76">
        <v>2.1528999999999998</v>
      </c>
      <c r="I99" s="77">
        <f t="shared" si="6"/>
        <v>7.9892238376143885</v>
      </c>
      <c r="J99" s="53">
        <v>44496</v>
      </c>
      <c r="K99" s="78">
        <v>44545</v>
      </c>
      <c r="L99" s="76">
        <f t="shared" si="7"/>
        <v>49</v>
      </c>
      <c r="M99" s="76">
        <v>1.4723999999999999</v>
      </c>
      <c r="N99" s="76">
        <f t="shared" si="8"/>
        <v>0.68049999999999988</v>
      </c>
      <c r="O99" s="76">
        <v>1.2771999999999999</v>
      </c>
      <c r="P99" s="76">
        <v>0.14000000000000001</v>
      </c>
      <c r="Q99" s="76">
        <v>5.6099999999999997E-2</v>
      </c>
      <c r="R99" s="79">
        <f t="shared" si="9"/>
        <v>1.9567999999999999</v>
      </c>
      <c r="S99" s="76">
        <f t="shared" si="10"/>
        <v>34.730171708912508</v>
      </c>
      <c r="U99" s="18">
        <f t="shared" si="11"/>
        <v>65.269828291087478</v>
      </c>
    </row>
    <row r="100" spans="1:21" x14ac:dyDescent="0.25">
      <c r="A100" s="76" t="s">
        <v>474</v>
      </c>
      <c r="B100" s="76" t="s">
        <v>100</v>
      </c>
      <c r="C100" s="76" t="s">
        <v>16</v>
      </c>
      <c r="D100" s="76" t="s">
        <v>19</v>
      </c>
      <c r="E100" s="76">
        <v>2</v>
      </c>
      <c r="F100" s="84" t="s">
        <v>423</v>
      </c>
      <c r="G100" s="76">
        <v>2.298</v>
      </c>
      <c r="H100" s="76">
        <v>2.1309</v>
      </c>
      <c r="I100" s="77">
        <f t="shared" si="6"/>
        <v>7.8417570040827833</v>
      </c>
      <c r="J100" s="53">
        <v>44496</v>
      </c>
      <c r="K100" s="78">
        <v>44545</v>
      </c>
      <c r="L100" s="76">
        <f t="shared" si="7"/>
        <v>49</v>
      </c>
      <c r="M100" s="76">
        <v>1.4703999999999999</v>
      </c>
      <c r="N100" s="76">
        <f t="shared" si="8"/>
        <v>0.66050000000000009</v>
      </c>
      <c r="O100" s="76">
        <v>1.2817000000000001</v>
      </c>
      <c r="P100" s="76">
        <v>0.13289999999999999</v>
      </c>
      <c r="Q100" s="76">
        <v>5.4199999999999998E-2</v>
      </c>
      <c r="R100" s="79">
        <f t="shared" si="9"/>
        <v>1.9438</v>
      </c>
      <c r="S100" s="76">
        <f t="shared" si="10"/>
        <v>34.062146311348904</v>
      </c>
      <c r="U100" s="18">
        <f t="shared" si="11"/>
        <v>65.937853688651103</v>
      </c>
    </row>
    <row r="101" spans="1:21" x14ac:dyDescent="0.25">
      <c r="A101" s="76" t="s">
        <v>474</v>
      </c>
      <c r="B101" s="76" t="s">
        <v>100</v>
      </c>
      <c r="C101" s="76" t="s">
        <v>16</v>
      </c>
      <c r="D101" s="76" t="s">
        <v>20</v>
      </c>
      <c r="E101" s="76">
        <v>1</v>
      </c>
      <c r="F101" s="84" t="s">
        <v>424</v>
      </c>
      <c r="G101" s="76">
        <v>2.1928999999999998</v>
      </c>
      <c r="H101" s="76">
        <v>2.0339</v>
      </c>
      <c r="I101" s="77">
        <f t="shared" si="6"/>
        <v>7.8174934854220863</v>
      </c>
      <c r="J101" s="53">
        <v>44496</v>
      </c>
      <c r="K101" s="78">
        <v>44545</v>
      </c>
      <c r="L101" s="76">
        <f t="shared" si="7"/>
        <v>49</v>
      </c>
      <c r="M101" s="76">
        <v>1.4939</v>
      </c>
      <c r="N101" s="76">
        <f t="shared" si="8"/>
        <v>0.54</v>
      </c>
      <c r="O101" s="76">
        <v>1.3068</v>
      </c>
      <c r="P101" s="76">
        <v>0.13289999999999999</v>
      </c>
      <c r="Q101" s="76">
        <v>5.4600000000000003E-2</v>
      </c>
      <c r="R101" s="79">
        <f t="shared" si="9"/>
        <v>1.8464</v>
      </c>
      <c r="S101" s="76">
        <f t="shared" si="10"/>
        <v>29.224436741767768</v>
      </c>
      <c r="U101" s="18">
        <f t="shared" si="11"/>
        <v>70.775563258232239</v>
      </c>
    </row>
    <row r="102" spans="1:21" x14ac:dyDescent="0.25">
      <c r="A102" s="76" t="s">
        <v>474</v>
      </c>
      <c r="B102" s="76" t="s">
        <v>100</v>
      </c>
      <c r="C102" s="76" t="s">
        <v>16</v>
      </c>
      <c r="D102" s="76" t="s">
        <v>20</v>
      </c>
      <c r="E102" s="76">
        <v>2</v>
      </c>
      <c r="F102" s="84" t="s">
        <v>425</v>
      </c>
      <c r="G102" s="76">
        <v>2.2877000000000001</v>
      </c>
      <c r="H102" s="76">
        <v>2.1246</v>
      </c>
      <c r="I102" s="77">
        <f t="shared" si="6"/>
        <v>7.6767391508989942</v>
      </c>
      <c r="J102" s="53">
        <v>44496</v>
      </c>
      <c r="K102" s="78">
        <v>44545</v>
      </c>
      <c r="L102" s="76">
        <f t="shared" si="7"/>
        <v>49</v>
      </c>
      <c r="M102" s="76">
        <v>1.5522</v>
      </c>
      <c r="N102" s="76">
        <f t="shared" si="8"/>
        <v>0.57240000000000002</v>
      </c>
      <c r="O102" s="76">
        <v>1.3378000000000001</v>
      </c>
      <c r="P102" s="76">
        <v>0.15609999999999999</v>
      </c>
      <c r="Q102" s="76">
        <v>5.5500000000000001E-2</v>
      </c>
      <c r="R102" s="79">
        <f t="shared" si="9"/>
        <v>1.913</v>
      </c>
      <c r="S102" s="76">
        <f t="shared" si="10"/>
        <v>30.067956089911128</v>
      </c>
      <c r="U102" s="18">
        <f t="shared" si="11"/>
        <v>69.932043910088865</v>
      </c>
    </row>
    <row r="103" spans="1:21" x14ac:dyDescent="0.25">
      <c r="F103" s="13" t="s">
        <v>119</v>
      </c>
      <c r="G103" s="14">
        <f>AVERAGE(G56:G102)</f>
        <v>2.2832489361702129</v>
      </c>
      <c r="H103" s="14">
        <f>AVERAGE(H56:H102)</f>
        <v>2.134748936170213</v>
      </c>
      <c r="O103" s="15"/>
      <c r="P103" s="16"/>
      <c r="Q103" s="16"/>
    </row>
    <row r="104" spans="1:21" x14ac:dyDescent="0.25">
      <c r="F104" s="13" t="s">
        <v>120</v>
      </c>
      <c r="G104" s="14">
        <f>STDEV(G56:G102)</f>
        <v>6.1493710786022414E-2</v>
      </c>
      <c r="H104" s="14">
        <f>STDEV(H56:H102)</f>
        <v>5.4746025753475321E-2</v>
      </c>
      <c r="O104" s="15"/>
      <c r="P104" s="16"/>
      <c r="Q104" s="16"/>
    </row>
    <row r="105" spans="1:21" x14ac:dyDescent="0.25">
      <c r="F105" s="13" t="s">
        <v>121</v>
      </c>
      <c r="G105" s="14">
        <f>CONFIDENCE(0.05,G104,COUNT(G56:G102))</f>
        <v>1.7580444967177263E-2</v>
      </c>
      <c r="H105" s="14">
        <f>CONFIDENCE(0.05,H104,COUNT(H56:H95))</f>
        <v>1.696565740021079E-2</v>
      </c>
      <c r="O105" s="15"/>
      <c r="P105" s="16"/>
      <c r="Q105" s="16"/>
    </row>
    <row r="106" spans="1:21" x14ac:dyDescent="0.25">
      <c r="F106" s="13" t="s">
        <v>122</v>
      </c>
      <c r="G106" s="14">
        <f>G103-G105</f>
        <v>2.2656684912030354</v>
      </c>
      <c r="H106" s="14">
        <f>H103-H105</f>
        <v>2.1177832787700024</v>
      </c>
      <c r="O106" s="15"/>
      <c r="P106" s="16"/>
      <c r="Q106" s="16"/>
    </row>
    <row r="107" spans="1:21" x14ac:dyDescent="0.25">
      <c r="F107" s="13" t="s">
        <v>123</v>
      </c>
      <c r="G107" s="14">
        <f>G103+G106</f>
        <v>4.5489174273732482</v>
      </c>
      <c r="H107" s="14">
        <f>H103+H106</f>
        <v>4.2525322149402154</v>
      </c>
      <c r="O107" s="15"/>
      <c r="P107" s="16"/>
      <c r="Q107" s="16"/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37" workbookViewId="0">
      <selection activeCell="A27" sqref="A27:A34"/>
    </sheetView>
  </sheetViews>
  <sheetFormatPr baseColWidth="10" defaultRowHeight="15" x14ac:dyDescent="0.25"/>
  <cols>
    <col min="1" max="1" width="11.28515625" customWidth="1"/>
    <col min="2" max="2" width="14.42578125" customWidth="1"/>
    <col min="3" max="3" width="12.140625" customWidth="1"/>
    <col min="4" max="5" width="14.7109375" style="6" customWidth="1"/>
    <col min="8" max="8" width="16.85546875" customWidth="1"/>
  </cols>
  <sheetData>
    <row r="1" spans="1:8" ht="45" x14ac:dyDescent="0.25">
      <c r="A1" s="9" t="s">
        <v>1</v>
      </c>
      <c r="B1" s="9" t="s">
        <v>39</v>
      </c>
      <c r="C1" s="10" t="s">
        <v>0</v>
      </c>
      <c r="D1" s="11" t="s">
        <v>97</v>
      </c>
      <c r="E1" s="11" t="s">
        <v>98</v>
      </c>
      <c r="F1" s="11" t="s">
        <v>117</v>
      </c>
      <c r="G1" s="11" t="s">
        <v>118</v>
      </c>
      <c r="H1" s="11" t="s">
        <v>318</v>
      </c>
    </row>
    <row r="2" spans="1:8" x14ac:dyDescent="0.25">
      <c r="A2" s="88" t="s">
        <v>475</v>
      </c>
      <c r="B2" s="87" t="s">
        <v>327</v>
      </c>
      <c r="C2" s="9" t="s">
        <v>434</v>
      </c>
      <c r="D2" s="8">
        <f>16*2.54</f>
        <v>40.64</v>
      </c>
      <c r="E2" s="8">
        <f>28.1*2.54</f>
        <v>71.374000000000009</v>
      </c>
      <c r="F2">
        <f>30.2*2.54</f>
        <v>76.707999999999998</v>
      </c>
      <c r="G2">
        <f t="shared" ref="G2:G50" si="0">(F2+10)-E2</f>
        <v>15.333999999999989</v>
      </c>
      <c r="H2" s="4">
        <f>AVERAGE(G2:G10)</f>
        <v>19.56733333333333</v>
      </c>
    </row>
    <row r="3" spans="1:8" x14ac:dyDescent="0.25">
      <c r="A3" s="88" t="s">
        <v>475</v>
      </c>
      <c r="B3" s="87" t="s">
        <v>327</v>
      </c>
      <c r="C3" s="9" t="s">
        <v>435</v>
      </c>
      <c r="D3" s="8">
        <f>15.3*2.54</f>
        <v>38.862000000000002</v>
      </c>
      <c r="E3" s="8">
        <f>26.8*2.54</f>
        <v>68.072000000000003</v>
      </c>
      <c r="F3">
        <f>29.7*2.54</f>
        <v>75.438000000000002</v>
      </c>
      <c r="G3">
        <f t="shared" si="0"/>
        <v>17.366</v>
      </c>
    </row>
    <row r="4" spans="1:8" x14ac:dyDescent="0.25">
      <c r="A4" s="88" t="s">
        <v>475</v>
      </c>
      <c r="B4" s="87" t="s">
        <v>327</v>
      </c>
      <c r="C4" s="9" t="s">
        <v>436</v>
      </c>
      <c r="D4" s="8">
        <f>19.2*2.54</f>
        <v>48.768000000000001</v>
      </c>
      <c r="E4" s="8">
        <f>23*2.54</f>
        <v>58.42</v>
      </c>
      <c r="F4">
        <f>29.9*2.54</f>
        <v>75.945999999999998</v>
      </c>
      <c r="G4">
        <f t="shared" si="0"/>
        <v>27.525999999999996</v>
      </c>
    </row>
    <row r="5" spans="1:8" x14ac:dyDescent="0.25">
      <c r="A5" s="88" t="s">
        <v>475</v>
      </c>
      <c r="B5" s="87" t="s">
        <v>327</v>
      </c>
      <c r="C5" s="9" t="s">
        <v>437</v>
      </c>
      <c r="D5" s="8">
        <f>17.5*2.54</f>
        <v>44.45</v>
      </c>
      <c r="E5" s="8">
        <f>25*2.54</f>
        <v>63.5</v>
      </c>
      <c r="F5">
        <f>29.9*2.54</f>
        <v>75.945999999999998</v>
      </c>
      <c r="G5">
        <f t="shared" si="0"/>
        <v>22.445999999999998</v>
      </c>
    </row>
    <row r="6" spans="1:8" x14ac:dyDescent="0.25">
      <c r="A6" s="88" t="s">
        <v>475</v>
      </c>
      <c r="B6" s="87" t="s">
        <v>327</v>
      </c>
      <c r="C6" s="9" t="s">
        <v>438</v>
      </c>
      <c r="D6" s="8">
        <f>19.4*2.54</f>
        <v>49.275999999999996</v>
      </c>
      <c r="E6" s="8">
        <f>28*2.54</f>
        <v>71.12</v>
      </c>
      <c r="F6">
        <f>30.2*2.54</f>
        <v>76.707999999999998</v>
      </c>
      <c r="G6">
        <f t="shared" si="0"/>
        <v>15.587999999999994</v>
      </c>
    </row>
    <row r="7" spans="1:8" x14ac:dyDescent="0.25">
      <c r="A7" s="88" t="s">
        <v>475</v>
      </c>
      <c r="B7" s="87" t="s">
        <v>327</v>
      </c>
      <c r="C7" s="9" t="s">
        <v>439</v>
      </c>
      <c r="D7" s="8">
        <f>21.5*2.54</f>
        <v>54.61</v>
      </c>
      <c r="E7" s="8">
        <f>27.3*2.54</f>
        <v>69.341999999999999</v>
      </c>
      <c r="F7">
        <f>29.9*2.54</f>
        <v>75.945999999999998</v>
      </c>
      <c r="G7">
        <f t="shared" si="0"/>
        <v>16.603999999999999</v>
      </c>
    </row>
    <row r="8" spans="1:8" x14ac:dyDescent="0.25">
      <c r="A8" s="88" t="s">
        <v>475</v>
      </c>
      <c r="B8" s="87" t="s">
        <v>327</v>
      </c>
      <c r="C8" s="9" t="s">
        <v>440</v>
      </c>
      <c r="D8" s="8">
        <f>17.2*2.54</f>
        <v>43.687999999999995</v>
      </c>
      <c r="E8" s="8">
        <f>25.5*2.54</f>
        <v>64.77</v>
      </c>
      <c r="F8">
        <f>31.1*2.54</f>
        <v>78.994</v>
      </c>
      <c r="G8">
        <f t="shared" si="0"/>
        <v>24.224000000000004</v>
      </c>
    </row>
    <row r="9" spans="1:8" x14ac:dyDescent="0.25">
      <c r="A9" s="88" t="s">
        <v>475</v>
      </c>
      <c r="B9" s="87" t="s">
        <v>327</v>
      </c>
      <c r="C9" s="9" t="s">
        <v>426</v>
      </c>
      <c r="D9" s="8">
        <f>17.6*2.54</f>
        <v>44.704000000000008</v>
      </c>
      <c r="E9" s="8">
        <f>26*2.54</f>
        <v>66.040000000000006</v>
      </c>
      <c r="F9">
        <f>30.3*2.54</f>
        <v>76.962000000000003</v>
      </c>
      <c r="G9">
        <f t="shared" si="0"/>
        <v>20.921999999999997</v>
      </c>
    </row>
    <row r="10" spans="1:8" x14ac:dyDescent="0.25">
      <c r="A10" s="88" t="s">
        <v>475</v>
      </c>
      <c r="B10" s="87" t="s">
        <v>327</v>
      </c>
      <c r="C10" s="9" t="s">
        <v>283</v>
      </c>
      <c r="D10" s="8">
        <f>17.2*2.54</f>
        <v>43.687999999999995</v>
      </c>
      <c r="E10" s="8">
        <f>27.5*2.54</f>
        <v>69.849999999999994</v>
      </c>
      <c r="F10">
        <f>29.9*2.54</f>
        <v>75.945999999999998</v>
      </c>
      <c r="G10">
        <f t="shared" si="0"/>
        <v>16.096000000000004</v>
      </c>
    </row>
    <row r="11" spans="1:8" x14ac:dyDescent="0.25">
      <c r="A11" s="88" t="s">
        <v>476</v>
      </c>
      <c r="B11" s="87" t="s">
        <v>328</v>
      </c>
      <c r="C11" s="9" t="s">
        <v>427</v>
      </c>
      <c r="D11" s="8" t="s">
        <v>61</v>
      </c>
      <c r="E11" s="8">
        <f>28.9*2.54</f>
        <v>73.405999999999992</v>
      </c>
      <c r="F11">
        <f>30*2.54</f>
        <v>76.2</v>
      </c>
      <c r="G11">
        <f t="shared" si="0"/>
        <v>12.794000000000011</v>
      </c>
    </row>
    <row r="12" spans="1:8" x14ac:dyDescent="0.25">
      <c r="A12" s="88" t="s">
        <v>476</v>
      </c>
      <c r="B12" s="87" t="s">
        <v>328</v>
      </c>
      <c r="C12" s="9" t="s">
        <v>428</v>
      </c>
      <c r="D12" s="8" t="s">
        <v>61</v>
      </c>
      <c r="E12" s="8">
        <f>27*2.54</f>
        <v>68.58</v>
      </c>
      <c r="F12">
        <f>29.9*2.54</f>
        <v>75.945999999999998</v>
      </c>
      <c r="G12">
        <f t="shared" si="0"/>
        <v>17.366</v>
      </c>
      <c r="H12" s="4">
        <f>AVERAGE(G11:G18)</f>
        <v>15.588000000000003</v>
      </c>
    </row>
    <row r="13" spans="1:8" x14ac:dyDescent="0.25">
      <c r="A13" s="88" t="s">
        <v>476</v>
      </c>
      <c r="B13" s="87" t="s">
        <v>328</v>
      </c>
      <c r="C13" s="9" t="s">
        <v>429</v>
      </c>
      <c r="D13" s="8" t="s">
        <v>61</v>
      </c>
      <c r="E13" s="8">
        <f>28*2.54</f>
        <v>71.12</v>
      </c>
      <c r="F13">
        <f>30.6*2.54</f>
        <v>77.724000000000004</v>
      </c>
      <c r="G13">
        <f t="shared" si="0"/>
        <v>16.603999999999999</v>
      </c>
    </row>
    <row r="14" spans="1:8" x14ac:dyDescent="0.25">
      <c r="A14" s="88" t="s">
        <v>476</v>
      </c>
      <c r="B14" s="87" t="s">
        <v>328</v>
      </c>
      <c r="C14" s="9" t="s">
        <v>430</v>
      </c>
      <c r="D14" s="8" t="s">
        <v>61</v>
      </c>
      <c r="E14" s="8">
        <f>28.9*2.54</f>
        <v>73.405999999999992</v>
      </c>
      <c r="F14">
        <f>30*2.54</f>
        <v>76.2</v>
      </c>
      <c r="G14">
        <f t="shared" si="0"/>
        <v>12.794000000000011</v>
      </c>
    </row>
    <row r="15" spans="1:8" x14ac:dyDescent="0.25">
      <c r="A15" s="88" t="s">
        <v>476</v>
      </c>
      <c r="B15" s="87" t="s">
        <v>328</v>
      </c>
      <c r="C15" s="9" t="s">
        <v>431</v>
      </c>
      <c r="D15" s="8" t="s">
        <v>61</v>
      </c>
      <c r="E15" s="8">
        <f>28.5*2.54</f>
        <v>72.39</v>
      </c>
      <c r="F15">
        <f>30.8*2.54</f>
        <v>78.231999999999999</v>
      </c>
      <c r="G15">
        <f t="shared" si="0"/>
        <v>15.841999999999999</v>
      </c>
    </row>
    <row r="16" spans="1:8" x14ac:dyDescent="0.25">
      <c r="A16" s="88" t="s">
        <v>476</v>
      </c>
      <c r="B16" s="87" t="s">
        <v>328</v>
      </c>
      <c r="C16" s="9" t="s">
        <v>432</v>
      </c>
      <c r="D16" s="8" t="s">
        <v>61</v>
      </c>
      <c r="E16" s="8">
        <f>28.5*2.54</f>
        <v>72.39</v>
      </c>
      <c r="F16">
        <f>30.8*2.54</f>
        <v>78.231999999999999</v>
      </c>
      <c r="G16">
        <f t="shared" si="0"/>
        <v>15.841999999999999</v>
      </c>
    </row>
    <row r="17" spans="1:8" x14ac:dyDescent="0.25">
      <c r="A17" s="88" t="s">
        <v>476</v>
      </c>
      <c r="B17" s="87" t="s">
        <v>328</v>
      </c>
      <c r="C17" s="9" t="s">
        <v>433</v>
      </c>
      <c r="D17" s="8" t="s">
        <v>61</v>
      </c>
      <c r="E17" s="8">
        <f>28.1*2.54</f>
        <v>71.374000000000009</v>
      </c>
      <c r="F17">
        <f>30.8*2.54</f>
        <v>78.231999999999999</v>
      </c>
      <c r="G17">
        <f t="shared" si="0"/>
        <v>16.85799999999999</v>
      </c>
    </row>
    <row r="18" spans="1:8" x14ac:dyDescent="0.25">
      <c r="A18" s="88" t="s">
        <v>476</v>
      </c>
      <c r="B18" s="87" t="s">
        <v>328</v>
      </c>
      <c r="C18" s="9" t="s">
        <v>441</v>
      </c>
      <c r="D18" s="8" t="s">
        <v>61</v>
      </c>
      <c r="E18" s="8">
        <f>27.2*2.54</f>
        <v>69.087999999999994</v>
      </c>
      <c r="F18">
        <f>29.8*2.54</f>
        <v>75.692000000000007</v>
      </c>
      <c r="G18">
        <f t="shared" si="0"/>
        <v>16.604000000000013</v>
      </c>
    </row>
    <row r="19" spans="1:8" x14ac:dyDescent="0.25">
      <c r="A19" s="268" t="s">
        <v>478</v>
      </c>
      <c r="B19" s="87" t="s">
        <v>329</v>
      </c>
      <c r="C19" s="9" t="s">
        <v>442</v>
      </c>
      <c r="D19" s="8" t="s">
        <v>61</v>
      </c>
      <c r="E19" s="8">
        <f>27.3*2.54</f>
        <v>69.341999999999999</v>
      </c>
      <c r="F19">
        <f>30.1*2.54</f>
        <v>76.454000000000008</v>
      </c>
      <c r="G19">
        <f t="shared" si="0"/>
        <v>17.112000000000009</v>
      </c>
    </row>
    <row r="20" spans="1:8" x14ac:dyDescent="0.25">
      <c r="A20" s="268" t="s">
        <v>478</v>
      </c>
      <c r="B20" s="87" t="s">
        <v>329</v>
      </c>
      <c r="C20" s="9" t="s">
        <v>443</v>
      </c>
      <c r="D20" s="8" t="s">
        <v>61</v>
      </c>
      <c r="E20" s="8">
        <f>28.8*2.54</f>
        <v>73.152000000000001</v>
      </c>
      <c r="F20">
        <f>30.1*2.54</f>
        <v>76.454000000000008</v>
      </c>
      <c r="G20">
        <f t="shared" si="0"/>
        <v>13.302000000000007</v>
      </c>
      <c r="H20" s="4">
        <f>AVERAGE(G19:G26)</f>
        <v>11.301750000000002</v>
      </c>
    </row>
    <row r="21" spans="1:8" x14ac:dyDescent="0.25">
      <c r="A21" s="268" t="s">
        <v>478</v>
      </c>
      <c r="B21" s="87" t="s">
        <v>329</v>
      </c>
      <c r="C21" s="9" t="s">
        <v>444</v>
      </c>
      <c r="D21" s="8" t="s">
        <v>61</v>
      </c>
      <c r="E21" s="8">
        <f>28.4*2.54</f>
        <v>72.135999999999996</v>
      </c>
      <c r="F21">
        <f>30.7*2.54</f>
        <v>77.977999999999994</v>
      </c>
      <c r="G21">
        <f t="shared" si="0"/>
        <v>15.841999999999999</v>
      </c>
    </row>
    <row r="22" spans="1:8" x14ac:dyDescent="0.25">
      <c r="A22" s="268" t="s">
        <v>478</v>
      </c>
      <c r="B22" s="87" t="s">
        <v>329</v>
      </c>
      <c r="C22" s="9" t="s">
        <v>445</v>
      </c>
      <c r="D22" s="8" t="s">
        <v>61</v>
      </c>
      <c r="E22" s="8">
        <f>28.7*2.54</f>
        <v>72.897999999999996</v>
      </c>
      <c r="F22">
        <f>30*2.54</f>
        <v>76.2</v>
      </c>
      <c r="G22">
        <f t="shared" si="0"/>
        <v>13.302000000000007</v>
      </c>
    </row>
    <row r="23" spans="1:8" x14ac:dyDescent="0.25">
      <c r="A23" s="268" t="s">
        <v>478</v>
      </c>
      <c r="B23" s="87" t="s">
        <v>329</v>
      </c>
      <c r="C23" s="9" t="s">
        <v>446</v>
      </c>
      <c r="D23" s="8" t="s">
        <v>61</v>
      </c>
      <c r="E23" s="8">
        <f>27.5*2.54</f>
        <v>69.849999999999994</v>
      </c>
      <c r="F23">
        <f>24.8*2.54</f>
        <v>62.992000000000004</v>
      </c>
      <c r="G23">
        <f t="shared" si="0"/>
        <v>3.1420000000000101</v>
      </c>
    </row>
    <row r="24" spans="1:8" x14ac:dyDescent="0.25">
      <c r="A24" s="268" t="s">
        <v>478</v>
      </c>
      <c r="B24" s="87" t="s">
        <v>329</v>
      </c>
      <c r="C24" s="9" t="s">
        <v>447</v>
      </c>
      <c r="D24" s="8" t="s">
        <v>61</v>
      </c>
      <c r="E24" s="8">
        <f>28*2.54</f>
        <v>71.12</v>
      </c>
      <c r="F24">
        <f>24.7*2.54</f>
        <v>62.738</v>
      </c>
      <c r="G24">
        <f t="shared" si="0"/>
        <v>1.617999999999995</v>
      </c>
    </row>
    <row r="25" spans="1:8" x14ac:dyDescent="0.25">
      <c r="A25" s="268" t="s">
        <v>478</v>
      </c>
      <c r="B25" s="87" t="s">
        <v>329</v>
      </c>
      <c r="C25" s="9" t="s">
        <v>448</v>
      </c>
      <c r="D25" s="8" t="s">
        <v>61</v>
      </c>
      <c r="E25" s="8">
        <f>29.5*2.54</f>
        <v>74.930000000000007</v>
      </c>
      <c r="F25">
        <f>29.9*2.54</f>
        <v>75.945999999999998</v>
      </c>
      <c r="G25">
        <f t="shared" si="0"/>
        <v>11.015999999999991</v>
      </c>
    </row>
    <row r="26" spans="1:8" x14ac:dyDescent="0.25">
      <c r="A26" s="268" t="s">
        <v>478</v>
      </c>
      <c r="B26" s="87" t="s">
        <v>329</v>
      </c>
      <c r="C26" s="9" t="s">
        <v>449</v>
      </c>
      <c r="D26" s="8" t="s">
        <v>61</v>
      </c>
      <c r="E26" s="8">
        <f>28*2.54</f>
        <v>71.12</v>
      </c>
      <c r="F26">
        <f>30*2.54</f>
        <v>76.2</v>
      </c>
      <c r="G26">
        <f t="shared" si="0"/>
        <v>15.079999999999998</v>
      </c>
    </row>
    <row r="27" spans="1:8" x14ac:dyDescent="0.25">
      <c r="A27" s="268" t="s">
        <v>477</v>
      </c>
      <c r="B27" s="87" t="s">
        <v>330</v>
      </c>
      <c r="C27" s="9" t="s">
        <v>450</v>
      </c>
      <c r="D27" s="8" t="s">
        <v>61</v>
      </c>
      <c r="E27" s="8">
        <f>27.7*2.54</f>
        <v>70.358000000000004</v>
      </c>
      <c r="F27">
        <f>30.5*2.54</f>
        <v>77.47</v>
      </c>
      <c r="G27">
        <f t="shared" si="0"/>
        <v>17.111999999999995</v>
      </c>
    </row>
    <row r="28" spans="1:8" x14ac:dyDescent="0.25">
      <c r="A28" s="268" t="s">
        <v>477</v>
      </c>
      <c r="B28" s="87" t="s">
        <v>330</v>
      </c>
      <c r="C28" s="9" t="s">
        <v>451</v>
      </c>
      <c r="D28" s="8" t="s">
        <v>61</v>
      </c>
      <c r="E28" s="8">
        <f>29.5*2.54</f>
        <v>74.930000000000007</v>
      </c>
      <c r="F28">
        <f>30.8*2.54</f>
        <v>78.231999999999999</v>
      </c>
      <c r="G28">
        <f t="shared" si="0"/>
        <v>13.301999999999992</v>
      </c>
      <c r="H28" s="4">
        <f>AVERAGE(G27:G34)</f>
        <v>13.460749999999997</v>
      </c>
    </row>
    <row r="29" spans="1:8" x14ac:dyDescent="0.25">
      <c r="A29" s="268" t="s">
        <v>477</v>
      </c>
      <c r="B29" s="87" t="s">
        <v>330</v>
      </c>
      <c r="C29" s="9" t="s">
        <v>452</v>
      </c>
      <c r="D29" s="8" t="s">
        <v>61</v>
      </c>
      <c r="E29" s="8">
        <f>29.5*2.54</f>
        <v>74.930000000000007</v>
      </c>
      <c r="F29">
        <f>31.4*2.54</f>
        <v>79.756</v>
      </c>
      <c r="G29">
        <f t="shared" si="0"/>
        <v>14.825999999999993</v>
      </c>
    </row>
    <row r="30" spans="1:8" x14ac:dyDescent="0.25">
      <c r="A30" s="268" t="s">
        <v>477</v>
      </c>
      <c r="B30" s="87" t="s">
        <v>330</v>
      </c>
      <c r="C30" s="9" t="s">
        <v>453</v>
      </c>
      <c r="D30" s="8" t="s">
        <v>61</v>
      </c>
      <c r="E30" s="8">
        <f>28.6*2.54</f>
        <v>72.644000000000005</v>
      </c>
      <c r="F30">
        <f>29.9*2.54</f>
        <v>75.945999999999998</v>
      </c>
      <c r="G30">
        <f t="shared" si="0"/>
        <v>13.301999999999992</v>
      </c>
    </row>
    <row r="31" spans="1:8" x14ac:dyDescent="0.25">
      <c r="A31" s="268" t="s">
        <v>477</v>
      </c>
      <c r="B31" s="87" t="s">
        <v>330</v>
      </c>
      <c r="C31" s="9" t="s">
        <v>454</v>
      </c>
      <c r="D31" s="8" t="s">
        <v>61</v>
      </c>
      <c r="E31" s="8">
        <f>27.3*2.54</f>
        <v>69.341999999999999</v>
      </c>
      <c r="F31">
        <f>28.6*2.54</f>
        <v>72.644000000000005</v>
      </c>
      <c r="G31">
        <f t="shared" si="0"/>
        <v>13.302000000000007</v>
      </c>
    </row>
    <row r="32" spans="1:8" x14ac:dyDescent="0.25">
      <c r="A32" s="268" t="s">
        <v>477</v>
      </c>
      <c r="B32" s="87" t="s">
        <v>330</v>
      </c>
      <c r="C32" s="9" t="s">
        <v>455</v>
      </c>
      <c r="D32" s="8" t="s">
        <v>61</v>
      </c>
      <c r="E32" s="8">
        <f>30.1*2.54</f>
        <v>76.454000000000008</v>
      </c>
      <c r="F32">
        <f>30.9*2.54</f>
        <v>78.486000000000004</v>
      </c>
      <c r="G32">
        <f t="shared" si="0"/>
        <v>12.031999999999996</v>
      </c>
    </row>
    <row r="33" spans="1:8" x14ac:dyDescent="0.25">
      <c r="A33" s="268" t="s">
        <v>477</v>
      </c>
      <c r="B33" s="87" t="s">
        <v>330</v>
      </c>
      <c r="C33" s="9" t="s">
        <v>456</v>
      </c>
      <c r="D33" s="8" t="s">
        <v>61</v>
      </c>
      <c r="E33" s="8">
        <f>29*2.54</f>
        <v>73.66</v>
      </c>
      <c r="F33">
        <f>30*2.54</f>
        <v>76.2</v>
      </c>
      <c r="G33">
        <f t="shared" si="0"/>
        <v>12.540000000000006</v>
      </c>
    </row>
    <row r="34" spans="1:8" x14ac:dyDescent="0.25">
      <c r="A34" s="268" t="s">
        <v>477</v>
      </c>
      <c r="B34" s="87" t="s">
        <v>330</v>
      </c>
      <c r="C34" s="9" t="s">
        <v>457</v>
      </c>
      <c r="D34" s="8" t="s">
        <v>61</v>
      </c>
      <c r="E34" s="8">
        <f>29.7*2.54</f>
        <v>75.438000000000002</v>
      </c>
      <c r="F34">
        <f>30.2*2.54</f>
        <v>76.707999999999998</v>
      </c>
      <c r="G34">
        <f t="shared" si="0"/>
        <v>11.269999999999996</v>
      </c>
    </row>
    <row r="35" spans="1:8" x14ac:dyDescent="0.25">
      <c r="A35" s="88" t="s">
        <v>479</v>
      </c>
      <c r="B35" s="87" t="s">
        <v>331</v>
      </c>
      <c r="C35" s="9" t="s">
        <v>458</v>
      </c>
      <c r="D35" s="8">
        <f>21.2*2.54</f>
        <v>53.847999999999999</v>
      </c>
      <c r="E35" s="8">
        <f>29.5*2.54</f>
        <v>74.930000000000007</v>
      </c>
      <c r="F35">
        <f>29.9*2.54</f>
        <v>75.945999999999998</v>
      </c>
      <c r="G35">
        <f t="shared" si="0"/>
        <v>11.015999999999991</v>
      </c>
    </row>
    <row r="36" spans="1:8" x14ac:dyDescent="0.25">
      <c r="A36" s="88" t="s">
        <v>479</v>
      </c>
      <c r="B36" s="87" t="s">
        <v>331</v>
      </c>
      <c r="C36" s="9" t="s">
        <v>459</v>
      </c>
      <c r="D36" s="8">
        <f>20.1*2.54</f>
        <v>51.054000000000002</v>
      </c>
      <c r="E36" s="8">
        <f>29*2.54</f>
        <v>73.66</v>
      </c>
      <c r="F36">
        <f>30*2.54</f>
        <v>76.2</v>
      </c>
      <c r="G36">
        <f t="shared" si="0"/>
        <v>12.540000000000006</v>
      </c>
      <c r="H36" s="4">
        <f>AVERAGE(G35:G42)</f>
        <v>11.936749999999998</v>
      </c>
    </row>
    <row r="37" spans="1:8" x14ac:dyDescent="0.25">
      <c r="A37" s="88" t="s">
        <v>479</v>
      </c>
      <c r="B37" s="87" t="s">
        <v>331</v>
      </c>
      <c r="C37" s="9" t="s">
        <v>460</v>
      </c>
      <c r="D37" s="8">
        <f>24.9*2.54</f>
        <v>63.245999999999995</v>
      </c>
      <c r="E37" s="8">
        <f>30*2.54</f>
        <v>76.2</v>
      </c>
      <c r="F37">
        <f>30*2.54</f>
        <v>76.2</v>
      </c>
      <c r="G37">
        <f t="shared" si="0"/>
        <v>10</v>
      </c>
    </row>
    <row r="38" spans="1:8" x14ac:dyDescent="0.25">
      <c r="A38" s="88" t="s">
        <v>479</v>
      </c>
      <c r="B38" s="87" t="s">
        <v>331</v>
      </c>
      <c r="C38" s="9" t="s">
        <v>461</v>
      </c>
      <c r="D38" s="8">
        <f>24.3*2.54</f>
        <v>61.722000000000001</v>
      </c>
      <c r="E38" s="8">
        <f>29.7*2.54</f>
        <v>75.438000000000002</v>
      </c>
      <c r="F38">
        <f>30.2*2.54</f>
        <v>76.707999999999998</v>
      </c>
      <c r="G38">
        <f t="shared" si="0"/>
        <v>11.269999999999996</v>
      </c>
    </row>
    <row r="39" spans="1:8" x14ac:dyDescent="0.25">
      <c r="A39" s="88" t="s">
        <v>479</v>
      </c>
      <c r="B39" s="87" t="s">
        <v>331</v>
      </c>
      <c r="C39" s="9" t="s">
        <v>462</v>
      </c>
      <c r="D39" s="8">
        <f>24.5*2.54</f>
        <v>62.230000000000004</v>
      </c>
      <c r="E39" s="8">
        <f>29*2.54</f>
        <v>73.66</v>
      </c>
      <c r="F39">
        <f>30.4*2.54</f>
        <v>77.215999999999994</v>
      </c>
      <c r="G39">
        <f t="shared" si="0"/>
        <v>13.555999999999997</v>
      </c>
    </row>
    <row r="40" spans="1:8" x14ac:dyDescent="0.25">
      <c r="A40" s="88" t="s">
        <v>479</v>
      </c>
      <c r="B40" s="87" t="s">
        <v>331</v>
      </c>
      <c r="C40" s="9" t="s">
        <v>463</v>
      </c>
      <c r="D40" s="8">
        <f>25.3*2.54</f>
        <v>64.262</v>
      </c>
      <c r="E40" s="8">
        <f>29.5*2.54</f>
        <v>74.930000000000007</v>
      </c>
      <c r="F40">
        <f>30.2*2.54</f>
        <v>76.707999999999998</v>
      </c>
      <c r="G40">
        <f t="shared" si="0"/>
        <v>11.777999999999992</v>
      </c>
    </row>
    <row r="41" spans="1:8" x14ac:dyDescent="0.25">
      <c r="A41" s="88" t="s">
        <v>479</v>
      </c>
      <c r="B41" s="87" t="s">
        <v>331</v>
      </c>
      <c r="C41" s="9" t="s">
        <v>464</v>
      </c>
      <c r="D41" s="8">
        <f>23*2.54</f>
        <v>58.42</v>
      </c>
      <c r="E41" s="8">
        <f>29*2.54</f>
        <v>73.66</v>
      </c>
      <c r="F41">
        <f>29.9*2.54</f>
        <v>75.945999999999998</v>
      </c>
      <c r="G41">
        <f t="shared" si="0"/>
        <v>12.286000000000001</v>
      </c>
    </row>
    <row r="42" spans="1:8" x14ac:dyDescent="0.25">
      <c r="A42" s="88" t="s">
        <v>479</v>
      </c>
      <c r="B42" s="87" t="s">
        <v>331</v>
      </c>
      <c r="C42" s="9" t="s">
        <v>465</v>
      </c>
      <c r="D42" s="8">
        <f>22*2.54</f>
        <v>55.88</v>
      </c>
      <c r="E42" s="8">
        <f>29*2.54</f>
        <v>73.66</v>
      </c>
      <c r="F42">
        <f>30.2*2.54</f>
        <v>76.707999999999998</v>
      </c>
      <c r="G42">
        <f t="shared" si="0"/>
        <v>13.048000000000002</v>
      </c>
    </row>
    <row r="43" spans="1:8" x14ac:dyDescent="0.25">
      <c r="A43" s="88" t="s">
        <v>474</v>
      </c>
      <c r="B43" s="87" t="s">
        <v>100</v>
      </c>
      <c r="C43" s="9" t="s">
        <v>466</v>
      </c>
      <c r="D43" s="8" t="s">
        <v>61</v>
      </c>
      <c r="E43" s="8">
        <f>27*2.54</f>
        <v>68.58</v>
      </c>
      <c r="F43">
        <f>30.5*2.54</f>
        <v>77.47</v>
      </c>
      <c r="G43">
        <f t="shared" si="0"/>
        <v>18.89</v>
      </c>
      <c r="H43" s="4">
        <f>AVERAGE(G43:G50)</f>
        <v>23.811250000000001</v>
      </c>
    </row>
    <row r="44" spans="1:8" x14ac:dyDescent="0.25">
      <c r="A44" s="88" t="s">
        <v>474</v>
      </c>
      <c r="B44" s="87" t="s">
        <v>100</v>
      </c>
      <c r="C44" s="9" t="s">
        <v>467</v>
      </c>
      <c r="D44" s="8" t="s">
        <v>61</v>
      </c>
      <c r="E44" s="8">
        <f>25.5*2.54</f>
        <v>64.77</v>
      </c>
      <c r="F44">
        <f>30.6*2.54</f>
        <v>77.724000000000004</v>
      </c>
      <c r="G44">
        <f t="shared" si="0"/>
        <v>22.954000000000008</v>
      </c>
    </row>
    <row r="45" spans="1:8" x14ac:dyDescent="0.25">
      <c r="A45" s="88" t="s">
        <v>474</v>
      </c>
      <c r="B45" s="87" t="s">
        <v>100</v>
      </c>
      <c r="C45" s="9" t="s">
        <v>468</v>
      </c>
      <c r="D45" s="8" t="s">
        <v>61</v>
      </c>
      <c r="E45" s="8">
        <f>27*2.54</f>
        <v>68.58</v>
      </c>
      <c r="F45">
        <f>29.8*2.54</f>
        <v>75.692000000000007</v>
      </c>
      <c r="G45">
        <f t="shared" si="0"/>
        <v>17.112000000000009</v>
      </c>
    </row>
    <row r="46" spans="1:8" x14ac:dyDescent="0.25">
      <c r="A46" s="88" t="s">
        <v>474</v>
      </c>
      <c r="B46" s="87" t="s">
        <v>100</v>
      </c>
      <c r="C46" s="9" t="s">
        <v>469</v>
      </c>
      <c r="D46" s="8" t="s">
        <v>61</v>
      </c>
      <c r="E46" s="8">
        <f>24.4*2.54</f>
        <v>61.975999999999999</v>
      </c>
      <c r="F46">
        <f>29*2.54</f>
        <v>73.66</v>
      </c>
      <c r="G46">
        <f t="shared" si="0"/>
        <v>21.683999999999997</v>
      </c>
    </row>
    <row r="47" spans="1:8" x14ac:dyDescent="0.25">
      <c r="A47" s="88" t="s">
        <v>474</v>
      </c>
      <c r="B47" s="87" t="s">
        <v>100</v>
      </c>
      <c r="C47" s="9" t="s">
        <v>470</v>
      </c>
      <c r="D47" s="8" t="s">
        <v>61</v>
      </c>
      <c r="E47" s="8">
        <f>20*2.54</f>
        <v>50.8</v>
      </c>
      <c r="F47">
        <f>30*2.54</f>
        <v>76.2</v>
      </c>
      <c r="G47">
        <f t="shared" si="0"/>
        <v>35.400000000000006</v>
      </c>
    </row>
    <row r="48" spans="1:8" x14ac:dyDescent="0.25">
      <c r="A48" s="88" t="s">
        <v>474</v>
      </c>
      <c r="B48" s="87" t="s">
        <v>100</v>
      </c>
      <c r="C48" s="9" t="s">
        <v>471</v>
      </c>
      <c r="D48" s="8" t="s">
        <v>61</v>
      </c>
      <c r="E48" s="8">
        <f>25*2.54</f>
        <v>63.5</v>
      </c>
      <c r="F48">
        <f>35.5*2.54</f>
        <v>90.17</v>
      </c>
      <c r="G48">
        <f t="shared" si="0"/>
        <v>36.67</v>
      </c>
    </row>
    <row r="49" spans="1:7" x14ac:dyDescent="0.25">
      <c r="A49" s="88" t="s">
        <v>474</v>
      </c>
      <c r="B49" s="87" t="s">
        <v>100</v>
      </c>
      <c r="C49" s="9" t="s">
        <v>472</v>
      </c>
      <c r="D49" s="8" t="s">
        <v>61</v>
      </c>
      <c r="E49" s="8">
        <f>25*2.54</f>
        <v>63.5</v>
      </c>
      <c r="F49">
        <f>27.3*2.54</f>
        <v>69.341999999999999</v>
      </c>
      <c r="G49">
        <f t="shared" si="0"/>
        <v>15.841999999999999</v>
      </c>
    </row>
    <row r="50" spans="1:7" x14ac:dyDescent="0.25">
      <c r="A50" s="88" t="s">
        <v>474</v>
      </c>
      <c r="B50" s="87" t="s">
        <v>100</v>
      </c>
      <c r="C50" s="9" t="s">
        <v>473</v>
      </c>
      <c r="D50" s="8" t="s">
        <v>61</v>
      </c>
      <c r="E50" s="8">
        <f>23.7*2.54</f>
        <v>60.198</v>
      </c>
      <c r="F50">
        <f>28.4*2.54</f>
        <v>72.135999999999996</v>
      </c>
      <c r="G50">
        <f t="shared" si="0"/>
        <v>21.937999999999995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topLeftCell="A2" workbookViewId="0">
      <selection activeCell="H21" sqref="H21"/>
    </sheetView>
  </sheetViews>
  <sheetFormatPr baseColWidth="10" defaultRowHeight="15" x14ac:dyDescent="0.25"/>
  <sheetData>
    <row r="1" spans="1:14" ht="75" x14ac:dyDescent="0.25">
      <c r="A1" s="1" t="s">
        <v>0</v>
      </c>
      <c r="B1" s="2" t="s">
        <v>3</v>
      </c>
      <c r="C1" s="2" t="s">
        <v>11</v>
      </c>
      <c r="D1" s="2" t="s">
        <v>42</v>
      </c>
      <c r="E1" s="3" t="s">
        <v>2</v>
      </c>
      <c r="F1" s="1" t="s">
        <v>4</v>
      </c>
      <c r="G1" s="2" t="s">
        <v>5</v>
      </c>
      <c r="H1" s="3" t="s">
        <v>37</v>
      </c>
      <c r="I1" s="2" t="s">
        <v>6</v>
      </c>
      <c r="J1" s="3" t="s">
        <v>38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x14ac:dyDescent="0.25">
      <c r="A2" s="27" t="s">
        <v>273</v>
      </c>
      <c r="B2" s="27">
        <v>1.9617</v>
      </c>
      <c r="C2" s="30">
        <v>1.8627</v>
      </c>
      <c r="D2" s="28">
        <f t="shared" ref="D2:D6" si="0">((B2-C2)/C2)*100</f>
        <v>5.3148655177967452</v>
      </c>
      <c r="E2" s="60">
        <v>44452</v>
      </c>
      <c r="F2" s="29">
        <v>44515</v>
      </c>
      <c r="G2" s="27">
        <f t="shared" ref="G2:G6" si="1">F2-E2</f>
        <v>63</v>
      </c>
      <c r="H2" s="27">
        <v>0.52070000000000005</v>
      </c>
      <c r="I2" s="30">
        <f>C2-H2</f>
        <v>1.3420000000000001</v>
      </c>
      <c r="J2" s="27">
        <v>0.3266</v>
      </c>
      <c r="K2" s="27">
        <v>0.1323</v>
      </c>
      <c r="L2" s="27">
        <v>6.0600000000000001E-2</v>
      </c>
      <c r="M2" s="30">
        <f>C2-(K2+L2)</f>
        <v>1.6698</v>
      </c>
      <c r="N2" s="27">
        <f>((M2-J2)/M2)*100</f>
        <v>80.44077134986226</v>
      </c>
    </row>
    <row r="3" spans="1:14" x14ac:dyDescent="0.25">
      <c r="A3" s="27" t="s">
        <v>273</v>
      </c>
      <c r="B3" s="27">
        <v>1.962</v>
      </c>
      <c r="C3" s="27">
        <v>1.8636999999999999</v>
      </c>
      <c r="D3" s="28">
        <f t="shared" si="0"/>
        <v>5.2744540430326801</v>
      </c>
      <c r="E3" s="60">
        <v>44452</v>
      </c>
      <c r="F3" s="29">
        <v>44515</v>
      </c>
      <c r="G3" s="27">
        <f t="shared" si="1"/>
        <v>63</v>
      </c>
      <c r="H3" s="27">
        <v>0.52090000000000003</v>
      </c>
      <c r="I3" s="30">
        <f t="shared" ref="I3:I6" si="2">C3-H3</f>
        <v>1.3428</v>
      </c>
      <c r="J3" s="27">
        <v>0.32650000000000001</v>
      </c>
      <c r="K3" s="27">
        <v>0.13250000000000001</v>
      </c>
      <c r="L3" s="27">
        <v>6.0499999999999998E-2</v>
      </c>
      <c r="M3" s="30">
        <f t="shared" ref="M3:M6" si="3">C3-(K3+L3)</f>
        <v>1.6706999999999999</v>
      </c>
      <c r="N3" s="27">
        <f t="shared" ref="N3:N6" si="4">((M3-J3)/M3)*100</f>
        <v>80.457293350092769</v>
      </c>
    </row>
    <row r="4" spans="1:14" x14ac:dyDescent="0.25">
      <c r="A4" s="27" t="s">
        <v>273</v>
      </c>
      <c r="B4" s="27">
        <v>1.9622999999999999</v>
      </c>
      <c r="C4" s="30">
        <v>1.8644000000000001</v>
      </c>
      <c r="D4" s="28">
        <f t="shared" si="0"/>
        <v>5.2510190946148825</v>
      </c>
      <c r="E4" s="60">
        <v>44452</v>
      </c>
      <c r="F4" s="29">
        <v>44515</v>
      </c>
      <c r="G4" s="27">
        <f t="shared" si="1"/>
        <v>63</v>
      </c>
      <c r="H4" s="27">
        <v>0.52059999999999995</v>
      </c>
      <c r="I4" s="30">
        <f t="shared" si="2"/>
        <v>1.3438000000000001</v>
      </c>
      <c r="J4" s="27">
        <v>0.32640000000000002</v>
      </c>
      <c r="K4" s="27">
        <v>0.1326</v>
      </c>
      <c r="L4" s="27">
        <v>6.0199999999999997E-2</v>
      </c>
      <c r="M4" s="30">
        <f t="shared" si="3"/>
        <v>1.6716</v>
      </c>
      <c r="N4" s="27">
        <f t="shared" si="4"/>
        <v>80.473797559224693</v>
      </c>
    </row>
    <row r="5" spans="1:14" x14ac:dyDescent="0.25">
      <c r="A5" s="27" t="s">
        <v>273</v>
      </c>
      <c r="B5" s="27">
        <v>1.9623999999999999</v>
      </c>
      <c r="C5" s="30">
        <v>1.8648</v>
      </c>
      <c r="D5" s="28">
        <f t="shared" si="0"/>
        <v>5.2338052338052288</v>
      </c>
      <c r="E5" s="60">
        <v>44452</v>
      </c>
      <c r="F5" s="29">
        <v>44515</v>
      </c>
      <c r="G5" s="27">
        <f t="shared" si="1"/>
        <v>63</v>
      </c>
      <c r="H5" s="27">
        <v>0.52090000000000003</v>
      </c>
      <c r="I5" s="30">
        <f t="shared" si="2"/>
        <v>1.3439000000000001</v>
      </c>
      <c r="J5" s="27">
        <v>0.3266</v>
      </c>
      <c r="K5" s="27">
        <v>0.13239999999999999</v>
      </c>
      <c r="L5" s="27">
        <v>6.0499999999999998E-2</v>
      </c>
      <c r="M5" s="30">
        <f t="shared" si="3"/>
        <v>1.6718999999999999</v>
      </c>
      <c r="N5" s="27">
        <f t="shared" si="4"/>
        <v>80.465338836054784</v>
      </c>
    </row>
    <row r="6" spans="1:14" x14ac:dyDescent="0.25">
      <c r="A6" s="27" t="s">
        <v>273</v>
      </c>
      <c r="B6" s="27">
        <v>1.9628000000000001</v>
      </c>
      <c r="C6" s="27">
        <v>1.8653999999999999</v>
      </c>
      <c r="D6" s="28">
        <f t="shared" si="0"/>
        <v>5.2214002358743521</v>
      </c>
      <c r="E6" s="60">
        <v>44452</v>
      </c>
      <c r="F6" s="29">
        <v>44515</v>
      </c>
      <c r="G6" s="27">
        <f t="shared" si="1"/>
        <v>63</v>
      </c>
      <c r="H6" s="27">
        <v>0.52100000000000002</v>
      </c>
      <c r="I6" s="30">
        <f t="shared" si="2"/>
        <v>1.3443999999999998</v>
      </c>
      <c r="J6" s="27">
        <v>0.32650000000000001</v>
      </c>
      <c r="K6" s="27">
        <v>0.13250000000000001</v>
      </c>
      <c r="L6" s="27">
        <v>6.0499999999999998E-2</v>
      </c>
      <c r="M6" s="30">
        <f t="shared" si="3"/>
        <v>1.6723999999999999</v>
      </c>
      <c r="N6" s="27">
        <f t="shared" si="4"/>
        <v>80.477158574503704</v>
      </c>
    </row>
    <row r="7" spans="1:14" x14ac:dyDescent="0.25">
      <c r="B7">
        <f>AVERAGE(B2:B6)</f>
        <v>1.96224</v>
      </c>
      <c r="C7" s="7">
        <f>AVERAGE(C2:C6)</f>
        <v>1.8641999999999999</v>
      </c>
      <c r="D7" s="4">
        <f>AVERAGE(D2:D6)</f>
        <v>5.2591088250247777</v>
      </c>
      <c r="H7">
        <f>AVERAGE(H2:H6)</f>
        <v>0.52081999999999995</v>
      </c>
      <c r="I7" s="7">
        <f>AVERAGE(I2:I6)</f>
        <v>1.3433800000000002</v>
      </c>
      <c r="J7" s="7">
        <f t="shared" ref="J7:N7" si="5">AVERAGE(J2:J6)</f>
        <v>0.32652000000000003</v>
      </c>
      <c r="K7" s="7">
        <f t="shared" si="5"/>
        <v>0.13246000000000002</v>
      </c>
      <c r="L7" s="7">
        <f t="shared" si="5"/>
        <v>6.046E-2</v>
      </c>
      <c r="M7" s="7">
        <f t="shared" si="5"/>
        <v>1.6712799999999999</v>
      </c>
      <c r="N7" s="7">
        <f t="shared" si="5"/>
        <v>80.462871933947639</v>
      </c>
    </row>
    <row r="11" spans="1:14" ht="75" x14ac:dyDescent="0.25">
      <c r="A11" s="1" t="s">
        <v>0</v>
      </c>
      <c r="B11" s="2" t="s">
        <v>3</v>
      </c>
      <c r="C11" s="2" t="s">
        <v>11</v>
      </c>
      <c r="D11" s="2" t="s">
        <v>42</v>
      </c>
      <c r="E11" s="3" t="s">
        <v>2</v>
      </c>
      <c r="F11" s="1" t="s">
        <v>4</v>
      </c>
      <c r="G11" s="2" t="s">
        <v>5</v>
      </c>
      <c r="H11" s="3" t="s">
        <v>37</v>
      </c>
      <c r="I11" s="2" t="s">
        <v>6</v>
      </c>
      <c r="J11" s="3" t="s">
        <v>38</v>
      </c>
      <c r="K11" s="2" t="s">
        <v>7</v>
      </c>
      <c r="L11" s="2" t="s">
        <v>8</v>
      </c>
      <c r="M11" s="2" t="s">
        <v>9</v>
      </c>
      <c r="N11" s="2" t="s">
        <v>10</v>
      </c>
    </row>
    <row r="12" spans="1:14" x14ac:dyDescent="0.25">
      <c r="A12" s="55" t="s">
        <v>274</v>
      </c>
      <c r="B12" s="55">
        <v>2.3910999999999998</v>
      </c>
      <c r="C12" s="55">
        <v>2.2254</v>
      </c>
      <c r="D12" s="56">
        <f t="shared" ref="D12:D16" si="6">((B12-C12)/C12)*100</f>
        <v>7.4458524310236234</v>
      </c>
      <c r="E12" s="59">
        <v>44452</v>
      </c>
      <c r="F12" s="57">
        <v>44515</v>
      </c>
      <c r="G12" s="55">
        <f t="shared" ref="G12:G16" si="7">F12-E12</f>
        <v>63</v>
      </c>
      <c r="H12" s="55">
        <v>1.5580000000000001</v>
      </c>
      <c r="I12" s="55">
        <f>C12-H12</f>
        <v>0.66739999999999999</v>
      </c>
      <c r="J12" s="55">
        <v>1.3653</v>
      </c>
      <c r="K12" s="55">
        <v>0.13700000000000001</v>
      </c>
      <c r="L12" s="55">
        <v>6.0499999999999998E-2</v>
      </c>
      <c r="M12" s="58">
        <f>C12-(K12+L12)</f>
        <v>2.0278999999999998</v>
      </c>
      <c r="N12" s="55">
        <f>((M12-J12)/M12)*100</f>
        <v>32.674194980028595</v>
      </c>
    </row>
    <row r="13" spans="1:14" x14ac:dyDescent="0.25">
      <c r="A13" s="55" t="s">
        <v>274</v>
      </c>
      <c r="B13" s="55">
        <v>2.3913000000000002</v>
      </c>
      <c r="C13" s="55">
        <v>2.2263000000000002</v>
      </c>
      <c r="D13" s="56">
        <f t="shared" si="6"/>
        <v>7.4114000808516378</v>
      </c>
      <c r="E13" s="59">
        <v>44452</v>
      </c>
      <c r="F13" s="57">
        <v>44515</v>
      </c>
      <c r="G13" s="55">
        <f t="shared" si="7"/>
        <v>63</v>
      </c>
      <c r="H13" s="55">
        <v>1.5589</v>
      </c>
      <c r="I13" s="55">
        <f t="shared" ref="I13:I16" si="8">C13-H13</f>
        <v>0.66740000000000022</v>
      </c>
      <c r="J13" s="55">
        <v>1.3657999999999999</v>
      </c>
      <c r="K13" s="55">
        <v>0.1368</v>
      </c>
      <c r="L13" s="55">
        <v>6.08E-2</v>
      </c>
      <c r="M13" s="58">
        <f t="shared" ref="M13:M16" si="9">C13-(K13+L13)</f>
        <v>2.0287000000000002</v>
      </c>
      <c r="N13" s="55">
        <f t="shared" ref="N13:N16" si="10">((M13-J13)/M13)*100</f>
        <v>32.676097993789135</v>
      </c>
    </row>
    <row r="14" spans="1:14" x14ac:dyDescent="0.25">
      <c r="A14" s="55" t="s">
        <v>274</v>
      </c>
      <c r="B14" s="55">
        <v>2.3915999999999999</v>
      </c>
      <c r="C14" s="55">
        <v>2.2277999999999998</v>
      </c>
      <c r="D14" s="56">
        <f t="shared" si="6"/>
        <v>7.3525451117694667</v>
      </c>
      <c r="E14" s="59">
        <v>44452</v>
      </c>
      <c r="F14" s="57">
        <v>44515</v>
      </c>
      <c r="G14" s="55">
        <f t="shared" si="7"/>
        <v>63</v>
      </c>
      <c r="H14" s="55">
        <v>1.5599000000000001</v>
      </c>
      <c r="I14" s="55">
        <f t="shared" si="8"/>
        <v>0.66789999999999972</v>
      </c>
      <c r="J14" s="55">
        <v>1.3663000000000001</v>
      </c>
      <c r="K14" s="55">
        <v>0.1368</v>
      </c>
      <c r="L14" s="55">
        <v>6.0900000000000003E-2</v>
      </c>
      <c r="M14" s="58">
        <f t="shared" si="9"/>
        <v>2.0300999999999996</v>
      </c>
      <c r="N14" s="55">
        <f t="shared" si="10"/>
        <v>32.697896655337154</v>
      </c>
    </row>
    <row r="15" spans="1:14" x14ac:dyDescent="0.25">
      <c r="A15" s="55" t="s">
        <v>274</v>
      </c>
      <c r="B15" s="55">
        <v>2.3919999999999999</v>
      </c>
      <c r="C15" s="55">
        <v>2.2290999999999999</v>
      </c>
      <c r="D15" s="56">
        <f t="shared" si="6"/>
        <v>7.3078821048853824</v>
      </c>
      <c r="E15" s="59">
        <v>44452</v>
      </c>
      <c r="F15" s="57">
        <v>44515</v>
      </c>
      <c r="G15" s="55">
        <f t="shared" si="7"/>
        <v>63</v>
      </c>
      <c r="H15" s="55">
        <v>1.5605</v>
      </c>
      <c r="I15" s="55">
        <f t="shared" si="8"/>
        <v>0.66859999999999986</v>
      </c>
      <c r="J15" s="55">
        <v>1.3668</v>
      </c>
      <c r="K15" s="55">
        <v>0.13669999999999999</v>
      </c>
      <c r="L15" s="55">
        <v>6.08E-2</v>
      </c>
      <c r="M15" s="58">
        <f t="shared" si="9"/>
        <v>2.0316000000000001</v>
      </c>
      <c r="N15" s="55">
        <f t="shared" si="10"/>
        <v>32.722976963969288</v>
      </c>
    </row>
    <row r="16" spans="1:14" x14ac:dyDescent="0.25">
      <c r="A16" s="55" t="s">
        <v>274</v>
      </c>
      <c r="B16" s="55">
        <v>2.3921999999999999</v>
      </c>
      <c r="C16" s="55">
        <v>2.2303999999999999</v>
      </c>
      <c r="D16" s="56">
        <f t="shared" si="6"/>
        <v>7.2543041606886645</v>
      </c>
      <c r="E16" s="59">
        <v>44452</v>
      </c>
      <c r="F16" s="57">
        <v>44515</v>
      </c>
      <c r="G16" s="55">
        <f t="shared" si="7"/>
        <v>63</v>
      </c>
      <c r="H16" s="55">
        <v>1.5610999999999999</v>
      </c>
      <c r="I16" s="55">
        <f t="shared" si="8"/>
        <v>0.66930000000000001</v>
      </c>
      <c r="J16" s="55">
        <v>1.3673999999999999</v>
      </c>
      <c r="K16" s="55">
        <v>0.1368</v>
      </c>
      <c r="L16" s="55">
        <v>6.0699999999999997E-2</v>
      </c>
      <c r="M16" s="58">
        <f t="shared" si="9"/>
        <v>2.0328999999999997</v>
      </c>
      <c r="N16" s="55">
        <f t="shared" si="10"/>
        <v>32.736484824634751</v>
      </c>
    </row>
    <row r="17" spans="2:14" x14ac:dyDescent="0.25">
      <c r="B17">
        <f>AVERAGE(B12:B16)</f>
        <v>2.3916399999999998</v>
      </c>
      <c r="C17">
        <f t="shared" ref="C17:D17" si="11">AVERAGE(C12:C16)</f>
        <v>2.2277999999999998</v>
      </c>
      <c r="D17">
        <f t="shared" si="11"/>
        <v>7.3543967778437551</v>
      </c>
      <c r="H17" s="7">
        <f>AVERAGE(H12:H16)</f>
        <v>1.55968</v>
      </c>
      <c r="I17" s="7">
        <f t="shared" ref="I17:N17" si="12">AVERAGE(I12:I16)</f>
        <v>0.66811999999999983</v>
      </c>
      <c r="J17" s="7">
        <f t="shared" si="12"/>
        <v>1.36632</v>
      </c>
      <c r="K17" s="7">
        <f t="shared" si="12"/>
        <v>0.13682000000000002</v>
      </c>
      <c r="L17" s="7">
        <f t="shared" si="12"/>
        <v>6.0739999999999995E-2</v>
      </c>
      <c r="M17" s="7">
        <f t="shared" si="12"/>
        <v>2.0302399999999996</v>
      </c>
      <c r="N17" s="7">
        <f t="shared" si="12"/>
        <v>32.701530283551783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1"/>
  <sheetViews>
    <sheetView topLeftCell="A67" zoomScale="80" zoomScaleNormal="80" zoomScaleSheetLayoutView="80" workbookViewId="0">
      <selection activeCell="A79" sqref="A79:A86"/>
    </sheetView>
  </sheetViews>
  <sheetFormatPr baseColWidth="10" defaultColWidth="9.140625" defaultRowHeight="15" x14ac:dyDescent="0.25"/>
  <cols>
    <col min="1" max="1" width="11.28515625" customWidth="1"/>
    <col min="2" max="2" width="17" customWidth="1"/>
    <col min="3" max="4" width="11.28515625" customWidth="1"/>
    <col min="5" max="5" width="14.7109375" customWidth="1"/>
    <col min="6" max="6" width="12.140625" customWidth="1"/>
    <col min="7" max="7" width="19.42578125" customWidth="1"/>
    <col min="8" max="9" width="20.140625" customWidth="1"/>
    <col min="10" max="10" width="14.7109375" customWidth="1"/>
    <col min="11" max="11" width="12.7109375" customWidth="1"/>
    <col min="12" max="12" width="13.7109375" customWidth="1"/>
    <col min="13" max="13" width="15.140625" customWidth="1"/>
    <col min="14" max="14" width="13.85546875" customWidth="1"/>
    <col min="15" max="15" width="17.85546875" customWidth="1"/>
    <col min="16" max="16" width="14.28515625" customWidth="1"/>
    <col min="17" max="17" width="13.5703125" customWidth="1"/>
    <col min="18" max="18" width="13.28515625" customWidth="1"/>
    <col min="20" max="20" width="18.140625" customWidth="1"/>
    <col min="21" max="21" width="13.42578125" customWidth="1"/>
  </cols>
  <sheetData>
    <row r="1" spans="1:25" ht="60" x14ac:dyDescent="0.25">
      <c r="A1" t="s">
        <v>1</v>
      </c>
      <c r="B1" t="s">
        <v>39</v>
      </c>
      <c r="C1" t="s">
        <v>12</v>
      </c>
      <c r="D1" t="s">
        <v>13</v>
      </c>
      <c r="E1" t="s">
        <v>40</v>
      </c>
      <c r="F1" s="1" t="s">
        <v>0</v>
      </c>
      <c r="G1" s="2" t="s">
        <v>3</v>
      </c>
      <c r="H1" s="2" t="s">
        <v>11</v>
      </c>
      <c r="I1" s="2" t="s">
        <v>42</v>
      </c>
      <c r="J1" s="3" t="s">
        <v>2</v>
      </c>
      <c r="K1" s="1" t="s">
        <v>4</v>
      </c>
      <c r="L1" s="2" t="s">
        <v>5</v>
      </c>
      <c r="M1" s="3" t="s">
        <v>37</v>
      </c>
      <c r="N1" s="2" t="s">
        <v>6</v>
      </c>
      <c r="O1" s="3" t="s">
        <v>38</v>
      </c>
      <c r="P1" s="2" t="s">
        <v>7</v>
      </c>
      <c r="Q1" s="2" t="s">
        <v>8</v>
      </c>
      <c r="R1" s="2" t="s">
        <v>9</v>
      </c>
      <c r="S1" s="2" t="s">
        <v>10</v>
      </c>
      <c r="T1" s="51" t="s">
        <v>190</v>
      </c>
      <c r="U1" s="52" t="s">
        <v>191</v>
      </c>
      <c r="V1" s="52" t="s">
        <v>119</v>
      </c>
      <c r="W1" s="52" t="s">
        <v>192</v>
      </c>
      <c r="X1" s="52" t="s">
        <v>119</v>
      </c>
      <c r="Y1" s="52" t="s">
        <v>192</v>
      </c>
    </row>
    <row r="2" spans="1:25" x14ac:dyDescent="0.25">
      <c r="A2" s="27" t="s">
        <v>59</v>
      </c>
      <c r="B2" s="27" t="s">
        <v>41</v>
      </c>
      <c r="C2" s="27" t="s">
        <v>15</v>
      </c>
      <c r="D2" s="27" t="s">
        <v>17</v>
      </c>
      <c r="E2" s="27">
        <v>1</v>
      </c>
      <c r="F2" s="27" t="s">
        <v>480</v>
      </c>
      <c r="G2" s="27">
        <v>2.2557999999999998</v>
      </c>
      <c r="H2" s="30">
        <v>2.0779999999999998</v>
      </c>
      <c r="I2" s="28">
        <f t="shared" ref="I2:I39" si="0">((G2-H2)/H2)*100</f>
        <v>8.5563041385948022</v>
      </c>
      <c r="J2" s="53">
        <v>44580</v>
      </c>
      <c r="K2" s="29">
        <v>44638</v>
      </c>
      <c r="L2" s="27">
        <f t="shared" ref="L2:L39" si="1">K2-J2</f>
        <v>58</v>
      </c>
      <c r="M2" s="27">
        <v>0.76890000000000003</v>
      </c>
      <c r="N2" s="30">
        <f>H2-M2</f>
        <v>1.3090999999999999</v>
      </c>
      <c r="O2" s="27">
        <v>0.5181</v>
      </c>
      <c r="P2" s="27">
        <v>0.17150000000000001</v>
      </c>
      <c r="Q2" s="27">
        <v>6.83E-2</v>
      </c>
      <c r="R2" s="30">
        <f>H2-(P2+Q2)</f>
        <v>1.8381999999999998</v>
      </c>
      <c r="S2" s="27">
        <f>((R2-O2)/R2)*100</f>
        <v>71.81481884452181</v>
      </c>
      <c r="T2">
        <f>AVERAGE(O2:O9)</f>
        <v>0.34872500000000001</v>
      </c>
      <c r="U2" s="18">
        <f>(O2/R2)*100</f>
        <v>28.18518115547819</v>
      </c>
      <c r="V2" s="7">
        <f>AVERAGE(U2:U9)</f>
        <v>19.339604719505079</v>
      </c>
      <c r="W2">
        <f>STDEV(U2:U9)</f>
        <v>5.3736513877972856</v>
      </c>
      <c r="X2">
        <f>AVERAGE(S2:S9)</f>
        <v>80.660395280494924</v>
      </c>
      <c r="Y2">
        <f>STDEV(S2:S9)</f>
        <v>5.3736513877972776</v>
      </c>
    </row>
    <row r="3" spans="1:25" x14ac:dyDescent="0.25">
      <c r="A3" s="27" t="s">
        <v>59</v>
      </c>
      <c r="B3" s="27" t="s">
        <v>41</v>
      </c>
      <c r="C3" s="27" t="s">
        <v>15</v>
      </c>
      <c r="D3" s="27" t="s">
        <v>17</v>
      </c>
      <c r="E3" s="27">
        <v>2</v>
      </c>
      <c r="F3" s="27" t="s">
        <v>481</v>
      </c>
      <c r="G3" s="27">
        <v>2.1717</v>
      </c>
      <c r="H3" s="27">
        <v>2.0261999999999998</v>
      </c>
      <c r="I3" s="28">
        <f t="shared" si="0"/>
        <v>7.1809298193663107</v>
      </c>
      <c r="J3" s="53">
        <v>44580</v>
      </c>
      <c r="K3" s="29">
        <v>44638</v>
      </c>
      <c r="L3" s="27">
        <f t="shared" si="1"/>
        <v>58</v>
      </c>
      <c r="M3" s="27">
        <v>0.71460000000000001</v>
      </c>
      <c r="N3" s="30">
        <f t="shared" ref="N3:N39" si="2">H3-M3</f>
        <v>1.3115999999999999</v>
      </c>
      <c r="O3" s="27">
        <v>0.49640000000000001</v>
      </c>
      <c r="P3" s="27">
        <v>0.14710000000000001</v>
      </c>
      <c r="Q3" s="27">
        <v>6.9500000000000006E-2</v>
      </c>
      <c r="R3" s="30">
        <f t="shared" ref="R3:R39" si="3">H3-(P3+Q3)</f>
        <v>1.8095999999999997</v>
      </c>
      <c r="S3" s="27">
        <f t="shared" ref="S3:S39" si="4">((R3-O3)/R3)*100</f>
        <v>72.568523430592393</v>
      </c>
      <c r="U3" s="18">
        <f t="shared" ref="U3:U39" si="5">(O3/R3)*100</f>
        <v>27.431476569407607</v>
      </c>
    </row>
    <row r="4" spans="1:25" x14ac:dyDescent="0.25">
      <c r="A4" s="27" t="s">
        <v>59</v>
      </c>
      <c r="B4" s="27" t="s">
        <v>41</v>
      </c>
      <c r="C4" s="27" t="s">
        <v>15</v>
      </c>
      <c r="D4" s="27" t="s">
        <v>18</v>
      </c>
      <c r="E4" s="27">
        <v>1</v>
      </c>
      <c r="F4" s="27" t="s">
        <v>482</v>
      </c>
      <c r="G4" s="27">
        <v>2.1433</v>
      </c>
      <c r="H4" s="30">
        <v>2.0005000000000002</v>
      </c>
      <c r="I4" s="28">
        <f t="shared" si="0"/>
        <v>7.1382154461384557</v>
      </c>
      <c r="J4" s="53">
        <v>44580</v>
      </c>
      <c r="K4" s="29">
        <v>44638</v>
      </c>
      <c r="L4" s="27">
        <f t="shared" si="1"/>
        <v>58</v>
      </c>
      <c r="M4" s="27">
        <v>0.4834</v>
      </c>
      <c r="N4" s="30">
        <f t="shared" si="2"/>
        <v>1.5171000000000001</v>
      </c>
      <c r="O4" s="27">
        <v>0.28100000000000003</v>
      </c>
      <c r="P4" s="27">
        <v>0.13869999999999999</v>
      </c>
      <c r="Q4" s="27">
        <v>6.4699999999999994E-2</v>
      </c>
      <c r="R4" s="30">
        <f t="shared" si="3"/>
        <v>1.7971000000000001</v>
      </c>
      <c r="S4" s="27">
        <f t="shared" si="4"/>
        <v>84.36369706749764</v>
      </c>
      <c r="U4" s="18">
        <f t="shared" si="5"/>
        <v>15.636302932502366</v>
      </c>
    </row>
    <row r="5" spans="1:25" x14ac:dyDescent="0.25">
      <c r="A5" s="27" t="s">
        <v>59</v>
      </c>
      <c r="B5" s="27" t="s">
        <v>41</v>
      </c>
      <c r="C5" s="27" t="s">
        <v>15</v>
      </c>
      <c r="D5" s="27" t="s">
        <v>18</v>
      </c>
      <c r="E5" s="27">
        <v>2</v>
      </c>
      <c r="F5" s="27" t="s">
        <v>483</v>
      </c>
      <c r="G5" s="27">
        <v>2.1110000000000002</v>
      </c>
      <c r="H5" s="30">
        <v>1.9713000000000001</v>
      </c>
      <c r="I5" s="28">
        <f t="shared" si="0"/>
        <v>7.0866940597575283</v>
      </c>
      <c r="J5" s="53">
        <v>44580</v>
      </c>
      <c r="K5" s="29">
        <v>44638</v>
      </c>
      <c r="L5" s="27">
        <f t="shared" si="1"/>
        <v>58</v>
      </c>
      <c r="M5" s="27">
        <v>0.52639999999999998</v>
      </c>
      <c r="N5" s="30">
        <f t="shared" si="2"/>
        <v>1.4449000000000001</v>
      </c>
      <c r="O5" s="27">
        <v>0.3322</v>
      </c>
      <c r="P5" s="27">
        <v>0.13469999999999999</v>
      </c>
      <c r="Q5" s="27">
        <v>6.0100000000000001E-2</v>
      </c>
      <c r="R5" s="30">
        <f t="shared" si="3"/>
        <v>1.7765</v>
      </c>
      <c r="S5" s="27">
        <f t="shared" si="4"/>
        <v>81.30030959752321</v>
      </c>
      <c r="U5" s="18">
        <f t="shared" si="5"/>
        <v>18.699690402476779</v>
      </c>
    </row>
    <row r="6" spans="1:25" x14ac:dyDescent="0.25">
      <c r="A6" s="27" t="s">
        <v>59</v>
      </c>
      <c r="B6" s="27" t="s">
        <v>41</v>
      </c>
      <c r="C6" s="27" t="s">
        <v>15</v>
      </c>
      <c r="D6" s="27" t="s">
        <v>19</v>
      </c>
      <c r="E6" s="27">
        <v>1</v>
      </c>
      <c r="F6" s="27" t="s">
        <v>484</v>
      </c>
      <c r="G6" s="27">
        <v>2.1101000000000001</v>
      </c>
      <c r="H6" s="27">
        <v>1.9665999999999999</v>
      </c>
      <c r="I6" s="28">
        <f t="shared" si="0"/>
        <v>7.296857520593929</v>
      </c>
      <c r="J6" s="53">
        <v>44580</v>
      </c>
      <c r="K6" s="29">
        <v>44638</v>
      </c>
      <c r="L6" s="27">
        <f t="shared" si="1"/>
        <v>58</v>
      </c>
      <c r="M6" s="27">
        <v>0.46350000000000002</v>
      </c>
      <c r="N6" s="30">
        <f t="shared" si="2"/>
        <v>1.5030999999999999</v>
      </c>
      <c r="O6" s="27">
        <v>0.26290000000000002</v>
      </c>
      <c r="P6" s="27">
        <v>0.14449999999999999</v>
      </c>
      <c r="Q6" s="27">
        <v>5.5899999999999998E-2</v>
      </c>
      <c r="R6" s="30">
        <f t="shared" si="3"/>
        <v>1.7662</v>
      </c>
      <c r="S6" s="27">
        <f t="shared" si="4"/>
        <v>85.114936020835685</v>
      </c>
      <c r="U6" s="18">
        <f t="shared" si="5"/>
        <v>14.885063979164309</v>
      </c>
    </row>
    <row r="7" spans="1:25" x14ac:dyDescent="0.25">
      <c r="A7" s="27" t="s">
        <v>59</v>
      </c>
      <c r="B7" s="27" t="s">
        <v>41</v>
      </c>
      <c r="C7" s="27" t="s">
        <v>15</v>
      </c>
      <c r="D7" s="27" t="s">
        <v>19</v>
      </c>
      <c r="E7" s="27">
        <v>2</v>
      </c>
      <c r="F7" s="27" t="s">
        <v>485</v>
      </c>
      <c r="G7" s="27">
        <v>2.1372</v>
      </c>
      <c r="H7" s="30">
        <v>1.9932000000000001</v>
      </c>
      <c r="I7" s="28">
        <f t="shared" si="0"/>
        <v>7.2245635159542392</v>
      </c>
      <c r="J7" s="53">
        <v>44580</v>
      </c>
      <c r="K7" s="29">
        <v>44638</v>
      </c>
      <c r="L7" s="27">
        <f t="shared" si="1"/>
        <v>58</v>
      </c>
      <c r="M7" s="27">
        <v>0.48630000000000001</v>
      </c>
      <c r="N7" s="30">
        <f t="shared" si="2"/>
        <v>1.5069000000000001</v>
      </c>
      <c r="O7" s="27">
        <v>0.28560000000000002</v>
      </c>
      <c r="P7" s="27">
        <v>0.14399999999999999</v>
      </c>
      <c r="Q7" s="27">
        <v>5.7099999999999998E-2</v>
      </c>
      <c r="R7" s="30">
        <f t="shared" si="3"/>
        <v>1.7921</v>
      </c>
      <c r="S7" s="27">
        <f t="shared" si="4"/>
        <v>84.063389319792421</v>
      </c>
      <c r="U7" s="18">
        <f t="shared" si="5"/>
        <v>15.936610680207577</v>
      </c>
    </row>
    <row r="8" spans="1:25" x14ac:dyDescent="0.25">
      <c r="A8" s="27" t="s">
        <v>59</v>
      </c>
      <c r="B8" s="27" t="s">
        <v>41</v>
      </c>
      <c r="C8" s="27" t="s">
        <v>15</v>
      </c>
      <c r="D8" s="27" t="s">
        <v>20</v>
      </c>
      <c r="E8" s="27">
        <v>1</v>
      </c>
      <c r="F8" s="27" t="s">
        <v>486</v>
      </c>
      <c r="G8" s="30">
        <v>2.0849000000000002</v>
      </c>
      <c r="H8" s="30">
        <v>1.9460999999999999</v>
      </c>
      <c r="I8" s="28">
        <f t="shared" si="0"/>
        <v>7.1322131442372054</v>
      </c>
      <c r="J8" s="53">
        <v>44580</v>
      </c>
      <c r="K8" s="29">
        <v>44638</v>
      </c>
      <c r="L8" s="27">
        <f t="shared" si="1"/>
        <v>58</v>
      </c>
      <c r="M8" s="27">
        <v>0.50690000000000002</v>
      </c>
      <c r="N8" s="30">
        <f t="shared" si="2"/>
        <v>1.4392</v>
      </c>
      <c r="O8" s="27">
        <v>0.31309999999999999</v>
      </c>
      <c r="P8" s="27">
        <v>0.13869999999999999</v>
      </c>
      <c r="Q8" s="27">
        <v>5.6099999999999997E-2</v>
      </c>
      <c r="R8" s="30">
        <f t="shared" si="3"/>
        <v>1.7513000000000001</v>
      </c>
      <c r="S8" s="27">
        <f t="shared" si="4"/>
        <v>82.121852338263011</v>
      </c>
      <c r="U8" s="18">
        <f t="shared" si="5"/>
        <v>17.878147661736993</v>
      </c>
    </row>
    <row r="9" spans="1:25" x14ac:dyDescent="0.25">
      <c r="A9" s="27" t="s">
        <v>59</v>
      </c>
      <c r="B9" s="27" t="s">
        <v>41</v>
      </c>
      <c r="C9" s="27" t="s">
        <v>15</v>
      </c>
      <c r="D9" s="27" t="s">
        <v>20</v>
      </c>
      <c r="E9" s="27">
        <v>2</v>
      </c>
      <c r="F9" s="27" t="s">
        <v>487</v>
      </c>
      <c r="G9" s="27">
        <v>2.2113999999999998</v>
      </c>
      <c r="H9" s="27">
        <v>2.0632000000000001</v>
      </c>
      <c r="I9" s="28">
        <f t="shared" si="0"/>
        <v>7.183016673129103</v>
      </c>
      <c r="J9" s="53">
        <v>44580</v>
      </c>
      <c r="K9" s="29">
        <v>44638</v>
      </c>
      <c r="L9" s="27">
        <f t="shared" si="1"/>
        <v>58</v>
      </c>
      <c r="M9" s="27">
        <v>0.49249999999999999</v>
      </c>
      <c r="N9" s="30">
        <f t="shared" si="2"/>
        <v>1.5707000000000002</v>
      </c>
      <c r="O9" s="27">
        <v>0.30049999999999999</v>
      </c>
      <c r="P9" s="27">
        <v>0.13650000000000001</v>
      </c>
      <c r="Q9" s="27">
        <v>5.6099999999999997E-2</v>
      </c>
      <c r="R9" s="30">
        <f t="shared" si="3"/>
        <v>1.8706</v>
      </c>
      <c r="S9" s="27">
        <f t="shared" si="4"/>
        <v>83.935635624933184</v>
      </c>
      <c r="U9" s="18">
        <f t="shared" si="5"/>
        <v>16.064364375066823</v>
      </c>
    </row>
    <row r="10" spans="1:25" x14ac:dyDescent="0.25">
      <c r="A10" s="31" t="s">
        <v>14</v>
      </c>
      <c r="B10" s="31" t="s">
        <v>60</v>
      </c>
      <c r="C10" s="31" t="s">
        <v>15</v>
      </c>
      <c r="D10" s="31" t="s">
        <v>17</v>
      </c>
      <c r="E10" s="31">
        <v>1</v>
      </c>
      <c r="F10" s="31" t="s">
        <v>488</v>
      </c>
      <c r="G10" s="31">
        <v>2.0099</v>
      </c>
      <c r="H10" s="31">
        <v>1.8891</v>
      </c>
      <c r="I10" s="32">
        <f t="shared" si="0"/>
        <v>6.394579429357897</v>
      </c>
      <c r="J10" s="53">
        <v>44585</v>
      </c>
      <c r="K10" s="33">
        <v>44638</v>
      </c>
      <c r="L10" s="31">
        <f t="shared" si="1"/>
        <v>53</v>
      </c>
      <c r="M10" s="31">
        <v>0.53600000000000003</v>
      </c>
      <c r="N10" s="34">
        <f t="shared" si="2"/>
        <v>1.3531</v>
      </c>
      <c r="O10" s="31">
        <v>0.33500000000000002</v>
      </c>
      <c r="P10" s="31">
        <v>0.1371</v>
      </c>
      <c r="Q10" s="31">
        <v>6.5500000000000003E-2</v>
      </c>
      <c r="R10" s="34">
        <f t="shared" si="3"/>
        <v>1.6865000000000001</v>
      </c>
      <c r="S10" s="31">
        <f t="shared" si="4"/>
        <v>80.136377112362894</v>
      </c>
      <c r="T10">
        <f>AVERAGE(O10:O16)</f>
        <v>0.33925714285714287</v>
      </c>
      <c r="U10" s="18">
        <f t="shared" si="5"/>
        <v>19.863622887637117</v>
      </c>
      <c r="V10" s="7">
        <f>AVERAGE(U10:U16)</f>
        <v>18.9616453408849</v>
      </c>
      <c r="W10">
        <f>STDEV(U10:U16)</f>
        <v>0.9482323086224419</v>
      </c>
      <c r="X10">
        <f>AVERAGE(S10:S16)</f>
        <v>81.038354659115086</v>
      </c>
      <c r="Y10">
        <f>STDEV(S10:S16)</f>
        <v>0.94823230862243901</v>
      </c>
    </row>
    <row r="11" spans="1:25" x14ac:dyDescent="0.25">
      <c r="A11" s="31" t="s">
        <v>14</v>
      </c>
      <c r="B11" s="31" t="s">
        <v>60</v>
      </c>
      <c r="C11" s="31" t="s">
        <v>15</v>
      </c>
      <c r="D11" s="31" t="s">
        <v>17</v>
      </c>
      <c r="E11" s="31">
        <v>2</v>
      </c>
      <c r="F11" s="31" t="s">
        <v>489</v>
      </c>
      <c r="G11" s="31">
        <v>2.0752000000000002</v>
      </c>
      <c r="H11" s="31">
        <v>1.9488000000000001</v>
      </c>
      <c r="I11" s="32">
        <f t="shared" si="0"/>
        <v>6.4860426929392476</v>
      </c>
      <c r="J11" s="53">
        <v>44585</v>
      </c>
      <c r="K11" s="33">
        <v>44638</v>
      </c>
      <c r="L11" s="31">
        <f t="shared" si="1"/>
        <v>53</v>
      </c>
      <c r="M11" s="31">
        <v>0.52429999999999999</v>
      </c>
      <c r="N11" s="34">
        <f t="shared" si="2"/>
        <v>1.4245000000000001</v>
      </c>
      <c r="O11" s="31">
        <v>0.32540000000000002</v>
      </c>
      <c r="P11" s="31">
        <v>0.13450000000000001</v>
      </c>
      <c r="Q11" s="31">
        <v>6.6000000000000003E-2</v>
      </c>
      <c r="R11" s="34">
        <f t="shared" si="3"/>
        <v>1.7483</v>
      </c>
      <c r="S11" s="31">
        <f t="shared" si="4"/>
        <v>81.387633701309838</v>
      </c>
      <c r="U11" s="18">
        <f t="shared" si="5"/>
        <v>18.612366298690159</v>
      </c>
    </row>
    <row r="12" spans="1:25" x14ac:dyDescent="0.25">
      <c r="A12" s="31" t="s">
        <v>14</v>
      </c>
      <c r="B12" s="31" t="s">
        <v>60</v>
      </c>
      <c r="C12" s="31" t="s">
        <v>15</v>
      </c>
      <c r="D12" s="31" t="s">
        <v>18</v>
      </c>
      <c r="E12" s="31">
        <v>1</v>
      </c>
      <c r="F12" s="31" t="s">
        <v>490</v>
      </c>
      <c r="G12" s="31">
        <v>2.0747</v>
      </c>
      <c r="H12" s="34">
        <v>1.9490000000000001</v>
      </c>
      <c r="I12" s="32">
        <f t="shared" si="0"/>
        <v>6.4494612621857321</v>
      </c>
      <c r="J12" s="53">
        <v>44585</v>
      </c>
      <c r="K12" s="33">
        <v>44638</v>
      </c>
      <c r="L12" s="31">
        <f t="shared" si="1"/>
        <v>53</v>
      </c>
      <c r="M12" s="31">
        <v>0.51819999999999999</v>
      </c>
      <c r="N12" s="34">
        <f t="shared" si="2"/>
        <v>1.4308000000000001</v>
      </c>
      <c r="O12" s="31">
        <v>0.32190000000000002</v>
      </c>
      <c r="P12" s="31">
        <v>0.1363</v>
      </c>
      <c r="Q12" s="34">
        <v>6.2100000000000002E-2</v>
      </c>
      <c r="R12" s="34">
        <f t="shared" si="3"/>
        <v>1.7505999999999999</v>
      </c>
      <c r="S12" s="31">
        <f t="shared" si="4"/>
        <v>81.612018736433228</v>
      </c>
      <c r="U12" s="18">
        <f t="shared" si="5"/>
        <v>18.387981263566779</v>
      </c>
    </row>
    <row r="13" spans="1:25" x14ac:dyDescent="0.25">
      <c r="A13" s="31" t="s">
        <v>14</v>
      </c>
      <c r="B13" s="31" t="s">
        <v>60</v>
      </c>
      <c r="C13" s="31" t="s">
        <v>15</v>
      </c>
      <c r="D13" s="31" t="s">
        <v>18</v>
      </c>
      <c r="E13" s="31">
        <v>2</v>
      </c>
      <c r="F13" s="31" t="s">
        <v>491</v>
      </c>
      <c r="G13" s="31">
        <v>2.1238000000000001</v>
      </c>
      <c r="H13" s="31">
        <v>1.992</v>
      </c>
      <c r="I13" s="32">
        <f t="shared" si="0"/>
        <v>6.6164658634538229</v>
      </c>
      <c r="J13" s="53">
        <v>44585</v>
      </c>
      <c r="K13" s="33">
        <v>44638</v>
      </c>
      <c r="L13" s="31">
        <f t="shared" si="1"/>
        <v>53</v>
      </c>
      <c r="M13" s="31">
        <v>0.51339999999999997</v>
      </c>
      <c r="N13" s="34">
        <f t="shared" si="2"/>
        <v>1.4786000000000001</v>
      </c>
      <c r="O13" s="31">
        <v>0.31169999999999998</v>
      </c>
      <c r="P13" s="31">
        <v>0.1361</v>
      </c>
      <c r="Q13" s="31">
        <v>6.6699999999999995E-2</v>
      </c>
      <c r="R13" s="34">
        <f t="shared" si="3"/>
        <v>1.7892000000000001</v>
      </c>
      <c r="S13" s="31">
        <f t="shared" si="4"/>
        <v>82.578806170355463</v>
      </c>
      <c r="U13" s="18">
        <f t="shared" si="5"/>
        <v>17.421193829644533</v>
      </c>
    </row>
    <row r="14" spans="1:25" x14ac:dyDescent="0.25">
      <c r="A14" s="31" t="s">
        <v>14</v>
      </c>
      <c r="B14" s="31" t="s">
        <v>60</v>
      </c>
      <c r="C14" s="31" t="s">
        <v>15</v>
      </c>
      <c r="D14" s="31" t="s">
        <v>19</v>
      </c>
      <c r="E14" s="31">
        <v>1</v>
      </c>
      <c r="F14" s="31" t="s">
        <v>492</v>
      </c>
      <c r="G14" s="34">
        <v>2.2219000000000002</v>
      </c>
      <c r="H14" s="31">
        <v>2.0811999999999999</v>
      </c>
      <c r="I14" s="32">
        <f t="shared" si="0"/>
        <v>6.7605227753219417</v>
      </c>
      <c r="J14" s="53">
        <v>44585</v>
      </c>
      <c r="K14" s="33">
        <v>44638</v>
      </c>
      <c r="L14" s="31">
        <f t="shared" si="1"/>
        <v>53</v>
      </c>
      <c r="M14" s="31">
        <v>0.57869999999999999</v>
      </c>
      <c r="N14" s="34">
        <f t="shared" si="2"/>
        <v>1.5024999999999999</v>
      </c>
      <c r="O14" s="31">
        <v>0.37709999999999999</v>
      </c>
      <c r="P14" s="31">
        <v>0.14249999999999999</v>
      </c>
      <c r="Q14" s="31">
        <v>6.3100000000000003E-2</v>
      </c>
      <c r="R14" s="34">
        <f t="shared" si="3"/>
        <v>1.8755999999999999</v>
      </c>
      <c r="S14" s="31">
        <f t="shared" si="4"/>
        <v>79.894433781190017</v>
      </c>
      <c r="U14" s="18">
        <f t="shared" si="5"/>
        <v>20.10556621880998</v>
      </c>
    </row>
    <row r="15" spans="1:25" x14ac:dyDescent="0.25">
      <c r="A15" s="31" t="s">
        <v>14</v>
      </c>
      <c r="B15" s="31" t="s">
        <v>60</v>
      </c>
      <c r="C15" s="31" t="s">
        <v>15</v>
      </c>
      <c r="D15" s="31" t="s">
        <v>20</v>
      </c>
      <c r="E15" s="31">
        <v>1</v>
      </c>
      <c r="F15" s="31" t="s">
        <v>493</v>
      </c>
      <c r="G15" s="31">
        <v>2.1659000000000002</v>
      </c>
      <c r="H15" s="31">
        <v>2.0333999999999999</v>
      </c>
      <c r="I15" s="32">
        <f t="shared" si="0"/>
        <v>6.5161797973837077</v>
      </c>
      <c r="J15" s="53">
        <v>44585</v>
      </c>
      <c r="K15" s="33">
        <v>44638</v>
      </c>
      <c r="L15" s="31">
        <f t="shared" si="1"/>
        <v>53</v>
      </c>
      <c r="M15" s="31">
        <v>0.5454</v>
      </c>
      <c r="N15" s="34">
        <f t="shared" si="2"/>
        <v>1.488</v>
      </c>
      <c r="O15" s="31">
        <v>0.35949999999999999</v>
      </c>
      <c r="P15" s="31">
        <v>0.13689999999999999</v>
      </c>
      <c r="Q15" s="31">
        <v>6.1899999999999997E-2</v>
      </c>
      <c r="R15" s="34">
        <f t="shared" si="3"/>
        <v>1.8346</v>
      </c>
      <c r="S15" s="31">
        <f t="shared" si="4"/>
        <v>80.404447836040561</v>
      </c>
      <c r="U15" s="18">
        <f t="shared" si="5"/>
        <v>19.595552163959447</v>
      </c>
    </row>
    <row r="16" spans="1:25" x14ac:dyDescent="0.25">
      <c r="A16" s="31" t="s">
        <v>14</v>
      </c>
      <c r="B16" s="31" t="s">
        <v>60</v>
      </c>
      <c r="C16" s="31" t="s">
        <v>15</v>
      </c>
      <c r="D16" s="31" t="s">
        <v>20</v>
      </c>
      <c r="E16" s="31">
        <v>2</v>
      </c>
      <c r="F16" s="31" t="s">
        <v>494</v>
      </c>
      <c r="G16" s="31">
        <v>2.1741999999999999</v>
      </c>
      <c r="H16" s="31">
        <v>2.0407999999999999</v>
      </c>
      <c r="I16" s="32">
        <f t="shared" si="0"/>
        <v>6.536652293218344</v>
      </c>
      <c r="J16" s="53">
        <v>44585</v>
      </c>
      <c r="K16" s="33">
        <v>44638</v>
      </c>
      <c r="L16" s="31">
        <f t="shared" si="1"/>
        <v>53</v>
      </c>
      <c r="M16" s="31">
        <v>0.54820000000000002</v>
      </c>
      <c r="N16" s="34">
        <f t="shared" si="2"/>
        <v>1.4925999999999999</v>
      </c>
      <c r="O16" s="31">
        <v>0.34420000000000001</v>
      </c>
      <c r="P16" s="31">
        <v>0.1404</v>
      </c>
      <c r="Q16" s="31">
        <v>6.4199999999999993E-2</v>
      </c>
      <c r="R16" s="34">
        <f t="shared" si="3"/>
        <v>1.8361999999999998</v>
      </c>
      <c r="S16" s="31">
        <f t="shared" si="4"/>
        <v>81.254765276113702</v>
      </c>
      <c r="U16" s="18">
        <f t="shared" si="5"/>
        <v>18.745234723886288</v>
      </c>
    </row>
    <row r="17" spans="1:25" x14ac:dyDescent="0.25">
      <c r="A17" s="39" t="s">
        <v>62</v>
      </c>
      <c r="B17" s="39" t="s">
        <v>63</v>
      </c>
      <c r="C17" s="39" t="s">
        <v>15</v>
      </c>
      <c r="D17" s="39" t="s">
        <v>17</v>
      </c>
      <c r="E17" s="39">
        <v>1</v>
      </c>
      <c r="F17" s="39" t="s">
        <v>495</v>
      </c>
      <c r="G17" s="39">
        <v>2.0977999999999999</v>
      </c>
      <c r="H17" s="39">
        <v>1.9723999999999999</v>
      </c>
      <c r="I17" s="40">
        <f t="shared" si="0"/>
        <v>6.3577367673899792</v>
      </c>
      <c r="J17" s="53">
        <v>44592</v>
      </c>
      <c r="K17" s="41">
        <v>44651</v>
      </c>
      <c r="L17" s="39">
        <f t="shared" si="1"/>
        <v>59</v>
      </c>
      <c r="M17" s="39">
        <v>0.56510000000000005</v>
      </c>
      <c r="N17" s="42">
        <f t="shared" si="2"/>
        <v>1.4072999999999998</v>
      </c>
      <c r="O17" s="39">
        <v>0.36630000000000001</v>
      </c>
      <c r="P17" s="39">
        <v>0.1429</v>
      </c>
      <c r="Q17" s="39">
        <v>5.7599999999999998E-2</v>
      </c>
      <c r="R17" s="42">
        <f t="shared" si="3"/>
        <v>1.7719</v>
      </c>
      <c r="S17" s="39">
        <f t="shared" si="4"/>
        <v>79.327275805632368</v>
      </c>
      <c r="T17">
        <f>AVERAGE(O17:O24)</f>
        <v>0.36001250000000001</v>
      </c>
      <c r="U17" s="18">
        <f t="shared" si="5"/>
        <v>20.672724194367628</v>
      </c>
      <c r="V17" s="7">
        <f>AVERAGE(U17:U24)</f>
        <v>20.613106578174012</v>
      </c>
      <c r="W17">
        <f>STDEV(U17:U24)</f>
        <v>1.317822478228641</v>
      </c>
      <c r="X17">
        <f>AVERAGE(S17:S24)</f>
        <v>79.386893421825974</v>
      </c>
      <c r="Y17">
        <f>STDEV(S17:S24)</f>
        <v>1.3178224782286405</v>
      </c>
    </row>
    <row r="18" spans="1:25" x14ac:dyDescent="0.25">
      <c r="A18" s="39" t="s">
        <v>62</v>
      </c>
      <c r="B18" s="39" t="s">
        <v>63</v>
      </c>
      <c r="C18" s="39" t="s">
        <v>15</v>
      </c>
      <c r="D18" s="39" t="s">
        <v>17</v>
      </c>
      <c r="E18" s="39">
        <v>2</v>
      </c>
      <c r="F18" s="39" t="s">
        <v>496</v>
      </c>
      <c r="G18" s="39">
        <v>2.1457999999999999</v>
      </c>
      <c r="H18" s="39">
        <v>2.0152999999999999</v>
      </c>
      <c r="I18" s="40">
        <f t="shared" si="0"/>
        <v>6.4754627102664646</v>
      </c>
      <c r="J18" s="53">
        <v>44592</v>
      </c>
      <c r="K18" s="41">
        <v>44651</v>
      </c>
      <c r="L18" s="39">
        <f t="shared" si="1"/>
        <v>59</v>
      </c>
      <c r="M18" s="39">
        <v>0.59760000000000002</v>
      </c>
      <c r="N18" s="42">
        <f t="shared" si="2"/>
        <v>1.4177</v>
      </c>
      <c r="O18" s="39">
        <v>0.40799999999999997</v>
      </c>
      <c r="P18" s="39">
        <v>0.13420000000000001</v>
      </c>
      <c r="Q18" s="39">
        <v>5.6000000000000001E-2</v>
      </c>
      <c r="R18" s="42">
        <f t="shared" si="3"/>
        <v>1.8250999999999999</v>
      </c>
      <c r="S18" s="39">
        <f t="shared" si="4"/>
        <v>77.645060544627697</v>
      </c>
      <c r="U18" s="18">
        <f t="shared" si="5"/>
        <v>22.354939455372307</v>
      </c>
    </row>
    <row r="19" spans="1:25" x14ac:dyDescent="0.25">
      <c r="A19" s="39" t="s">
        <v>62</v>
      </c>
      <c r="B19" s="39" t="s">
        <v>63</v>
      </c>
      <c r="C19" s="39" t="s">
        <v>15</v>
      </c>
      <c r="D19" s="39" t="s">
        <v>18</v>
      </c>
      <c r="E19" s="39">
        <v>1</v>
      </c>
      <c r="F19" s="39" t="s">
        <v>497</v>
      </c>
      <c r="G19" s="39">
        <v>1.9681</v>
      </c>
      <c r="H19" s="39">
        <v>1.8495999999999999</v>
      </c>
      <c r="I19" s="40">
        <f t="shared" si="0"/>
        <v>6.4067906574394495</v>
      </c>
      <c r="J19" s="53">
        <v>44592</v>
      </c>
      <c r="K19" s="41">
        <v>44651</v>
      </c>
      <c r="L19" s="39">
        <f t="shared" si="1"/>
        <v>59</v>
      </c>
      <c r="M19" s="39">
        <v>0.54630000000000001</v>
      </c>
      <c r="N19" s="42">
        <f t="shared" si="2"/>
        <v>1.3032999999999999</v>
      </c>
      <c r="O19" s="39">
        <v>0.34279999999999999</v>
      </c>
      <c r="P19" s="39">
        <v>0.14199999999999999</v>
      </c>
      <c r="Q19" s="39">
        <v>6.1400000000000003E-2</v>
      </c>
      <c r="R19" s="42">
        <f t="shared" si="3"/>
        <v>1.6461999999999999</v>
      </c>
      <c r="S19" s="39">
        <f t="shared" si="4"/>
        <v>79.176284777062321</v>
      </c>
      <c r="U19" s="18">
        <f t="shared" si="5"/>
        <v>20.823715222937675</v>
      </c>
    </row>
    <row r="20" spans="1:25" x14ac:dyDescent="0.25">
      <c r="A20" s="39" t="s">
        <v>62</v>
      </c>
      <c r="B20" s="39" t="s">
        <v>63</v>
      </c>
      <c r="C20" s="39" t="s">
        <v>15</v>
      </c>
      <c r="D20" s="39" t="s">
        <v>18</v>
      </c>
      <c r="E20" s="39">
        <v>2</v>
      </c>
      <c r="F20" s="39" t="s">
        <v>498</v>
      </c>
      <c r="G20" s="39">
        <v>2.0057999999999998</v>
      </c>
      <c r="H20" s="39">
        <v>1.8843000000000001</v>
      </c>
      <c r="I20" s="40">
        <f t="shared" si="0"/>
        <v>6.448017831555469</v>
      </c>
      <c r="J20" s="53">
        <v>44592</v>
      </c>
      <c r="K20" s="41">
        <v>44651</v>
      </c>
      <c r="L20" s="39">
        <f t="shared" si="1"/>
        <v>59</v>
      </c>
      <c r="M20" s="39">
        <v>0.54079999999999995</v>
      </c>
      <c r="N20" s="42">
        <f t="shared" si="2"/>
        <v>1.3435000000000001</v>
      </c>
      <c r="O20" s="39">
        <v>0.3508</v>
      </c>
      <c r="P20" s="39">
        <v>0.1381</v>
      </c>
      <c r="Q20" s="39">
        <v>5.5100000000000003E-2</v>
      </c>
      <c r="R20" s="42">
        <f t="shared" si="3"/>
        <v>1.6911</v>
      </c>
      <c r="S20" s="39">
        <f t="shared" si="4"/>
        <v>79.256105493465796</v>
      </c>
      <c r="U20" s="18">
        <f t="shared" si="5"/>
        <v>20.743894506534208</v>
      </c>
    </row>
    <row r="21" spans="1:25" x14ac:dyDescent="0.25">
      <c r="A21" s="39" t="s">
        <v>62</v>
      </c>
      <c r="B21" s="39" t="s">
        <v>63</v>
      </c>
      <c r="C21" s="39" t="s">
        <v>15</v>
      </c>
      <c r="D21" s="39" t="s">
        <v>19</v>
      </c>
      <c r="E21" s="39">
        <v>1</v>
      </c>
      <c r="F21" s="39" t="s">
        <v>499</v>
      </c>
      <c r="G21" s="39">
        <v>2.1701999999999999</v>
      </c>
      <c r="H21" s="39">
        <v>2.0373000000000001</v>
      </c>
      <c r="I21" s="40">
        <f t="shared" si="0"/>
        <v>6.5233397143277765</v>
      </c>
      <c r="J21" s="53">
        <v>44592</v>
      </c>
      <c r="K21" s="41">
        <v>44651</v>
      </c>
      <c r="L21" s="39">
        <f t="shared" si="1"/>
        <v>59</v>
      </c>
      <c r="M21" s="39">
        <v>0.57389999999999997</v>
      </c>
      <c r="N21" s="42">
        <f t="shared" si="2"/>
        <v>1.4634</v>
      </c>
      <c r="O21" s="39">
        <v>0.37440000000000001</v>
      </c>
      <c r="P21" s="39">
        <v>0.14460000000000001</v>
      </c>
      <c r="Q21" s="39">
        <v>5.8999999999999997E-2</v>
      </c>
      <c r="R21" s="42">
        <f t="shared" si="3"/>
        <v>1.8337000000000001</v>
      </c>
      <c r="S21" s="39">
        <f t="shared" si="4"/>
        <v>79.582265365108796</v>
      </c>
      <c r="U21" s="18">
        <f t="shared" si="5"/>
        <v>20.4177346348912</v>
      </c>
    </row>
    <row r="22" spans="1:25" x14ac:dyDescent="0.25">
      <c r="A22" s="39" t="s">
        <v>62</v>
      </c>
      <c r="B22" s="39" t="s">
        <v>63</v>
      </c>
      <c r="C22" s="39" t="s">
        <v>15</v>
      </c>
      <c r="D22" s="39" t="s">
        <v>19</v>
      </c>
      <c r="E22" s="39">
        <v>2</v>
      </c>
      <c r="F22" s="39" t="s">
        <v>500</v>
      </c>
      <c r="G22" s="39">
        <v>2.1225000000000001</v>
      </c>
      <c r="H22" s="39">
        <v>1.9912000000000001</v>
      </c>
      <c r="I22" s="40">
        <f t="shared" si="0"/>
        <v>6.5940136601044586</v>
      </c>
      <c r="J22" s="53">
        <v>44592</v>
      </c>
      <c r="K22" s="41">
        <v>44651</v>
      </c>
      <c r="L22" s="39">
        <f t="shared" si="1"/>
        <v>59</v>
      </c>
      <c r="M22" s="39">
        <v>0.57179999999999997</v>
      </c>
      <c r="N22" s="42">
        <f t="shared" si="2"/>
        <v>1.4194</v>
      </c>
      <c r="O22" s="39">
        <v>0.37769999999999998</v>
      </c>
      <c r="P22" s="39">
        <v>0.1394</v>
      </c>
      <c r="Q22" s="39">
        <v>5.7099999999999998E-2</v>
      </c>
      <c r="R22" s="42">
        <f t="shared" si="3"/>
        <v>1.7947000000000002</v>
      </c>
      <c r="S22" s="39">
        <f t="shared" si="4"/>
        <v>78.954699949852341</v>
      </c>
      <c r="U22" s="18">
        <f t="shared" si="5"/>
        <v>21.045300050147652</v>
      </c>
    </row>
    <row r="23" spans="1:25" x14ac:dyDescent="0.25">
      <c r="A23" s="39" t="s">
        <v>62</v>
      </c>
      <c r="B23" s="39" t="s">
        <v>63</v>
      </c>
      <c r="C23" s="39" t="s">
        <v>15</v>
      </c>
      <c r="D23" s="39" t="s">
        <v>20</v>
      </c>
      <c r="E23" s="39">
        <v>1</v>
      </c>
      <c r="F23" s="39" t="s">
        <v>501</v>
      </c>
      <c r="G23" s="39">
        <v>1.9778</v>
      </c>
      <c r="H23" s="39">
        <v>1.8560000000000001</v>
      </c>
      <c r="I23" s="40">
        <f t="shared" si="0"/>
        <v>6.5624999999999947</v>
      </c>
      <c r="J23" s="53">
        <v>44592</v>
      </c>
      <c r="K23" s="41">
        <v>44651</v>
      </c>
      <c r="L23" s="39">
        <f t="shared" si="1"/>
        <v>59</v>
      </c>
      <c r="M23" s="39">
        <v>0.49840000000000001</v>
      </c>
      <c r="N23" s="42">
        <f t="shared" si="2"/>
        <v>1.3576000000000001</v>
      </c>
      <c r="O23" s="39">
        <v>0.29099999999999998</v>
      </c>
      <c r="P23" s="39">
        <v>0.14990000000000001</v>
      </c>
      <c r="Q23" s="39">
        <v>6.1199999999999997E-2</v>
      </c>
      <c r="R23" s="42">
        <f t="shared" si="3"/>
        <v>1.6449</v>
      </c>
      <c r="S23" s="39">
        <f t="shared" si="4"/>
        <v>82.308954951668795</v>
      </c>
      <c r="U23" s="18">
        <f t="shared" si="5"/>
        <v>17.691045048331205</v>
      </c>
    </row>
    <row r="24" spans="1:25" x14ac:dyDescent="0.25">
      <c r="A24" s="39" t="s">
        <v>62</v>
      </c>
      <c r="B24" s="39" t="s">
        <v>63</v>
      </c>
      <c r="C24" s="39" t="s">
        <v>15</v>
      </c>
      <c r="D24" s="39" t="s">
        <v>20</v>
      </c>
      <c r="E24" s="39">
        <v>2</v>
      </c>
      <c r="F24" s="39" t="s">
        <v>502</v>
      </c>
      <c r="G24" s="39">
        <v>2.0764999999999998</v>
      </c>
      <c r="H24" s="39">
        <v>1.95</v>
      </c>
      <c r="I24" s="40">
        <f t="shared" si="0"/>
        <v>6.4871794871794783</v>
      </c>
      <c r="J24" s="53">
        <v>44592</v>
      </c>
      <c r="K24" s="41">
        <v>44651</v>
      </c>
      <c r="L24" s="39">
        <f t="shared" si="1"/>
        <v>59</v>
      </c>
      <c r="M24" s="39">
        <v>0.57650000000000001</v>
      </c>
      <c r="N24" s="42">
        <f t="shared" si="2"/>
        <v>1.3734999999999999</v>
      </c>
      <c r="O24" s="39">
        <v>0.36909999999999998</v>
      </c>
      <c r="P24" s="39">
        <v>0.14230000000000001</v>
      </c>
      <c r="Q24" s="39">
        <v>6.3E-2</v>
      </c>
      <c r="R24" s="42">
        <f t="shared" si="3"/>
        <v>1.7446999999999999</v>
      </c>
      <c r="S24" s="39">
        <f t="shared" si="4"/>
        <v>78.844500487189777</v>
      </c>
      <c r="U24" s="18">
        <f t="shared" si="5"/>
        <v>21.155499512810223</v>
      </c>
    </row>
    <row r="25" spans="1:25" x14ac:dyDescent="0.25">
      <c r="A25" s="43" t="s">
        <v>99</v>
      </c>
      <c r="B25" s="43" t="s">
        <v>100</v>
      </c>
      <c r="C25" s="43" t="s">
        <v>15</v>
      </c>
      <c r="D25" s="43" t="s">
        <v>17</v>
      </c>
      <c r="E25" s="43">
        <v>1</v>
      </c>
      <c r="F25" s="43" t="s">
        <v>503</v>
      </c>
      <c r="G25" s="43">
        <v>2.0663</v>
      </c>
      <c r="H25" s="43">
        <v>1.9649000000000001</v>
      </c>
      <c r="I25" s="44">
        <f t="shared" si="0"/>
        <v>5.1605679678355099</v>
      </c>
      <c r="J25" s="53">
        <v>44599</v>
      </c>
      <c r="K25" s="45">
        <v>44655</v>
      </c>
      <c r="L25" s="43">
        <f t="shared" si="1"/>
        <v>56</v>
      </c>
      <c r="M25" s="43">
        <v>0.61</v>
      </c>
      <c r="N25" s="46">
        <f t="shared" si="2"/>
        <v>1.3549000000000002</v>
      </c>
      <c r="O25" s="43">
        <v>0.40670000000000001</v>
      </c>
      <c r="P25" s="43">
        <v>0.14199999999999999</v>
      </c>
      <c r="Q25" s="43">
        <v>5.9400000000000001E-2</v>
      </c>
      <c r="R25" s="46">
        <f t="shared" si="3"/>
        <v>1.7635000000000001</v>
      </c>
      <c r="S25" s="43">
        <f t="shared" si="4"/>
        <v>76.937907570172953</v>
      </c>
      <c r="T25">
        <f>AVERAGE(O25:O31)</f>
        <v>0.33901428571428571</v>
      </c>
      <c r="U25" s="18">
        <f t="shared" si="5"/>
        <v>23.062092429827047</v>
      </c>
      <c r="V25" s="7">
        <f>AVERAGE(U25:U31)</f>
        <v>19.099793535318714</v>
      </c>
      <c r="W25">
        <f>STDEV(U25:U31)</f>
        <v>4.0799842038232743</v>
      </c>
      <c r="X25">
        <f>AVERAGE(S25:S31)</f>
        <v>80.900206464681304</v>
      </c>
      <c r="Y25">
        <f>STDEV(S25:S31)</f>
        <v>4.0799842038232708</v>
      </c>
    </row>
    <row r="26" spans="1:25" x14ac:dyDescent="0.25">
      <c r="A26" s="43" t="s">
        <v>99</v>
      </c>
      <c r="B26" s="43" t="s">
        <v>100</v>
      </c>
      <c r="C26" s="43" t="s">
        <v>15</v>
      </c>
      <c r="D26" s="43" t="s">
        <v>17</v>
      </c>
      <c r="E26" s="43">
        <v>2</v>
      </c>
      <c r="F26" s="43" t="s">
        <v>504</v>
      </c>
      <c r="G26" s="43">
        <v>2.0665</v>
      </c>
      <c r="H26" s="43">
        <v>1.964</v>
      </c>
      <c r="I26" s="44">
        <f t="shared" si="0"/>
        <v>5.2189409368635458</v>
      </c>
      <c r="J26" s="53">
        <v>44599</v>
      </c>
      <c r="K26" s="45">
        <v>44655</v>
      </c>
      <c r="L26" s="43">
        <f t="shared" si="1"/>
        <v>56</v>
      </c>
      <c r="M26" s="43">
        <v>0.56640000000000001</v>
      </c>
      <c r="N26" s="46">
        <f t="shared" si="2"/>
        <v>1.3976</v>
      </c>
      <c r="O26" s="43">
        <v>0.3695</v>
      </c>
      <c r="P26" s="43">
        <v>0.13819999999999999</v>
      </c>
      <c r="Q26" s="43">
        <v>5.8700000000000002E-2</v>
      </c>
      <c r="R26" s="46">
        <f t="shared" si="3"/>
        <v>1.7670999999999999</v>
      </c>
      <c r="S26" s="43">
        <f t="shared" si="4"/>
        <v>79.090034519834759</v>
      </c>
      <c r="U26" s="18">
        <f t="shared" si="5"/>
        <v>20.909965480165244</v>
      </c>
    </row>
    <row r="27" spans="1:25" x14ac:dyDescent="0.25">
      <c r="A27" s="43" t="s">
        <v>99</v>
      </c>
      <c r="B27" s="43" t="s">
        <v>100</v>
      </c>
      <c r="C27" s="43" t="s">
        <v>15</v>
      </c>
      <c r="D27" s="43" t="s">
        <v>18</v>
      </c>
      <c r="E27" s="43">
        <v>1</v>
      </c>
      <c r="F27" s="43" t="s">
        <v>505</v>
      </c>
      <c r="G27" s="43">
        <v>2.0381999999999998</v>
      </c>
      <c r="H27" s="43">
        <v>1.9424999999999999</v>
      </c>
      <c r="I27" s="44">
        <f t="shared" si="0"/>
        <v>4.9266409266409221</v>
      </c>
      <c r="J27" s="53">
        <v>44599</v>
      </c>
      <c r="K27" s="45">
        <v>44655</v>
      </c>
      <c r="L27" s="43">
        <f t="shared" si="1"/>
        <v>56</v>
      </c>
      <c r="M27" s="43">
        <v>0.58250000000000002</v>
      </c>
      <c r="N27" s="46">
        <f t="shared" si="2"/>
        <v>1.3599999999999999</v>
      </c>
      <c r="O27" s="43">
        <v>0.37459999999999999</v>
      </c>
      <c r="P27" s="43">
        <v>0.1444</v>
      </c>
      <c r="Q27" s="43">
        <v>6.1100000000000002E-2</v>
      </c>
      <c r="R27" s="46">
        <f t="shared" si="3"/>
        <v>1.7369999999999999</v>
      </c>
      <c r="S27" s="43">
        <f t="shared" si="4"/>
        <v>78.434081750143918</v>
      </c>
      <c r="U27" s="18">
        <f t="shared" si="5"/>
        <v>21.565918249856075</v>
      </c>
    </row>
    <row r="28" spans="1:25" x14ac:dyDescent="0.25">
      <c r="A28" s="43" t="s">
        <v>99</v>
      </c>
      <c r="B28" s="43" t="s">
        <v>100</v>
      </c>
      <c r="C28" s="43" t="s">
        <v>15</v>
      </c>
      <c r="D28" s="43" t="s">
        <v>18</v>
      </c>
      <c r="E28" s="43">
        <v>2</v>
      </c>
      <c r="F28" s="43" t="s">
        <v>506</v>
      </c>
      <c r="G28" s="43">
        <v>2.0739000000000001</v>
      </c>
      <c r="H28" s="43">
        <v>1.9724999999999999</v>
      </c>
      <c r="I28" s="44">
        <f t="shared" si="0"/>
        <v>5.1406844106463963</v>
      </c>
      <c r="J28" s="53">
        <v>44599</v>
      </c>
      <c r="K28" s="45">
        <v>44655</v>
      </c>
      <c r="L28" s="43">
        <f t="shared" si="1"/>
        <v>56</v>
      </c>
      <c r="M28" s="43">
        <v>0.45900000000000002</v>
      </c>
      <c r="N28" s="46">
        <f t="shared" si="2"/>
        <v>1.5134999999999998</v>
      </c>
      <c r="O28" s="43">
        <v>0.26479999999999998</v>
      </c>
      <c r="P28" s="43">
        <v>0.1381</v>
      </c>
      <c r="Q28" s="43">
        <v>5.6899999999999999E-2</v>
      </c>
      <c r="R28" s="46">
        <f t="shared" si="3"/>
        <v>1.7774999999999999</v>
      </c>
      <c r="S28" s="43">
        <f t="shared" si="4"/>
        <v>85.102672292545705</v>
      </c>
      <c r="U28" s="18">
        <f t="shared" si="5"/>
        <v>14.897327707454288</v>
      </c>
    </row>
    <row r="29" spans="1:25" x14ac:dyDescent="0.25">
      <c r="A29" s="43" t="s">
        <v>99</v>
      </c>
      <c r="B29" s="43" t="s">
        <v>100</v>
      </c>
      <c r="C29" s="43" t="s">
        <v>15</v>
      </c>
      <c r="D29" s="43" t="s">
        <v>19</v>
      </c>
      <c r="E29" s="43">
        <v>1</v>
      </c>
      <c r="F29" s="43" t="s">
        <v>507</v>
      </c>
      <c r="G29" s="43">
        <v>2.0590000000000002</v>
      </c>
      <c r="H29" s="43">
        <v>1.9582999999999999</v>
      </c>
      <c r="I29" s="44">
        <f t="shared" si="0"/>
        <v>5.1422151866414874</v>
      </c>
      <c r="J29" s="53">
        <v>44599</v>
      </c>
      <c r="K29" s="45">
        <v>44655</v>
      </c>
      <c r="L29" s="43">
        <f t="shared" si="1"/>
        <v>56</v>
      </c>
      <c r="M29" s="43">
        <v>0.43309999999999998</v>
      </c>
      <c r="N29" s="46">
        <f t="shared" si="2"/>
        <v>1.5251999999999999</v>
      </c>
      <c r="O29" s="43">
        <v>0.2349</v>
      </c>
      <c r="P29" s="43">
        <v>0.14030000000000001</v>
      </c>
      <c r="Q29" s="43">
        <v>5.6899999999999999E-2</v>
      </c>
      <c r="R29" s="46">
        <f t="shared" si="3"/>
        <v>1.7610999999999999</v>
      </c>
      <c r="S29" s="43">
        <f t="shared" si="4"/>
        <v>86.661745499971602</v>
      </c>
      <c r="U29" s="18">
        <f t="shared" si="5"/>
        <v>13.338254500028393</v>
      </c>
    </row>
    <row r="30" spans="1:25" x14ac:dyDescent="0.25">
      <c r="A30" s="43" t="s">
        <v>99</v>
      </c>
      <c r="B30" s="43" t="s">
        <v>100</v>
      </c>
      <c r="C30" s="43" t="s">
        <v>15</v>
      </c>
      <c r="D30" s="43" t="s">
        <v>20</v>
      </c>
      <c r="E30" s="43">
        <v>1</v>
      </c>
      <c r="F30" s="43" t="s">
        <v>508</v>
      </c>
      <c r="G30" s="46">
        <v>2.0808</v>
      </c>
      <c r="H30" s="43">
        <v>1.9770000000000001</v>
      </c>
      <c r="I30" s="44">
        <f t="shared" si="0"/>
        <v>5.2503793626707074</v>
      </c>
      <c r="J30" s="53">
        <v>44599</v>
      </c>
      <c r="K30" s="45">
        <v>44655</v>
      </c>
      <c r="L30" s="43">
        <f t="shared" si="1"/>
        <v>56</v>
      </c>
      <c r="M30" s="43">
        <v>0.62009999999999998</v>
      </c>
      <c r="N30" s="46">
        <f t="shared" si="2"/>
        <v>1.3569</v>
      </c>
      <c r="O30" s="43">
        <v>0.4133</v>
      </c>
      <c r="P30" s="43">
        <v>0.14599999999999999</v>
      </c>
      <c r="Q30" s="43">
        <v>5.8299999999999998E-2</v>
      </c>
      <c r="R30" s="46">
        <f t="shared" si="3"/>
        <v>1.7727000000000002</v>
      </c>
      <c r="S30" s="43">
        <f t="shared" si="4"/>
        <v>76.685282337676995</v>
      </c>
      <c r="U30" s="18">
        <f t="shared" si="5"/>
        <v>23.314717662323009</v>
      </c>
    </row>
    <row r="31" spans="1:25" x14ac:dyDescent="0.25">
      <c r="A31" s="43" t="s">
        <v>99</v>
      </c>
      <c r="B31" s="43" t="s">
        <v>100</v>
      </c>
      <c r="C31" s="43" t="s">
        <v>15</v>
      </c>
      <c r="D31" s="43" t="s">
        <v>20</v>
      </c>
      <c r="E31" s="43">
        <v>2</v>
      </c>
      <c r="F31" s="43" t="s">
        <v>509</v>
      </c>
      <c r="G31" s="43">
        <v>2.1696</v>
      </c>
      <c r="H31" s="43">
        <v>2.0621</v>
      </c>
      <c r="I31" s="44">
        <f t="shared" si="0"/>
        <v>5.2131322438291026</v>
      </c>
      <c r="J31" s="53">
        <v>44599</v>
      </c>
      <c r="K31" s="45">
        <v>44655</v>
      </c>
      <c r="L31" s="43">
        <f t="shared" si="1"/>
        <v>56</v>
      </c>
      <c r="M31" s="43">
        <v>0.50949999999999995</v>
      </c>
      <c r="N31" s="46">
        <f t="shared" si="2"/>
        <v>1.5526</v>
      </c>
      <c r="O31" s="43">
        <v>0.30930000000000002</v>
      </c>
      <c r="P31" s="43">
        <v>0.14510000000000001</v>
      </c>
      <c r="Q31" s="43">
        <v>5.4899999999999997E-2</v>
      </c>
      <c r="R31" s="46">
        <f t="shared" si="3"/>
        <v>1.8621000000000001</v>
      </c>
      <c r="S31" s="43">
        <f t="shared" si="4"/>
        <v>83.389721282423068</v>
      </c>
      <c r="U31" s="18">
        <f t="shared" si="5"/>
        <v>16.610278717576929</v>
      </c>
    </row>
    <row r="32" spans="1:25" x14ac:dyDescent="0.25">
      <c r="A32" s="47" t="s">
        <v>300</v>
      </c>
      <c r="B32" s="47" t="s">
        <v>80</v>
      </c>
      <c r="C32" s="47" t="s">
        <v>15</v>
      </c>
      <c r="D32" s="47" t="s">
        <v>17</v>
      </c>
      <c r="E32" s="47">
        <v>1</v>
      </c>
      <c r="F32" s="47" t="s">
        <v>510</v>
      </c>
      <c r="G32" s="48">
        <v>1.9887999999999999</v>
      </c>
      <c r="H32" s="48">
        <v>1.8977999999999999</v>
      </c>
      <c r="I32" s="49">
        <f t="shared" si="0"/>
        <v>4.795025819369795</v>
      </c>
      <c r="J32" s="53">
        <v>44620</v>
      </c>
      <c r="K32" s="50">
        <v>44680</v>
      </c>
      <c r="L32" s="47">
        <f t="shared" si="1"/>
        <v>60</v>
      </c>
      <c r="M32" s="47">
        <v>0.44662000000000002</v>
      </c>
      <c r="N32" s="48">
        <f t="shared" si="2"/>
        <v>1.4511799999999999</v>
      </c>
      <c r="O32" s="47">
        <v>0.27360000000000001</v>
      </c>
      <c r="P32" s="47">
        <v>0.13420000000000001</v>
      </c>
      <c r="Q32" s="47">
        <v>5.7599999999999998E-2</v>
      </c>
      <c r="R32" s="48">
        <f t="shared" si="3"/>
        <v>1.706</v>
      </c>
      <c r="S32" s="47">
        <f t="shared" si="4"/>
        <v>83.962485345838218</v>
      </c>
      <c r="T32">
        <f>AVERAGE(O32:O39)</f>
        <v>0.26240000000000002</v>
      </c>
      <c r="U32" s="18">
        <f t="shared" si="5"/>
        <v>16.037514654161782</v>
      </c>
      <c r="V32" s="7">
        <f>AVERAGE(U32:U39)</f>
        <v>14.704873529882725</v>
      </c>
      <c r="W32">
        <f>STDEV(U32:U39)</f>
        <v>1.4732165740665448</v>
      </c>
      <c r="X32">
        <f>AVERAGE(S32:S39)</f>
        <v>85.295126470117282</v>
      </c>
      <c r="Y32">
        <f>STDEV(S32:S39)</f>
        <v>1.4732165740665426</v>
      </c>
    </row>
    <row r="33" spans="1:25" x14ac:dyDescent="0.25">
      <c r="A33" s="47" t="s">
        <v>300</v>
      </c>
      <c r="B33" s="47" t="s">
        <v>80</v>
      </c>
      <c r="C33" s="47" t="s">
        <v>15</v>
      </c>
      <c r="D33" s="47" t="s">
        <v>17</v>
      </c>
      <c r="E33" s="47">
        <v>2</v>
      </c>
      <c r="F33" s="47" t="s">
        <v>511</v>
      </c>
      <c r="G33" s="47">
        <v>2.0548000000000002</v>
      </c>
      <c r="H33" s="47">
        <v>1.9641999999999999</v>
      </c>
      <c r="I33" s="49">
        <f t="shared" si="0"/>
        <v>4.6125649119234415</v>
      </c>
      <c r="J33" s="53">
        <v>44620</v>
      </c>
      <c r="K33" s="50">
        <v>44680</v>
      </c>
      <c r="L33" s="47">
        <f t="shared" si="1"/>
        <v>60</v>
      </c>
      <c r="M33" s="47">
        <v>0.45119999999999999</v>
      </c>
      <c r="N33" s="48">
        <f t="shared" si="2"/>
        <v>1.5129999999999999</v>
      </c>
      <c r="O33" s="47">
        <v>0.26019999999999999</v>
      </c>
      <c r="P33" s="47">
        <v>0.13239999999999999</v>
      </c>
      <c r="Q33" s="47">
        <v>5.7000000000000002E-2</v>
      </c>
      <c r="R33" s="48">
        <f t="shared" si="3"/>
        <v>1.7747999999999999</v>
      </c>
      <c r="S33" s="47">
        <f t="shared" si="4"/>
        <v>85.339193148523776</v>
      </c>
      <c r="U33" s="18">
        <f t="shared" si="5"/>
        <v>14.660806851476222</v>
      </c>
    </row>
    <row r="34" spans="1:25" x14ac:dyDescent="0.25">
      <c r="A34" s="47" t="s">
        <v>300</v>
      </c>
      <c r="B34" s="47" t="s">
        <v>80</v>
      </c>
      <c r="C34" s="47" t="s">
        <v>15</v>
      </c>
      <c r="D34" s="47" t="s">
        <v>18</v>
      </c>
      <c r="E34" s="47">
        <v>1</v>
      </c>
      <c r="F34" s="47" t="s">
        <v>512</v>
      </c>
      <c r="G34" s="47">
        <v>2.0238999999999998</v>
      </c>
      <c r="H34" s="48">
        <v>1.9342999999999999</v>
      </c>
      <c r="I34" s="49">
        <f t="shared" si="0"/>
        <v>4.6321666752830435</v>
      </c>
      <c r="J34" s="53">
        <v>44620</v>
      </c>
      <c r="K34" s="50">
        <v>44680</v>
      </c>
      <c r="L34" s="47">
        <f t="shared" si="1"/>
        <v>60</v>
      </c>
      <c r="M34" s="47">
        <v>0.40429999999999999</v>
      </c>
      <c r="N34" s="48">
        <f t="shared" si="2"/>
        <v>1.5299999999999998</v>
      </c>
      <c r="O34" s="47">
        <v>0.21299999999999999</v>
      </c>
      <c r="P34" s="47">
        <v>0.13339999999999999</v>
      </c>
      <c r="Q34" s="47">
        <v>5.7099999999999998E-2</v>
      </c>
      <c r="R34" s="48">
        <f t="shared" si="3"/>
        <v>1.7437999999999998</v>
      </c>
      <c r="S34" s="47">
        <f t="shared" si="4"/>
        <v>87.785296478953995</v>
      </c>
      <c r="U34" s="18">
        <f t="shared" si="5"/>
        <v>12.214703521045992</v>
      </c>
    </row>
    <row r="35" spans="1:25" x14ac:dyDescent="0.25">
      <c r="A35" s="47" t="s">
        <v>300</v>
      </c>
      <c r="B35" s="47" t="s">
        <v>80</v>
      </c>
      <c r="C35" s="47" t="s">
        <v>15</v>
      </c>
      <c r="D35" s="47" t="s">
        <v>18</v>
      </c>
      <c r="E35" s="47">
        <v>2</v>
      </c>
      <c r="F35" s="47" t="s">
        <v>513</v>
      </c>
      <c r="G35" s="47">
        <v>2.1071</v>
      </c>
      <c r="H35" s="47">
        <v>2.0169000000000001</v>
      </c>
      <c r="I35" s="49">
        <f t="shared" si="0"/>
        <v>4.4722098269621613</v>
      </c>
      <c r="J35" s="53">
        <v>44620</v>
      </c>
      <c r="K35" s="50">
        <v>44680</v>
      </c>
      <c r="L35" s="47">
        <f t="shared" si="1"/>
        <v>60</v>
      </c>
      <c r="M35" s="47">
        <v>0.4491</v>
      </c>
      <c r="N35" s="48">
        <f t="shared" si="2"/>
        <v>1.5678000000000001</v>
      </c>
      <c r="O35" s="47">
        <v>0.24879999999999999</v>
      </c>
      <c r="P35" s="47">
        <v>0.14080000000000001</v>
      </c>
      <c r="Q35" s="47">
        <v>5.7000000000000002E-2</v>
      </c>
      <c r="R35" s="48">
        <f t="shared" si="3"/>
        <v>1.8191000000000002</v>
      </c>
      <c r="S35" s="47">
        <f t="shared" si="4"/>
        <v>86.322906931999341</v>
      </c>
      <c r="U35" s="18">
        <f t="shared" si="5"/>
        <v>13.677093068000659</v>
      </c>
    </row>
    <row r="36" spans="1:25" x14ac:dyDescent="0.25">
      <c r="A36" s="47" t="s">
        <v>300</v>
      </c>
      <c r="B36" s="47" t="s">
        <v>80</v>
      </c>
      <c r="C36" s="47" t="s">
        <v>15</v>
      </c>
      <c r="D36" s="47" t="s">
        <v>19</v>
      </c>
      <c r="E36" s="47">
        <v>1</v>
      </c>
      <c r="F36" s="47" t="s">
        <v>514</v>
      </c>
      <c r="G36" s="47">
        <v>2.0121000000000002</v>
      </c>
      <c r="H36" s="47">
        <v>1.9207000000000001</v>
      </c>
      <c r="I36" s="49">
        <f t="shared" si="0"/>
        <v>4.7586817306190525</v>
      </c>
      <c r="J36" s="53">
        <v>44620</v>
      </c>
      <c r="K36" s="50">
        <v>44680</v>
      </c>
      <c r="L36" s="47">
        <f t="shared" si="1"/>
        <v>60</v>
      </c>
      <c r="M36" s="47">
        <v>0.48459999999999998</v>
      </c>
      <c r="N36" s="48">
        <f t="shared" si="2"/>
        <v>1.4361000000000002</v>
      </c>
      <c r="O36" s="47">
        <v>0.29339999999999999</v>
      </c>
      <c r="P36" s="47">
        <v>0.1361</v>
      </c>
      <c r="Q36" s="47">
        <v>5.6000000000000001E-2</v>
      </c>
      <c r="R36" s="48">
        <f t="shared" si="3"/>
        <v>1.7286000000000001</v>
      </c>
      <c r="S36" s="47">
        <f t="shared" si="4"/>
        <v>83.026726830961465</v>
      </c>
      <c r="U36" s="18">
        <f t="shared" si="5"/>
        <v>16.973273169038528</v>
      </c>
    </row>
    <row r="37" spans="1:25" x14ac:dyDescent="0.25">
      <c r="A37" s="47" t="s">
        <v>300</v>
      </c>
      <c r="B37" s="47" t="s">
        <v>80</v>
      </c>
      <c r="C37" s="47" t="s">
        <v>15</v>
      </c>
      <c r="D37" s="47" t="s">
        <v>19</v>
      </c>
      <c r="E37" s="47">
        <v>2</v>
      </c>
      <c r="F37" s="47" t="s">
        <v>515</v>
      </c>
      <c r="G37" s="47">
        <v>2.1154999999999999</v>
      </c>
      <c r="H37" s="47">
        <v>2.0230999999999999</v>
      </c>
      <c r="I37" s="49">
        <f t="shared" si="0"/>
        <v>4.5672482823389871</v>
      </c>
      <c r="J37" s="53">
        <v>44620</v>
      </c>
      <c r="K37" s="50">
        <v>44680</v>
      </c>
      <c r="L37" s="47">
        <f t="shared" si="1"/>
        <v>60</v>
      </c>
      <c r="M37" s="47">
        <v>0.46089999999999998</v>
      </c>
      <c r="N37" s="48">
        <f t="shared" si="2"/>
        <v>1.5621999999999998</v>
      </c>
      <c r="O37" s="47">
        <v>0.26869999999999999</v>
      </c>
      <c r="P37" s="47">
        <v>0.13300000000000001</v>
      </c>
      <c r="Q37" s="47">
        <v>5.7099999999999998E-2</v>
      </c>
      <c r="R37" s="48">
        <f t="shared" si="3"/>
        <v>1.833</v>
      </c>
      <c r="S37" s="47">
        <f t="shared" si="4"/>
        <v>85.340971085651944</v>
      </c>
      <c r="U37" s="18">
        <f t="shared" si="5"/>
        <v>14.659028914348063</v>
      </c>
    </row>
    <row r="38" spans="1:25" x14ac:dyDescent="0.25">
      <c r="A38" s="47" t="s">
        <v>300</v>
      </c>
      <c r="B38" s="47" t="s">
        <v>80</v>
      </c>
      <c r="C38" s="47" t="s">
        <v>15</v>
      </c>
      <c r="D38" s="47" t="s">
        <v>20</v>
      </c>
      <c r="E38" s="47">
        <v>1</v>
      </c>
      <c r="F38" s="47" t="s">
        <v>516</v>
      </c>
      <c r="G38" s="47">
        <v>2.0789</v>
      </c>
      <c r="H38" s="47">
        <v>1.9890000000000001</v>
      </c>
      <c r="I38" s="49">
        <f t="shared" si="0"/>
        <v>4.5198592257415715</v>
      </c>
      <c r="J38" s="53">
        <v>44620</v>
      </c>
      <c r="K38" s="50">
        <v>44680</v>
      </c>
      <c r="L38" s="47">
        <f t="shared" si="1"/>
        <v>60</v>
      </c>
      <c r="M38" s="47">
        <v>0.46479999999999999</v>
      </c>
      <c r="N38" s="48">
        <f t="shared" si="2"/>
        <v>1.5242</v>
      </c>
      <c r="O38" s="47">
        <v>0.27760000000000001</v>
      </c>
      <c r="P38" s="47">
        <v>0.13489999999999999</v>
      </c>
      <c r="Q38" s="47">
        <v>5.3699999999999998E-2</v>
      </c>
      <c r="R38" s="48">
        <f t="shared" si="3"/>
        <v>1.8004000000000002</v>
      </c>
      <c r="S38" s="47">
        <f t="shared" si="4"/>
        <v>84.581204176849596</v>
      </c>
      <c r="U38" s="18">
        <f t="shared" si="5"/>
        <v>15.418795823150411</v>
      </c>
    </row>
    <row r="39" spans="1:25" x14ac:dyDescent="0.25">
      <c r="A39" s="47" t="s">
        <v>300</v>
      </c>
      <c r="B39" s="47" t="s">
        <v>80</v>
      </c>
      <c r="C39" s="47" t="s">
        <v>15</v>
      </c>
      <c r="D39" s="47" t="s">
        <v>20</v>
      </c>
      <c r="E39" s="47">
        <v>2</v>
      </c>
      <c r="F39" s="47" t="s">
        <v>517</v>
      </c>
      <c r="G39" s="47">
        <v>2.1751</v>
      </c>
      <c r="H39" s="47">
        <v>2.0777000000000001</v>
      </c>
      <c r="I39" s="49">
        <f t="shared" si="0"/>
        <v>4.6878760167492866</v>
      </c>
      <c r="J39" s="53">
        <v>44620</v>
      </c>
      <c r="K39" s="50">
        <v>44680</v>
      </c>
      <c r="L39" s="47">
        <f t="shared" si="1"/>
        <v>60</v>
      </c>
      <c r="M39" s="47">
        <v>0.45729999999999998</v>
      </c>
      <c r="N39" s="48">
        <f t="shared" si="2"/>
        <v>1.6204000000000001</v>
      </c>
      <c r="O39" s="47">
        <v>0.26390000000000002</v>
      </c>
      <c r="P39" s="47">
        <v>0.1381</v>
      </c>
      <c r="Q39" s="47">
        <v>5.4300000000000001E-2</v>
      </c>
      <c r="R39" s="48">
        <f t="shared" si="3"/>
        <v>1.8853</v>
      </c>
      <c r="S39" s="47">
        <f t="shared" si="4"/>
        <v>86.002227762159862</v>
      </c>
      <c r="U39" s="18">
        <f t="shared" si="5"/>
        <v>13.997772237840135</v>
      </c>
    </row>
    <row r="40" spans="1:25" x14ac:dyDescent="0.25">
      <c r="F40" s="13" t="s">
        <v>119</v>
      </c>
      <c r="G40" s="14">
        <f>AVERAGE(G2:G39)</f>
        <v>2.0985789473684218</v>
      </c>
      <c r="H40" s="14">
        <f>AVERAGE(H2:H39)</f>
        <v>1.9789605263157897</v>
      </c>
      <c r="I40" s="4"/>
      <c r="J40" s="5"/>
      <c r="K40" s="5"/>
      <c r="O40" s="15"/>
      <c r="P40" s="16"/>
      <c r="Q40" s="16"/>
    </row>
    <row r="41" spans="1:25" x14ac:dyDescent="0.25">
      <c r="F41" s="13" t="s">
        <v>120</v>
      </c>
      <c r="G41" s="14">
        <f>STDEV(G2:G40)</f>
        <v>6.8316681933997009E-2</v>
      </c>
      <c r="H41" s="14">
        <f>STDEV(H2:H39)</f>
        <v>5.9166387186378698E-2</v>
      </c>
      <c r="I41" s="4"/>
      <c r="J41" s="5"/>
      <c r="K41" s="5"/>
      <c r="O41" s="15"/>
      <c r="P41" s="16"/>
      <c r="Q41" s="16"/>
    </row>
    <row r="42" spans="1:25" x14ac:dyDescent="0.25">
      <c r="F42" s="13" t="s">
        <v>121</v>
      </c>
      <c r="G42" s="14">
        <f>CONFIDENCE(0.05,G41,COUNT(G2:G39))</f>
        <v>2.1721162152545669E-2</v>
      </c>
      <c r="H42" s="14">
        <f>CONFIDENCE(0.05,H41,COUNT(H2:H39))</f>
        <v>1.881184293021242E-2</v>
      </c>
      <c r="I42" s="4"/>
      <c r="J42" s="5"/>
      <c r="K42" s="5"/>
      <c r="O42" s="15"/>
      <c r="P42" s="16"/>
      <c r="Q42" s="16"/>
    </row>
    <row r="43" spans="1:25" x14ac:dyDescent="0.25">
      <c r="F43" s="13" t="s">
        <v>122</v>
      </c>
      <c r="G43" s="14">
        <f>G40-G42</f>
        <v>2.0768577852158763</v>
      </c>
      <c r="H43" s="14">
        <f>H40-H42</f>
        <v>1.9601486833855772</v>
      </c>
      <c r="I43" s="4"/>
      <c r="J43" s="5"/>
      <c r="K43" s="5"/>
      <c r="O43" s="15"/>
      <c r="P43" s="16"/>
      <c r="Q43" s="16"/>
    </row>
    <row r="44" spans="1:25" x14ac:dyDescent="0.25">
      <c r="F44" s="13" t="s">
        <v>123</v>
      </c>
      <c r="G44" s="14">
        <f>G40+G43</f>
        <v>4.1754367325842985</v>
      </c>
      <c r="H44" s="14">
        <f>H40+H43</f>
        <v>3.9391092097013667</v>
      </c>
      <c r="I44" s="4"/>
      <c r="J44" s="5"/>
      <c r="K44" s="5"/>
      <c r="O44" s="15"/>
      <c r="P44" s="16"/>
      <c r="Q44" s="16"/>
    </row>
    <row r="45" spans="1:25" x14ac:dyDescent="0.25">
      <c r="F45" s="12"/>
    </row>
    <row r="46" spans="1:25" ht="60" x14ac:dyDescent="0.25">
      <c r="A46" t="s">
        <v>1</v>
      </c>
      <c r="B46" t="s">
        <v>39</v>
      </c>
      <c r="C46" t="s">
        <v>12</v>
      </c>
      <c r="D46" t="s">
        <v>13</v>
      </c>
      <c r="E46" t="s">
        <v>40</v>
      </c>
      <c r="F46" s="1" t="s">
        <v>0</v>
      </c>
      <c r="G46" s="2" t="s">
        <v>3</v>
      </c>
      <c r="H46" s="2" t="s">
        <v>11</v>
      </c>
      <c r="I46" s="2" t="s">
        <v>42</v>
      </c>
      <c r="J46" s="3" t="s">
        <v>2</v>
      </c>
      <c r="K46" s="1" t="s">
        <v>4</v>
      </c>
      <c r="L46" s="2" t="s">
        <v>5</v>
      </c>
      <c r="M46" s="3" t="s">
        <v>37</v>
      </c>
      <c r="N46" s="2" t="s">
        <v>6</v>
      </c>
      <c r="O46" s="3" t="s">
        <v>38</v>
      </c>
      <c r="P46" s="2" t="s">
        <v>7</v>
      </c>
      <c r="Q46" s="2" t="s">
        <v>8</v>
      </c>
      <c r="R46" s="2" t="s">
        <v>9</v>
      </c>
      <c r="S46" s="2" t="s">
        <v>10</v>
      </c>
      <c r="T46" s="51" t="s">
        <v>190</v>
      </c>
      <c r="U46" s="52" t="s">
        <v>191</v>
      </c>
      <c r="V46" s="52" t="s">
        <v>119</v>
      </c>
      <c r="W46" s="52" t="s">
        <v>192</v>
      </c>
      <c r="X46" s="52" t="s">
        <v>119</v>
      </c>
      <c r="Y46" s="52" t="s">
        <v>192</v>
      </c>
    </row>
    <row r="47" spans="1:25" x14ac:dyDescent="0.25">
      <c r="A47" s="27" t="s">
        <v>59</v>
      </c>
      <c r="B47" s="27" t="s">
        <v>41</v>
      </c>
      <c r="C47" s="27" t="s">
        <v>16</v>
      </c>
      <c r="D47" s="27" t="s">
        <v>17</v>
      </c>
      <c r="E47" s="27">
        <v>1</v>
      </c>
      <c r="F47" s="27" t="s">
        <v>518</v>
      </c>
      <c r="G47" s="27">
        <v>2.3086000000000002</v>
      </c>
      <c r="H47" s="27">
        <v>2.1404000000000001</v>
      </c>
      <c r="I47" s="28">
        <f t="shared" ref="I47:I86" si="6">((G47-H47)/H47)*100</f>
        <v>7.8583442347224874</v>
      </c>
      <c r="J47" s="53">
        <v>44580</v>
      </c>
      <c r="K47" s="29">
        <v>44638</v>
      </c>
      <c r="L47" s="27">
        <f t="shared" ref="L47:L86" si="7">K47-J47</f>
        <v>58</v>
      </c>
      <c r="M47" s="27">
        <v>1.5451999999999999</v>
      </c>
      <c r="N47" s="27">
        <f>H47-M47</f>
        <v>0.59520000000000017</v>
      </c>
      <c r="O47" s="27">
        <v>1.3374999999999999</v>
      </c>
      <c r="P47" s="27">
        <v>0.1396</v>
      </c>
      <c r="Q47" s="27">
        <v>6.7199999999999996E-2</v>
      </c>
      <c r="R47" s="30">
        <f>H47-(P47+Q47)</f>
        <v>1.9336000000000002</v>
      </c>
      <c r="S47" s="27">
        <f>((R47-O47)/R47)*100</f>
        <v>30.828506412908574</v>
      </c>
      <c r="T47">
        <f>AVERAGE(O47:O54)</f>
        <v>1.3167875</v>
      </c>
      <c r="U47" s="18">
        <f>(O47/R47)*100</f>
        <v>69.171493587091419</v>
      </c>
      <c r="V47" s="7">
        <f>AVERAGE(U47:U54)</f>
        <v>66.733505701354318</v>
      </c>
      <c r="W47">
        <f>STDEV(U47:U54)</f>
        <v>2.9148707542312957</v>
      </c>
      <c r="X47">
        <f>AVERAGE(S47:S54)</f>
        <v>33.266494298645682</v>
      </c>
      <c r="Y47">
        <f>STDEV(S47:S54)</f>
        <v>2.9148707542312962</v>
      </c>
    </row>
    <row r="48" spans="1:25" x14ac:dyDescent="0.25">
      <c r="A48" s="27" t="s">
        <v>59</v>
      </c>
      <c r="B48" s="27" t="s">
        <v>41</v>
      </c>
      <c r="C48" s="27" t="s">
        <v>16</v>
      </c>
      <c r="D48" s="27" t="s">
        <v>17</v>
      </c>
      <c r="E48" s="27">
        <v>2</v>
      </c>
      <c r="F48" s="27" t="s">
        <v>519</v>
      </c>
      <c r="G48" s="27">
        <v>2.38</v>
      </c>
      <c r="H48" s="27">
        <v>2.2029000000000001</v>
      </c>
      <c r="I48" s="28">
        <f t="shared" si="6"/>
        <v>8.0394026056561714</v>
      </c>
      <c r="J48" s="53">
        <v>44580</v>
      </c>
      <c r="K48" s="29">
        <v>44638</v>
      </c>
      <c r="L48" s="27">
        <f t="shared" si="7"/>
        <v>58</v>
      </c>
      <c r="M48" s="27">
        <v>1.6492</v>
      </c>
      <c r="N48" s="27">
        <f t="shared" ref="N48:N86" si="8">H48-M48</f>
        <v>0.55370000000000008</v>
      </c>
      <c r="O48" s="27">
        <v>1.4269000000000001</v>
      </c>
      <c r="P48" s="27">
        <v>0.1522</v>
      </c>
      <c r="Q48" s="27">
        <v>7.0000000000000007E-2</v>
      </c>
      <c r="R48" s="30">
        <f t="shared" ref="R48:R86" si="9">H48-(P48+Q48)</f>
        <v>1.9807000000000001</v>
      </c>
      <c r="S48" s="27">
        <f t="shared" ref="S48:S86" si="10">((R48-O48)/R48)*100</f>
        <v>27.959812187610446</v>
      </c>
      <c r="U48" s="18">
        <f t="shared" ref="U48:U86" si="11">(O48/R48)*100</f>
        <v>72.040187812389561</v>
      </c>
    </row>
    <row r="49" spans="1:25" x14ac:dyDescent="0.25">
      <c r="A49" s="27" t="s">
        <v>59</v>
      </c>
      <c r="B49" s="27" t="s">
        <v>41</v>
      </c>
      <c r="C49" s="27" t="s">
        <v>16</v>
      </c>
      <c r="D49" s="27" t="s">
        <v>18</v>
      </c>
      <c r="E49" s="27">
        <v>1</v>
      </c>
      <c r="F49" s="27" t="s">
        <v>520</v>
      </c>
      <c r="G49" s="27">
        <v>2.3681999999999999</v>
      </c>
      <c r="H49" s="27">
        <v>2.1932</v>
      </c>
      <c r="I49" s="28">
        <f t="shared" si="6"/>
        <v>7.9792084625205097</v>
      </c>
      <c r="J49" s="53">
        <v>44580</v>
      </c>
      <c r="K49" s="29">
        <v>44638</v>
      </c>
      <c r="L49" s="27">
        <f t="shared" si="7"/>
        <v>58</v>
      </c>
      <c r="M49" s="27">
        <v>1.4668000000000001</v>
      </c>
      <c r="N49" s="27">
        <f t="shared" si="8"/>
        <v>0.72639999999999993</v>
      </c>
      <c r="O49" s="27">
        <v>1.2766</v>
      </c>
      <c r="P49" s="27">
        <v>0.12859999999999999</v>
      </c>
      <c r="Q49" s="27">
        <v>6.1499999999999999E-2</v>
      </c>
      <c r="R49" s="30">
        <f t="shared" si="9"/>
        <v>2.0030999999999999</v>
      </c>
      <c r="S49" s="27">
        <f t="shared" si="10"/>
        <v>36.268783385752087</v>
      </c>
      <c r="U49" s="18">
        <f t="shared" si="11"/>
        <v>63.73121661424792</v>
      </c>
    </row>
    <row r="50" spans="1:25" x14ac:dyDescent="0.25">
      <c r="A50" s="27" t="s">
        <v>59</v>
      </c>
      <c r="B50" s="27" t="s">
        <v>41</v>
      </c>
      <c r="C50" s="27" t="s">
        <v>16</v>
      </c>
      <c r="D50" s="27" t="s">
        <v>18</v>
      </c>
      <c r="E50" s="27">
        <v>2</v>
      </c>
      <c r="F50" s="27" t="s">
        <v>521</v>
      </c>
      <c r="G50" s="27">
        <v>2.3378999999999999</v>
      </c>
      <c r="H50" s="27">
        <v>2.1644999999999999</v>
      </c>
      <c r="I50" s="28">
        <f t="shared" si="6"/>
        <v>8.0110880110880114</v>
      </c>
      <c r="J50" s="53">
        <v>44580</v>
      </c>
      <c r="K50" s="29">
        <v>44638</v>
      </c>
      <c r="L50" s="27">
        <f t="shared" si="7"/>
        <v>58</v>
      </c>
      <c r="M50" s="27">
        <v>1.514</v>
      </c>
      <c r="N50" s="27">
        <f t="shared" si="8"/>
        <v>0.65049999999999986</v>
      </c>
      <c r="O50" s="27">
        <v>1.3295999999999999</v>
      </c>
      <c r="P50" s="27">
        <v>0.12620000000000001</v>
      </c>
      <c r="Q50" s="27">
        <v>5.9200000000000003E-2</v>
      </c>
      <c r="R50" s="30">
        <f t="shared" si="9"/>
        <v>1.9790999999999999</v>
      </c>
      <c r="S50" s="27">
        <f t="shared" si="10"/>
        <v>32.817947551917534</v>
      </c>
      <c r="U50" s="18">
        <f t="shared" si="11"/>
        <v>67.182052448082459</v>
      </c>
    </row>
    <row r="51" spans="1:25" x14ac:dyDescent="0.25">
      <c r="A51" s="27" t="s">
        <v>59</v>
      </c>
      <c r="B51" s="27" t="s">
        <v>41</v>
      </c>
      <c r="C51" s="27" t="s">
        <v>16</v>
      </c>
      <c r="D51" s="27" t="s">
        <v>19</v>
      </c>
      <c r="E51" s="27">
        <v>1</v>
      </c>
      <c r="F51" s="27" t="s">
        <v>522</v>
      </c>
      <c r="G51" s="27">
        <v>2.2881999999999998</v>
      </c>
      <c r="H51" s="27">
        <v>2.1183999999999998</v>
      </c>
      <c r="I51" s="28">
        <f t="shared" si="6"/>
        <v>8.0154833836857993</v>
      </c>
      <c r="J51" s="53">
        <v>44580</v>
      </c>
      <c r="K51" s="29">
        <v>44638</v>
      </c>
      <c r="L51" s="27">
        <f t="shared" si="7"/>
        <v>58</v>
      </c>
      <c r="M51" s="27">
        <v>1.4308000000000001</v>
      </c>
      <c r="N51" s="27">
        <f t="shared" si="8"/>
        <v>0.68759999999999977</v>
      </c>
      <c r="O51" s="27">
        <v>1.2430000000000001</v>
      </c>
      <c r="P51" s="27">
        <v>0.13420000000000001</v>
      </c>
      <c r="Q51" s="27">
        <v>5.5100000000000003E-2</v>
      </c>
      <c r="R51" s="30">
        <f t="shared" si="9"/>
        <v>1.9290999999999998</v>
      </c>
      <c r="S51" s="27">
        <f t="shared" si="10"/>
        <v>35.565807889689481</v>
      </c>
      <c r="U51" s="18">
        <f t="shared" si="11"/>
        <v>64.434192110310519</v>
      </c>
    </row>
    <row r="52" spans="1:25" x14ac:dyDescent="0.25">
      <c r="A52" s="27" t="s">
        <v>59</v>
      </c>
      <c r="B52" s="27" t="s">
        <v>41</v>
      </c>
      <c r="C52" s="27" t="s">
        <v>16</v>
      </c>
      <c r="D52" s="27" t="s">
        <v>19</v>
      </c>
      <c r="E52" s="27">
        <v>2</v>
      </c>
      <c r="F52" s="27" t="s">
        <v>523</v>
      </c>
      <c r="G52" s="27">
        <v>2.3006000000000002</v>
      </c>
      <c r="H52" s="27">
        <v>2.13</v>
      </c>
      <c r="I52" s="28">
        <f t="shared" si="6"/>
        <v>8.0093896713615162</v>
      </c>
      <c r="J52" s="53">
        <v>44580</v>
      </c>
      <c r="K52" s="29">
        <v>44638</v>
      </c>
      <c r="L52" s="27">
        <f t="shared" si="7"/>
        <v>58</v>
      </c>
      <c r="M52" s="27">
        <v>1.4276</v>
      </c>
      <c r="N52" s="27">
        <f t="shared" si="8"/>
        <v>0.70239999999999991</v>
      </c>
      <c r="O52" s="27">
        <v>1.2379</v>
      </c>
      <c r="P52" s="27">
        <v>0.1363</v>
      </c>
      <c r="Q52" s="27">
        <v>5.5399999999999998E-2</v>
      </c>
      <c r="R52" s="30">
        <f t="shared" si="9"/>
        <v>1.9382999999999999</v>
      </c>
      <c r="S52" s="27">
        <f t="shared" si="10"/>
        <v>36.134757261517827</v>
      </c>
      <c r="U52" s="18">
        <f t="shared" si="11"/>
        <v>63.865242738482173</v>
      </c>
    </row>
    <row r="53" spans="1:25" x14ac:dyDescent="0.25">
      <c r="A53" s="27" t="s">
        <v>59</v>
      </c>
      <c r="B53" s="27" t="s">
        <v>41</v>
      </c>
      <c r="C53" s="27" t="s">
        <v>16</v>
      </c>
      <c r="D53" s="27" t="s">
        <v>20</v>
      </c>
      <c r="E53" s="27">
        <v>1</v>
      </c>
      <c r="F53" s="27" t="s">
        <v>524</v>
      </c>
      <c r="G53" s="27">
        <v>2.3965000000000001</v>
      </c>
      <c r="H53" s="27">
        <v>2.2162000000000002</v>
      </c>
      <c r="I53" s="28">
        <f t="shared" si="6"/>
        <v>8.1355473332731663</v>
      </c>
      <c r="J53" s="53">
        <v>44580</v>
      </c>
      <c r="K53" s="29">
        <v>44638</v>
      </c>
      <c r="L53" s="27">
        <f t="shared" si="7"/>
        <v>58</v>
      </c>
      <c r="M53" s="27">
        <v>1.5168999999999999</v>
      </c>
      <c r="N53" s="27">
        <f t="shared" si="8"/>
        <v>0.69930000000000025</v>
      </c>
      <c r="O53" s="27">
        <v>1.3285</v>
      </c>
      <c r="P53" s="27">
        <v>0.13469999999999999</v>
      </c>
      <c r="Q53" s="27">
        <v>5.5500000000000001E-2</v>
      </c>
      <c r="R53" s="30">
        <f t="shared" si="9"/>
        <v>2.0260000000000002</v>
      </c>
      <c r="S53" s="27">
        <f t="shared" si="10"/>
        <v>34.427443237907212</v>
      </c>
      <c r="U53" s="18">
        <f t="shared" si="11"/>
        <v>65.572556762092788</v>
      </c>
    </row>
    <row r="54" spans="1:25" x14ac:dyDescent="0.25">
      <c r="A54" s="27" t="s">
        <v>59</v>
      </c>
      <c r="B54" s="27" t="s">
        <v>41</v>
      </c>
      <c r="C54" s="27" t="s">
        <v>16</v>
      </c>
      <c r="D54" s="27" t="s">
        <v>20</v>
      </c>
      <c r="E54" s="27">
        <v>2</v>
      </c>
      <c r="F54" s="27" t="s">
        <v>525</v>
      </c>
      <c r="G54" s="27">
        <v>2.3588</v>
      </c>
      <c r="H54" s="27">
        <v>2.1808999999999998</v>
      </c>
      <c r="I54" s="28">
        <f t="shared" si="6"/>
        <v>8.1571828144344156</v>
      </c>
      <c r="J54" s="53">
        <v>44580</v>
      </c>
      <c r="K54" s="29">
        <v>44638</v>
      </c>
      <c r="L54" s="27">
        <f t="shared" si="7"/>
        <v>58</v>
      </c>
      <c r="M54" s="27">
        <v>1.5370999999999999</v>
      </c>
      <c r="N54" s="27">
        <f t="shared" si="8"/>
        <v>0.64379999999999993</v>
      </c>
      <c r="O54" s="27">
        <v>1.3543000000000001</v>
      </c>
      <c r="P54" s="27">
        <v>0.13189999999999999</v>
      </c>
      <c r="Q54" s="27">
        <v>5.3600000000000002E-2</v>
      </c>
      <c r="R54" s="30">
        <f t="shared" si="9"/>
        <v>1.9953999999999998</v>
      </c>
      <c r="S54" s="27">
        <f t="shared" si="10"/>
        <v>32.128896461862276</v>
      </c>
      <c r="U54" s="18">
        <f t="shared" si="11"/>
        <v>67.871103538137717</v>
      </c>
    </row>
    <row r="55" spans="1:25" x14ac:dyDescent="0.25">
      <c r="A55" s="31" t="s">
        <v>14</v>
      </c>
      <c r="B55" s="35" t="s">
        <v>60</v>
      </c>
      <c r="C55" s="35" t="s">
        <v>16</v>
      </c>
      <c r="D55" s="35" t="s">
        <v>17</v>
      </c>
      <c r="E55" s="35">
        <v>1</v>
      </c>
      <c r="F55" s="31" t="s">
        <v>526</v>
      </c>
      <c r="G55" s="35">
        <v>2.2482000000000002</v>
      </c>
      <c r="H55" s="35">
        <v>2.0794000000000001</v>
      </c>
      <c r="I55" s="36">
        <f t="shared" si="6"/>
        <v>8.1177262671924613</v>
      </c>
      <c r="J55" s="53">
        <v>44585</v>
      </c>
      <c r="K55" s="33">
        <v>44638</v>
      </c>
      <c r="L55" s="35">
        <f t="shared" si="7"/>
        <v>53</v>
      </c>
      <c r="M55" s="35">
        <v>1.4995000000000001</v>
      </c>
      <c r="N55" s="35">
        <f t="shared" si="8"/>
        <v>0.57990000000000008</v>
      </c>
      <c r="O55" s="35">
        <v>1.3023</v>
      </c>
      <c r="P55" s="35">
        <v>0.13320000000000001</v>
      </c>
      <c r="Q55" s="35">
        <v>6.7100000000000007E-2</v>
      </c>
      <c r="R55" s="38">
        <f t="shared" si="9"/>
        <v>1.8791000000000002</v>
      </c>
      <c r="S55" s="35">
        <f t="shared" si="10"/>
        <v>30.69554573998191</v>
      </c>
      <c r="T55">
        <f>AVERAGE(O55:O62)</f>
        <v>1.2900874999999998</v>
      </c>
      <c r="U55" s="18">
        <f t="shared" si="11"/>
        <v>69.30445426001809</v>
      </c>
      <c r="V55" s="7">
        <f>AVERAGE(U55:U62)</f>
        <v>68.136332119265887</v>
      </c>
      <c r="W55">
        <f>STDEV(U55:U62)</f>
        <v>1.0180323997511933</v>
      </c>
      <c r="X55">
        <f>AVERAGE(S55:S62)</f>
        <v>31.863667880734106</v>
      </c>
      <c r="Y55">
        <f>STDEV(S55:S62)</f>
        <v>1.0180323997511902</v>
      </c>
    </row>
    <row r="56" spans="1:25" x14ac:dyDescent="0.25">
      <c r="A56" s="31" t="s">
        <v>14</v>
      </c>
      <c r="B56" s="35" t="s">
        <v>60</v>
      </c>
      <c r="C56" s="35" t="s">
        <v>16</v>
      </c>
      <c r="D56" s="35" t="s">
        <v>17</v>
      </c>
      <c r="E56" s="35">
        <v>2</v>
      </c>
      <c r="F56" s="31" t="s">
        <v>527</v>
      </c>
      <c r="G56" s="35">
        <v>2.218</v>
      </c>
      <c r="H56" s="35">
        <v>2.0531000000000001</v>
      </c>
      <c r="I56" s="36">
        <f t="shared" si="6"/>
        <v>8.0317568554868153</v>
      </c>
      <c r="J56" s="53">
        <v>44585</v>
      </c>
      <c r="K56" s="33">
        <v>44638</v>
      </c>
      <c r="L56" s="35">
        <f t="shared" si="7"/>
        <v>53</v>
      </c>
      <c r="M56" s="35">
        <v>1.4759</v>
      </c>
      <c r="N56" s="35">
        <f t="shared" si="8"/>
        <v>0.57720000000000016</v>
      </c>
      <c r="O56" s="35">
        <v>1.2801</v>
      </c>
      <c r="P56" s="35">
        <v>0.12790000000000001</v>
      </c>
      <c r="Q56" s="35">
        <v>7.0900000000000005E-2</v>
      </c>
      <c r="R56" s="38">
        <f t="shared" si="9"/>
        <v>1.8543000000000001</v>
      </c>
      <c r="S56" s="35">
        <f t="shared" si="10"/>
        <v>30.965863128943539</v>
      </c>
      <c r="U56" s="18">
        <f t="shared" si="11"/>
        <v>69.034136871056461</v>
      </c>
    </row>
    <row r="57" spans="1:25" x14ac:dyDescent="0.25">
      <c r="A57" s="31" t="s">
        <v>14</v>
      </c>
      <c r="B57" s="35" t="s">
        <v>60</v>
      </c>
      <c r="C57" s="35" t="s">
        <v>16</v>
      </c>
      <c r="D57" s="35" t="s">
        <v>18</v>
      </c>
      <c r="E57" s="35">
        <v>1</v>
      </c>
      <c r="F57" s="31" t="s">
        <v>528</v>
      </c>
      <c r="G57" s="35">
        <v>2.3504999999999998</v>
      </c>
      <c r="H57" s="35">
        <v>2.169</v>
      </c>
      <c r="I57" s="36">
        <f t="shared" si="6"/>
        <v>8.3679114799446648</v>
      </c>
      <c r="J57" s="53">
        <v>44585</v>
      </c>
      <c r="K57" s="33">
        <v>44638</v>
      </c>
      <c r="L57" s="35">
        <f t="shared" si="7"/>
        <v>53</v>
      </c>
      <c r="M57" s="35">
        <v>1.5418000000000001</v>
      </c>
      <c r="N57" s="35">
        <f t="shared" si="8"/>
        <v>0.62719999999999998</v>
      </c>
      <c r="O57" s="35">
        <v>1.3552</v>
      </c>
      <c r="P57" s="35">
        <v>0.12479999999999999</v>
      </c>
      <c r="Q57" s="35">
        <v>6.59E-2</v>
      </c>
      <c r="R57" s="38">
        <f t="shared" si="9"/>
        <v>1.9782999999999999</v>
      </c>
      <c r="S57" s="35">
        <f t="shared" si="10"/>
        <v>31.496739624930498</v>
      </c>
      <c r="U57" s="18">
        <f t="shared" si="11"/>
        <v>68.503260375069502</v>
      </c>
    </row>
    <row r="58" spans="1:25" x14ac:dyDescent="0.25">
      <c r="A58" s="31" t="s">
        <v>14</v>
      </c>
      <c r="B58" s="35" t="s">
        <v>60</v>
      </c>
      <c r="C58" s="35" t="s">
        <v>16</v>
      </c>
      <c r="D58" s="35" t="s">
        <v>18</v>
      </c>
      <c r="E58" s="35">
        <v>2</v>
      </c>
      <c r="F58" s="31" t="s">
        <v>529</v>
      </c>
      <c r="G58" s="35">
        <v>2.1920999999999999</v>
      </c>
      <c r="H58" s="35">
        <v>2.0283000000000002</v>
      </c>
      <c r="I58" s="36">
        <f t="shared" si="6"/>
        <v>8.0757284425380718</v>
      </c>
      <c r="J58" s="53">
        <v>44585</v>
      </c>
      <c r="K58" s="33">
        <v>44638</v>
      </c>
      <c r="L58" s="35">
        <f t="shared" si="7"/>
        <v>53</v>
      </c>
      <c r="M58" s="35">
        <v>1.4516</v>
      </c>
      <c r="N58" s="35">
        <f t="shared" si="8"/>
        <v>0.57670000000000021</v>
      </c>
      <c r="O58" s="35">
        <v>1.2557</v>
      </c>
      <c r="P58" s="35">
        <v>0.1318</v>
      </c>
      <c r="Q58" s="35">
        <v>6.6600000000000006E-2</v>
      </c>
      <c r="R58" s="38">
        <f t="shared" si="9"/>
        <v>1.8299000000000003</v>
      </c>
      <c r="S58" s="35">
        <f t="shared" si="10"/>
        <v>31.378763866877978</v>
      </c>
      <c r="U58" s="18">
        <f t="shared" si="11"/>
        <v>68.621236133122025</v>
      </c>
    </row>
    <row r="59" spans="1:25" x14ac:dyDescent="0.25">
      <c r="A59" s="31" t="s">
        <v>14</v>
      </c>
      <c r="B59" s="35" t="s">
        <v>60</v>
      </c>
      <c r="C59" s="35" t="s">
        <v>16</v>
      </c>
      <c r="D59" s="35" t="s">
        <v>19</v>
      </c>
      <c r="E59" s="35">
        <v>1</v>
      </c>
      <c r="F59" s="31" t="s">
        <v>530</v>
      </c>
      <c r="G59" s="35">
        <v>2.2134</v>
      </c>
      <c r="H59" s="35">
        <v>2.0488</v>
      </c>
      <c r="I59" s="36">
        <f t="shared" si="6"/>
        <v>8.0339711050371001</v>
      </c>
      <c r="J59" s="53">
        <v>44585</v>
      </c>
      <c r="K59" s="33">
        <v>44638</v>
      </c>
      <c r="L59" s="35">
        <f t="shared" si="7"/>
        <v>53</v>
      </c>
      <c r="M59" s="35">
        <v>1.4472</v>
      </c>
      <c r="N59" s="35">
        <f t="shared" si="8"/>
        <v>0.60159999999999991</v>
      </c>
      <c r="O59" s="35">
        <v>1.2482</v>
      </c>
      <c r="P59" s="35">
        <v>0.13589999999999999</v>
      </c>
      <c r="Q59" s="35">
        <v>6.5600000000000006E-2</v>
      </c>
      <c r="R59" s="38">
        <f t="shared" si="9"/>
        <v>1.8472999999999999</v>
      </c>
      <c r="S59" s="35">
        <f t="shared" si="10"/>
        <v>32.431115682347212</v>
      </c>
      <c r="U59" s="18">
        <f t="shared" si="11"/>
        <v>67.568884317652788</v>
      </c>
    </row>
    <row r="60" spans="1:25" x14ac:dyDescent="0.25">
      <c r="A60" s="31" t="s">
        <v>14</v>
      </c>
      <c r="B60" s="35" t="s">
        <v>60</v>
      </c>
      <c r="C60" s="35" t="s">
        <v>16</v>
      </c>
      <c r="D60" s="35" t="s">
        <v>19</v>
      </c>
      <c r="E60" s="35">
        <v>2</v>
      </c>
      <c r="F60" s="31" t="s">
        <v>531</v>
      </c>
      <c r="G60" s="35">
        <v>2.3397000000000001</v>
      </c>
      <c r="H60" s="35">
        <v>2.1572</v>
      </c>
      <c r="I60" s="36">
        <f t="shared" si="6"/>
        <v>8.4600407936213671</v>
      </c>
      <c r="J60" s="53">
        <v>44585</v>
      </c>
      <c r="K60" s="33">
        <v>44638</v>
      </c>
      <c r="L60" s="35">
        <f t="shared" si="7"/>
        <v>53</v>
      </c>
      <c r="M60" s="35">
        <v>1.4955000000000001</v>
      </c>
      <c r="N60" s="35">
        <f t="shared" si="8"/>
        <v>0.66169999999999995</v>
      </c>
      <c r="O60" s="35">
        <v>1.3038000000000001</v>
      </c>
      <c r="P60" s="35">
        <v>0.12740000000000001</v>
      </c>
      <c r="Q60" s="35">
        <v>6.3899999999999998E-2</v>
      </c>
      <c r="R60" s="38">
        <f t="shared" si="9"/>
        <v>1.9659</v>
      </c>
      <c r="S60" s="35">
        <f t="shared" si="10"/>
        <v>33.679230886616814</v>
      </c>
      <c r="U60" s="18">
        <f t="shared" si="11"/>
        <v>66.320769113383179</v>
      </c>
    </row>
    <row r="61" spans="1:25" x14ac:dyDescent="0.25">
      <c r="A61" s="31" t="s">
        <v>14</v>
      </c>
      <c r="B61" s="35" t="s">
        <v>60</v>
      </c>
      <c r="C61" s="35" t="s">
        <v>16</v>
      </c>
      <c r="D61" s="35" t="s">
        <v>20</v>
      </c>
      <c r="E61" s="35">
        <v>1</v>
      </c>
      <c r="F61" s="31" t="s">
        <v>532</v>
      </c>
      <c r="G61" s="35">
        <v>2.2317999999999998</v>
      </c>
      <c r="H61" s="35">
        <v>2.0632999999999999</v>
      </c>
      <c r="I61" s="36">
        <f t="shared" si="6"/>
        <v>8.166529346192986</v>
      </c>
      <c r="J61" s="53">
        <v>44585</v>
      </c>
      <c r="K61" s="33">
        <v>44638</v>
      </c>
      <c r="L61" s="35">
        <f t="shared" si="7"/>
        <v>53</v>
      </c>
      <c r="M61" s="35">
        <v>1.4742999999999999</v>
      </c>
      <c r="N61" s="35">
        <f t="shared" si="8"/>
        <v>0.58899999999999997</v>
      </c>
      <c r="O61" s="35">
        <v>1.2763</v>
      </c>
      <c r="P61" s="35">
        <v>0.1351</v>
      </c>
      <c r="Q61" s="35">
        <v>6.6600000000000006E-2</v>
      </c>
      <c r="R61" s="38">
        <f t="shared" si="9"/>
        <v>1.8615999999999999</v>
      </c>
      <c r="S61" s="35">
        <f t="shared" si="10"/>
        <v>31.440696175333045</v>
      </c>
      <c r="U61" s="18">
        <f t="shared" si="11"/>
        <v>68.559303824666955</v>
      </c>
    </row>
    <row r="62" spans="1:25" x14ac:dyDescent="0.25">
      <c r="A62" s="31" t="s">
        <v>14</v>
      </c>
      <c r="B62" s="35" t="s">
        <v>60</v>
      </c>
      <c r="C62" s="35" t="s">
        <v>16</v>
      </c>
      <c r="D62" s="35" t="s">
        <v>20</v>
      </c>
      <c r="E62" s="35">
        <v>2</v>
      </c>
      <c r="F62" s="31" t="s">
        <v>533</v>
      </c>
      <c r="G62" s="35">
        <v>2.3035000000000001</v>
      </c>
      <c r="H62" s="38">
        <v>2.1271</v>
      </c>
      <c r="I62" s="36">
        <f t="shared" si="6"/>
        <v>8.2929810540172113</v>
      </c>
      <c r="J62" s="53">
        <v>44585</v>
      </c>
      <c r="K62" s="33">
        <v>44638</v>
      </c>
      <c r="L62" s="35">
        <f t="shared" si="7"/>
        <v>53</v>
      </c>
      <c r="M62" s="35">
        <v>1.4922</v>
      </c>
      <c r="N62" s="35">
        <f t="shared" si="8"/>
        <v>0.63490000000000002</v>
      </c>
      <c r="O62" s="35">
        <v>1.2990999999999999</v>
      </c>
      <c r="P62" s="35">
        <v>0.126</v>
      </c>
      <c r="Q62" s="35">
        <v>6.7299999999999999E-2</v>
      </c>
      <c r="R62" s="38">
        <f t="shared" si="9"/>
        <v>1.9338</v>
      </c>
      <c r="S62" s="35">
        <f t="shared" si="10"/>
        <v>32.821387940841866</v>
      </c>
      <c r="U62" s="18">
        <f t="shared" si="11"/>
        <v>67.178612059158127</v>
      </c>
    </row>
    <row r="63" spans="1:25" x14ac:dyDescent="0.25">
      <c r="A63" s="39" t="s">
        <v>62</v>
      </c>
      <c r="B63" s="39" t="s">
        <v>63</v>
      </c>
      <c r="C63" s="39" t="s">
        <v>16</v>
      </c>
      <c r="D63" s="39" t="s">
        <v>17</v>
      </c>
      <c r="E63" s="39">
        <v>1</v>
      </c>
      <c r="F63" s="39" t="s">
        <v>534</v>
      </c>
      <c r="G63" s="39">
        <v>2.1185999999999998</v>
      </c>
      <c r="H63" s="39">
        <v>1.97</v>
      </c>
      <c r="I63" s="40">
        <f t="shared" si="6"/>
        <v>7.5431472081218196</v>
      </c>
      <c r="J63" s="53">
        <v>44592</v>
      </c>
      <c r="K63" s="41">
        <v>44651</v>
      </c>
      <c r="L63" s="39">
        <f t="shared" si="7"/>
        <v>59</v>
      </c>
      <c r="M63" s="39">
        <v>1.3779999999999999</v>
      </c>
      <c r="N63" s="39">
        <f t="shared" si="8"/>
        <v>0.59200000000000008</v>
      </c>
      <c r="O63" s="39">
        <v>1.1801999999999999</v>
      </c>
      <c r="P63" s="39">
        <v>0.13750000000000001</v>
      </c>
      <c r="Q63" s="39">
        <v>6.1400000000000003E-2</v>
      </c>
      <c r="R63" s="42">
        <f t="shared" si="9"/>
        <v>1.7710999999999999</v>
      </c>
      <c r="S63" s="39">
        <f t="shared" si="10"/>
        <v>33.363446445711702</v>
      </c>
      <c r="T63">
        <f>AVERAGE(O63:O70)</f>
        <v>1.2693249999999998</v>
      </c>
      <c r="U63" s="18">
        <f t="shared" si="11"/>
        <v>66.636553554288298</v>
      </c>
      <c r="V63" s="7">
        <f>AVERAGE(U63:U70)</f>
        <v>68.342295271082321</v>
      </c>
      <c r="W63">
        <f>STDEV(U63:U70)</f>
        <v>1.8133114466093714</v>
      </c>
      <c r="X63">
        <f>AVERAGE(S63:S70)</f>
        <v>31.657704728917686</v>
      </c>
      <c r="Y63">
        <f>STDEV(S63:S70)</f>
        <v>1.8133114466093734</v>
      </c>
    </row>
    <row r="64" spans="1:25" x14ac:dyDescent="0.25">
      <c r="A64" s="39" t="s">
        <v>62</v>
      </c>
      <c r="B64" s="39" t="s">
        <v>63</v>
      </c>
      <c r="C64" s="39" t="s">
        <v>16</v>
      </c>
      <c r="D64" s="39" t="s">
        <v>17</v>
      </c>
      <c r="E64" s="39">
        <v>2</v>
      </c>
      <c r="F64" s="39" t="s">
        <v>535</v>
      </c>
      <c r="G64" s="39">
        <v>2.2804000000000002</v>
      </c>
      <c r="H64" s="39">
        <v>2.1190000000000002</v>
      </c>
      <c r="I64" s="40">
        <f t="shared" si="6"/>
        <v>7.6168003775365731</v>
      </c>
      <c r="J64" s="53">
        <v>44592</v>
      </c>
      <c r="K64" s="41">
        <v>44651</v>
      </c>
      <c r="L64" s="39">
        <f t="shared" si="7"/>
        <v>59</v>
      </c>
      <c r="M64" s="39">
        <v>1.5283</v>
      </c>
      <c r="N64" s="39">
        <f t="shared" si="8"/>
        <v>0.59070000000000022</v>
      </c>
      <c r="O64" s="39">
        <v>1.3192999999999999</v>
      </c>
      <c r="P64" s="39">
        <v>0.15140000000000001</v>
      </c>
      <c r="Q64" s="39">
        <v>6.0900000000000003E-2</v>
      </c>
      <c r="R64" s="42">
        <f t="shared" si="9"/>
        <v>1.9067000000000003</v>
      </c>
      <c r="S64" s="39">
        <f t="shared" si="10"/>
        <v>30.80715372108881</v>
      </c>
      <c r="U64" s="18">
        <f t="shared" si="11"/>
        <v>69.19284627891119</v>
      </c>
    </row>
    <row r="65" spans="1:25" x14ac:dyDescent="0.25">
      <c r="A65" s="39" t="s">
        <v>62</v>
      </c>
      <c r="B65" s="39" t="s">
        <v>63</v>
      </c>
      <c r="C65" s="39" t="s">
        <v>16</v>
      </c>
      <c r="D65" s="39" t="s">
        <v>18</v>
      </c>
      <c r="E65" s="39">
        <v>1</v>
      </c>
      <c r="F65" s="39" t="s">
        <v>536</v>
      </c>
      <c r="G65" s="39">
        <v>2.2075</v>
      </c>
      <c r="H65" s="39">
        <v>2.0543999999999998</v>
      </c>
      <c r="I65" s="40">
        <f t="shared" si="6"/>
        <v>7.4522975077881748</v>
      </c>
      <c r="J65" s="53">
        <v>44592</v>
      </c>
      <c r="K65" s="41">
        <v>44651</v>
      </c>
      <c r="L65" s="39">
        <f t="shared" si="7"/>
        <v>59</v>
      </c>
      <c r="M65" s="39">
        <v>1.4545999999999999</v>
      </c>
      <c r="N65" s="39">
        <f t="shared" si="8"/>
        <v>0.59979999999999989</v>
      </c>
      <c r="O65" s="39">
        <v>1.2508999999999999</v>
      </c>
      <c r="P65" s="39">
        <v>0.14499999999999999</v>
      </c>
      <c r="Q65" s="39">
        <v>6.0699999999999997E-2</v>
      </c>
      <c r="R65" s="42">
        <f t="shared" si="9"/>
        <v>1.8486999999999998</v>
      </c>
      <c r="S65" s="39">
        <f t="shared" si="10"/>
        <v>32.336236274138578</v>
      </c>
      <c r="U65" s="18">
        <f t="shared" si="11"/>
        <v>67.663763725861415</v>
      </c>
    </row>
    <row r="66" spans="1:25" x14ac:dyDescent="0.25">
      <c r="A66" s="39" t="s">
        <v>62</v>
      </c>
      <c r="B66" s="39" t="s">
        <v>63</v>
      </c>
      <c r="C66" s="39" t="s">
        <v>16</v>
      </c>
      <c r="D66" s="39" t="s">
        <v>18</v>
      </c>
      <c r="E66" s="39">
        <v>2</v>
      </c>
      <c r="F66" s="39" t="s">
        <v>537</v>
      </c>
      <c r="G66" s="39">
        <v>2.2454999999999998</v>
      </c>
      <c r="H66" s="39">
        <v>2.0853000000000002</v>
      </c>
      <c r="I66" s="40">
        <f t="shared" si="6"/>
        <v>7.6823478636167302</v>
      </c>
      <c r="J66" s="53">
        <v>44592</v>
      </c>
      <c r="K66" s="41">
        <v>44651</v>
      </c>
      <c r="L66" s="39">
        <f t="shared" si="7"/>
        <v>59</v>
      </c>
      <c r="M66" s="39">
        <v>1.5497000000000001</v>
      </c>
      <c r="N66" s="39">
        <f t="shared" si="8"/>
        <v>0.53560000000000008</v>
      </c>
      <c r="O66" s="39">
        <v>1.3501000000000001</v>
      </c>
      <c r="P66" s="39">
        <v>0.1416</v>
      </c>
      <c r="Q66" s="39">
        <v>6.0400000000000002E-2</v>
      </c>
      <c r="R66" s="42">
        <f t="shared" si="9"/>
        <v>1.8833000000000002</v>
      </c>
      <c r="S66" s="39">
        <f t="shared" si="10"/>
        <v>28.312005522221632</v>
      </c>
      <c r="U66" s="18">
        <f t="shared" si="11"/>
        <v>71.687994477778361</v>
      </c>
    </row>
    <row r="67" spans="1:25" x14ac:dyDescent="0.25">
      <c r="A67" s="39" t="s">
        <v>62</v>
      </c>
      <c r="B67" s="39" t="s">
        <v>63</v>
      </c>
      <c r="C67" s="39" t="s">
        <v>16</v>
      </c>
      <c r="D67" s="39" t="s">
        <v>19</v>
      </c>
      <c r="E67" s="39">
        <v>1</v>
      </c>
      <c r="F67" s="39" t="s">
        <v>538</v>
      </c>
      <c r="G67" s="39">
        <v>2.1775000000000002</v>
      </c>
      <c r="H67" s="39">
        <v>2.0211999999999999</v>
      </c>
      <c r="I67" s="40">
        <f t="shared" si="6"/>
        <v>7.7330298832376982</v>
      </c>
      <c r="J67" s="53">
        <v>44592</v>
      </c>
      <c r="K67" s="41">
        <v>44651</v>
      </c>
      <c r="L67" s="39">
        <f t="shared" si="7"/>
        <v>59</v>
      </c>
      <c r="M67" s="39">
        <v>1.4712000000000001</v>
      </c>
      <c r="N67" s="39">
        <f t="shared" si="8"/>
        <v>0.54999999999999982</v>
      </c>
      <c r="O67" s="39">
        <v>1.2776000000000001</v>
      </c>
      <c r="P67" s="39">
        <v>0.13900000000000001</v>
      </c>
      <c r="Q67" s="39">
        <v>6.0199999999999997E-2</v>
      </c>
      <c r="R67" s="42">
        <f t="shared" si="9"/>
        <v>1.8219999999999998</v>
      </c>
      <c r="S67" s="39">
        <f t="shared" si="10"/>
        <v>29.879253567508222</v>
      </c>
      <c r="U67" s="18">
        <f t="shared" si="11"/>
        <v>70.120746432491771</v>
      </c>
    </row>
    <row r="68" spans="1:25" x14ac:dyDescent="0.25">
      <c r="A68" s="39" t="s">
        <v>62</v>
      </c>
      <c r="B68" s="39" t="s">
        <v>63</v>
      </c>
      <c r="C68" s="39" t="s">
        <v>16</v>
      </c>
      <c r="D68" s="39" t="s">
        <v>19</v>
      </c>
      <c r="E68" s="39">
        <v>2</v>
      </c>
      <c r="F68" s="39" t="s">
        <v>539</v>
      </c>
      <c r="G68" s="39">
        <v>2.2597</v>
      </c>
      <c r="H68" s="39">
        <v>2.0998999999999999</v>
      </c>
      <c r="I68" s="40">
        <f t="shared" si="6"/>
        <v>7.6098861850564399</v>
      </c>
      <c r="J68" s="53">
        <v>44592</v>
      </c>
      <c r="K68" s="41">
        <v>44651</v>
      </c>
      <c r="L68" s="39">
        <f t="shared" si="7"/>
        <v>59</v>
      </c>
      <c r="M68" s="39">
        <v>1.4739</v>
      </c>
      <c r="N68" s="39">
        <f t="shared" si="8"/>
        <v>0.62599999999999989</v>
      </c>
      <c r="O68" s="39">
        <v>1.2699</v>
      </c>
      <c r="P68" s="39">
        <v>0.1449</v>
      </c>
      <c r="Q68" s="39">
        <v>5.8000000000000003E-2</v>
      </c>
      <c r="R68" s="42">
        <f t="shared" si="9"/>
        <v>1.8969999999999998</v>
      </c>
      <c r="S68" s="39">
        <f t="shared" si="10"/>
        <v>33.057459146020022</v>
      </c>
      <c r="U68" s="18">
        <f t="shared" si="11"/>
        <v>66.942540853979978</v>
      </c>
    </row>
    <row r="69" spans="1:25" x14ac:dyDescent="0.25">
      <c r="A69" s="39" t="s">
        <v>62</v>
      </c>
      <c r="B69" s="39" t="s">
        <v>63</v>
      </c>
      <c r="C69" s="39" t="s">
        <v>16</v>
      </c>
      <c r="D69" s="39" t="s">
        <v>20</v>
      </c>
      <c r="E69" s="39">
        <v>1</v>
      </c>
      <c r="F69" s="39" t="s">
        <v>540</v>
      </c>
      <c r="G69" s="39">
        <v>2.2696000000000001</v>
      </c>
      <c r="H69" s="39">
        <v>2.1084000000000001</v>
      </c>
      <c r="I69" s="40">
        <f t="shared" si="6"/>
        <v>7.6456080440144198</v>
      </c>
      <c r="J69" s="53">
        <v>44592</v>
      </c>
      <c r="K69" s="41">
        <v>44651</v>
      </c>
      <c r="L69" s="39">
        <f t="shared" si="7"/>
        <v>59</v>
      </c>
      <c r="M69" s="39">
        <v>1.4748000000000001</v>
      </c>
      <c r="N69" s="39">
        <f t="shared" si="8"/>
        <v>0.63359999999999994</v>
      </c>
      <c r="O69" s="39">
        <v>1.2715000000000001</v>
      </c>
      <c r="P69" s="39">
        <v>0.15049999999999999</v>
      </c>
      <c r="Q69" s="39">
        <v>5.8000000000000003E-2</v>
      </c>
      <c r="R69" s="42">
        <f t="shared" si="9"/>
        <v>1.8999000000000001</v>
      </c>
      <c r="S69" s="39">
        <f t="shared" si="10"/>
        <v>33.0754250223696</v>
      </c>
      <c r="U69" s="18">
        <f t="shared" si="11"/>
        <v>66.9245749776304</v>
      </c>
    </row>
    <row r="70" spans="1:25" x14ac:dyDescent="0.25">
      <c r="A70" s="39" t="s">
        <v>62</v>
      </c>
      <c r="B70" s="39" t="s">
        <v>63</v>
      </c>
      <c r="C70" s="39" t="s">
        <v>16</v>
      </c>
      <c r="D70" s="39" t="s">
        <v>20</v>
      </c>
      <c r="E70" s="39">
        <v>2</v>
      </c>
      <c r="F70" s="39" t="s">
        <v>541</v>
      </c>
      <c r="G70" s="39">
        <v>2.1781000000000001</v>
      </c>
      <c r="H70" s="39">
        <v>2.0249999999999999</v>
      </c>
      <c r="I70" s="40">
        <f t="shared" si="6"/>
        <v>7.5604938271605056</v>
      </c>
      <c r="J70" s="53">
        <v>44592</v>
      </c>
      <c r="K70" s="41">
        <v>44651</v>
      </c>
      <c r="L70" s="39">
        <f t="shared" si="7"/>
        <v>59</v>
      </c>
      <c r="M70" s="39">
        <v>1.4316</v>
      </c>
      <c r="N70" s="39">
        <f t="shared" si="8"/>
        <v>0.59339999999999993</v>
      </c>
      <c r="O70" s="39">
        <v>1.2351000000000001</v>
      </c>
      <c r="P70" s="39">
        <v>0.13750000000000001</v>
      </c>
      <c r="Q70" s="39">
        <v>5.96E-2</v>
      </c>
      <c r="R70" s="42">
        <f t="shared" si="9"/>
        <v>1.8278999999999999</v>
      </c>
      <c r="S70" s="39">
        <f t="shared" si="10"/>
        <v>32.430658132282936</v>
      </c>
      <c r="U70" s="18">
        <f t="shared" si="11"/>
        <v>67.569341867717057</v>
      </c>
    </row>
    <row r="71" spans="1:25" x14ac:dyDescent="0.25">
      <c r="A71" s="43" t="s">
        <v>99</v>
      </c>
      <c r="B71" s="43" t="s">
        <v>100</v>
      </c>
      <c r="C71" s="43" t="s">
        <v>16</v>
      </c>
      <c r="D71" s="43" t="s">
        <v>17</v>
      </c>
      <c r="E71" s="43">
        <v>1</v>
      </c>
      <c r="F71" s="43" t="s">
        <v>542</v>
      </c>
      <c r="G71" s="43">
        <v>2.2991999999999999</v>
      </c>
      <c r="H71" s="43">
        <v>2.1594000000000002</v>
      </c>
      <c r="I71" s="44">
        <f t="shared" si="6"/>
        <v>6.4740205612670048</v>
      </c>
      <c r="J71" s="53">
        <v>44599</v>
      </c>
      <c r="K71" s="45">
        <v>44655</v>
      </c>
      <c r="L71" s="43">
        <f t="shared" si="7"/>
        <v>56</v>
      </c>
      <c r="M71" s="43">
        <v>1.6335</v>
      </c>
      <c r="N71" s="43">
        <f t="shared" si="8"/>
        <v>0.52590000000000026</v>
      </c>
      <c r="O71" s="43">
        <v>1.4188000000000001</v>
      </c>
      <c r="P71" s="43">
        <v>0.1525</v>
      </c>
      <c r="Q71" s="43">
        <v>6.1199999999999997E-2</v>
      </c>
      <c r="R71" s="46">
        <f>H71-(P71+Q71)</f>
        <v>1.9457000000000002</v>
      </c>
      <c r="S71" s="43">
        <f t="shared" si="10"/>
        <v>27.080228195508049</v>
      </c>
      <c r="T71">
        <f>AVERAGE(O71:O78)</f>
        <v>1.2819</v>
      </c>
      <c r="U71" s="18">
        <f t="shared" si="11"/>
        <v>72.919771804491944</v>
      </c>
      <c r="V71" s="7">
        <f>AVERAGE(U71:U78)</f>
        <v>67.056994131473516</v>
      </c>
      <c r="W71">
        <f>STDEV(U71:U78)</f>
        <v>3.8788731733773818</v>
      </c>
      <c r="X71">
        <f>AVERAGE(S71:S78)</f>
        <v>32.943005868526477</v>
      </c>
      <c r="Y71">
        <f>STDEV(S71:S78)</f>
        <v>3.8788731733774142</v>
      </c>
    </row>
    <row r="72" spans="1:25" x14ac:dyDescent="0.25">
      <c r="A72" s="43" t="s">
        <v>99</v>
      </c>
      <c r="B72" s="43" t="s">
        <v>100</v>
      </c>
      <c r="C72" s="43" t="s">
        <v>16</v>
      </c>
      <c r="D72" s="43" t="s">
        <v>17</v>
      </c>
      <c r="E72" s="43">
        <v>2</v>
      </c>
      <c r="F72" s="43" t="s">
        <v>543</v>
      </c>
      <c r="G72" s="43">
        <v>2.391</v>
      </c>
      <c r="H72" s="43">
        <v>2.2330000000000001</v>
      </c>
      <c r="I72" s="44">
        <f t="shared" si="6"/>
        <v>7.0756829377518997</v>
      </c>
      <c r="J72" s="53">
        <v>44599</v>
      </c>
      <c r="K72" s="45">
        <v>44655</v>
      </c>
      <c r="L72" s="43">
        <f t="shared" si="7"/>
        <v>56</v>
      </c>
      <c r="M72" s="43">
        <v>1.6141000000000001</v>
      </c>
      <c r="N72" s="43">
        <f t="shared" si="8"/>
        <v>0.61890000000000001</v>
      </c>
      <c r="O72" s="43">
        <v>1.4126000000000001</v>
      </c>
      <c r="P72" s="43">
        <v>0.14330000000000001</v>
      </c>
      <c r="Q72" s="43">
        <v>5.8599999999999999E-2</v>
      </c>
      <c r="R72" s="46">
        <f>H72-(P72+Q72)</f>
        <v>2.0310999999999999</v>
      </c>
      <c r="S72" s="43">
        <f t="shared" si="10"/>
        <v>30.451479493870309</v>
      </c>
      <c r="U72" s="18">
        <f t="shared" si="11"/>
        <v>69.548520506129691</v>
      </c>
    </row>
    <row r="73" spans="1:25" x14ac:dyDescent="0.25">
      <c r="A73" s="43" t="s">
        <v>99</v>
      </c>
      <c r="B73" s="43" t="s">
        <v>100</v>
      </c>
      <c r="C73" s="43" t="s">
        <v>16</v>
      </c>
      <c r="D73" s="43" t="s">
        <v>18</v>
      </c>
      <c r="E73" s="43">
        <v>1</v>
      </c>
      <c r="F73" s="43" t="s">
        <v>544</v>
      </c>
      <c r="G73" s="46">
        <v>2.1922999999999999</v>
      </c>
      <c r="H73" s="43">
        <v>2.0783999999999998</v>
      </c>
      <c r="I73" s="44">
        <f t="shared" si="6"/>
        <v>5.4801770592763726</v>
      </c>
      <c r="J73" s="53">
        <v>44599</v>
      </c>
      <c r="K73" s="45">
        <v>44655</v>
      </c>
      <c r="L73" s="43">
        <f t="shared" si="7"/>
        <v>56</v>
      </c>
      <c r="M73" s="43">
        <v>1.4693000000000001</v>
      </c>
      <c r="N73" s="43">
        <f t="shared" si="8"/>
        <v>0.60909999999999975</v>
      </c>
      <c r="O73" s="43">
        <v>1.2709999999999999</v>
      </c>
      <c r="P73" s="43">
        <v>0.1421</v>
      </c>
      <c r="Q73" s="43">
        <v>5.6599999999999998E-2</v>
      </c>
      <c r="R73" s="46">
        <f>H73-(P73+Q71)</f>
        <v>1.8750999999999998</v>
      </c>
      <c r="S73" s="43">
        <f t="shared" si="10"/>
        <v>32.216948429417094</v>
      </c>
      <c r="U73" s="18">
        <f t="shared" si="11"/>
        <v>67.783051570582913</v>
      </c>
    </row>
    <row r="74" spans="1:25" x14ac:dyDescent="0.25">
      <c r="A74" s="43" t="s">
        <v>99</v>
      </c>
      <c r="B74" s="43" t="s">
        <v>100</v>
      </c>
      <c r="C74" s="43" t="s">
        <v>16</v>
      </c>
      <c r="D74" s="43" t="s">
        <v>18</v>
      </c>
      <c r="E74" s="43">
        <v>2</v>
      </c>
      <c r="F74" s="43" t="s">
        <v>545</v>
      </c>
      <c r="G74" s="46">
        <v>2.1991999999999998</v>
      </c>
      <c r="H74" s="43">
        <v>2.0670999999999999</v>
      </c>
      <c r="I74" s="44">
        <f t="shared" si="6"/>
        <v>6.3905955202941263</v>
      </c>
      <c r="J74" s="53">
        <v>44599</v>
      </c>
      <c r="K74" s="45">
        <v>44655</v>
      </c>
      <c r="L74" s="43">
        <f t="shared" si="7"/>
        <v>56</v>
      </c>
      <c r="M74" s="43">
        <v>1.3587</v>
      </c>
      <c r="N74" s="43">
        <f t="shared" si="8"/>
        <v>0.70839999999999992</v>
      </c>
      <c r="O74" s="43">
        <v>1.1658999999999999</v>
      </c>
      <c r="P74" s="43">
        <v>0.13569999999999999</v>
      </c>
      <c r="Q74" s="43">
        <v>5.74E-2</v>
      </c>
      <c r="R74" s="46">
        <f>H74-(P74+Q72)</f>
        <v>1.8728</v>
      </c>
      <c r="S74" s="43">
        <f t="shared" si="10"/>
        <v>37.745621529261001</v>
      </c>
      <c r="U74" s="18">
        <f t="shared" si="11"/>
        <v>62.254378470738992</v>
      </c>
    </row>
    <row r="75" spans="1:25" x14ac:dyDescent="0.25">
      <c r="A75" s="43" t="s">
        <v>99</v>
      </c>
      <c r="B75" s="43" t="s">
        <v>100</v>
      </c>
      <c r="C75" s="43" t="s">
        <v>16</v>
      </c>
      <c r="D75" s="43" t="s">
        <v>19</v>
      </c>
      <c r="E75" s="43">
        <v>1</v>
      </c>
      <c r="F75" s="43" t="s">
        <v>546</v>
      </c>
      <c r="G75" s="43">
        <v>2.2482000000000002</v>
      </c>
      <c r="H75" s="43">
        <v>2.1126</v>
      </c>
      <c r="I75" s="44">
        <f t="shared" si="6"/>
        <v>6.4186310707185532</v>
      </c>
      <c r="J75" s="53">
        <v>44599</v>
      </c>
      <c r="K75" s="45">
        <v>44655</v>
      </c>
      <c r="L75" s="43">
        <f t="shared" si="7"/>
        <v>56</v>
      </c>
      <c r="M75" s="43">
        <v>1.381</v>
      </c>
      <c r="N75" s="43">
        <f t="shared" si="8"/>
        <v>0.73160000000000003</v>
      </c>
      <c r="O75" s="43">
        <v>1.1826000000000001</v>
      </c>
      <c r="P75" s="43">
        <v>0.13719999999999999</v>
      </c>
      <c r="Q75" s="43">
        <v>5.9900000000000002E-2</v>
      </c>
      <c r="R75" s="46">
        <f>H75-(P75+Q73)</f>
        <v>1.9188000000000001</v>
      </c>
      <c r="S75" s="43">
        <f t="shared" si="10"/>
        <v>38.367729831144466</v>
      </c>
      <c r="U75" s="18">
        <f t="shared" si="11"/>
        <v>61.632270168855541</v>
      </c>
    </row>
    <row r="76" spans="1:25" x14ac:dyDescent="0.25">
      <c r="A76" s="43" t="s">
        <v>99</v>
      </c>
      <c r="B76" s="43" t="s">
        <v>100</v>
      </c>
      <c r="C76" s="43" t="s">
        <v>16</v>
      </c>
      <c r="D76" s="43" t="s">
        <v>19</v>
      </c>
      <c r="E76" s="43">
        <v>2</v>
      </c>
      <c r="F76" s="43" t="s">
        <v>547</v>
      </c>
      <c r="G76" s="43">
        <v>2.2402000000000002</v>
      </c>
      <c r="H76" s="43">
        <v>2.1069</v>
      </c>
      <c r="I76" s="44">
        <f t="shared" si="6"/>
        <v>6.3268308889838236</v>
      </c>
      <c r="J76" s="53">
        <v>44599</v>
      </c>
      <c r="K76" s="45">
        <v>44655</v>
      </c>
      <c r="L76" s="43">
        <f t="shared" si="7"/>
        <v>56</v>
      </c>
      <c r="M76" s="43">
        <v>1.5193000000000001</v>
      </c>
      <c r="N76" s="43">
        <f t="shared" si="8"/>
        <v>0.5875999999999999</v>
      </c>
      <c r="O76" s="43">
        <v>1.3165</v>
      </c>
      <c r="P76" s="43">
        <v>0.1434</v>
      </c>
      <c r="Q76" s="43">
        <v>5.7700000000000001E-2</v>
      </c>
      <c r="R76" s="46">
        <f>H76-(P76+Q74)</f>
        <v>1.9060999999999999</v>
      </c>
      <c r="S76" s="43">
        <f t="shared" si="10"/>
        <v>30.932270080268609</v>
      </c>
      <c r="U76" s="18">
        <f t="shared" si="11"/>
        <v>69.067729919731391</v>
      </c>
    </row>
    <row r="77" spans="1:25" x14ac:dyDescent="0.25">
      <c r="A77" s="43" t="s">
        <v>99</v>
      </c>
      <c r="B77" s="43" t="s">
        <v>100</v>
      </c>
      <c r="C77" s="43" t="s">
        <v>16</v>
      </c>
      <c r="D77" s="43" t="s">
        <v>20</v>
      </c>
      <c r="E77" s="43">
        <v>1</v>
      </c>
      <c r="F77" s="43" t="s">
        <v>548</v>
      </c>
      <c r="G77" s="43">
        <v>2.1103999999999998</v>
      </c>
      <c r="H77" s="46">
        <v>2.0078999999999998</v>
      </c>
      <c r="I77" s="44">
        <f t="shared" si="6"/>
        <v>5.1048358982021043</v>
      </c>
      <c r="J77" s="53">
        <v>44599</v>
      </c>
      <c r="K77" s="45">
        <v>44655</v>
      </c>
      <c r="L77" s="43">
        <f t="shared" si="7"/>
        <v>56</v>
      </c>
      <c r="M77" s="43">
        <v>1.4343999999999999</v>
      </c>
      <c r="N77" s="46">
        <f t="shared" si="8"/>
        <v>0.5734999999999999</v>
      </c>
      <c r="O77" s="43">
        <v>1.2416</v>
      </c>
      <c r="P77" s="43">
        <v>0.13639999999999999</v>
      </c>
      <c r="Q77" s="43">
        <v>5.7700000000000001E-2</v>
      </c>
      <c r="R77" s="46">
        <f>H77-(P77+Q75)</f>
        <v>1.8115999999999999</v>
      </c>
      <c r="S77" s="43">
        <f t="shared" si="10"/>
        <v>31.46389931552218</v>
      </c>
      <c r="U77" s="18">
        <f t="shared" si="11"/>
        <v>68.536100684477816</v>
      </c>
    </row>
    <row r="78" spans="1:25" x14ac:dyDescent="0.25">
      <c r="A78" s="43" t="s">
        <v>99</v>
      </c>
      <c r="B78" s="43" t="s">
        <v>100</v>
      </c>
      <c r="C78" s="43" t="s">
        <v>16</v>
      </c>
      <c r="D78" s="43" t="s">
        <v>20</v>
      </c>
      <c r="E78" s="43">
        <v>2</v>
      </c>
      <c r="F78" s="43" t="s">
        <v>549</v>
      </c>
      <c r="G78" s="43">
        <v>2.2703000000000002</v>
      </c>
      <c r="H78" s="43">
        <v>2.1295999999999999</v>
      </c>
      <c r="I78" s="44">
        <f t="shared" si="6"/>
        <v>6.6068745304282626</v>
      </c>
      <c r="J78" s="53">
        <v>44599</v>
      </c>
      <c r="K78" s="45">
        <v>44655</v>
      </c>
      <c r="L78" s="43">
        <f t="shared" si="7"/>
        <v>56</v>
      </c>
      <c r="M78" s="43">
        <v>1.4552</v>
      </c>
      <c r="N78" s="43">
        <f t="shared" si="8"/>
        <v>0.67439999999999989</v>
      </c>
      <c r="O78" s="43">
        <v>1.2462</v>
      </c>
      <c r="P78" s="43">
        <v>0.1452</v>
      </c>
      <c r="Q78" s="43">
        <v>5.8700000000000002E-2</v>
      </c>
      <c r="R78" s="46">
        <f t="shared" si="9"/>
        <v>1.9257</v>
      </c>
      <c r="S78" s="43">
        <f t="shared" si="10"/>
        <v>35.285870073220124</v>
      </c>
      <c r="U78" s="18">
        <f t="shared" si="11"/>
        <v>64.714129926779876</v>
      </c>
    </row>
    <row r="79" spans="1:25" x14ac:dyDescent="0.25">
      <c r="A79" s="47" t="s">
        <v>300</v>
      </c>
      <c r="B79" s="47" t="s">
        <v>80</v>
      </c>
      <c r="C79" s="47" t="s">
        <v>16</v>
      </c>
      <c r="D79" s="47" t="s">
        <v>17</v>
      </c>
      <c r="E79" s="47">
        <v>1</v>
      </c>
      <c r="F79" s="47" t="s">
        <v>550</v>
      </c>
      <c r="G79" s="47">
        <v>2.2978000000000001</v>
      </c>
      <c r="H79" s="47">
        <v>2.1536</v>
      </c>
      <c r="I79" s="49">
        <f t="shared" si="6"/>
        <v>6.6957652303120412</v>
      </c>
      <c r="J79" s="53">
        <v>44620</v>
      </c>
      <c r="K79" s="50">
        <v>44680</v>
      </c>
      <c r="L79" s="47">
        <f t="shared" si="7"/>
        <v>60</v>
      </c>
      <c r="M79" s="47">
        <v>1.4488000000000001</v>
      </c>
      <c r="N79" s="47">
        <f t="shared" si="8"/>
        <v>0.70479999999999987</v>
      </c>
      <c r="O79" s="47">
        <v>1.2625</v>
      </c>
      <c r="P79" s="47">
        <v>0.13289999999999999</v>
      </c>
      <c r="Q79" s="47">
        <v>5.6800000000000003E-2</v>
      </c>
      <c r="R79" s="48">
        <f t="shared" si="9"/>
        <v>1.9639</v>
      </c>
      <c r="S79" s="47">
        <f t="shared" si="10"/>
        <v>35.714649422068334</v>
      </c>
      <c r="T79">
        <f>AVERAGE(O79:O86)</f>
        <v>1.2475625000000001</v>
      </c>
      <c r="U79" s="18">
        <f t="shared" si="11"/>
        <v>64.285350577931666</v>
      </c>
      <c r="V79" s="7">
        <f>AVERAGE(U79:U86)</f>
        <v>63.532404295255461</v>
      </c>
      <c r="W79">
        <f>STDEV(U79:U86)</f>
        <v>1.4249902579976281</v>
      </c>
      <c r="X79">
        <f>AVERAGE(S79:S86)</f>
        <v>36.467595704744532</v>
      </c>
      <c r="Y79">
        <f>STDEV(S79:S86)</f>
        <v>1.424990257997629</v>
      </c>
    </row>
    <row r="80" spans="1:25" x14ac:dyDescent="0.25">
      <c r="A80" s="47" t="s">
        <v>300</v>
      </c>
      <c r="B80" s="47" t="s">
        <v>80</v>
      </c>
      <c r="C80" s="47" t="s">
        <v>16</v>
      </c>
      <c r="D80" s="47" t="s">
        <v>17</v>
      </c>
      <c r="E80" s="47">
        <v>2</v>
      </c>
      <c r="F80" s="47" t="s">
        <v>551</v>
      </c>
      <c r="G80" s="47">
        <v>2.3349000000000002</v>
      </c>
      <c r="H80" s="47">
        <v>2.1848000000000001</v>
      </c>
      <c r="I80" s="49">
        <f t="shared" si="6"/>
        <v>6.870194068106926</v>
      </c>
      <c r="J80" s="53">
        <v>44620</v>
      </c>
      <c r="K80" s="50">
        <v>44680</v>
      </c>
      <c r="L80" s="47">
        <f t="shared" si="7"/>
        <v>60</v>
      </c>
      <c r="M80" s="47">
        <v>1.4435</v>
      </c>
      <c r="N80" s="47">
        <f t="shared" si="8"/>
        <v>0.74130000000000007</v>
      </c>
      <c r="O80" s="47">
        <v>1.2519</v>
      </c>
      <c r="P80" s="47">
        <v>0.13400000000000001</v>
      </c>
      <c r="Q80" s="47">
        <v>5.74E-2</v>
      </c>
      <c r="R80" s="48">
        <f t="shared" si="9"/>
        <v>1.9934000000000001</v>
      </c>
      <c r="S80" s="47">
        <f t="shared" si="10"/>
        <v>37.197752583525634</v>
      </c>
      <c r="U80" s="18">
        <f t="shared" si="11"/>
        <v>62.802247416474366</v>
      </c>
    </row>
    <row r="81" spans="1:21" x14ac:dyDescent="0.25">
      <c r="A81" s="47" t="s">
        <v>300</v>
      </c>
      <c r="B81" s="47" t="s">
        <v>80</v>
      </c>
      <c r="C81" s="47" t="s">
        <v>16</v>
      </c>
      <c r="D81" s="47" t="s">
        <v>18</v>
      </c>
      <c r="E81" s="47">
        <v>1</v>
      </c>
      <c r="F81" s="47" t="s">
        <v>552</v>
      </c>
      <c r="G81" s="47">
        <v>2.3283999999999998</v>
      </c>
      <c r="H81" s="47">
        <v>2.1920999999999999</v>
      </c>
      <c r="I81" s="49">
        <f t="shared" si="6"/>
        <v>6.2177820354910756</v>
      </c>
      <c r="J81" s="53">
        <v>44620</v>
      </c>
      <c r="K81" s="50">
        <v>44680</v>
      </c>
      <c r="L81" s="47">
        <f t="shared" si="7"/>
        <v>60</v>
      </c>
      <c r="M81" s="47">
        <v>1.4466000000000001</v>
      </c>
      <c r="N81" s="47">
        <f t="shared" si="8"/>
        <v>0.74549999999999983</v>
      </c>
      <c r="O81" s="47">
        <v>1.2567999999999999</v>
      </c>
      <c r="P81" s="47">
        <v>0.13020000000000001</v>
      </c>
      <c r="Q81" s="47">
        <v>5.8700000000000002E-2</v>
      </c>
      <c r="R81" s="48">
        <f t="shared" si="9"/>
        <v>2.0032000000000001</v>
      </c>
      <c r="S81" s="47">
        <f t="shared" si="10"/>
        <v>37.260383386581474</v>
      </c>
      <c r="U81" s="18">
        <f t="shared" si="11"/>
        <v>62.739616613418526</v>
      </c>
    </row>
    <row r="82" spans="1:21" x14ac:dyDescent="0.25">
      <c r="A82" s="47" t="s">
        <v>300</v>
      </c>
      <c r="B82" s="47" t="s">
        <v>80</v>
      </c>
      <c r="C82" s="47" t="s">
        <v>16</v>
      </c>
      <c r="D82" s="47" t="s">
        <v>18</v>
      </c>
      <c r="E82" s="47">
        <v>2</v>
      </c>
      <c r="F82" s="47" t="s">
        <v>553</v>
      </c>
      <c r="G82" s="48">
        <v>2.3306</v>
      </c>
      <c r="H82" s="47">
        <v>2.1924000000000001</v>
      </c>
      <c r="I82" s="49">
        <f t="shared" si="6"/>
        <v>6.3035942346287124</v>
      </c>
      <c r="J82" s="53">
        <v>44620</v>
      </c>
      <c r="K82" s="50">
        <v>44680</v>
      </c>
      <c r="L82" s="47">
        <f t="shared" si="7"/>
        <v>60</v>
      </c>
      <c r="M82" s="47">
        <v>1.4772000000000001</v>
      </c>
      <c r="N82" s="47">
        <f t="shared" si="8"/>
        <v>0.71520000000000006</v>
      </c>
      <c r="O82" s="47">
        <v>1.2875000000000001</v>
      </c>
      <c r="P82" s="47">
        <v>0.1313</v>
      </c>
      <c r="Q82" s="47">
        <v>5.7000000000000002E-2</v>
      </c>
      <c r="R82" s="48">
        <f t="shared" si="9"/>
        <v>2.0041000000000002</v>
      </c>
      <c r="S82" s="47">
        <f t="shared" si="10"/>
        <v>35.756698767526572</v>
      </c>
      <c r="U82" s="18">
        <f t="shared" si="11"/>
        <v>64.243301232473428</v>
      </c>
    </row>
    <row r="83" spans="1:21" x14ac:dyDescent="0.25">
      <c r="A83" s="47" t="s">
        <v>300</v>
      </c>
      <c r="B83" s="47" t="s">
        <v>80</v>
      </c>
      <c r="C83" s="47" t="s">
        <v>16</v>
      </c>
      <c r="D83" s="47" t="s">
        <v>19</v>
      </c>
      <c r="E83" s="47">
        <v>1</v>
      </c>
      <c r="F83" s="47" t="s">
        <v>554</v>
      </c>
      <c r="G83" s="47">
        <v>2.2734000000000001</v>
      </c>
      <c r="H83" s="47">
        <v>2.1408999999999998</v>
      </c>
      <c r="I83" s="49">
        <f t="shared" si="6"/>
        <v>6.18898594049233</v>
      </c>
      <c r="J83" s="53">
        <v>44620</v>
      </c>
      <c r="K83" s="50">
        <v>44680</v>
      </c>
      <c r="L83" s="47">
        <f t="shared" si="7"/>
        <v>60</v>
      </c>
      <c r="M83" s="47">
        <v>1.3891</v>
      </c>
      <c r="N83" s="47">
        <f t="shared" si="8"/>
        <v>0.7517999999999998</v>
      </c>
      <c r="O83" s="47">
        <v>1.2002999999999999</v>
      </c>
      <c r="P83" s="47">
        <v>0.1308</v>
      </c>
      <c r="Q83" s="47">
        <v>6.0199999999999997E-2</v>
      </c>
      <c r="R83" s="48">
        <f t="shared" si="9"/>
        <v>1.9498999999999997</v>
      </c>
      <c r="S83" s="47">
        <f t="shared" si="10"/>
        <v>38.44299707677316</v>
      </c>
      <c r="U83" s="18">
        <f t="shared" si="11"/>
        <v>61.557002923226833</v>
      </c>
    </row>
    <row r="84" spans="1:21" x14ac:dyDescent="0.25">
      <c r="A84" s="47" t="s">
        <v>300</v>
      </c>
      <c r="B84" s="47" t="s">
        <v>80</v>
      </c>
      <c r="C84" s="47" t="s">
        <v>16</v>
      </c>
      <c r="D84" s="47" t="s">
        <v>19</v>
      </c>
      <c r="E84" s="47">
        <v>2</v>
      </c>
      <c r="F84" s="47" t="s">
        <v>555</v>
      </c>
      <c r="G84" s="47">
        <v>2.1366999999999998</v>
      </c>
      <c r="H84" s="47">
        <v>2.0045000000000002</v>
      </c>
      <c r="I84" s="49">
        <f t="shared" si="6"/>
        <v>6.5951608880019776</v>
      </c>
      <c r="J84" s="53">
        <v>44620</v>
      </c>
      <c r="K84" s="50">
        <v>44680</v>
      </c>
      <c r="L84" s="47">
        <f t="shared" si="7"/>
        <v>60</v>
      </c>
      <c r="M84" s="47">
        <v>1.3785000000000001</v>
      </c>
      <c r="N84" s="47">
        <f t="shared" si="8"/>
        <v>0.62600000000000011</v>
      </c>
      <c r="O84" s="47">
        <v>1.1912</v>
      </c>
      <c r="P84" s="47">
        <v>0.12889999999999999</v>
      </c>
      <c r="Q84" s="47">
        <v>5.7599999999999998E-2</v>
      </c>
      <c r="R84" s="48">
        <f t="shared" si="9"/>
        <v>1.8180000000000001</v>
      </c>
      <c r="S84" s="47">
        <f t="shared" si="10"/>
        <v>34.477447744774473</v>
      </c>
      <c r="U84" s="18">
        <f t="shared" si="11"/>
        <v>65.52255225522552</v>
      </c>
    </row>
    <row r="85" spans="1:21" x14ac:dyDescent="0.25">
      <c r="A85" s="47" t="s">
        <v>300</v>
      </c>
      <c r="B85" s="47" t="s">
        <v>80</v>
      </c>
      <c r="C85" s="47" t="s">
        <v>16</v>
      </c>
      <c r="D85" s="47" t="s">
        <v>20</v>
      </c>
      <c r="E85" s="47">
        <v>1</v>
      </c>
      <c r="F85" s="47" t="s">
        <v>556</v>
      </c>
      <c r="G85" s="47">
        <v>2.2648000000000001</v>
      </c>
      <c r="H85" s="47">
        <v>2.1355</v>
      </c>
      <c r="I85" s="49">
        <f t="shared" si="6"/>
        <v>6.0547881058300259</v>
      </c>
      <c r="J85" s="53">
        <v>44620</v>
      </c>
      <c r="K85" s="50">
        <v>44680</v>
      </c>
      <c r="L85" s="47">
        <f t="shared" si="7"/>
        <v>60</v>
      </c>
      <c r="M85" s="47">
        <v>1.4501999999999999</v>
      </c>
      <c r="N85" s="47">
        <f t="shared" si="8"/>
        <v>0.68530000000000002</v>
      </c>
      <c r="O85" s="47">
        <v>1.2656000000000001</v>
      </c>
      <c r="P85" s="47">
        <v>0.1305</v>
      </c>
      <c r="Q85" s="47">
        <v>5.7599999999999998E-2</v>
      </c>
      <c r="R85" s="48">
        <f t="shared" si="9"/>
        <v>1.9474</v>
      </c>
      <c r="S85" s="47">
        <f t="shared" si="10"/>
        <v>35.010783608914444</v>
      </c>
      <c r="U85" s="18">
        <f t="shared" si="11"/>
        <v>64.989216391085549</v>
      </c>
    </row>
    <row r="86" spans="1:21" x14ac:dyDescent="0.25">
      <c r="A86" s="47" t="s">
        <v>300</v>
      </c>
      <c r="B86" s="47" t="s">
        <v>80</v>
      </c>
      <c r="C86" s="47" t="s">
        <v>16</v>
      </c>
      <c r="D86" s="47" t="s">
        <v>20</v>
      </c>
      <c r="E86" s="47">
        <v>2</v>
      </c>
      <c r="F86" s="47" t="s">
        <v>557</v>
      </c>
      <c r="G86" s="47">
        <v>2.3712</v>
      </c>
      <c r="H86" s="47">
        <v>2.2204999999999999</v>
      </c>
      <c r="I86" s="49">
        <f t="shared" si="6"/>
        <v>6.7867597387975707</v>
      </c>
      <c r="J86" s="53">
        <v>44620</v>
      </c>
      <c r="K86" s="50">
        <v>44680</v>
      </c>
      <c r="L86" s="47">
        <f t="shared" si="7"/>
        <v>60</v>
      </c>
      <c r="M86" s="47">
        <v>1.4490000000000001</v>
      </c>
      <c r="N86" s="47">
        <f t="shared" si="8"/>
        <v>0.77149999999999985</v>
      </c>
      <c r="O86" s="47">
        <v>1.2646999999999999</v>
      </c>
      <c r="P86" s="47">
        <v>0.1263</v>
      </c>
      <c r="Q86" s="47">
        <v>5.8299999999999998E-2</v>
      </c>
      <c r="R86" s="48">
        <f t="shared" si="9"/>
        <v>2.0358999999999998</v>
      </c>
      <c r="S86" s="47">
        <f t="shared" si="10"/>
        <v>37.880053047792131</v>
      </c>
      <c r="U86" s="18">
        <f t="shared" si="11"/>
        <v>62.119946952207869</v>
      </c>
    </row>
    <row r="87" spans="1:21" x14ac:dyDescent="0.25">
      <c r="F87" s="13" t="s">
        <v>119</v>
      </c>
      <c r="G87" s="14">
        <f>AVERAGE(G47:G86)</f>
        <v>2.2715375</v>
      </c>
      <c r="H87" s="14">
        <f>AVERAGE(H47:H86)</f>
        <v>2.1168774999999997</v>
      </c>
      <c r="O87" s="15"/>
      <c r="P87" s="16"/>
      <c r="Q87" s="16"/>
    </row>
    <row r="88" spans="1:21" x14ac:dyDescent="0.25">
      <c r="F88" s="13" t="s">
        <v>120</v>
      </c>
      <c r="G88" s="14">
        <f>STDEV(G47:G86)</f>
        <v>7.4664362444413671E-2</v>
      </c>
      <c r="H88" s="14">
        <f>STDEV(H47:H86)</f>
        <v>6.6585162309208148E-2</v>
      </c>
      <c r="O88" s="15"/>
      <c r="P88" s="16"/>
      <c r="Q88" s="16"/>
    </row>
    <row r="89" spans="1:21" x14ac:dyDescent="0.25">
      <c r="F89" s="13" t="s">
        <v>121</v>
      </c>
      <c r="G89" s="14">
        <f>CONFIDENCE(0.05,G88,COUNT(G47:G86))</f>
        <v>2.3138300466617426E-2</v>
      </c>
      <c r="H89" s="14">
        <f>CONFIDENCE(0.05,H88,COUNT(H47:H86))</f>
        <v>2.0634576412220062E-2</v>
      </c>
      <c r="O89" s="15"/>
      <c r="P89" s="16"/>
      <c r="Q89" s="16"/>
    </row>
    <row r="90" spans="1:21" x14ac:dyDescent="0.25">
      <c r="F90" s="13" t="s">
        <v>122</v>
      </c>
      <c r="G90" s="14">
        <f>G87-G89</f>
        <v>2.2483991995333827</v>
      </c>
      <c r="H90" s="14">
        <f>H87-H89</f>
        <v>2.0962429235877797</v>
      </c>
      <c r="O90" s="15"/>
      <c r="P90" s="16"/>
      <c r="Q90" s="16"/>
    </row>
    <row r="91" spans="1:21" x14ac:dyDescent="0.25">
      <c r="F91" s="13" t="s">
        <v>123</v>
      </c>
      <c r="G91" s="14">
        <f>G87+G90</f>
        <v>4.5199366995333827</v>
      </c>
      <c r="H91" s="14">
        <f>H87+H90</f>
        <v>4.2131204235877799</v>
      </c>
      <c r="O91" s="15"/>
      <c r="P91" s="16"/>
      <c r="Q91" s="16"/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4</vt:i4>
      </vt:variant>
    </vt:vector>
  </HeadingPairs>
  <TitlesOfParts>
    <vt:vector size="25" baseType="lpstr">
      <vt:lpstr>Datos Crudos SE2-Ref</vt:lpstr>
      <vt:lpstr>Depth SE2-Ref</vt:lpstr>
      <vt:lpstr>Datos Crudos SE3-Ref</vt:lpstr>
      <vt:lpstr>Depth SE3-Ref</vt:lpstr>
      <vt:lpstr>Control 1</vt:lpstr>
      <vt:lpstr>Datos Crudos SE2 Impact</vt:lpstr>
      <vt:lpstr>Depth SE2 Im</vt:lpstr>
      <vt:lpstr>Control 2</vt:lpstr>
      <vt:lpstr>Datos Crudos SE4-Ref</vt:lpstr>
      <vt:lpstr>Depth SE4-Ref</vt:lpstr>
      <vt:lpstr>Control 3</vt:lpstr>
      <vt:lpstr>Muestreo Exploratorio</vt:lpstr>
      <vt:lpstr>Datos Crudos SE3 Impac</vt:lpstr>
      <vt:lpstr>Depth SE3 Im</vt:lpstr>
      <vt:lpstr>Control 4</vt:lpstr>
      <vt:lpstr>Datos Crudos SE4 Im</vt:lpstr>
      <vt:lpstr>Depth SE4 Im </vt:lpstr>
      <vt:lpstr>Control 5</vt:lpstr>
      <vt:lpstr>Ensayo en Lab</vt:lpstr>
      <vt:lpstr>DATA- EVENTS</vt:lpstr>
      <vt:lpstr>Hoja1</vt:lpstr>
      <vt:lpstr>FINAL_WEIGHT_GREEN</vt:lpstr>
      <vt:lpstr>FINAL_WEIGHT_RED</vt:lpstr>
      <vt:lpstr>INITIAL_WEIGHT_GREEN</vt:lpstr>
      <vt:lpstr>INITIAL_WEIGHT_RED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M Lugo Arroyo</dc:creator>
  <cp:lastModifiedBy>admin</cp:lastModifiedBy>
  <dcterms:created xsi:type="dcterms:W3CDTF">2021-01-27T13:46:53Z</dcterms:created>
  <dcterms:modified xsi:type="dcterms:W3CDTF">2023-07-22T20:41:05Z</dcterms:modified>
</cp:coreProperties>
</file>